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REFERENSI" sheetId="11" state="visible" r:id="rId13"/>
    <sheet name="PETUNJUK" sheetId="12" state="visible" r:id="rId14"/>
  </sheets>
  <definedNames>
    <definedName function="false" hidden="false" localSheetId="8" name="_xlnm.Print_Area" vbProcedure="false">ABSENSI!$A$1:$E$46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CETAK!$A$1:$G$46</definedName>
    <definedName function="false" hidden="false" localSheetId="1" name="_xlnm.Print_Area" vbProcedure="false">DATABASE!$A$3:$R$2003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1" name="_xlnm.Print_Area" vbProcedure="false">PETUNJUK!$A$1:$E$113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OFFSET(REFERENSI!$B$6,0,0,MAX(1,COUNTA(REFERENSI!$B$6:$B$45)),1)</definedName>
    <definedName function="false" hidden="false" name="daftar_rt" vbProcedure="false">OFFSET(REFERENSI!$D$6,0,0,MAX(1,COUNTA(REFERENSI!$D$6:$D$45)),1)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<sst xmlns="http://schemas.openxmlformats.org/spreadsheetml/2006/main" count="524" uniqueCount="366">
  <si>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</si>
  <si>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</si>
  <si>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</si>
  <si>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</si>
  <si>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</si>
  <si>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</si>
  <si>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</si>
  <si>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</si>
  <si>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</si>
  <si>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Kadus aktif</t>
  </si>
  <si>
    <t xml:space="preserve">▶   VALIDASI DATA</t>
  </si>
  <si>
    <t xml:space="preserve">Jumlah RT tercakup</t>
  </si>
  <si>
    <t xml:space="preserve">▶   CETAK DAFTAR / FORMULIR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</si>
  <si>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</si>
  <si>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</si>
  <si>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</si>
  <si>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</si>
  <si>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</si>
  <si>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</si>
  <si>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</si>
  <si>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PENGATURAN KADUS / RT / JABATAN</t>
  </si>
  <si>
    <t xml:space="preserve">Sisa kapasitas baris</t>
  </si>
  <si>
    <t xml:space="preserve">▶   PETUNJUK PENGGUNAAN</t>
  </si>
  <si>
    <t xml:space="preserve">▌  JUMLAH ANGGOTA PER KADUS</t>
  </si>
  <si>
    <t xml:space="preserve">KADUS</t>
  </si>
  <si>
    <t xml:space="preserve">JUMLAH</t>
  </si>
  <si>
    <t xml:space="preserve">TARGET</t>
  </si>
  <si>
    <t xml:space="preserve">CAPAIAN</t>
  </si>
  <si>
    <t xml:space="preserve">TOTAL SEMUA KADUS</t>
  </si>
  <si>
    <t xml:space="preserve">Menampilkan 12 Kadus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</si>
  <si>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</si>
  <si>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</si>
  <si>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</si>
  <si>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</si>
  <si>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</si>
  <si>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</si>
  <si>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</si>
  <si>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</si>
  <si>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</si>
  <si>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</si>
  <si>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(16 digit)</t>
  </si>
  <si>
    <t xml:space="preserve">L/P</t>
  </si>
  <si>
    <t xml:space="preserve">RT</t>
  </si>
  <si>
    <t xml:space="preserve">KORWIL</t>
  </si>
  <si>
    <t xml:space="preserve">JABATAN</t>
  </si>
  <si>
    <t xml:space="preserve">NO. HP</t>
  </si>
  <si>
    <t xml:space="preserve">ALAMAT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</si>
  <si>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</si>
  <si>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</si>
  <si>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</si>
  <si>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</si>
  <si>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</si>
  <si>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</si>
  <si>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</si>
  <si>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</si>
  <si>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</si>
  <si>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</si>
  <si>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</si>
  <si>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</si>
  <si>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KEY_KADUS</t>
  </si>
  <si>
    <t xml:space="preserve">IDX_CETAK</t>
  </si>
  <si>
    <t xml:space="preserve">IDX_ABSEN</t>
  </si>
  <si>
    <t xml:space="preserve">IDX_KARTU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</si>
  <si>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</si>
  <si>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</si>
  <si>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</si>
  <si>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</si>
  <si>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</si>
  <si>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</si>
  <si>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</si>
  <si>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</si>
  <si>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</si>
  <si>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</si>
  <si>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</si>
  <si>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</si>
  <si>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</si>
  <si>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</si>
  <si>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</si>
  <si>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</si>
  <si>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KADUS &amp; RT</t>
  </si>
  <si>
    <t xml:space="preserve">▌  B.  GENDER &amp; STATUS PER KADUS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</si>
  <si>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</si>
  <si>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</si>
  <si>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</si>
  <si>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</si>
  <si>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</si>
  <si>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</si>
  <si>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</si>
  <si>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</si>
  <si>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</si>
  <si>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</si>
  <si>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</si>
  <si>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</si>
  <si>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KADUS</t>
  </si>
  <si>
    <t xml:space="preserve">PILIH RT</t>
  </si>
  <si>
    <t xml:space="preserve">◀  pilih pada sel kuning</t>
  </si>
  <si>
    <t xml:space="preserve">Butuh pencarian bebas (nama / NIK / no. HP)? Gunakan sheet CARI.</t>
  </si>
  <si>
    <t xml:space="preserve">TARGET &amp; CAPAIAN PER KADUS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</si>
  <si>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</si>
  <si>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</si>
  <si>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</si>
  <si>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</si>
  <si>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</si>
  <si>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</si>
  <si>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</si>
  <si>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</si>
  <si>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</si>
  <si>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</si>
  <si>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</si>
  <si>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</si>
  <si>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</si>
  <si>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</si>
  <si>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</si>
  <si>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</si>
  <si>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</si>
  <si>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</si>
  <si>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</si>
  <si>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</si>
  <si>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</si>
  <si>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</si>
  <si>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</si>
  <si>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</si>
  <si>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</si>
  <si>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</si>
  <si>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</si>
  <si>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</si>
  <si>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</si>
  <si>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</si>
  <si>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KELOMPOK</t>
  </si>
  <si>
    <t xml:space="preserve">:</t>
  </si>
  <si>
    <t xml:space="preserve">Pilih Kadus</t>
  </si>
  <si>
    <t xml:space="preserve">Pilih RT</t>
  </si>
  <si>
    <t xml:space="preserve">Pilih TPS</t>
  </si>
  <si>
    <t xml:space="preserve">TANDA TANGAN</t>
  </si>
  <si>
    <t xml:space="preserve">Pilih Jabatan</t>
  </si>
  <si>
    <t xml:space="preserve">Pilih Status</t>
  </si>
  <si>
    <t xml:space="preserve">Halaman ke-</t>
  </si>
  <si>
    <t xml:space="preserve">Jumlah data</t>
  </si>
  <si>
    <t xml:space="preserve">Total halaman</t>
  </si>
  <si>
    <t xml:space="preserve">Kosongkan semua filter = cetak SELURUH anggota.</t>
  </si>
  <si>
    <t xml:space="preserve">Isi satu filter saja untuk cetak per Kadus, per RT, atau per TPS.</t>
  </si>
  <si>
    <t xml:space="preserve">Isi Kadus + RT sekaligus untuk cetak per korwil.</t>
  </si>
  <si>
    <t xml:space="preserve">Satu halaman memuat 25 nama. Bila Total halaman lebih dari 1,</t>
  </si>
  <si>
    <t xml:space="preserve">ganti angka Halaman ke- lalu Ctrl+P lagi.</t>
  </si>
  <si>
    <t xml:space="preserve">Daftar sangat panjang? Saring kolom di sheet DATABASE lalu Ctrl+P —</t>
  </si>
  <si>
    <t xml:space="preserve">baris yang tersembunyi filter tidak ikut tercetak.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</si>
  <si>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</si>
  <si>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</si>
  <si>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</si>
  <si>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</si>
  <si>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</si>
  <si>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Jumlah tersaring</t>
  </si>
  <si>
    <t xml:space="preserve">Halaman berikutnya</t>
  </si>
  <si>
    <t xml:space="preserve">Kosongkan filter = kartu untuk seluruh anggota.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</si>
  <si>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</si>
  <si>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</si>
  <si>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</si>
  <si>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</si>
  <si>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</si>
  <si>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</si>
  <si>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</si>
  <si>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</si>
  <si>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Jumlah anggota</t>
  </si>
  <si>
    <t xml:space="preserve">Kosongkan filter Kadus/RT/TPS = daftar hadir SELURUH anggota.</t>
  </si>
  <si>
    <t xml:space="preserve">Isi satu filter untuk per Kadus, per RT, atau per TPS;</t>
  </si>
  <si>
    <t xml:space="preserve">isi Kadus + RT sekaligus untuk per korwil.</t>
  </si>
  <si>
    <t xml:space="preserve">Satu halaman memuat 25 nama — ganti Halaman ke- lalu Ctrl+P.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</si>
  <si>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</si>
  <si>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</si>
  <si>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</si>
  <si>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</si>
  <si>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</si>
  <si>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</si>
  <si>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</si>
  <si>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</si>
  <si>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</si>
  <si>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</si>
  <si>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KADUS</t>
  </si>
  <si>
    <t xml:space="preserve">DAFTAR RT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</si>
  <si>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</si>
  <si>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</si>
  <si>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</si>
  <si>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</si>
  <si>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</si>
  <si>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Kadus I</t>
  </si>
  <si>
    <t xml:space="preserve">001</t>
  </si>
  <si>
    <t xml:space="preserve">Ketua Team</t>
  </si>
  <si>
    <t xml:space="preserve">01</t>
  </si>
  <si>
    <t xml:space="preserve">Aktif</t>
  </si>
  <si>
    <t xml:space="preserve">Di bawah 17 th</t>
  </si>
  <si>
    <t xml:space="preserve">• Sel kuning = boleh diubah. Sel lain berisi rumus.</t>
  </si>
  <si>
    <t xml:space="preserve">Kadus II</t>
  </si>
  <si>
    <t xml:space="preserve">002</t>
  </si>
  <si>
    <t xml:space="preserve">Wakil Ketua</t>
  </si>
  <si>
    <t xml:space="preserve">02</t>
  </si>
  <si>
    <t xml:space="preserve">Calon</t>
  </si>
  <si>
    <t xml:space="preserve">Pemula 17-22 th</t>
  </si>
  <si>
    <t xml:space="preserve">• TARGET diisi angka jumlah anggota yang ingin dicapai tiap Kadus;</t>
  </si>
  <si>
    <t xml:space="preserve">Kadus III</t>
  </si>
  <si>
    <t xml:space="preserve">003</t>
  </si>
  <si>
    <t xml:space="preserve">Sekretaris</t>
  </si>
  <si>
    <t xml:space="preserve">03</t>
  </si>
  <si>
    <t xml:space="preserve">Nonaktif</t>
  </si>
  <si>
    <t xml:space="preserve">Muda 23-35 th</t>
  </si>
  <si>
    <t xml:space="preserve">   dipakai pada sheet TARGET untuk menghitung % capaian.</t>
  </si>
  <si>
    <t xml:space="preserve">Kadus IV</t>
  </si>
  <si>
    <t xml:space="preserve">004</t>
  </si>
  <si>
    <t xml:space="preserve">Bendahara</t>
  </si>
  <si>
    <t xml:space="preserve">04</t>
  </si>
  <si>
    <t xml:space="preserve">Dewasa 36-50 th</t>
  </si>
  <si>
    <t xml:space="preserve">• Menambah pilihan: tulis pada baris kosong tepat di bawah daftar.</t>
  </si>
  <si>
    <t xml:space="preserve">Kadus V</t>
  </si>
  <si>
    <t xml:space="preserve">005</t>
  </si>
  <si>
    <t xml:space="preserve">Koordinator Wilayah</t>
  </si>
  <si>
    <t xml:space="preserve">05</t>
  </si>
  <si>
    <t xml:space="preserve">Matang 51-65 th</t>
  </si>
  <si>
    <t xml:space="preserve">  Dropdown bertambah otomatis (kapasitas 40 baris per daftar).</t>
  </si>
  <si>
    <t xml:space="preserve">006</t>
  </si>
  <si>
    <t xml:space="preserve">Koordinator Lapangan</t>
  </si>
  <si>
    <t xml:space="preserve">06</t>
  </si>
  <si>
    <t xml:space="preserve">Senior 66 th +</t>
  </si>
  <si>
    <t xml:space="preserve">• Menghapus pilihan: kosongkan selnya (Delete), jangan hapus barisnya.</t>
  </si>
  <si>
    <t xml:space="preserve">007</t>
  </si>
  <si>
    <t xml:space="preserve">Anggota</t>
  </si>
  <si>
    <t xml:space="preserve">07</t>
  </si>
  <si>
    <t xml:space="preserve">• Jangan menyisipkan baris di tengah daftar — rumus bisa bergeser.</t>
  </si>
  <si>
    <t xml:space="preserve">008</t>
  </si>
  <si>
    <t xml:space="preserve">Relawan</t>
  </si>
  <si>
    <t xml:space="preserve">08</t>
  </si>
  <si>
    <t xml:space="preserve">• Bila nama Kadus diganti, data lama pada DATABASE TIDAK ikut berubah.</t>
  </si>
  <si>
    <t xml:space="preserve">009</t>
  </si>
  <si>
    <t xml:space="preserve">09</t>
  </si>
  <si>
    <t xml:space="preserve">  Perbaiki lewat filter kolom KADUS di sheet DATABASE.</t>
  </si>
  <si>
    <t xml:space="preserve">010</t>
  </si>
  <si>
    <t xml:space="preserve">10</t>
  </si>
  <si>
    <t xml:space="preserve">• USIA MIN harus urut dari kecil ke besar (0, 17, 23, ...).</t>
  </si>
  <si>
    <t xml:space="preserve">011</t>
  </si>
  <si>
    <t xml:space="preserve">• KELOMPOK USIA dipakai untuk rekap segmen pemilih.</t>
  </si>
  <si>
    <t xml:space="preserve">012</t>
  </si>
  <si>
    <t xml:space="preserve">013</t>
  </si>
  <si>
    <t xml:space="preserve">014</t>
  </si>
  <si>
    <t xml:space="preserve">015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</si>
  <si>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</si>
  <si>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</si>
  <si>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</si>
  <si>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</si>
  <si>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</si>
  <si>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</si>
  <si>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</si>
  <si>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</si>
  <si>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</si>
  <si>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</si>
  <si>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</si>
  <si>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</si>
  <si>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</si>
  <si>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</si>
  <si>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</si>
  <si>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IDRUS KAMSENO</t>
  </si>
  <si>
    <t xml:space="preserve">JABATAN PENANDATANGAN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</si>
  <si>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</si>
  <si>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</si>
  <si>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</si>
  <si>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</si>
  <si>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</si>
  <si>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</si>
  <si>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</si>
  <si>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</si>
  <si>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</si>
  <si>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</si>
  <si>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</si>
  <si>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</si>
  <si>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</si>
  <si>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</si>
  <si>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</si>
  <si>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</si>
  <si>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</si>
  <si>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MENCETAK — SEMUA, PER KADUS, PER RT, PER KORWIL, PER TPS</t>
  </si>
  <si>
    <t xml:space="preserve">Sheet CETAK punya lima filter di panel kanan: Kadus, RT, TPS, jabatan, status.</t>
  </si>
  <si>
    <t xml:space="preserve">Filter yang dikosongkan berarti SEMUA, jadi satu sheet melayani semua kebutuhan:</t>
  </si>
  <si>
    <t xml:space="preserve">   •  semua filter kosong          →  seluruh anggota</t>
  </si>
  <si>
    <t xml:space="preserve">   •  isi Kadus saja               →  per Kadus</t>
  </si>
  <si>
    <t xml:space="preserve">   •  isi RT saja                  →  per RT</t>
  </si>
  <si>
    <t xml:space="preserve">   •  isi Kadus + RT               →  per korwil</t>
  </si>
  <si>
    <t xml:space="preserve">   •  isi TPS saja                 →  per TPS</t>
  </si>
  <si>
    <t xml:space="preserve">Judul dan jumlah pada kop ikut berubah sendiri. Bila Total halaman lebih dari 1,</t>
  </si>
  <si>
    <t xml:space="preserve">ganti angka Halaman ke- lalu Ctrl+P lagi. Sheet ABSENSI memakai cara yang sama,</t>
  </si>
  <si>
    <t xml:space="preserve">sheet KARTU bisa disaring per Kadus/RT/TPS.</t>
  </si>
  <si>
    <t xml:space="preserve">Daftar sangat panjang dalam sekali cetak: buka sheet DATABASE, klik panah pada</t>
  </si>
  <si>
    <t xml:space="preserve">judul kolom (TPS, RT, KADUS, KORWIL) untuk menyaring, lalu Ctrl+P. Baris yang</t>
  </si>
  <si>
    <t xml:space="preserve">disembunyikan filter tidak ikut tercetak, jadi tidak ada halaman kosong.</t>
  </si>
  <si>
    <t xml:space="preserve">D.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</si>
  <si>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</si>
  <si>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</si>
  <si>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</si>
  <si>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</si>
  <si>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</si>
  <si>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E.  KOLOM PADA SHEET DATABASE</t>
  </si>
  <si>
    <t xml:space="preserve">Wajib   : NAMA LENGKAP, NIK, L/P, KADUS, RT, JABATAN, NO. HP, ALAMAT.</t>
  </si>
  <si>
    <t xml:space="preserve">Pilihan : TPS, TGL LAHIR, STATUS, TGL GABUNG, PEREKRUT, CATATAN.</t>
  </si>
  <si>
    <t xml:space="preserve">TGL LAHIR diisi format hh/bb/tttt — USIA dan KELOMPOK USIA lahir dari sini.</t>
  </si>
  <si>
    <t xml:space="preserve">STATUS diisi Aktif / Calon / Nonaktif; dipakai pada REKAP dan TARGET.</t>
  </si>
  <si>
    <t xml:space="preserve">PEREKRUT dipilih dari daftar nama anggota yang sudah terdata.</t>
  </si>
  <si>
    <t xml:space="preserve">F.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</si>
  <si>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</si>
  <si>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</si>
  <si>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</si>
  <si>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G.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</si>
  <si>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</si>
  <si>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</si>
  <si>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</si>
  <si>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</si>
  <si>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H.  KAPASITAS</t>
  </si>
  <si>
    <t xml:space="preserve">Kapasitas 2.000 baris anggota, 40 pilihan Kadus/RT/jabatan/TPS,</t>
  </si>
  <si>
    <t xml:space="preserve">20 Kadus dan 20 RT pada matriks REKAP, 150 baris hasil pada CARI dan VALIDASI,</t>
  </si>
  <si>
    <t xml:space="preserve">25 nama per halaman pada CETAK dan ABSENSI, 8 kartu per halaman pada KARTU.</t>
  </si>
  <si>
    <t xml:space="preserve">Sisa kapasitas terlihat di sheet MENU dan pojok kanan atas sheet DATABASE.</t>
  </si>
  <si>
    <t xml:space="preserve">I.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</si>
  <si>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</si>
  <si>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</si>
  <si>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</si>
  <si>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</si>
  <si>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</si>
  <si>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</si>
  <si>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</si>
  <si>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</si>
  <si>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</si>
  <si>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</si>
  <si>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</si>
  <si>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</si>
  <si>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</si>
  <si>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</si>
  <si>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</si>
  <si>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</si>
  <si>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</si>
  <si>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</si>
  <si>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</si>
  <si>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J.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</si>
  <si>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</si>
  <si>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</si>
  <si>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</si>
  <si>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</si>
  <si>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</si>
  <si>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</si>
  <si>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</si>
  <si>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</si>
  <si>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</si>
  <si>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</si>
  <si>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</si>
  <si>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</si>
  <si>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</si>
  <si>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</si>
  <si>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</si>
  <si>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Dusun I RT 001</t>
  </si>
  <si>
    <t xml:space="preserve">alamat singkat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</si>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</sst>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Kadus I</c:v>
                </c:pt>
                <c:pt idx="1">
                  <c:v>Kadus II</c:v>
                </c:pt>
                <c:pt idx="2">
                  <c:v>Kadus III</c:v>
                </c:pt>
                <c:pt idx="3">
                  <c:v>Kadus IV</c:v>
                </c:pt>
                <c:pt idx="4">
                  <c:v>Kadus V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92601620"/>
        <c:axId val="29366379"/>
      </c:barChart>
      <c:catAx>
        <c:axId val="926016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66379"/>
        <c:crosses val="autoZero"/>
        <c:auto val="1"/>
        <c:lblAlgn val="ctr"/>
        <c:lblOffset val="100"/>
        <c:noMultiLvlLbl val="0"/>
      </c:catAx>
      <c:valAx>
        <c:axId val="293663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016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Kadus I</c:v>
                </c:pt>
                <c:pt idx="1">
                  <c:v>Kadus II</c:v>
                </c:pt>
                <c:pt idx="2">
                  <c:v>Kadus III</c:v>
                </c:pt>
                <c:pt idx="3">
                  <c:v>Kadus IV</c:v>
                </c:pt>
                <c:pt idx="4">
                  <c:v>Kadus V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Kadus I</c:v>
                </c:pt>
                <c:pt idx="1">
                  <c:v>Kadus II</c:v>
                </c:pt>
                <c:pt idx="2">
                  <c:v>Kadus III</c:v>
                </c:pt>
                <c:pt idx="3">
                  <c:v>Kadus IV</c:v>
                </c:pt>
                <c:pt idx="4">
                  <c:v>Kadus V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75496509"/>
        <c:axId val="83023453"/>
      </c:barChart>
      <c:catAx>
        <c:axId val="754965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23453"/>
        <c:crosses val="autoZero"/>
        <c:auto val="1"/>
        <c:lblAlgn val="ctr"/>
        <c:lblOffset val="100"/>
        <c:noMultiLvlLbl val="0"/>
      </c:catAx>
      <c:valAx>
        <c:axId val="830234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965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393120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R2003" headerRowCount="1" totalsRowCount="0" totalsRowShown="0">
  <autoFilter ref="A3:R2003"/>
  <tableColumns count="18">
    <tableColumn id="1" name="NO"/>
    <tableColumn id="2" name="NAMA LENGKAP"/>
    <tableColumn id="3" name="NIK (16 digit)"/>
    <tableColumn id="4" name="L/P"/>
    <tableColumn id="5" name="KADUS"/>
    <tableColumn id="6" name="RT"/>
    <tableColumn id="7" name="KORWIL"/>
    <tableColumn id="8" name="JABATAN"/>
    <tableColumn id="9" name="NO. HP"/>
    <tableColumn id="10" name="ALAMAT"/>
    <tableColumn id="11" name="TPS"/>
    <tableColumn id="12" name="TGL LAHIR"/>
    <tableColumn id="13" name="USIA"/>
    <tableColumn id="14" name="KELOMPOK USIA"/>
    <tableColumn id="15" name="STATUS"/>
    <tableColumn id="16" name="TGL GABUNG"/>
    <tableColumn id="17" name="PEREKRUT"/>
    <tableColumn id="18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</v>
      </c>
      <c r="I2" s="2" t="str">
        <f aca="true">"Hari ini: "&amp;TEXT(TODAY(),"dd/mm/yyyy")</f>
        <v>Hari ini: 02/08/2026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5" t="s">
        <v>0</v>
      </c>
      <c r="C8" s="5"/>
      <c r="E8" s="5" t="s">
        <v>1</v>
      </c>
      <c r="F8" s="5"/>
      <c r="G8" s="5"/>
    </row>
    <row r="9" customFormat="false" ht="18.75" hidden="false" customHeight="true" outlineLevel="0" collapsed="false">
      <c r="B9" s="6" t="s">
        <v>2</v>
      </c>
      <c r="C9" s="7"/>
      <c r="E9" s="8" t="s">
        <v>3</v>
      </c>
      <c r="F9" s="9" t="n">
        <f aca="false">COUNTA(DATABASE!$B$4:$B$2003)</f>
        <v>0</v>
      </c>
      <c r="G9" s="9"/>
    </row>
    <row r="10" customFormat="false" ht="18.75" hidden="false" customHeight="true" outlineLevel="0" collapsed="false">
      <c r="B10" s="10" t="s">
        <v>4</v>
      </c>
      <c r="C10" s="11"/>
      <c r="E10" s="12" t="s">
        <v>5</v>
      </c>
      <c r="F10" s="13" t="n">
        <f aca="false">COUNTIF(DATABASE!$O$4:$O$2003,"Aktif")</f>
        <v>0</v>
      </c>
      <c r="G10" s="13"/>
    </row>
    <row r="11" customFormat="false" ht="18.75" hidden="false" customHeight="true" outlineLevel="0" collapsed="false">
      <c r="B11" s="6" t="s">
        <v>6</v>
      </c>
      <c r="C11" s="7"/>
      <c r="E11" s="8" t="s">
        <v>7</v>
      </c>
      <c r="F11" s="14" t="str">
        <f aca="false">COUNTIF(DATABASE!$D$4:$D$2003,"L")&amp;"  /  "&amp;COUNTIF(DATABASE!$D$4:$D$2003,"P")</f>
        <v>0  /  0</v>
      </c>
      <c r="G11" s="14"/>
    </row>
    <row r="12" customFormat="false" ht="18.75" hidden="false" customHeight="true" outlineLevel="0" collapsed="false">
      <c r="B12" s="10" t="s">
        <v>8</v>
      </c>
      <c r="C12" s="11"/>
      <c r="E12" s="12" t="s">
        <v>9</v>
      </c>
      <c r="F12" s="13" t="n">
        <f aca="false">SUMPRODUCT((COUNTIF(DATABASE!$E$4:$E$2003,REFERENSI!$B$6:$B$45)&gt;0)*(REFERENSI!$B$6:$B$45&lt;&gt;""))</f>
        <v>0</v>
      </c>
      <c r="G12" s="13"/>
    </row>
    <row r="13" customFormat="false" ht="18.75" hidden="false" customHeight="true" outlineLevel="0" collapsed="false">
      <c r="B13" s="6" t="s">
        <v>10</v>
      </c>
      <c r="C13" s="7"/>
      <c r="E13" s="8" t="s">
        <v>11</v>
      </c>
      <c r="F13" s="9" t="n">
        <f aca="false">SUMPRODUCT((COUNTIF(DATABASE!$F$4:$F$2003,REFERENSI!$D$6:$D$45)&gt;0)*(REFERENSI!$D$6:$D$45&lt;&gt;""))</f>
        <v>0</v>
      </c>
      <c r="G13" s="9"/>
    </row>
    <row r="14" customFormat="false" ht="18.75" hidden="false" customHeight="true" outlineLevel="0" collapsed="false">
      <c r="B14" s="10" t="s">
        <v>12</v>
      </c>
      <c r="C14" s="11"/>
      <c r="E14" s="12" t="s">
        <v>13</v>
      </c>
      <c r="F14" s="13" t="str">
        <f aca="false">IFERROR(ROUND(AVERAGE(DATABASE!$M$4:$M$2003),0),"-")</f>
        <v>-</v>
      </c>
      <c r="G14" s="13"/>
    </row>
    <row r="15" customFormat="false" ht="18.75" hidden="false" customHeight="true" outlineLevel="0" collapsed="false">
      <c r="B15" s="6" t="s">
        <v>14</v>
      </c>
      <c r="C15" s="7"/>
      <c r="E15" s="8" t="s">
        <v>15</v>
      </c>
      <c r="F15" s="9" t="n">
        <f aca="false">SUM(REFERENSI!$C$6:$C$45)</f>
        <v>250</v>
      </c>
      <c r="G15" s="9"/>
    </row>
    <row r="16" customFormat="false" ht="18.75" hidden="false" customHeight="true" outlineLevel="0" collapsed="false">
      <c r="B16" s="10" t="s">
        <v>16</v>
      </c>
      <c r="C16" s="11"/>
      <c r="E16" s="12" t="s">
        <v>17</v>
      </c>
      <c r="F16" s="15" t="n">
        <f aca="false">IFERROR(COUNTA(DATABASE!$B$4:$B$2003)/SUM(REFERENSI!$C$6:$C$45),"-")</f>
        <v>0</v>
      </c>
      <c r="G16" s="15"/>
    </row>
    <row r="17" customFormat="false" ht="18.75" hidden="false" customHeight="true" outlineLevel="0" collapsed="false">
      <c r="B17" s="6" t="s">
        <v>18</v>
      </c>
      <c r="C17" s="7"/>
      <c r="E17" s="8" t="s">
        <v>19</v>
      </c>
      <c r="F17" s="9" t="n">
        <f aca="false">COUNT(DATABASE!$V$4:$V$2003)</f>
        <v>0</v>
      </c>
      <c r="G17" s="9"/>
    </row>
    <row r="18" customFormat="false" ht="18.75" hidden="false" customHeight="true" outlineLevel="0" collapsed="false">
      <c r="B18" s="10" t="s">
        <v>20</v>
      </c>
      <c r="C18" s="11"/>
      <c r="E18" s="12" t="s">
        <v>21</v>
      </c>
      <c r="F18" s="13" t="n">
        <f aca="false">2000-COUNTA(DATABASE!$B$4:$B$2003)</f>
        <v>2000</v>
      </c>
      <c r="G18" s="13"/>
    </row>
    <row r="19" customFormat="false" ht="18.75" hidden="false" customHeight="true" outlineLevel="0" collapsed="false">
      <c r="B19" s="6" t="s">
        <v>22</v>
      </c>
      <c r="C19" s="7"/>
    </row>
    <row r="21" customFormat="false" ht="19.5" hidden="false" customHeight="true" outlineLevel="0" collapsed="false">
      <c r="B21" s="5" t="s">
        <v>23</v>
      </c>
      <c r="C21" s="5"/>
      <c r="D21" s="5"/>
      <c r="E21" s="5"/>
      <c r="F21" s="5"/>
      <c r="G21" s="5"/>
    </row>
    <row r="22" customFormat="false" ht="21.75" hidden="false" customHeight="true" outlineLevel="0" collapsed="false">
      <c r="B22" s="16" t="s">
        <v>24</v>
      </c>
      <c r="C22" s="16"/>
      <c r="D22" s="16"/>
      <c r="E22" s="16" t="s">
        <v>25</v>
      </c>
      <c r="F22" s="16" t="s">
        <v>26</v>
      </c>
      <c r="G22" s="16" t="s">
        <v>27</v>
      </c>
    </row>
    <row r="23" customFormat="false" ht="15" hidden="false" customHeight="false" outlineLevel="0" collapsed="false">
      <c r="B23" s="17" t="str">
        <f aca="true">IFERROR(INDEX(daftar_kadus,1),"")</f>
        <v>Kadus I</v>
      </c>
      <c r="C23" s="17"/>
      <c r="D23" s="17"/>
      <c r="E23" s="18" t="n">
        <f aca="false">IF($B23="","",COUNTIF(DATABASE!$E$4:$E$2003,$B23))</f>
        <v>0</v>
      </c>
      <c r="F23" s="19" t="n">
        <f aca="false">IF($B23="","",IFERROR(INDEX(REFERENSI!$C$6:$C$45,1),0))</f>
        <v>50</v>
      </c>
      <c r="G23" s="20" t="n">
        <f aca="false">IF(OR($B23="",$F23=0),"",$E23/$F23)</f>
        <v>0</v>
      </c>
    </row>
    <row r="24" customFormat="false" ht="15" hidden="false" customHeight="false" outlineLevel="0" collapsed="false">
      <c r="B24" s="21" t="str">
        <f aca="true">IFERROR(INDEX(daftar_kadus,2),"")</f>
        <v>Kadus II</v>
      </c>
      <c r="C24" s="21"/>
      <c r="D24" s="21"/>
      <c r="E24" s="22" t="n">
        <f aca="false">IF($B24="","",COUNTIF(DATABASE!$E$4:$E$2003,$B24))</f>
        <v>0</v>
      </c>
      <c r="F24" s="23" t="n">
        <f aca="false">IF($B24="","",IFERROR(INDEX(REFERENSI!$C$6:$C$45,2),0))</f>
        <v>50</v>
      </c>
      <c r="G24" s="24" t="n">
        <f aca="false">IF(OR($B24="",$F24=0),"",$E24/$F24)</f>
        <v>0</v>
      </c>
    </row>
    <row r="25" customFormat="false" ht="15" hidden="false" customHeight="false" outlineLevel="0" collapsed="false">
      <c r="B25" s="17" t="str">
        <f aca="true">IFERROR(INDEX(daftar_kadus,3),"")</f>
        <v>Kadus III</v>
      </c>
      <c r="C25" s="17"/>
      <c r="D25" s="17"/>
      <c r="E25" s="18" t="n">
        <f aca="false">IF($B25="","",COUNTIF(DATABASE!$E$4:$E$2003,$B25))</f>
        <v>0</v>
      </c>
      <c r="F25" s="19" t="n">
        <f aca="false">IF($B25="","",IFERROR(INDEX(REFERENSI!$C$6:$C$45,3),0))</f>
        <v>50</v>
      </c>
      <c r="G25" s="20" t="n">
        <f aca="false">IF(OR($B25="",$F25=0),"",$E25/$F25)</f>
        <v>0</v>
      </c>
    </row>
    <row r="26" customFormat="false" ht="15" hidden="false" customHeight="false" outlineLevel="0" collapsed="false">
      <c r="B26" s="21" t="str">
        <f aca="true">IFERROR(INDEX(daftar_kadus,4),"")</f>
        <v>Kadus IV</v>
      </c>
      <c r="C26" s="21"/>
      <c r="D26" s="21"/>
      <c r="E26" s="22" t="n">
        <f aca="false">IF($B26="","",COUNTIF(DATABASE!$E$4:$E$2003,$B26))</f>
        <v>0</v>
      </c>
      <c r="F26" s="23" t="n">
        <f aca="false">IF($B26="","",IFERROR(INDEX(REFERENSI!$C$6:$C$45,4),0))</f>
        <v>50</v>
      </c>
      <c r="G26" s="24" t="n">
        <f aca="false">IF(OR($B26="",$F26=0),"",$E26/$F26)</f>
        <v>0</v>
      </c>
    </row>
    <row r="27" customFormat="false" ht="15" hidden="false" customHeight="false" outlineLevel="0" collapsed="false">
      <c r="B27" s="17" t="str">
        <f aca="true">IFERROR(INDEX(daftar_kadus,5),"")</f>
        <v>Kadus V</v>
      </c>
      <c r="C27" s="17"/>
      <c r="D27" s="17"/>
      <c r="E27" s="18" t="n">
        <f aca="false">IF($B27="","",COUNTIF(DATABASE!$E$4:$E$2003,$B27))</f>
        <v>0</v>
      </c>
      <c r="F27" s="19" t="n">
        <f aca="false">IF($B27="","",IFERROR(INDEX(REFERENSI!$C$6:$C$45,5),0))</f>
        <v>50</v>
      </c>
      <c r="G27" s="20" t="n">
        <f aca="false">IF(OR($B27="",$F27=0),"",$E27/$F27)</f>
        <v>0</v>
      </c>
    </row>
    <row r="28" customFormat="false" ht="15" hidden="false" customHeight="false" outlineLevel="0" collapsed="false">
      <c r="B28" s="21" t="str">
        <f aca="true">IFERROR(INDEX(daftar_kadus,6),"")</f>
        <v/>
      </c>
      <c r="C28" s="21"/>
      <c r="D28" s="21"/>
      <c r="E28" s="22" t="str">
        <f aca="false">IF($B28="","",COUNTIF(DATABASE!$E$4:$E$2003,$B28))</f>
        <v/>
      </c>
      <c r="F28" s="23" t="str">
        <f aca="false">IF($B28="","",IFERROR(INDEX(REFERENSI!$C$6:$C$45,6),0))</f>
        <v/>
      </c>
      <c r="G28" s="24" t="str">
        <f aca="false">IF(OR($B28="",$F28=0),"",$E28/$F28)</f>
        <v/>
      </c>
    </row>
    <row r="29" customFormat="false" ht="15" hidden="false" customHeight="false" outlineLevel="0" collapsed="false">
      <c r="B29" s="17" t="str">
        <f aca="true">IFERROR(INDEX(daftar_kadus,7),"")</f>
        <v/>
      </c>
      <c r="C29" s="17"/>
      <c r="D29" s="17"/>
      <c r="E29" s="18" t="str">
        <f aca="false">IF($B29="","",COUNTIF(DATABASE!$E$4:$E$2003,$B29))</f>
        <v/>
      </c>
      <c r="F29" s="19" t="str">
        <f aca="false">IF($B29="","",IFERROR(INDEX(REFERENSI!$C$6:$C$45,7),0))</f>
        <v/>
      </c>
      <c r="G29" s="20" t="str">
        <f aca="false">IF(OR($B29="",$F29=0),"",$E29/$F29)</f>
        <v/>
      </c>
    </row>
    <row r="30" customFormat="false" ht="15" hidden="false" customHeight="false" outlineLevel="0" collapsed="false">
      <c r="B30" s="21" t="str">
        <f aca="true">IFERROR(INDEX(daftar_kadus,8),"")</f>
        <v/>
      </c>
      <c r="C30" s="21"/>
      <c r="D30" s="21"/>
      <c r="E30" s="22" t="str">
        <f aca="false">IF($B30="","",COUNTIF(DATABASE!$E$4:$E$2003,$B30))</f>
        <v/>
      </c>
      <c r="F30" s="23" t="str">
        <f aca="false">IF($B30="","",IFERROR(INDEX(REFERENSI!$C$6:$C$45,8),0))</f>
        <v/>
      </c>
      <c r="G30" s="24" t="str">
        <f aca="false">IF(OR($B30="",$F30=0),"",$E30/$F30)</f>
        <v/>
      </c>
    </row>
    <row r="31" customFormat="false" ht="15" hidden="false" customHeight="false" outlineLevel="0" collapsed="false">
      <c r="B31" s="17" t="str">
        <f aca="true">IFERROR(INDEX(daftar_kadus,9),"")</f>
        <v/>
      </c>
      <c r="C31" s="17"/>
      <c r="D31" s="17"/>
      <c r="E31" s="18" t="str">
        <f aca="false">IF($B31="","",COUNTIF(DATABASE!$E$4:$E$2003,$B31))</f>
        <v/>
      </c>
      <c r="F31" s="19" t="str">
        <f aca="false">IF($B31="","",IFERROR(INDEX(REFERENSI!$C$6:$C$45,9),0))</f>
        <v/>
      </c>
      <c r="G31" s="20" t="str">
        <f aca="false">IF(OR($B31="",$F31=0),"",$E31/$F31)</f>
        <v/>
      </c>
    </row>
    <row r="32" customFormat="false" ht="15" hidden="false" customHeight="false" outlineLevel="0" collapsed="false">
      <c r="B32" s="21" t="str">
        <f aca="true">IFERROR(INDEX(daftar_kadus,10),"")</f>
        <v/>
      </c>
      <c r="C32" s="21"/>
      <c r="D32" s="21"/>
      <c r="E32" s="22" t="str">
        <f aca="false">IF($B32="","",COUNTIF(DATABASE!$E$4:$E$2003,$B32))</f>
        <v/>
      </c>
      <c r="F32" s="23" t="str">
        <f aca="false">IF($B32="","",IFERROR(INDEX(REFERENSI!$C$6:$C$45,10),0))</f>
        <v/>
      </c>
      <c r="G32" s="24" t="str">
        <f aca="false">IF(OR($B32="",$F32=0),"",$E32/$F32)</f>
        <v/>
      </c>
    </row>
    <row r="33" customFormat="false" ht="15" hidden="false" customHeight="false" outlineLevel="0" collapsed="false">
      <c r="B33" s="17" t="str">
        <f aca="true">IFERROR(INDEX(daftar_kadus,11),"")</f>
        <v/>
      </c>
      <c r="C33" s="17"/>
      <c r="D33" s="17"/>
      <c r="E33" s="18" t="str">
        <f aca="false">IF($B33="","",COUNTIF(DATABASE!$E$4:$E$2003,$B33))</f>
        <v/>
      </c>
      <c r="F33" s="19" t="str">
        <f aca="false">IF($B33="","",IFERROR(INDEX(REFERENSI!$C$6:$C$45,11),0))</f>
        <v/>
      </c>
      <c r="G33" s="20" t="str">
        <f aca="false">IF(OR($B33="",$F33=0),"",$E33/$F33)</f>
        <v/>
      </c>
    </row>
    <row r="34" customFormat="false" ht="15" hidden="false" customHeight="false" outlineLevel="0" collapsed="false">
      <c r="B34" s="21" t="str">
        <f aca="true">IFERROR(INDEX(daftar_kadus,12),"")</f>
        <v/>
      </c>
      <c r="C34" s="21"/>
      <c r="D34" s="21"/>
      <c r="E34" s="22" t="str">
        <f aca="false">IF($B34="","",COUNTIF(DATABASE!$E$4:$E$2003,$B34))</f>
        <v/>
      </c>
      <c r="F34" s="23" t="str">
        <f aca="false">IF($B34="","",IFERROR(INDEX(REFERENSI!$C$6:$C$45,12),0))</f>
        <v/>
      </c>
      <c r="G34" s="24" t="str">
        <f aca="false">IF(OR($B34="",$F34=0),"",$E34/$F34)</f>
        <v/>
      </c>
    </row>
    <row r="35" customFormat="false" ht="15" hidden="false" customHeight="false" outlineLevel="0" collapsed="false">
      <c r="B35" s="25" t="s">
        <v>28</v>
      </c>
      <c r="C35" s="25"/>
      <c r="D35" s="25"/>
      <c r="E35" s="26" t="n">
        <f aca="false">COUNTA(DATABASE!$B$4:$B$2003)</f>
        <v>0</v>
      </c>
      <c r="F35" s="26" t="n">
        <f aca="false">SUM(REFERENSI!$C$6:$C$45)</f>
        <v>250</v>
      </c>
      <c r="G35" s="27" t="n">
        <f aca="false">IF($F35=0,"",$E35/$F35)</f>
        <v>0</v>
      </c>
    </row>
    <row r="36" customFormat="false" ht="15" hidden="false" customHeight="false" outlineLevel="0" collapsed="false">
      <c r="B36" s="28" t="s">
        <v>29</v>
      </c>
      <c r="C36" s="28"/>
      <c r="D36" s="28"/>
      <c r="E36" s="28"/>
      <c r="F36" s="28"/>
      <c r="G36" s="28"/>
    </row>
    <row r="38" customFormat="false" ht="15" hidden="false" customHeight="false" outlineLevel="0" collapsed="false">
      <c r="B38" s="29" t="s">
        <v>30</v>
      </c>
      <c r="C38" s="29"/>
      <c r="D38" s="29"/>
      <c r="E38" s="29"/>
      <c r="F38" s="29"/>
      <c r="G38" s="29"/>
      <c r="H38" s="29"/>
      <c r="I38" s="29"/>
    </row>
    <row r="39" customFormat="false" ht="15" hidden="false" customHeight="false" outlineLevel="0" collapsed="false">
      <c r="B39" s="28" t="s">
        <v>31</v>
      </c>
      <c r="C39" s="28"/>
      <c r="D39" s="28"/>
      <c r="E39" s="28"/>
      <c r="F39" s="28"/>
      <c r="G39" s="28"/>
      <c r="H39" s="28"/>
      <c r="I39" s="28"/>
    </row>
    <row r="40" customFormat="false" ht="15" hidden="false" customHeight="false" outlineLevel="0" collapsed="false">
      <c r="B40" s="28" t="s">
        <v>32</v>
      </c>
      <c r="C40" s="28"/>
      <c r="D40" s="28"/>
      <c r="E40" s="28"/>
      <c r="F40" s="28"/>
      <c r="G40" s="28"/>
      <c r="H40" s="28"/>
      <c r="I40" s="28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DAFTAR / FORMULIR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REFERENSI!A1" display="▶   PENGATURAN KADUS / RT / JABATAN"/>
    <hyperlink ref="B19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6"/>
    <col collapsed="false" customWidth="true" hidden="false" outlineLevel="0" max="6" min="6" style="0" width="7"/>
    <col collapsed="false" customWidth="true" hidden="false" outlineLevel="0" max="8" min="7" style="0" width="22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7"/>
    <col collapsed="false" customWidth="true" hidden="false" outlineLevel="0" max="12" min="12" style="0" width="13"/>
    <col collapsed="false" customWidth="true" hidden="false" outlineLevel="0" max="13" min="13" style="0" width="7"/>
    <col collapsed="false" customWidth="true" hidden="false" outlineLevel="0" max="14" min="14" style="0" width="18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24"/>
    <col collapsed="false" customWidth="true" hidden="false" outlineLevel="0" max="18" min="18" style="0" width="28"/>
    <col collapsed="false" customWidth="true" hidden="true" outlineLevel="0" max="19" min="19" style="0" width="24"/>
    <col collapsed="false" customWidth="true" hidden="true" outlineLevel="0" max="20" min="20" style="0" width="26"/>
    <col collapsed="false" customWidth="true" hidden="true" outlineLevel="0" max="21" min="21" style="0" width="10"/>
    <col collapsed="false" customWidth="true" hidden="true" outlineLevel="0" max="22" min="22" style="0" width="12"/>
    <col collapsed="false" customWidth="true" hidden="true" outlineLevel="0" max="23" min="23" style="0" width="22"/>
    <col collapsed="false" customWidth="true" hidden="true" outlineLevel="0" max="26" min="24" style="0" width="10"/>
  </cols>
  <sheetData>
    <row r="1" customFormat="false" ht="25.5" hidden="false" customHeight="true" outlineLevel="0" collapsed="false">
      <c r="A1" s="30" t="s">
        <v>33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customFormat="false" ht="15" hidden="false" customHeight="false" outlineLevel="0" collapsed="false">
      <c r="A2" s="31" t="s">
        <v>34</v>
      </c>
      <c r="C2" s="32" t="s">
        <v>35</v>
      </c>
      <c r="O2" s="33" t="s">
        <v>36</v>
      </c>
      <c r="P2" s="34" t="n">
        <f aca="false">COUNTA($B$4:$B$2003)</f>
        <v>0</v>
      </c>
      <c r="Q2" s="33" t="s">
        <v>37</v>
      </c>
      <c r="R2" s="35" t="n">
        <f aca="false">2000-COUNTA($B$4:$B$2003)</f>
        <v>2000</v>
      </c>
    </row>
    <row r="3" customFormat="false" ht="21.75" hidden="false" customHeight="true" outlineLevel="0" collapsed="false">
      <c r="A3" s="16" t="s">
        <v>38</v>
      </c>
      <c r="B3" s="16" t="s">
        <v>39</v>
      </c>
      <c r="C3" s="16" t="s">
        <v>40</v>
      </c>
      <c r="D3" s="16" t="s">
        <v>41</v>
      </c>
      <c r="E3" s="16" t="s">
        <v>24</v>
      </c>
      <c r="F3" s="16" t="s">
        <v>42</v>
      </c>
      <c r="G3" s="16" t="s">
        <v>43</v>
      </c>
      <c r="H3" s="16" t="s">
        <v>44</v>
      </c>
      <c r="I3" s="16" t="s">
        <v>45</v>
      </c>
      <c r="J3" s="16" t="s">
        <v>46</v>
      </c>
      <c r="K3" s="16" t="s">
        <v>47</v>
      </c>
      <c r="L3" s="16" t="s">
        <v>48</v>
      </c>
      <c r="M3" s="16" t="s">
        <v>49</v>
      </c>
      <c r="N3" s="16" t="s">
        <v>50</v>
      </c>
      <c r="O3" s="16" t="s">
        <v>51</v>
      </c>
      <c r="P3" s="16" t="s">
        <v>52</v>
      </c>
      <c r="Q3" s="16" t="s">
        <v>53</v>
      </c>
      <c r="R3" s="16" t="s">
        <v>54</v>
      </c>
      <c r="S3" s="16" t="s">
        <v>55</v>
      </c>
      <c r="T3" s="16" t="s">
        <v>56</v>
      </c>
      <c r="U3" s="16" t="s">
        <v>57</v>
      </c>
      <c r="V3" s="16" t="s">
        <v>58</v>
      </c>
      <c r="W3" s="16" t="s">
        <v>59</v>
      </c>
      <c r="X3" s="16" t="s">
        <v>60</v>
      </c>
      <c r="Y3" s="16" t="s">
        <v>61</v>
      </c>
      <c r="Z3" s="16" t="s">
        <v>62</v>
      </c>
    </row>
    <row r="4" customFormat="false" ht="15" hidden="false" customHeight="false" outlineLevel="0" collapsed="false">
      <c r="A4" s="36" t="str">
        <f aca="false">IF($B4="","",COUNTA($B$4:$B4))</f>
        <v/>
      </c>
      <c r="B4" s="37"/>
      <c r="C4" s="38"/>
      <c r="D4" s="39"/>
      <c r="E4" s="37"/>
      <c r="F4" s="39"/>
      <c r="G4" s="40" t="str">
        <f aca="false">IF(OR($E4="",$F4=""),"",$E4&amp;" - RT "&amp;$F4)</f>
        <v/>
      </c>
      <c r="H4" s="37"/>
      <c r="I4" s="38"/>
      <c r="J4" s="37"/>
      <c r="K4" s="39"/>
      <c r="L4" s="41"/>
      <c r="M4" s="36" t="str">
        <f aca="true">IF(OR($B4="",$L4=""),"",DATEDIF($L4,TODAY(),"Y"))</f>
        <v/>
      </c>
      <c r="N4" s="40" t="str">
        <f aca="false">IF($M4="","",INDEX(usia_label,MATCH($M4,usia_min,1)))</f>
        <v/>
      </c>
      <c r="O4" s="37"/>
      <c r="P4" s="41"/>
      <c r="Q4" s="37"/>
      <c r="R4" s="37"/>
      <c r="S4" s="40" t="str">
        <f aca="false">IF($G4="","",$G4&amp;"#"&amp;COUNTIF($G$4:$G4,$G4))</f>
        <v/>
      </c>
      <c r="T4" s="40" t="str">
        <f aca="false">IF($B4="","",IF($C4="","NIK kosong",IF(LEN($C4)&lt;&gt;16,"NIK bukan 16 digit",IF(COUNTIF($C$4:$C$2003,$C4&amp;"*")&gt;1,"NIK ganda",IF($E4="","Kadus kosong",IF($F4="","RT kosong",IF($H4="","Jabatan kosong",IF($I4="","No. HP kosong",IF($J4="","Alamat kosong",IF(AND($M4&lt;&gt;"",$M4&lt;17),"Usia di bawah 17",""))))))))))</f>
        <v/>
      </c>
      <c r="U4" s="40" t="str">
        <f aca="false">IF($B4="","",IF(AND(OR(CARI!$C$5="",ISNUMBER(SEARCH(CARI!$C$5,$B4&amp;" "&amp;$C4&amp;" "&amp;$I4&amp;" "&amp;$J4&amp;" "&amp;$Q4))),OR(CARI!$C$6="",$E4=CARI!$C$6),OR(CARI!$C$7="",$F4=CARI!$C$7),OR(CARI!$C$8="",$O4=CARI!$C$8)),MAX($U$3:U3)+1,""))</f>
        <v/>
      </c>
      <c r="V4" s="40" t="str">
        <f aca="false">IF($T4="","",MAX($V$3:V3)+1)</f>
        <v/>
      </c>
      <c r="W4" s="40" t="str">
        <f aca="false">IF($E4="","",$E4&amp;"#"&amp;COUNTIF($E$4:$E4,$E4))</f>
        <v/>
      </c>
      <c r="X4" s="40" t="str">
        <f aca="false">IF($B4="","",IF(AND(OR(CETAK!$J$10="",$E4=CETAK!$J$10),OR(CETAK!$J$11="",$F4=CETAK!$J$11),OR(CETAK!$J$12="",$K4=CETAK!$J$12),OR(CETAK!$J$13="",$H4=CETAK!$J$13),OR(CETAK!$J$14="",$O4=CETAK!$J$14)),MAX($X$3:X3)+1,""))</f>
        <v/>
      </c>
      <c r="Y4" s="40" t="str">
        <f aca="false">IF($B4="","",IF(AND(OR(ABSENSI!$H$10="",$E4=ABSENSI!$H$10),OR(ABSENSI!$H$11="",$F4=ABSENSI!$H$11),OR(ABSENSI!$H$12="",$K4=ABSENSI!$H$12)),MAX($Y$3:Y3)+1,""))</f>
        <v/>
      </c>
      <c r="Z4" s="40" t="str">
        <f aca="false">IF($B4="","",IF(AND(OR(KARTU!$K$6="",$E4=KARTU!$K$6),OR(KARTU!$K$7="",$F4=KARTU!$K$7),OR(KARTU!$K$8="",$K4=KARTU!$K$8)),MAX($Z$3:Z3)+1,""))</f>
        <v/>
      </c>
    </row>
    <row r="5" customFormat="false" ht="15" hidden="false" customHeight="false" outlineLevel="0" collapsed="false">
      <c r="A5" s="36" t="str">
        <f aca="false">IF($B5="","",COUNTA($B$4:$B5))</f>
        <v/>
      </c>
      <c r="B5" s="37"/>
      <c r="C5" s="38"/>
      <c r="D5" s="39"/>
      <c r="E5" s="37"/>
      <c r="F5" s="39"/>
      <c r="G5" s="40" t="str">
        <f aca="false">IF(OR($E5="",$F5=""),"",$E5&amp;" - RT "&amp;$F5)</f>
        <v/>
      </c>
      <c r="H5" s="37"/>
      <c r="I5" s="38"/>
      <c r="J5" s="37"/>
      <c r="K5" s="39"/>
      <c r="L5" s="41"/>
      <c r="M5" s="36" t="str">
        <f aca="true">IF(OR($B5="",$L5=""),"",DATEDIF($L5,TODAY(),"Y"))</f>
        <v/>
      </c>
      <c r="N5" s="40" t="str">
        <f aca="false">IF($M5="","",INDEX(usia_label,MATCH($M5,usia_min,1)))</f>
        <v/>
      </c>
      <c r="O5" s="37"/>
      <c r="P5" s="41"/>
      <c r="Q5" s="37"/>
      <c r="R5" s="37"/>
      <c r="S5" s="40" t="str">
        <f aca="false">IF($G5="","",$G5&amp;"#"&amp;COUNTIF($G$4:$G5,$G5))</f>
        <v/>
      </c>
      <c r="T5" s="40" t="str">
        <f aca="false">IF($B5="","",IF($C5="","NIK kosong",IF(LEN($C5)&lt;&gt;16,"NIK bukan 16 digit",IF(COUNTIF($C$4:$C$2003,$C5&amp;"*")&gt;1,"NIK ganda",IF($E5="","Kadus kosong",IF($F5="","RT kosong",IF($H5="","Jabatan kosong",IF($I5="","No. HP kosong",IF($J5="","Alamat kosong",IF(AND($M5&lt;&gt;"",$M5&lt;17),"Usia di bawah 17",""))))))))))</f>
        <v/>
      </c>
      <c r="U5" s="40" t="str">
        <f aca="false">IF($B5="","",IF(AND(OR(CARI!$C$5="",ISNUMBER(SEARCH(CARI!$C$5,$B5&amp;" "&amp;$C5&amp;" "&amp;$I5&amp;" "&amp;$J5&amp;" "&amp;$Q5))),OR(CARI!$C$6="",$E5=CARI!$C$6),OR(CARI!$C$7="",$F5=CARI!$C$7),OR(CARI!$C$8="",$O5=CARI!$C$8)),MAX($U$3:U4)+1,""))</f>
        <v/>
      </c>
      <c r="V5" s="40" t="str">
        <f aca="false">IF($T5="","",MAX($V$3:V4)+1)</f>
        <v/>
      </c>
      <c r="W5" s="40" t="str">
        <f aca="false">IF($E5="","",$E5&amp;"#"&amp;COUNTIF($E$4:$E5,$E5))</f>
        <v/>
      </c>
      <c r="X5" s="40" t="str">
        <f aca="false">IF($B5="","",IF(AND(OR(CETAK!$J$10="",$E5=CETAK!$J$10),OR(CETAK!$J$11="",$F5=CETAK!$J$11),OR(CETAK!$J$12="",$K5=CETAK!$J$12),OR(CETAK!$J$13="",$H5=CETAK!$J$13),OR(CETAK!$J$14="",$O5=CETAK!$J$14)),MAX($X$3:X4)+1,""))</f>
        <v/>
      </c>
      <c r="Y5" s="40" t="str">
        <f aca="false">IF($B5="","",IF(AND(OR(ABSENSI!$H$10="",$E5=ABSENSI!$H$10),OR(ABSENSI!$H$11="",$F5=ABSENSI!$H$11),OR(ABSENSI!$H$12="",$K5=ABSENSI!$H$12)),MAX($Y$3:Y4)+1,""))</f>
        <v/>
      </c>
      <c r="Z5" s="40" t="str">
        <f aca="false">IF($B5="","",IF(AND(OR(KARTU!$K$6="",$E5=KARTU!$K$6),OR(KARTU!$K$7="",$F5=KARTU!$K$7),OR(KARTU!$K$8="",$K5=KARTU!$K$8)),MAX($Z$3:Z4)+1,""))</f>
        <v/>
      </c>
    </row>
    <row r="6" customFormat="false" ht="15" hidden="false" customHeight="false" outlineLevel="0" collapsed="false">
      <c r="A6" s="36" t="str">
        <f aca="false">IF($B6="","",COUNTA($B$4:$B6))</f>
        <v/>
      </c>
      <c r="B6" s="37"/>
      <c r="C6" s="38"/>
      <c r="D6" s="39"/>
      <c r="E6" s="37"/>
      <c r="F6" s="39"/>
      <c r="G6" s="40" t="str">
        <f aca="false">IF(OR($E6="",$F6=""),"",$E6&amp;" - RT "&amp;$F6)</f>
        <v/>
      </c>
      <c r="H6" s="37"/>
      <c r="I6" s="38"/>
      <c r="J6" s="37"/>
      <c r="K6" s="39"/>
      <c r="L6" s="41"/>
      <c r="M6" s="36" t="str">
        <f aca="true">IF(OR($B6="",$L6=""),"",DATEDIF($L6,TODAY(),"Y"))</f>
        <v/>
      </c>
      <c r="N6" s="40" t="str">
        <f aca="false">IF($M6="","",INDEX(usia_label,MATCH($M6,usia_min,1)))</f>
        <v/>
      </c>
      <c r="O6" s="37"/>
      <c r="P6" s="41"/>
      <c r="Q6" s="37"/>
      <c r="R6" s="37"/>
      <c r="S6" s="40" t="str">
        <f aca="false">IF($G6="","",$G6&amp;"#"&amp;COUNTIF($G$4:$G6,$G6))</f>
        <v/>
      </c>
      <c r="T6" s="40" t="str">
        <f aca="false">IF($B6="","",IF($C6="","NIK kosong",IF(LEN($C6)&lt;&gt;16,"NIK bukan 16 digit",IF(COUNTIF($C$4:$C$2003,$C6&amp;"*")&gt;1,"NIK ganda",IF($E6="","Kadus kosong",IF($F6="","RT kosong",IF($H6="","Jabatan kosong",IF($I6="","No. HP kosong",IF($J6="","Alamat kosong",IF(AND($M6&lt;&gt;"",$M6&lt;17),"Usia di bawah 17",""))))))))))</f>
        <v/>
      </c>
      <c r="U6" s="40" t="str">
        <f aca="false">IF($B6="","",IF(AND(OR(CARI!$C$5="",ISNUMBER(SEARCH(CARI!$C$5,$B6&amp;" "&amp;$C6&amp;" "&amp;$I6&amp;" "&amp;$J6&amp;" "&amp;$Q6))),OR(CARI!$C$6="",$E6=CARI!$C$6),OR(CARI!$C$7="",$F6=CARI!$C$7),OR(CARI!$C$8="",$O6=CARI!$C$8)),MAX($U$3:U5)+1,""))</f>
        <v/>
      </c>
      <c r="V6" s="40" t="str">
        <f aca="false">IF($T6="","",MAX($V$3:V5)+1)</f>
        <v/>
      </c>
      <c r="W6" s="40" t="str">
        <f aca="false">IF($E6="","",$E6&amp;"#"&amp;COUNTIF($E$4:$E6,$E6))</f>
        <v/>
      </c>
      <c r="X6" s="40" t="str">
        <f aca="false">IF($B6="","",IF(AND(OR(CETAK!$J$10="",$E6=CETAK!$J$10),OR(CETAK!$J$11="",$F6=CETAK!$J$11),OR(CETAK!$J$12="",$K6=CETAK!$J$12),OR(CETAK!$J$13="",$H6=CETAK!$J$13),OR(CETAK!$J$14="",$O6=CETAK!$J$14)),MAX($X$3:X5)+1,""))</f>
        <v/>
      </c>
      <c r="Y6" s="40" t="str">
        <f aca="false">IF($B6="","",IF(AND(OR(ABSENSI!$H$10="",$E6=ABSENSI!$H$10),OR(ABSENSI!$H$11="",$F6=ABSENSI!$H$11),OR(ABSENSI!$H$12="",$K6=ABSENSI!$H$12)),MAX($Y$3:Y5)+1,""))</f>
        <v/>
      </c>
      <c r="Z6" s="40" t="str">
        <f aca="false">IF($B6="","",IF(AND(OR(KARTU!$K$6="",$E6=KARTU!$K$6),OR(KARTU!$K$7="",$F6=KARTU!$K$7),OR(KARTU!$K$8="",$K6=KARTU!$K$8)),MAX($Z$3:Z5)+1,""))</f>
        <v/>
      </c>
    </row>
    <row r="7" customFormat="false" ht="15" hidden="false" customHeight="false" outlineLevel="0" collapsed="false">
      <c r="A7" s="36" t="str">
        <f aca="false">IF($B7="","",COUNTA($B$4:$B7))</f>
        <v/>
      </c>
      <c r="B7" s="37"/>
      <c r="C7" s="38"/>
      <c r="D7" s="39"/>
      <c r="E7" s="37"/>
      <c r="F7" s="39"/>
      <c r="G7" s="40" t="str">
        <f aca="false">IF(OR($E7="",$F7=""),"",$E7&amp;" - RT "&amp;$F7)</f>
        <v/>
      </c>
      <c r="H7" s="37"/>
      <c r="I7" s="38"/>
      <c r="J7" s="37"/>
      <c r="K7" s="39"/>
      <c r="L7" s="41"/>
      <c r="M7" s="36" t="str">
        <f aca="true">IF(OR($B7="",$L7=""),"",DATEDIF($L7,TODAY(),"Y"))</f>
        <v/>
      </c>
      <c r="N7" s="40" t="str">
        <f aca="false">IF($M7="","",INDEX(usia_label,MATCH($M7,usia_min,1)))</f>
        <v/>
      </c>
      <c r="O7" s="37"/>
      <c r="P7" s="41"/>
      <c r="Q7" s="37"/>
      <c r="R7" s="37"/>
      <c r="S7" s="40" t="str">
        <f aca="false">IF($G7="","",$G7&amp;"#"&amp;COUNTIF($G$4:$G7,$G7))</f>
        <v/>
      </c>
      <c r="T7" s="40" t="str">
        <f aca="false">IF($B7="","",IF($C7="","NIK kosong",IF(LEN($C7)&lt;&gt;16,"NIK bukan 16 digit",IF(COUNTIF($C$4:$C$2003,$C7&amp;"*")&gt;1,"NIK ganda",IF($E7="","Kadus kosong",IF($F7="","RT kosong",IF($H7="","Jabatan kosong",IF($I7="","No. HP kosong",IF($J7="","Alamat kosong",IF(AND($M7&lt;&gt;"",$M7&lt;17),"Usia di bawah 17",""))))))))))</f>
        <v/>
      </c>
      <c r="U7" s="40" t="str">
        <f aca="false">IF($B7="","",IF(AND(OR(CARI!$C$5="",ISNUMBER(SEARCH(CARI!$C$5,$B7&amp;" "&amp;$C7&amp;" "&amp;$I7&amp;" "&amp;$J7&amp;" "&amp;$Q7))),OR(CARI!$C$6="",$E7=CARI!$C$6),OR(CARI!$C$7="",$F7=CARI!$C$7),OR(CARI!$C$8="",$O7=CARI!$C$8)),MAX($U$3:U6)+1,""))</f>
        <v/>
      </c>
      <c r="V7" s="40" t="str">
        <f aca="false">IF($T7="","",MAX($V$3:V6)+1)</f>
        <v/>
      </c>
      <c r="W7" s="40" t="str">
        <f aca="false">IF($E7="","",$E7&amp;"#"&amp;COUNTIF($E$4:$E7,$E7))</f>
        <v/>
      </c>
      <c r="X7" s="40" t="str">
        <f aca="false">IF($B7="","",IF(AND(OR(CETAK!$J$10="",$E7=CETAK!$J$10),OR(CETAK!$J$11="",$F7=CETAK!$J$11),OR(CETAK!$J$12="",$K7=CETAK!$J$12),OR(CETAK!$J$13="",$H7=CETAK!$J$13),OR(CETAK!$J$14="",$O7=CETAK!$J$14)),MAX($X$3:X6)+1,""))</f>
        <v/>
      </c>
      <c r="Y7" s="40" t="str">
        <f aca="false">IF($B7="","",IF(AND(OR(ABSENSI!$H$10="",$E7=ABSENSI!$H$10),OR(ABSENSI!$H$11="",$F7=ABSENSI!$H$11),OR(ABSENSI!$H$12="",$K7=ABSENSI!$H$12)),MAX($Y$3:Y6)+1,""))</f>
        <v/>
      </c>
      <c r="Z7" s="40" t="str">
        <f aca="false">IF($B7="","",IF(AND(OR(KARTU!$K$6="",$E7=KARTU!$K$6),OR(KARTU!$K$7="",$F7=KARTU!$K$7),OR(KARTU!$K$8="",$K7=KARTU!$K$8)),MAX($Z$3:Z6)+1,""))</f>
        <v/>
      </c>
    </row>
    <row r="8" customFormat="false" ht="15" hidden="false" customHeight="false" outlineLevel="0" collapsed="false">
      <c r="A8" s="36" t="str">
        <f aca="false">IF($B8="","",COUNTA($B$4:$B8))</f>
        <v/>
      </c>
      <c r="B8" s="37"/>
      <c r="C8" s="38"/>
      <c r="D8" s="39"/>
      <c r="E8" s="37"/>
      <c r="F8" s="39"/>
      <c r="G8" s="40" t="str">
        <f aca="false">IF(OR($E8="",$F8=""),"",$E8&amp;" - RT "&amp;$F8)</f>
        <v/>
      </c>
      <c r="H8" s="37"/>
      <c r="I8" s="38"/>
      <c r="J8" s="37"/>
      <c r="K8" s="39"/>
      <c r="L8" s="41"/>
      <c r="M8" s="36" t="str">
        <f aca="true">IF(OR($B8="",$L8=""),"",DATEDIF($L8,TODAY(),"Y"))</f>
        <v/>
      </c>
      <c r="N8" s="40" t="str">
        <f aca="false">IF($M8="","",INDEX(usia_label,MATCH($M8,usia_min,1)))</f>
        <v/>
      </c>
      <c r="O8" s="37"/>
      <c r="P8" s="41"/>
      <c r="Q8" s="37"/>
      <c r="R8" s="37"/>
      <c r="S8" s="40" t="str">
        <f aca="false">IF($G8="","",$G8&amp;"#"&amp;COUNTIF($G$4:$G8,$G8))</f>
        <v/>
      </c>
      <c r="T8" s="40" t="str">
        <f aca="false">IF($B8="","",IF($C8="","NIK kosong",IF(LEN($C8)&lt;&gt;16,"NIK bukan 16 digit",IF(COUNTIF($C$4:$C$2003,$C8&amp;"*")&gt;1,"NIK ganda",IF($E8="","Kadus kosong",IF($F8="","RT kosong",IF($H8="","Jabatan kosong",IF($I8="","No. HP kosong",IF($J8="","Alamat kosong",IF(AND($M8&lt;&gt;"",$M8&lt;17),"Usia di bawah 17",""))))))))))</f>
        <v/>
      </c>
      <c r="U8" s="40" t="str">
        <f aca="false">IF($B8="","",IF(AND(OR(CARI!$C$5="",ISNUMBER(SEARCH(CARI!$C$5,$B8&amp;" "&amp;$C8&amp;" "&amp;$I8&amp;" "&amp;$J8&amp;" "&amp;$Q8))),OR(CARI!$C$6="",$E8=CARI!$C$6),OR(CARI!$C$7="",$F8=CARI!$C$7),OR(CARI!$C$8="",$O8=CARI!$C$8)),MAX($U$3:U7)+1,""))</f>
        <v/>
      </c>
      <c r="V8" s="40" t="str">
        <f aca="false">IF($T8="","",MAX($V$3:V7)+1)</f>
        <v/>
      </c>
      <c r="W8" s="40" t="str">
        <f aca="false">IF($E8="","",$E8&amp;"#"&amp;COUNTIF($E$4:$E8,$E8))</f>
        <v/>
      </c>
      <c r="X8" s="40" t="str">
        <f aca="false">IF($B8="","",IF(AND(OR(CETAK!$J$10="",$E8=CETAK!$J$10),OR(CETAK!$J$11="",$F8=CETAK!$J$11),OR(CETAK!$J$12="",$K8=CETAK!$J$12),OR(CETAK!$J$13="",$H8=CETAK!$J$13),OR(CETAK!$J$14="",$O8=CETAK!$J$14)),MAX($X$3:X7)+1,""))</f>
        <v/>
      </c>
      <c r="Y8" s="40" t="str">
        <f aca="false">IF($B8="","",IF(AND(OR(ABSENSI!$H$10="",$E8=ABSENSI!$H$10),OR(ABSENSI!$H$11="",$F8=ABSENSI!$H$11),OR(ABSENSI!$H$12="",$K8=ABSENSI!$H$12)),MAX($Y$3:Y7)+1,""))</f>
        <v/>
      </c>
      <c r="Z8" s="40" t="str">
        <f aca="false">IF($B8="","",IF(AND(OR(KARTU!$K$6="",$E8=KARTU!$K$6),OR(KARTU!$K$7="",$F8=KARTU!$K$7),OR(KARTU!$K$8="",$K8=KARTU!$K$8)),MAX($Z$3:Z7)+1,""))</f>
        <v/>
      </c>
    </row>
    <row r="9" customFormat="false" ht="15" hidden="false" customHeight="false" outlineLevel="0" collapsed="false">
      <c r="A9" s="36" t="str">
        <f aca="false">IF($B9="","",COUNTA($B$4:$B9))</f>
        <v/>
      </c>
      <c r="B9" s="37"/>
      <c r="C9" s="38"/>
      <c r="D9" s="39"/>
      <c r="E9" s="37"/>
      <c r="F9" s="39"/>
      <c r="G9" s="40" t="str">
        <f aca="false">IF(OR($E9="",$F9=""),"",$E9&amp;" - RT "&amp;$F9)</f>
        <v/>
      </c>
      <c r="H9" s="37"/>
      <c r="I9" s="38"/>
      <c r="J9" s="37"/>
      <c r="K9" s="39"/>
      <c r="L9" s="41"/>
      <c r="M9" s="36" t="str">
        <f aca="true">IF(OR($B9="",$L9=""),"",DATEDIF($L9,TODAY(),"Y"))</f>
        <v/>
      </c>
      <c r="N9" s="40" t="str">
        <f aca="false">IF($M9="","",INDEX(usia_label,MATCH($M9,usia_min,1)))</f>
        <v/>
      </c>
      <c r="O9" s="37"/>
      <c r="P9" s="41"/>
      <c r="Q9" s="37"/>
      <c r="R9" s="37"/>
      <c r="S9" s="40" t="str">
        <f aca="false">IF($G9="","",$G9&amp;"#"&amp;COUNTIF($G$4:$G9,$G9))</f>
        <v/>
      </c>
      <c r="T9" s="40" t="str">
        <f aca="false">IF($B9="","",IF($C9="","NIK kosong",IF(LEN($C9)&lt;&gt;16,"NIK bukan 16 digit",IF(COUNTIF($C$4:$C$2003,$C9&amp;"*")&gt;1,"NIK ganda",IF($E9="","Kadus kosong",IF($F9="","RT kosong",IF($H9="","Jabatan kosong",IF($I9="","No. HP kosong",IF($J9="","Alamat kosong",IF(AND($M9&lt;&gt;"",$M9&lt;17),"Usia di bawah 17",""))))))))))</f>
        <v/>
      </c>
      <c r="U9" s="40" t="str">
        <f aca="false">IF($B9="","",IF(AND(OR(CARI!$C$5="",ISNUMBER(SEARCH(CARI!$C$5,$B9&amp;" "&amp;$C9&amp;" "&amp;$I9&amp;" "&amp;$J9&amp;" "&amp;$Q9))),OR(CARI!$C$6="",$E9=CARI!$C$6),OR(CARI!$C$7="",$F9=CARI!$C$7),OR(CARI!$C$8="",$O9=CARI!$C$8)),MAX($U$3:U8)+1,""))</f>
        <v/>
      </c>
      <c r="V9" s="40" t="str">
        <f aca="false">IF($T9="","",MAX($V$3:V8)+1)</f>
        <v/>
      </c>
      <c r="W9" s="40" t="str">
        <f aca="false">IF($E9="","",$E9&amp;"#"&amp;COUNTIF($E$4:$E9,$E9))</f>
        <v/>
      </c>
      <c r="X9" s="40" t="str">
        <f aca="false">IF($B9="","",IF(AND(OR(CETAK!$J$10="",$E9=CETAK!$J$10),OR(CETAK!$J$11="",$F9=CETAK!$J$11),OR(CETAK!$J$12="",$K9=CETAK!$J$12),OR(CETAK!$J$13="",$H9=CETAK!$J$13),OR(CETAK!$J$14="",$O9=CETAK!$J$14)),MAX($X$3:X8)+1,""))</f>
        <v/>
      </c>
      <c r="Y9" s="40" t="str">
        <f aca="false">IF($B9="","",IF(AND(OR(ABSENSI!$H$10="",$E9=ABSENSI!$H$10),OR(ABSENSI!$H$11="",$F9=ABSENSI!$H$11),OR(ABSENSI!$H$12="",$K9=ABSENSI!$H$12)),MAX($Y$3:Y8)+1,""))</f>
        <v/>
      </c>
      <c r="Z9" s="40" t="str">
        <f aca="false">IF($B9="","",IF(AND(OR(KARTU!$K$6="",$E9=KARTU!$K$6),OR(KARTU!$K$7="",$F9=KARTU!$K$7),OR(KARTU!$K$8="",$K9=KARTU!$K$8)),MAX($Z$3:Z8)+1,""))</f>
        <v/>
      </c>
    </row>
    <row r="10" customFormat="false" ht="15" hidden="false" customHeight="false" outlineLevel="0" collapsed="false">
      <c r="A10" s="36" t="str">
        <f aca="false">IF($B10="","",COUNTA($B$4:$B10))</f>
        <v/>
      </c>
      <c r="B10" s="37"/>
      <c r="C10" s="38"/>
      <c r="D10" s="39"/>
      <c r="E10" s="37"/>
      <c r="F10" s="39"/>
      <c r="G10" s="40" t="str">
        <f aca="false">IF(OR($E10="",$F10=""),"",$E10&amp;" - RT "&amp;$F10)</f>
        <v/>
      </c>
      <c r="H10" s="37"/>
      <c r="I10" s="38"/>
      <c r="J10" s="37"/>
      <c r="K10" s="39"/>
      <c r="L10" s="41"/>
      <c r="M10" s="36" t="str">
        <f aca="true">IF(OR($B10="",$L10=""),"",DATEDIF($L10,TODAY(),"Y"))</f>
        <v/>
      </c>
      <c r="N10" s="40" t="str">
        <f aca="false">IF($M10="","",INDEX(usia_label,MATCH($M10,usia_min,1)))</f>
        <v/>
      </c>
      <c r="O10" s="37"/>
      <c r="P10" s="41"/>
      <c r="Q10" s="37"/>
      <c r="R10" s="37"/>
      <c r="S10" s="40" t="str">
        <f aca="false">IF($G10="","",$G10&amp;"#"&amp;COUNTIF($G$4:$G10,$G10))</f>
        <v/>
      </c>
      <c r="T10" s="40" t="str">
        <f aca="false">IF($B10="","",IF($C10="","NIK kosong",IF(LEN($C10)&lt;&gt;16,"NIK bukan 16 digit",IF(COUNTIF($C$4:$C$2003,$C10&amp;"*")&gt;1,"NIK ganda",IF($E10="","Kadus kosong",IF($F10="","RT kosong",IF($H10="","Jabatan kosong",IF($I10="","No. HP kosong",IF($J10="","Alamat kosong",IF(AND($M10&lt;&gt;"",$M10&lt;17),"Usia di bawah 17",""))))))))))</f>
        <v/>
      </c>
      <c r="U10" s="40" t="str">
        <f aca="false">IF($B10="","",IF(AND(OR(CARI!$C$5="",ISNUMBER(SEARCH(CARI!$C$5,$B10&amp;" "&amp;$C10&amp;" "&amp;$I10&amp;" "&amp;$J10&amp;" "&amp;$Q10))),OR(CARI!$C$6="",$E10=CARI!$C$6),OR(CARI!$C$7="",$F10=CARI!$C$7),OR(CARI!$C$8="",$O10=CARI!$C$8)),MAX($U$3:U9)+1,""))</f>
        <v/>
      </c>
      <c r="V10" s="40" t="str">
        <f aca="false">IF($T10="","",MAX($V$3:V9)+1)</f>
        <v/>
      </c>
      <c r="W10" s="40" t="str">
        <f aca="false">IF($E10="","",$E10&amp;"#"&amp;COUNTIF($E$4:$E10,$E10))</f>
        <v/>
      </c>
      <c r="X10" s="40" t="str">
        <f aca="false">IF($B10="","",IF(AND(OR(CETAK!$J$10="",$E10=CETAK!$J$10),OR(CETAK!$J$11="",$F10=CETAK!$J$11),OR(CETAK!$J$12="",$K10=CETAK!$J$12),OR(CETAK!$J$13="",$H10=CETAK!$J$13),OR(CETAK!$J$14="",$O10=CETAK!$J$14)),MAX($X$3:X9)+1,""))</f>
        <v/>
      </c>
      <c r="Y10" s="40" t="str">
        <f aca="false">IF($B10="","",IF(AND(OR(ABSENSI!$H$10="",$E10=ABSENSI!$H$10),OR(ABSENSI!$H$11="",$F10=ABSENSI!$H$11),OR(ABSENSI!$H$12="",$K10=ABSENSI!$H$12)),MAX($Y$3:Y9)+1,""))</f>
        <v/>
      </c>
      <c r="Z10" s="40" t="str">
        <f aca="false">IF($B10="","",IF(AND(OR(KARTU!$K$6="",$E10=KARTU!$K$6),OR(KARTU!$K$7="",$F10=KARTU!$K$7),OR(KARTU!$K$8="",$K10=KARTU!$K$8)),MAX($Z$3:Z9)+1,""))</f>
        <v/>
      </c>
    </row>
    <row r="11" customFormat="false" ht="15" hidden="false" customHeight="false" outlineLevel="0" collapsed="false">
      <c r="A11" s="36" t="str">
        <f aca="false">IF($B11="","",COUNTA($B$4:$B11))</f>
        <v/>
      </c>
      <c r="B11" s="37"/>
      <c r="C11" s="38"/>
      <c r="D11" s="39"/>
      <c r="E11" s="37"/>
      <c r="F11" s="39"/>
      <c r="G11" s="40" t="str">
        <f aca="false">IF(OR($E11="",$F11=""),"",$E11&amp;" - RT "&amp;$F11)</f>
        <v/>
      </c>
      <c r="H11" s="37"/>
      <c r="I11" s="38"/>
      <c r="J11" s="37"/>
      <c r="K11" s="39"/>
      <c r="L11" s="41"/>
      <c r="M11" s="36" t="str">
        <f aca="true">IF(OR($B11="",$L11=""),"",DATEDIF($L11,TODAY(),"Y"))</f>
        <v/>
      </c>
      <c r="N11" s="40" t="str">
        <f aca="false">IF($M11="","",INDEX(usia_label,MATCH($M11,usia_min,1)))</f>
        <v/>
      </c>
      <c r="O11" s="37"/>
      <c r="P11" s="41"/>
      <c r="Q11" s="37"/>
      <c r="R11" s="37"/>
      <c r="S11" s="40" t="str">
        <f aca="false">IF($G11="","",$G11&amp;"#"&amp;COUNTIF($G$4:$G11,$G11))</f>
        <v/>
      </c>
      <c r="T11" s="40" t="str">
        <f aca="false">IF($B11="","",IF($C11="","NIK kosong",IF(LEN($C11)&lt;&gt;16,"NIK bukan 16 digit",IF(COUNTIF($C$4:$C$2003,$C11&amp;"*")&gt;1,"NIK ganda",IF($E11="","Kadus kosong",IF($F11="","RT kosong",IF($H11="","Jabatan kosong",IF($I11="","No. HP kosong",IF($J11="","Alamat kosong",IF(AND($M11&lt;&gt;"",$M11&lt;17),"Usia di bawah 17",""))))))))))</f>
        <v/>
      </c>
      <c r="U11" s="40" t="str">
        <f aca="false">IF($B11="","",IF(AND(OR(CARI!$C$5="",ISNUMBER(SEARCH(CARI!$C$5,$B11&amp;" "&amp;$C11&amp;" "&amp;$I11&amp;" "&amp;$J11&amp;" "&amp;$Q11))),OR(CARI!$C$6="",$E11=CARI!$C$6),OR(CARI!$C$7="",$F11=CARI!$C$7),OR(CARI!$C$8="",$O11=CARI!$C$8)),MAX($U$3:U10)+1,""))</f>
        <v/>
      </c>
      <c r="V11" s="40" t="str">
        <f aca="false">IF($T11="","",MAX($V$3:V10)+1)</f>
        <v/>
      </c>
      <c r="W11" s="40" t="str">
        <f aca="false">IF($E11="","",$E11&amp;"#"&amp;COUNTIF($E$4:$E11,$E11))</f>
        <v/>
      </c>
      <c r="X11" s="40" t="str">
        <f aca="false">IF($B11="","",IF(AND(OR(CETAK!$J$10="",$E11=CETAK!$J$10),OR(CETAK!$J$11="",$F11=CETAK!$J$11),OR(CETAK!$J$12="",$K11=CETAK!$J$12),OR(CETAK!$J$13="",$H11=CETAK!$J$13),OR(CETAK!$J$14="",$O11=CETAK!$J$14)),MAX($X$3:X10)+1,""))</f>
        <v/>
      </c>
      <c r="Y11" s="40" t="str">
        <f aca="false">IF($B11="","",IF(AND(OR(ABSENSI!$H$10="",$E11=ABSENSI!$H$10),OR(ABSENSI!$H$11="",$F11=ABSENSI!$H$11),OR(ABSENSI!$H$12="",$K11=ABSENSI!$H$12)),MAX($Y$3:Y10)+1,""))</f>
        <v/>
      </c>
      <c r="Z11" s="40" t="str">
        <f aca="false">IF($B11="","",IF(AND(OR(KARTU!$K$6="",$E11=KARTU!$K$6),OR(KARTU!$K$7="",$F11=KARTU!$K$7),OR(KARTU!$K$8="",$K11=KARTU!$K$8)),MAX($Z$3:Z10)+1,""))</f>
        <v/>
      </c>
    </row>
    <row r="12" customFormat="false" ht="15" hidden="false" customHeight="false" outlineLevel="0" collapsed="false">
      <c r="A12" s="36" t="str">
        <f aca="false">IF($B12="","",COUNTA($B$4:$B12))</f>
        <v/>
      </c>
      <c r="B12" s="37"/>
      <c r="C12" s="38"/>
      <c r="D12" s="39"/>
      <c r="E12" s="37"/>
      <c r="F12" s="39"/>
      <c r="G12" s="40" t="str">
        <f aca="false">IF(OR($E12="",$F12=""),"",$E12&amp;" - RT "&amp;$F12)</f>
        <v/>
      </c>
      <c r="H12" s="37"/>
      <c r="I12" s="38"/>
      <c r="J12" s="37"/>
      <c r="K12" s="39"/>
      <c r="L12" s="41"/>
      <c r="M12" s="36" t="str">
        <f aca="true">IF(OR($B12="",$L12=""),"",DATEDIF($L12,TODAY(),"Y"))</f>
        <v/>
      </c>
      <c r="N12" s="40" t="str">
        <f aca="false">IF($M12="","",INDEX(usia_label,MATCH($M12,usia_min,1)))</f>
        <v/>
      </c>
      <c r="O12" s="37"/>
      <c r="P12" s="41"/>
      <c r="Q12" s="37"/>
      <c r="R12" s="37"/>
      <c r="S12" s="40" t="str">
        <f aca="false">IF($G12="","",$G12&amp;"#"&amp;COUNTIF($G$4:$G12,$G12))</f>
        <v/>
      </c>
      <c r="T12" s="40" t="str">
        <f aca="false">IF($B12="","",IF($C12="","NIK kosong",IF(LEN($C12)&lt;&gt;16,"NIK bukan 16 digit",IF(COUNTIF($C$4:$C$2003,$C12&amp;"*")&gt;1,"NIK ganda",IF($E12="","Kadus kosong",IF($F12="","RT kosong",IF($H12="","Jabatan kosong",IF($I12="","No. HP kosong",IF($J12="","Alamat kosong",IF(AND($M12&lt;&gt;"",$M12&lt;17),"Usia di bawah 17",""))))))))))</f>
        <v/>
      </c>
      <c r="U12" s="40" t="str">
        <f aca="false">IF($B12="","",IF(AND(OR(CARI!$C$5="",ISNUMBER(SEARCH(CARI!$C$5,$B12&amp;" "&amp;$C12&amp;" "&amp;$I12&amp;" "&amp;$J12&amp;" "&amp;$Q12))),OR(CARI!$C$6="",$E12=CARI!$C$6),OR(CARI!$C$7="",$F12=CARI!$C$7),OR(CARI!$C$8="",$O12=CARI!$C$8)),MAX($U$3:U11)+1,""))</f>
        <v/>
      </c>
      <c r="V12" s="40" t="str">
        <f aca="false">IF($T12="","",MAX($V$3:V11)+1)</f>
        <v/>
      </c>
      <c r="W12" s="40" t="str">
        <f aca="false">IF($E12="","",$E12&amp;"#"&amp;COUNTIF($E$4:$E12,$E12))</f>
        <v/>
      </c>
      <c r="X12" s="40" t="str">
        <f aca="false">IF($B12="","",IF(AND(OR(CETAK!$J$10="",$E12=CETAK!$J$10),OR(CETAK!$J$11="",$F12=CETAK!$J$11),OR(CETAK!$J$12="",$K12=CETAK!$J$12),OR(CETAK!$J$13="",$H12=CETAK!$J$13),OR(CETAK!$J$14="",$O12=CETAK!$J$14)),MAX($X$3:X11)+1,""))</f>
        <v/>
      </c>
      <c r="Y12" s="40" t="str">
        <f aca="false">IF($B12="","",IF(AND(OR(ABSENSI!$H$10="",$E12=ABSENSI!$H$10),OR(ABSENSI!$H$11="",$F12=ABSENSI!$H$11),OR(ABSENSI!$H$12="",$K12=ABSENSI!$H$12)),MAX($Y$3:Y11)+1,""))</f>
        <v/>
      </c>
      <c r="Z12" s="40" t="str">
        <f aca="false">IF($B12="","",IF(AND(OR(KARTU!$K$6="",$E12=KARTU!$K$6),OR(KARTU!$K$7="",$F12=KARTU!$K$7),OR(KARTU!$K$8="",$K12=KARTU!$K$8)),MAX($Z$3:Z11)+1,""))</f>
        <v/>
      </c>
    </row>
    <row r="13" customFormat="false" ht="15" hidden="false" customHeight="false" outlineLevel="0" collapsed="false">
      <c r="A13" s="36" t="str">
        <f aca="false">IF($B13="","",COUNTA($B$4:$B13))</f>
        <v/>
      </c>
      <c r="B13" s="37"/>
      <c r="C13" s="38"/>
      <c r="D13" s="39"/>
      <c r="E13" s="37"/>
      <c r="F13" s="39"/>
      <c r="G13" s="40" t="str">
        <f aca="false">IF(OR($E13="",$F13=""),"",$E13&amp;" - RT "&amp;$F13)</f>
        <v/>
      </c>
      <c r="H13" s="37"/>
      <c r="I13" s="38"/>
      <c r="J13" s="37"/>
      <c r="K13" s="39"/>
      <c r="L13" s="41"/>
      <c r="M13" s="36" t="str">
        <f aca="true">IF(OR($B13="",$L13=""),"",DATEDIF($L13,TODAY(),"Y"))</f>
        <v/>
      </c>
      <c r="N13" s="40" t="str">
        <f aca="false">IF($M13="","",INDEX(usia_label,MATCH($M13,usia_min,1)))</f>
        <v/>
      </c>
      <c r="O13" s="37"/>
      <c r="P13" s="41"/>
      <c r="Q13" s="37"/>
      <c r="R13" s="37"/>
      <c r="S13" s="40" t="str">
        <f aca="false">IF($G13="","",$G13&amp;"#"&amp;COUNTIF($G$4:$G13,$G13))</f>
        <v/>
      </c>
      <c r="T13" s="40" t="str">
        <f aca="false">IF($B13="","",IF($C13="","NIK kosong",IF(LEN($C13)&lt;&gt;16,"NIK bukan 16 digit",IF(COUNTIF($C$4:$C$2003,$C13&amp;"*")&gt;1,"NIK ganda",IF($E13="","Kadus kosong",IF($F13="","RT kosong",IF($H13="","Jabatan kosong",IF($I13="","No. HP kosong",IF($J13="","Alamat kosong",IF(AND($M13&lt;&gt;"",$M13&lt;17),"Usia di bawah 17",""))))))))))</f>
        <v/>
      </c>
      <c r="U13" s="40" t="str">
        <f aca="false">IF($B13="","",IF(AND(OR(CARI!$C$5="",ISNUMBER(SEARCH(CARI!$C$5,$B13&amp;" "&amp;$C13&amp;" "&amp;$I13&amp;" "&amp;$J13&amp;" "&amp;$Q13))),OR(CARI!$C$6="",$E13=CARI!$C$6),OR(CARI!$C$7="",$F13=CARI!$C$7),OR(CARI!$C$8="",$O13=CARI!$C$8)),MAX($U$3:U12)+1,""))</f>
        <v/>
      </c>
      <c r="V13" s="40" t="str">
        <f aca="false">IF($T13="","",MAX($V$3:V12)+1)</f>
        <v/>
      </c>
      <c r="W13" s="40" t="str">
        <f aca="false">IF($E13="","",$E13&amp;"#"&amp;COUNTIF($E$4:$E13,$E13))</f>
        <v/>
      </c>
      <c r="X13" s="40" t="str">
        <f aca="false">IF($B13="","",IF(AND(OR(CETAK!$J$10="",$E13=CETAK!$J$10),OR(CETAK!$J$11="",$F13=CETAK!$J$11),OR(CETAK!$J$12="",$K13=CETAK!$J$12),OR(CETAK!$J$13="",$H13=CETAK!$J$13),OR(CETAK!$J$14="",$O13=CETAK!$J$14)),MAX($X$3:X12)+1,""))</f>
        <v/>
      </c>
      <c r="Y13" s="40" t="str">
        <f aca="false">IF($B13="","",IF(AND(OR(ABSENSI!$H$10="",$E13=ABSENSI!$H$10),OR(ABSENSI!$H$11="",$F13=ABSENSI!$H$11),OR(ABSENSI!$H$12="",$K13=ABSENSI!$H$12)),MAX($Y$3:Y12)+1,""))</f>
        <v/>
      </c>
      <c r="Z13" s="40" t="str">
        <f aca="false">IF($B13="","",IF(AND(OR(KARTU!$K$6="",$E13=KARTU!$K$6),OR(KARTU!$K$7="",$F13=KARTU!$K$7),OR(KARTU!$K$8="",$K13=KARTU!$K$8)),MAX($Z$3:Z12)+1,""))</f>
        <v/>
      </c>
    </row>
    <row r="14" customFormat="false" ht="15" hidden="false" customHeight="false" outlineLevel="0" collapsed="false">
      <c r="A14" s="36" t="str">
        <f aca="false">IF($B14="","",COUNTA($B$4:$B14))</f>
        <v/>
      </c>
      <c r="B14" s="37"/>
      <c r="C14" s="38"/>
      <c r="D14" s="39"/>
      <c r="E14" s="37"/>
      <c r="F14" s="39"/>
      <c r="G14" s="40" t="str">
        <f aca="false">IF(OR($E14="",$F14=""),"",$E14&amp;" - RT "&amp;$F14)</f>
        <v/>
      </c>
      <c r="H14" s="37"/>
      <c r="I14" s="38"/>
      <c r="J14" s="37"/>
      <c r="K14" s="39"/>
      <c r="L14" s="41"/>
      <c r="M14" s="36" t="str">
        <f aca="true">IF(OR($B14="",$L14=""),"",DATEDIF($L14,TODAY(),"Y"))</f>
        <v/>
      </c>
      <c r="N14" s="40" t="str">
        <f aca="false">IF($M14="","",INDEX(usia_label,MATCH($M14,usia_min,1)))</f>
        <v/>
      </c>
      <c r="O14" s="37"/>
      <c r="P14" s="41"/>
      <c r="Q14" s="37"/>
      <c r="R14" s="37"/>
      <c r="S14" s="40" t="str">
        <f aca="false">IF($G14="","",$G14&amp;"#"&amp;COUNTIF($G$4:$G14,$G14))</f>
        <v/>
      </c>
      <c r="T14" s="40" t="str">
        <f aca="false">IF($B14="","",IF($C14="","NIK kosong",IF(LEN($C14)&lt;&gt;16,"NIK bukan 16 digit",IF(COUNTIF($C$4:$C$2003,$C14&amp;"*")&gt;1,"NIK ganda",IF($E14="","Kadus kosong",IF($F14="","RT kosong",IF($H14="","Jabatan kosong",IF($I14="","No. HP kosong",IF($J14="","Alamat kosong",IF(AND($M14&lt;&gt;"",$M14&lt;17),"Usia di bawah 17",""))))))))))</f>
        <v/>
      </c>
      <c r="U14" s="40" t="str">
        <f aca="false">IF($B14="","",IF(AND(OR(CARI!$C$5="",ISNUMBER(SEARCH(CARI!$C$5,$B14&amp;" "&amp;$C14&amp;" "&amp;$I14&amp;" "&amp;$J14&amp;" "&amp;$Q14))),OR(CARI!$C$6="",$E14=CARI!$C$6),OR(CARI!$C$7="",$F14=CARI!$C$7),OR(CARI!$C$8="",$O14=CARI!$C$8)),MAX($U$3:U13)+1,""))</f>
        <v/>
      </c>
      <c r="V14" s="40" t="str">
        <f aca="false">IF($T14="","",MAX($V$3:V13)+1)</f>
        <v/>
      </c>
      <c r="W14" s="40" t="str">
        <f aca="false">IF($E14="","",$E14&amp;"#"&amp;COUNTIF($E$4:$E14,$E14))</f>
        <v/>
      </c>
      <c r="X14" s="40" t="str">
        <f aca="false">IF($B14="","",IF(AND(OR(CETAK!$J$10="",$E14=CETAK!$J$10),OR(CETAK!$J$11="",$F14=CETAK!$J$11),OR(CETAK!$J$12="",$K14=CETAK!$J$12),OR(CETAK!$J$13="",$H14=CETAK!$J$13),OR(CETAK!$J$14="",$O14=CETAK!$J$14)),MAX($X$3:X13)+1,""))</f>
        <v/>
      </c>
      <c r="Y14" s="40" t="str">
        <f aca="false">IF($B14="","",IF(AND(OR(ABSENSI!$H$10="",$E14=ABSENSI!$H$10),OR(ABSENSI!$H$11="",$F14=ABSENSI!$H$11),OR(ABSENSI!$H$12="",$K14=ABSENSI!$H$12)),MAX($Y$3:Y13)+1,""))</f>
        <v/>
      </c>
      <c r="Z14" s="40" t="str">
        <f aca="false">IF($B14="","",IF(AND(OR(KARTU!$K$6="",$E14=KARTU!$K$6),OR(KARTU!$K$7="",$F14=KARTU!$K$7),OR(KARTU!$K$8="",$K14=KARTU!$K$8)),MAX($Z$3:Z13)+1,""))</f>
        <v/>
      </c>
    </row>
    <row r="15" customFormat="false" ht="15" hidden="false" customHeight="false" outlineLevel="0" collapsed="false">
      <c r="A15" s="36" t="str">
        <f aca="false">IF($B15="","",COUNTA($B$4:$B15))</f>
        <v/>
      </c>
      <c r="B15" s="37"/>
      <c r="C15" s="38"/>
      <c r="D15" s="39"/>
      <c r="E15" s="37"/>
      <c r="F15" s="39"/>
      <c r="G15" s="40" t="str">
        <f aca="false">IF(OR($E15="",$F15=""),"",$E15&amp;" - RT "&amp;$F15)</f>
        <v/>
      </c>
      <c r="H15" s="37"/>
      <c r="I15" s="38"/>
      <c r="J15" s="37"/>
      <c r="K15" s="39"/>
      <c r="L15" s="41"/>
      <c r="M15" s="36" t="str">
        <f aca="true">IF(OR($B15="",$L15=""),"",DATEDIF($L15,TODAY(),"Y"))</f>
        <v/>
      </c>
      <c r="N15" s="40" t="str">
        <f aca="false">IF($M15="","",INDEX(usia_label,MATCH($M15,usia_min,1)))</f>
        <v/>
      </c>
      <c r="O15" s="37"/>
      <c r="P15" s="41"/>
      <c r="Q15" s="37"/>
      <c r="R15" s="37"/>
      <c r="S15" s="40" t="str">
        <f aca="false">IF($G15="","",$G15&amp;"#"&amp;COUNTIF($G$4:$G15,$G15))</f>
        <v/>
      </c>
      <c r="T15" s="40" t="str">
        <f aca="false">IF($B15="","",IF($C15="","NIK kosong",IF(LEN($C15)&lt;&gt;16,"NIK bukan 16 digit",IF(COUNTIF($C$4:$C$2003,$C15&amp;"*")&gt;1,"NIK ganda",IF($E15="","Kadus kosong",IF($F15="","RT kosong",IF($H15="","Jabatan kosong",IF($I15="","No. HP kosong",IF($J15="","Alamat kosong",IF(AND($M15&lt;&gt;"",$M15&lt;17),"Usia di bawah 17",""))))))))))</f>
        <v/>
      </c>
      <c r="U15" s="40" t="str">
        <f aca="false">IF($B15="","",IF(AND(OR(CARI!$C$5="",ISNUMBER(SEARCH(CARI!$C$5,$B15&amp;" "&amp;$C15&amp;" "&amp;$I15&amp;" "&amp;$J15&amp;" "&amp;$Q15))),OR(CARI!$C$6="",$E15=CARI!$C$6),OR(CARI!$C$7="",$F15=CARI!$C$7),OR(CARI!$C$8="",$O15=CARI!$C$8)),MAX($U$3:U14)+1,""))</f>
        <v/>
      </c>
      <c r="V15" s="40" t="str">
        <f aca="false">IF($T15="","",MAX($V$3:V14)+1)</f>
        <v/>
      </c>
      <c r="W15" s="40" t="str">
        <f aca="false">IF($E15="","",$E15&amp;"#"&amp;COUNTIF($E$4:$E15,$E15))</f>
        <v/>
      </c>
      <c r="X15" s="40" t="str">
        <f aca="false">IF($B15="","",IF(AND(OR(CETAK!$J$10="",$E15=CETAK!$J$10),OR(CETAK!$J$11="",$F15=CETAK!$J$11),OR(CETAK!$J$12="",$K15=CETAK!$J$12),OR(CETAK!$J$13="",$H15=CETAK!$J$13),OR(CETAK!$J$14="",$O15=CETAK!$J$14)),MAX($X$3:X14)+1,""))</f>
        <v/>
      </c>
      <c r="Y15" s="40" t="str">
        <f aca="false">IF($B15="","",IF(AND(OR(ABSENSI!$H$10="",$E15=ABSENSI!$H$10),OR(ABSENSI!$H$11="",$F15=ABSENSI!$H$11),OR(ABSENSI!$H$12="",$K15=ABSENSI!$H$12)),MAX($Y$3:Y14)+1,""))</f>
        <v/>
      </c>
      <c r="Z15" s="40" t="str">
        <f aca="false">IF($B15="","",IF(AND(OR(KARTU!$K$6="",$E15=KARTU!$K$6),OR(KARTU!$K$7="",$F15=KARTU!$K$7),OR(KARTU!$K$8="",$K15=KARTU!$K$8)),MAX($Z$3:Z14)+1,""))</f>
        <v/>
      </c>
    </row>
    <row r="16" customFormat="false" ht="15" hidden="false" customHeight="false" outlineLevel="0" collapsed="false">
      <c r="A16" s="36" t="str">
        <f aca="false">IF($B16="","",COUNTA($B$4:$B16))</f>
        <v/>
      </c>
      <c r="B16" s="37"/>
      <c r="C16" s="38"/>
      <c r="D16" s="39"/>
      <c r="E16" s="37"/>
      <c r="F16" s="39"/>
      <c r="G16" s="40" t="str">
        <f aca="false">IF(OR($E16="",$F16=""),"",$E16&amp;" - RT "&amp;$F16)</f>
        <v/>
      </c>
      <c r="H16" s="37"/>
      <c r="I16" s="38"/>
      <c r="J16" s="37"/>
      <c r="K16" s="39"/>
      <c r="L16" s="41"/>
      <c r="M16" s="36" t="str">
        <f aca="true">IF(OR($B16="",$L16=""),"",DATEDIF($L16,TODAY(),"Y"))</f>
        <v/>
      </c>
      <c r="N16" s="40" t="str">
        <f aca="false">IF($M16="","",INDEX(usia_label,MATCH($M16,usia_min,1)))</f>
        <v/>
      </c>
      <c r="O16" s="37"/>
      <c r="P16" s="41"/>
      <c r="Q16" s="37"/>
      <c r="R16" s="37"/>
      <c r="S16" s="40" t="str">
        <f aca="false">IF($G16="","",$G16&amp;"#"&amp;COUNTIF($G$4:$G16,$G16))</f>
        <v/>
      </c>
      <c r="T16" s="40" t="str">
        <f aca="false">IF($B16="","",IF($C16="","NIK kosong",IF(LEN($C16)&lt;&gt;16,"NIK bukan 16 digit",IF(COUNTIF($C$4:$C$2003,$C16&amp;"*")&gt;1,"NIK ganda",IF($E16="","Kadus kosong",IF($F16="","RT kosong",IF($H16="","Jabatan kosong",IF($I16="","No. HP kosong",IF($J16="","Alamat kosong",IF(AND($M16&lt;&gt;"",$M16&lt;17),"Usia di bawah 17",""))))))))))</f>
        <v/>
      </c>
      <c r="U16" s="40" t="str">
        <f aca="false">IF($B16="","",IF(AND(OR(CARI!$C$5="",ISNUMBER(SEARCH(CARI!$C$5,$B16&amp;" "&amp;$C16&amp;" "&amp;$I16&amp;" "&amp;$J16&amp;" "&amp;$Q16))),OR(CARI!$C$6="",$E16=CARI!$C$6),OR(CARI!$C$7="",$F16=CARI!$C$7),OR(CARI!$C$8="",$O16=CARI!$C$8)),MAX($U$3:U15)+1,""))</f>
        <v/>
      </c>
      <c r="V16" s="40" t="str">
        <f aca="false">IF($T16="","",MAX($V$3:V15)+1)</f>
        <v/>
      </c>
      <c r="W16" s="40" t="str">
        <f aca="false">IF($E16="","",$E16&amp;"#"&amp;COUNTIF($E$4:$E16,$E16))</f>
        <v/>
      </c>
      <c r="X16" s="40" t="str">
        <f aca="false">IF($B16="","",IF(AND(OR(CETAK!$J$10="",$E16=CETAK!$J$10),OR(CETAK!$J$11="",$F16=CETAK!$J$11),OR(CETAK!$J$12="",$K16=CETAK!$J$12),OR(CETAK!$J$13="",$H16=CETAK!$J$13),OR(CETAK!$J$14="",$O16=CETAK!$J$14)),MAX($X$3:X15)+1,""))</f>
        <v/>
      </c>
      <c r="Y16" s="40" t="str">
        <f aca="false">IF($B16="","",IF(AND(OR(ABSENSI!$H$10="",$E16=ABSENSI!$H$10),OR(ABSENSI!$H$11="",$F16=ABSENSI!$H$11),OR(ABSENSI!$H$12="",$K16=ABSENSI!$H$12)),MAX($Y$3:Y15)+1,""))</f>
        <v/>
      </c>
      <c r="Z16" s="40" t="str">
        <f aca="false">IF($B16="","",IF(AND(OR(KARTU!$K$6="",$E16=KARTU!$K$6),OR(KARTU!$K$7="",$F16=KARTU!$K$7),OR(KARTU!$K$8="",$K16=KARTU!$K$8)),MAX($Z$3:Z15)+1,""))</f>
        <v/>
      </c>
    </row>
    <row r="17" customFormat="false" ht="15" hidden="false" customHeight="false" outlineLevel="0" collapsed="false">
      <c r="A17" s="36" t="str">
        <f aca="false">IF($B17="","",COUNTA($B$4:$B17))</f>
        <v/>
      </c>
      <c r="B17" s="37"/>
      <c r="C17" s="38"/>
      <c r="D17" s="39"/>
      <c r="E17" s="37"/>
      <c r="F17" s="39"/>
      <c r="G17" s="40" t="str">
        <f aca="false">IF(OR($E17="",$F17=""),"",$E17&amp;" - RT "&amp;$F17)</f>
        <v/>
      </c>
      <c r="H17" s="37"/>
      <c r="I17" s="38"/>
      <c r="J17" s="37"/>
      <c r="K17" s="39"/>
      <c r="L17" s="41"/>
      <c r="M17" s="36" t="str">
        <f aca="true">IF(OR($B17="",$L17=""),"",DATEDIF($L17,TODAY(),"Y"))</f>
        <v/>
      </c>
      <c r="N17" s="40" t="str">
        <f aca="false">IF($M17="","",INDEX(usia_label,MATCH($M17,usia_min,1)))</f>
        <v/>
      </c>
      <c r="O17" s="37"/>
      <c r="P17" s="41"/>
      <c r="Q17" s="37"/>
      <c r="R17" s="37"/>
      <c r="S17" s="40" t="str">
        <f aca="false">IF($G17="","",$G17&amp;"#"&amp;COUNTIF($G$4:$G17,$G17))</f>
        <v/>
      </c>
      <c r="T17" s="40" t="str">
        <f aca="false">IF($B17="","",IF($C17="","NIK kosong",IF(LEN($C17)&lt;&gt;16,"NIK bukan 16 digit",IF(COUNTIF($C$4:$C$2003,$C17&amp;"*")&gt;1,"NIK ganda",IF($E17="","Kadus kosong",IF($F17="","RT kosong",IF($H17="","Jabatan kosong",IF($I17="","No. HP kosong",IF($J17="","Alamat kosong",IF(AND($M17&lt;&gt;"",$M17&lt;17),"Usia di bawah 17",""))))))))))</f>
        <v/>
      </c>
      <c r="U17" s="40" t="str">
        <f aca="false">IF($B17="","",IF(AND(OR(CARI!$C$5="",ISNUMBER(SEARCH(CARI!$C$5,$B17&amp;" "&amp;$C17&amp;" "&amp;$I17&amp;" "&amp;$J17&amp;" "&amp;$Q17))),OR(CARI!$C$6="",$E17=CARI!$C$6),OR(CARI!$C$7="",$F17=CARI!$C$7),OR(CARI!$C$8="",$O17=CARI!$C$8)),MAX($U$3:U16)+1,""))</f>
        <v/>
      </c>
      <c r="V17" s="40" t="str">
        <f aca="false">IF($T17="","",MAX($V$3:V16)+1)</f>
        <v/>
      </c>
      <c r="W17" s="40" t="str">
        <f aca="false">IF($E17="","",$E17&amp;"#"&amp;COUNTIF($E$4:$E17,$E17))</f>
        <v/>
      </c>
      <c r="X17" s="40" t="str">
        <f aca="false">IF($B17="","",IF(AND(OR(CETAK!$J$10="",$E17=CETAK!$J$10),OR(CETAK!$J$11="",$F17=CETAK!$J$11),OR(CETAK!$J$12="",$K17=CETAK!$J$12),OR(CETAK!$J$13="",$H17=CETAK!$J$13),OR(CETAK!$J$14="",$O17=CETAK!$J$14)),MAX($X$3:X16)+1,""))</f>
        <v/>
      </c>
      <c r="Y17" s="40" t="str">
        <f aca="false">IF($B17="","",IF(AND(OR(ABSENSI!$H$10="",$E17=ABSENSI!$H$10),OR(ABSENSI!$H$11="",$F17=ABSENSI!$H$11),OR(ABSENSI!$H$12="",$K17=ABSENSI!$H$12)),MAX($Y$3:Y16)+1,""))</f>
        <v/>
      </c>
      <c r="Z17" s="40" t="str">
        <f aca="false">IF($B17="","",IF(AND(OR(KARTU!$K$6="",$E17=KARTU!$K$6),OR(KARTU!$K$7="",$F17=KARTU!$K$7),OR(KARTU!$K$8="",$K17=KARTU!$K$8)),MAX($Z$3:Z16)+1,""))</f>
        <v/>
      </c>
    </row>
    <row r="18" customFormat="false" ht="15" hidden="false" customHeight="false" outlineLevel="0" collapsed="false">
      <c r="A18" s="36" t="str">
        <f aca="false">IF($B18="","",COUNTA($B$4:$B18))</f>
        <v/>
      </c>
      <c r="B18" s="37"/>
      <c r="C18" s="38"/>
      <c r="D18" s="39"/>
      <c r="E18" s="37"/>
      <c r="F18" s="39"/>
      <c r="G18" s="40" t="str">
        <f aca="false">IF(OR($E18="",$F18=""),"",$E18&amp;" - RT "&amp;$F18)</f>
        <v/>
      </c>
      <c r="H18" s="37"/>
      <c r="I18" s="38"/>
      <c r="J18" s="37"/>
      <c r="K18" s="39"/>
      <c r="L18" s="41"/>
      <c r="M18" s="36" t="str">
        <f aca="true">IF(OR($B18="",$L18=""),"",DATEDIF($L18,TODAY(),"Y"))</f>
        <v/>
      </c>
      <c r="N18" s="40" t="str">
        <f aca="false">IF($M18="","",INDEX(usia_label,MATCH($M18,usia_min,1)))</f>
        <v/>
      </c>
      <c r="O18" s="37"/>
      <c r="P18" s="41"/>
      <c r="Q18" s="37"/>
      <c r="R18" s="37"/>
      <c r="S18" s="40" t="str">
        <f aca="false">IF($G18="","",$G18&amp;"#"&amp;COUNTIF($G$4:$G18,$G18))</f>
        <v/>
      </c>
      <c r="T18" s="40" t="str">
        <f aca="false">IF($B18="","",IF($C18="","NIK kosong",IF(LEN($C18)&lt;&gt;16,"NIK bukan 16 digit",IF(COUNTIF($C$4:$C$2003,$C18&amp;"*")&gt;1,"NIK ganda",IF($E18="","Kadus kosong",IF($F18="","RT kosong",IF($H18="","Jabatan kosong",IF($I18="","No. HP kosong",IF($J18="","Alamat kosong",IF(AND($M18&lt;&gt;"",$M18&lt;17),"Usia di bawah 17",""))))))))))</f>
        <v/>
      </c>
      <c r="U18" s="40" t="str">
        <f aca="false">IF($B18="","",IF(AND(OR(CARI!$C$5="",ISNUMBER(SEARCH(CARI!$C$5,$B18&amp;" "&amp;$C18&amp;" "&amp;$I18&amp;" "&amp;$J18&amp;" "&amp;$Q18))),OR(CARI!$C$6="",$E18=CARI!$C$6),OR(CARI!$C$7="",$F18=CARI!$C$7),OR(CARI!$C$8="",$O18=CARI!$C$8)),MAX($U$3:U17)+1,""))</f>
        <v/>
      </c>
      <c r="V18" s="40" t="str">
        <f aca="false">IF($T18="","",MAX($V$3:V17)+1)</f>
        <v/>
      </c>
      <c r="W18" s="40" t="str">
        <f aca="false">IF($E18="","",$E18&amp;"#"&amp;COUNTIF($E$4:$E18,$E18))</f>
        <v/>
      </c>
      <c r="X18" s="40" t="str">
        <f aca="false">IF($B18="","",IF(AND(OR(CETAK!$J$10="",$E18=CETAK!$J$10),OR(CETAK!$J$11="",$F18=CETAK!$J$11),OR(CETAK!$J$12="",$K18=CETAK!$J$12),OR(CETAK!$J$13="",$H18=CETAK!$J$13),OR(CETAK!$J$14="",$O18=CETAK!$J$14)),MAX($X$3:X17)+1,""))</f>
        <v/>
      </c>
      <c r="Y18" s="40" t="str">
        <f aca="false">IF($B18="","",IF(AND(OR(ABSENSI!$H$10="",$E18=ABSENSI!$H$10),OR(ABSENSI!$H$11="",$F18=ABSENSI!$H$11),OR(ABSENSI!$H$12="",$K18=ABSENSI!$H$12)),MAX($Y$3:Y17)+1,""))</f>
        <v/>
      </c>
      <c r="Z18" s="40" t="str">
        <f aca="false">IF($B18="","",IF(AND(OR(KARTU!$K$6="",$E18=KARTU!$K$6),OR(KARTU!$K$7="",$F18=KARTU!$K$7),OR(KARTU!$K$8="",$K18=KARTU!$K$8)),MAX($Z$3:Z17)+1,""))</f>
        <v/>
      </c>
    </row>
    <row r="19" customFormat="false" ht="15" hidden="false" customHeight="false" outlineLevel="0" collapsed="false">
      <c r="A19" s="36" t="str">
        <f aca="false">IF($B19="","",COUNTA($B$4:$B19))</f>
        <v/>
      </c>
      <c r="B19" s="37"/>
      <c r="C19" s="38"/>
      <c r="D19" s="39"/>
      <c r="E19" s="37"/>
      <c r="F19" s="39"/>
      <c r="G19" s="40" t="str">
        <f aca="false">IF(OR($E19="",$F19=""),"",$E19&amp;" - RT "&amp;$F19)</f>
        <v/>
      </c>
      <c r="H19" s="37"/>
      <c r="I19" s="38"/>
      <c r="J19" s="37"/>
      <c r="K19" s="39"/>
      <c r="L19" s="41"/>
      <c r="M19" s="36" t="str">
        <f aca="true">IF(OR($B19="",$L19=""),"",DATEDIF($L19,TODAY(),"Y"))</f>
        <v/>
      </c>
      <c r="N19" s="40" t="str">
        <f aca="false">IF($M19="","",INDEX(usia_label,MATCH($M19,usia_min,1)))</f>
        <v/>
      </c>
      <c r="O19" s="37"/>
      <c r="P19" s="41"/>
      <c r="Q19" s="37"/>
      <c r="R19" s="37"/>
      <c r="S19" s="40" t="str">
        <f aca="false">IF($G19="","",$G19&amp;"#"&amp;COUNTIF($G$4:$G19,$G19))</f>
        <v/>
      </c>
      <c r="T19" s="40" t="str">
        <f aca="false">IF($B19="","",IF($C19="","NIK kosong",IF(LEN($C19)&lt;&gt;16,"NIK bukan 16 digit",IF(COUNTIF($C$4:$C$2003,$C19&amp;"*")&gt;1,"NIK ganda",IF($E19="","Kadus kosong",IF($F19="","RT kosong",IF($H19="","Jabatan kosong",IF($I19="","No. HP kosong",IF($J19="","Alamat kosong",IF(AND($M19&lt;&gt;"",$M19&lt;17),"Usia di bawah 17",""))))))))))</f>
        <v/>
      </c>
      <c r="U19" s="40" t="str">
        <f aca="false">IF($B19="","",IF(AND(OR(CARI!$C$5="",ISNUMBER(SEARCH(CARI!$C$5,$B19&amp;" "&amp;$C19&amp;" "&amp;$I19&amp;" "&amp;$J19&amp;" "&amp;$Q19))),OR(CARI!$C$6="",$E19=CARI!$C$6),OR(CARI!$C$7="",$F19=CARI!$C$7),OR(CARI!$C$8="",$O19=CARI!$C$8)),MAX($U$3:U18)+1,""))</f>
        <v/>
      </c>
      <c r="V19" s="40" t="str">
        <f aca="false">IF($T19="","",MAX($V$3:V18)+1)</f>
        <v/>
      </c>
      <c r="W19" s="40" t="str">
        <f aca="false">IF($E19="","",$E19&amp;"#"&amp;COUNTIF($E$4:$E19,$E19))</f>
        <v/>
      </c>
      <c r="X19" s="40" t="str">
        <f aca="false">IF($B19="","",IF(AND(OR(CETAK!$J$10="",$E19=CETAK!$J$10),OR(CETAK!$J$11="",$F19=CETAK!$J$11),OR(CETAK!$J$12="",$K19=CETAK!$J$12),OR(CETAK!$J$13="",$H19=CETAK!$J$13),OR(CETAK!$J$14="",$O19=CETAK!$J$14)),MAX($X$3:X18)+1,""))</f>
        <v/>
      </c>
      <c r="Y19" s="40" t="str">
        <f aca="false">IF($B19="","",IF(AND(OR(ABSENSI!$H$10="",$E19=ABSENSI!$H$10),OR(ABSENSI!$H$11="",$F19=ABSENSI!$H$11),OR(ABSENSI!$H$12="",$K19=ABSENSI!$H$12)),MAX($Y$3:Y18)+1,""))</f>
        <v/>
      </c>
      <c r="Z19" s="40" t="str">
        <f aca="false">IF($B19="","",IF(AND(OR(KARTU!$K$6="",$E19=KARTU!$K$6),OR(KARTU!$K$7="",$F19=KARTU!$K$7),OR(KARTU!$K$8="",$K19=KARTU!$K$8)),MAX($Z$3:Z18)+1,""))</f>
        <v/>
      </c>
    </row>
    <row r="20" customFormat="false" ht="15" hidden="false" customHeight="false" outlineLevel="0" collapsed="false">
      <c r="A20" s="36" t="str">
        <f aca="false">IF($B20="","",COUNTA($B$4:$B20))</f>
        <v/>
      </c>
      <c r="B20" s="37"/>
      <c r="C20" s="38"/>
      <c r="D20" s="39"/>
      <c r="E20" s="37"/>
      <c r="F20" s="39"/>
      <c r="G20" s="40" t="str">
        <f aca="false">IF(OR($E20="",$F20=""),"",$E20&amp;" - RT "&amp;$F20)</f>
        <v/>
      </c>
      <c r="H20" s="37"/>
      <c r="I20" s="38"/>
      <c r="J20" s="37"/>
      <c r="K20" s="39"/>
      <c r="L20" s="41"/>
      <c r="M20" s="36" t="str">
        <f aca="true">IF(OR($B20="",$L20=""),"",DATEDIF($L20,TODAY(),"Y"))</f>
        <v/>
      </c>
      <c r="N20" s="40" t="str">
        <f aca="false">IF($M20="","",INDEX(usia_label,MATCH($M20,usia_min,1)))</f>
        <v/>
      </c>
      <c r="O20" s="37"/>
      <c r="P20" s="41"/>
      <c r="Q20" s="37"/>
      <c r="R20" s="37"/>
      <c r="S20" s="40" t="str">
        <f aca="false">IF($G20="","",$G20&amp;"#"&amp;COUNTIF($G$4:$G20,$G20))</f>
        <v/>
      </c>
      <c r="T20" s="40" t="str">
        <f aca="false">IF($B20="","",IF($C20="","NIK kosong",IF(LEN($C20)&lt;&gt;16,"NIK bukan 16 digit",IF(COUNTIF($C$4:$C$2003,$C20&amp;"*")&gt;1,"NIK ganda",IF($E20="","Kadus kosong",IF($F20="","RT kosong",IF($H20="","Jabatan kosong",IF($I20="","No. HP kosong",IF($J20="","Alamat kosong",IF(AND($M20&lt;&gt;"",$M20&lt;17),"Usia di bawah 17",""))))))))))</f>
        <v/>
      </c>
      <c r="U20" s="40" t="str">
        <f aca="false">IF($B20="","",IF(AND(OR(CARI!$C$5="",ISNUMBER(SEARCH(CARI!$C$5,$B20&amp;" "&amp;$C20&amp;" "&amp;$I20&amp;" "&amp;$J20&amp;" "&amp;$Q20))),OR(CARI!$C$6="",$E20=CARI!$C$6),OR(CARI!$C$7="",$F20=CARI!$C$7),OR(CARI!$C$8="",$O20=CARI!$C$8)),MAX($U$3:U19)+1,""))</f>
        <v/>
      </c>
      <c r="V20" s="40" t="str">
        <f aca="false">IF($T20="","",MAX($V$3:V19)+1)</f>
        <v/>
      </c>
      <c r="W20" s="40" t="str">
        <f aca="false">IF($E20="","",$E20&amp;"#"&amp;COUNTIF($E$4:$E20,$E20))</f>
        <v/>
      </c>
      <c r="X20" s="40" t="str">
        <f aca="false">IF($B20="","",IF(AND(OR(CETAK!$J$10="",$E20=CETAK!$J$10),OR(CETAK!$J$11="",$F20=CETAK!$J$11),OR(CETAK!$J$12="",$K20=CETAK!$J$12),OR(CETAK!$J$13="",$H20=CETAK!$J$13),OR(CETAK!$J$14="",$O20=CETAK!$J$14)),MAX($X$3:X19)+1,""))</f>
        <v/>
      </c>
      <c r="Y20" s="40" t="str">
        <f aca="false">IF($B20="","",IF(AND(OR(ABSENSI!$H$10="",$E20=ABSENSI!$H$10),OR(ABSENSI!$H$11="",$F20=ABSENSI!$H$11),OR(ABSENSI!$H$12="",$K20=ABSENSI!$H$12)),MAX($Y$3:Y19)+1,""))</f>
        <v/>
      </c>
      <c r="Z20" s="40" t="str">
        <f aca="false">IF($B20="","",IF(AND(OR(KARTU!$K$6="",$E20=KARTU!$K$6),OR(KARTU!$K$7="",$F20=KARTU!$K$7),OR(KARTU!$K$8="",$K20=KARTU!$K$8)),MAX($Z$3:Z19)+1,""))</f>
        <v/>
      </c>
    </row>
    <row r="21" customFormat="false" ht="15" hidden="false" customHeight="false" outlineLevel="0" collapsed="false">
      <c r="A21" s="36" t="str">
        <f aca="false">IF($B21="","",COUNTA($B$4:$B21))</f>
        <v/>
      </c>
      <c r="B21" s="37"/>
      <c r="C21" s="38"/>
      <c r="D21" s="39"/>
      <c r="E21" s="37"/>
      <c r="F21" s="39"/>
      <c r="G21" s="40" t="str">
        <f aca="false">IF(OR($E21="",$F21=""),"",$E21&amp;" - RT "&amp;$F21)</f>
        <v/>
      </c>
      <c r="H21" s="37"/>
      <c r="I21" s="38"/>
      <c r="J21" s="37"/>
      <c r="K21" s="39"/>
      <c r="L21" s="41"/>
      <c r="M21" s="36" t="str">
        <f aca="true">IF(OR($B21="",$L21=""),"",DATEDIF($L21,TODAY(),"Y"))</f>
        <v/>
      </c>
      <c r="N21" s="40" t="str">
        <f aca="false">IF($M21="","",INDEX(usia_label,MATCH($M21,usia_min,1)))</f>
        <v/>
      </c>
      <c r="O21" s="37"/>
      <c r="P21" s="41"/>
      <c r="Q21" s="37"/>
      <c r="R21" s="37"/>
      <c r="S21" s="40" t="str">
        <f aca="false">IF($G21="","",$G21&amp;"#"&amp;COUNTIF($G$4:$G21,$G21))</f>
        <v/>
      </c>
      <c r="T21" s="40" t="str">
        <f aca="false">IF($B21="","",IF($C21="","NIK kosong",IF(LEN($C21)&lt;&gt;16,"NIK bukan 16 digit",IF(COUNTIF($C$4:$C$2003,$C21&amp;"*")&gt;1,"NIK ganda",IF($E21="","Kadus kosong",IF($F21="","RT kosong",IF($H21="","Jabatan kosong",IF($I21="","No. HP kosong",IF($J21="","Alamat kosong",IF(AND($M21&lt;&gt;"",$M21&lt;17),"Usia di bawah 17",""))))))))))</f>
        <v/>
      </c>
      <c r="U21" s="40" t="str">
        <f aca="false">IF($B21="","",IF(AND(OR(CARI!$C$5="",ISNUMBER(SEARCH(CARI!$C$5,$B21&amp;" "&amp;$C21&amp;" "&amp;$I21&amp;" "&amp;$J21&amp;" "&amp;$Q21))),OR(CARI!$C$6="",$E21=CARI!$C$6),OR(CARI!$C$7="",$F21=CARI!$C$7),OR(CARI!$C$8="",$O21=CARI!$C$8)),MAX($U$3:U20)+1,""))</f>
        <v/>
      </c>
      <c r="V21" s="40" t="str">
        <f aca="false">IF($T21="","",MAX($V$3:V20)+1)</f>
        <v/>
      </c>
      <c r="W21" s="40" t="str">
        <f aca="false">IF($E21="","",$E21&amp;"#"&amp;COUNTIF($E$4:$E21,$E21))</f>
        <v/>
      </c>
      <c r="X21" s="40" t="str">
        <f aca="false">IF($B21="","",IF(AND(OR(CETAK!$J$10="",$E21=CETAK!$J$10),OR(CETAK!$J$11="",$F21=CETAK!$J$11),OR(CETAK!$J$12="",$K21=CETAK!$J$12),OR(CETAK!$J$13="",$H21=CETAK!$J$13),OR(CETAK!$J$14="",$O21=CETAK!$J$14)),MAX($X$3:X20)+1,""))</f>
        <v/>
      </c>
      <c r="Y21" s="40" t="str">
        <f aca="false">IF($B21="","",IF(AND(OR(ABSENSI!$H$10="",$E21=ABSENSI!$H$10),OR(ABSENSI!$H$11="",$F21=ABSENSI!$H$11),OR(ABSENSI!$H$12="",$K21=ABSENSI!$H$12)),MAX($Y$3:Y20)+1,""))</f>
        <v/>
      </c>
      <c r="Z21" s="40" t="str">
        <f aca="false">IF($B21="","",IF(AND(OR(KARTU!$K$6="",$E21=KARTU!$K$6),OR(KARTU!$K$7="",$F21=KARTU!$K$7),OR(KARTU!$K$8="",$K21=KARTU!$K$8)),MAX($Z$3:Z20)+1,""))</f>
        <v/>
      </c>
    </row>
    <row r="22" customFormat="false" ht="15" hidden="false" customHeight="false" outlineLevel="0" collapsed="false">
      <c r="A22" s="36" t="str">
        <f aca="false">IF($B22="","",COUNTA($B$4:$B22))</f>
        <v/>
      </c>
      <c r="B22" s="37"/>
      <c r="C22" s="38"/>
      <c r="D22" s="39"/>
      <c r="E22" s="37"/>
      <c r="F22" s="39"/>
      <c r="G22" s="40" t="str">
        <f aca="false">IF(OR($E22="",$F22=""),"",$E22&amp;" - RT "&amp;$F22)</f>
        <v/>
      </c>
      <c r="H22" s="37"/>
      <c r="I22" s="38"/>
      <c r="J22" s="37"/>
      <c r="K22" s="39"/>
      <c r="L22" s="41"/>
      <c r="M22" s="36" t="str">
        <f aca="true">IF(OR($B22="",$L22=""),"",DATEDIF($L22,TODAY(),"Y"))</f>
        <v/>
      </c>
      <c r="N22" s="40" t="str">
        <f aca="false">IF($M22="","",INDEX(usia_label,MATCH($M22,usia_min,1)))</f>
        <v/>
      </c>
      <c r="O22" s="37"/>
      <c r="P22" s="41"/>
      <c r="Q22" s="37"/>
      <c r="R22" s="37"/>
      <c r="S22" s="40" t="str">
        <f aca="false">IF($G22="","",$G22&amp;"#"&amp;COUNTIF($G$4:$G22,$G22))</f>
        <v/>
      </c>
      <c r="T22" s="40" t="str">
        <f aca="false">IF($B22="","",IF($C22="","NIK kosong",IF(LEN($C22)&lt;&gt;16,"NIK bukan 16 digit",IF(COUNTIF($C$4:$C$2003,$C22&amp;"*")&gt;1,"NIK ganda",IF($E22="","Kadus kosong",IF($F22="","RT kosong",IF($H22="","Jabatan kosong",IF($I22="","No. HP kosong",IF($J22="","Alamat kosong",IF(AND($M22&lt;&gt;"",$M22&lt;17),"Usia di bawah 17",""))))))))))</f>
        <v/>
      </c>
      <c r="U22" s="40" t="str">
        <f aca="false">IF($B22="","",IF(AND(OR(CARI!$C$5="",ISNUMBER(SEARCH(CARI!$C$5,$B22&amp;" "&amp;$C22&amp;" "&amp;$I22&amp;" "&amp;$J22&amp;" "&amp;$Q22))),OR(CARI!$C$6="",$E22=CARI!$C$6),OR(CARI!$C$7="",$F22=CARI!$C$7),OR(CARI!$C$8="",$O22=CARI!$C$8)),MAX($U$3:U21)+1,""))</f>
        <v/>
      </c>
      <c r="V22" s="40" t="str">
        <f aca="false">IF($T22="","",MAX($V$3:V21)+1)</f>
        <v/>
      </c>
      <c r="W22" s="40" t="str">
        <f aca="false">IF($E22="","",$E22&amp;"#"&amp;COUNTIF($E$4:$E22,$E22))</f>
        <v/>
      </c>
      <c r="X22" s="40" t="str">
        <f aca="false">IF($B22="","",IF(AND(OR(CETAK!$J$10="",$E22=CETAK!$J$10),OR(CETAK!$J$11="",$F22=CETAK!$J$11),OR(CETAK!$J$12="",$K22=CETAK!$J$12),OR(CETAK!$J$13="",$H22=CETAK!$J$13),OR(CETAK!$J$14="",$O22=CETAK!$J$14)),MAX($X$3:X21)+1,""))</f>
        <v/>
      </c>
      <c r="Y22" s="40" t="str">
        <f aca="false">IF($B22="","",IF(AND(OR(ABSENSI!$H$10="",$E22=ABSENSI!$H$10),OR(ABSENSI!$H$11="",$F22=ABSENSI!$H$11),OR(ABSENSI!$H$12="",$K22=ABSENSI!$H$12)),MAX($Y$3:Y21)+1,""))</f>
        <v/>
      </c>
      <c r="Z22" s="40" t="str">
        <f aca="false">IF($B22="","",IF(AND(OR(KARTU!$K$6="",$E22=KARTU!$K$6),OR(KARTU!$K$7="",$F22=KARTU!$K$7),OR(KARTU!$K$8="",$K22=KARTU!$K$8)),MAX($Z$3:Z21)+1,""))</f>
        <v/>
      </c>
    </row>
    <row r="23" customFormat="false" ht="15" hidden="false" customHeight="false" outlineLevel="0" collapsed="false">
      <c r="A23" s="36" t="str">
        <f aca="false">IF($B23="","",COUNTA($B$4:$B23))</f>
        <v/>
      </c>
      <c r="B23" s="37"/>
      <c r="C23" s="38"/>
      <c r="D23" s="39"/>
      <c r="E23" s="37"/>
      <c r="F23" s="39"/>
      <c r="G23" s="40" t="str">
        <f aca="false">IF(OR($E23="",$F23=""),"",$E23&amp;" - RT "&amp;$F23)</f>
        <v/>
      </c>
      <c r="H23" s="37"/>
      <c r="I23" s="38"/>
      <c r="J23" s="37"/>
      <c r="K23" s="39"/>
      <c r="L23" s="41"/>
      <c r="M23" s="36" t="str">
        <f aca="true">IF(OR($B23="",$L23=""),"",DATEDIF($L23,TODAY(),"Y"))</f>
        <v/>
      </c>
      <c r="N23" s="40" t="str">
        <f aca="false">IF($M23="","",INDEX(usia_label,MATCH($M23,usia_min,1)))</f>
        <v/>
      </c>
      <c r="O23" s="37"/>
      <c r="P23" s="41"/>
      <c r="Q23" s="37"/>
      <c r="R23" s="37"/>
      <c r="S23" s="40" t="str">
        <f aca="false">IF($G23="","",$G23&amp;"#"&amp;COUNTIF($G$4:$G23,$G23))</f>
        <v/>
      </c>
      <c r="T23" s="40" t="str">
        <f aca="false">IF($B23="","",IF($C23="","NIK kosong",IF(LEN($C23)&lt;&gt;16,"NIK bukan 16 digit",IF(COUNTIF($C$4:$C$2003,$C23&amp;"*")&gt;1,"NIK ganda",IF($E23="","Kadus kosong",IF($F23="","RT kosong",IF($H23="","Jabatan kosong",IF($I23="","No. HP kosong",IF($J23="","Alamat kosong",IF(AND($M23&lt;&gt;"",$M23&lt;17),"Usia di bawah 17",""))))))))))</f>
        <v/>
      </c>
      <c r="U23" s="40" t="str">
        <f aca="false">IF($B23="","",IF(AND(OR(CARI!$C$5="",ISNUMBER(SEARCH(CARI!$C$5,$B23&amp;" "&amp;$C23&amp;" "&amp;$I23&amp;" "&amp;$J23&amp;" "&amp;$Q23))),OR(CARI!$C$6="",$E23=CARI!$C$6),OR(CARI!$C$7="",$F23=CARI!$C$7),OR(CARI!$C$8="",$O23=CARI!$C$8)),MAX($U$3:U22)+1,""))</f>
        <v/>
      </c>
      <c r="V23" s="40" t="str">
        <f aca="false">IF($T23="","",MAX($V$3:V22)+1)</f>
        <v/>
      </c>
      <c r="W23" s="40" t="str">
        <f aca="false">IF($E23="","",$E23&amp;"#"&amp;COUNTIF($E$4:$E23,$E23))</f>
        <v/>
      </c>
      <c r="X23" s="40" t="str">
        <f aca="false">IF($B23="","",IF(AND(OR(CETAK!$J$10="",$E23=CETAK!$J$10),OR(CETAK!$J$11="",$F23=CETAK!$J$11),OR(CETAK!$J$12="",$K23=CETAK!$J$12),OR(CETAK!$J$13="",$H23=CETAK!$J$13),OR(CETAK!$J$14="",$O23=CETAK!$J$14)),MAX($X$3:X22)+1,""))</f>
        <v/>
      </c>
      <c r="Y23" s="40" t="str">
        <f aca="false">IF($B23="","",IF(AND(OR(ABSENSI!$H$10="",$E23=ABSENSI!$H$10),OR(ABSENSI!$H$11="",$F23=ABSENSI!$H$11),OR(ABSENSI!$H$12="",$K23=ABSENSI!$H$12)),MAX($Y$3:Y22)+1,""))</f>
        <v/>
      </c>
      <c r="Z23" s="40" t="str">
        <f aca="false">IF($B23="","",IF(AND(OR(KARTU!$K$6="",$E23=KARTU!$K$6),OR(KARTU!$K$7="",$F23=KARTU!$K$7),OR(KARTU!$K$8="",$K23=KARTU!$K$8)),MAX($Z$3:Z22)+1,""))</f>
        <v/>
      </c>
    </row>
    <row r="24" customFormat="false" ht="15" hidden="false" customHeight="false" outlineLevel="0" collapsed="false">
      <c r="A24" s="36" t="str">
        <f aca="false">IF($B24="","",COUNTA($B$4:$B24))</f>
        <v/>
      </c>
      <c r="B24" s="37"/>
      <c r="C24" s="38"/>
      <c r="D24" s="39"/>
      <c r="E24" s="37"/>
      <c r="F24" s="39"/>
      <c r="G24" s="40" t="str">
        <f aca="false">IF(OR($E24="",$F24=""),"",$E24&amp;" - RT "&amp;$F24)</f>
        <v/>
      </c>
      <c r="H24" s="37"/>
      <c r="I24" s="38"/>
      <c r="J24" s="37"/>
      <c r="K24" s="39"/>
      <c r="L24" s="41"/>
      <c r="M24" s="36" t="str">
        <f aca="true">IF(OR($B24="",$L24=""),"",DATEDIF($L24,TODAY(),"Y"))</f>
        <v/>
      </c>
      <c r="N24" s="40" t="str">
        <f aca="false">IF($M24="","",INDEX(usia_label,MATCH($M24,usia_min,1)))</f>
        <v/>
      </c>
      <c r="O24" s="37"/>
      <c r="P24" s="41"/>
      <c r="Q24" s="37"/>
      <c r="R24" s="37"/>
      <c r="S24" s="40" t="str">
        <f aca="false">IF($G24="","",$G24&amp;"#"&amp;COUNTIF($G$4:$G24,$G24))</f>
        <v/>
      </c>
      <c r="T24" s="40" t="str">
        <f aca="false">IF($B24="","",IF($C24="","NIK kosong",IF(LEN($C24)&lt;&gt;16,"NIK bukan 16 digit",IF(COUNTIF($C$4:$C$2003,$C24&amp;"*")&gt;1,"NIK ganda",IF($E24="","Kadus kosong",IF($F24="","RT kosong",IF($H24="","Jabatan kosong",IF($I24="","No. HP kosong",IF($J24="","Alamat kosong",IF(AND($M24&lt;&gt;"",$M24&lt;17),"Usia di bawah 17",""))))))))))</f>
        <v/>
      </c>
      <c r="U24" s="40" t="str">
        <f aca="false">IF($B24="","",IF(AND(OR(CARI!$C$5="",ISNUMBER(SEARCH(CARI!$C$5,$B24&amp;" "&amp;$C24&amp;" "&amp;$I24&amp;" "&amp;$J24&amp;" "&amp;$Q24))),OR(CARI!$C$6="",$E24=CARI!$C$6),OR(CARI!$C$7="",$F24=CARI!$C$7),OR(CARI!$C$8="",$O24=CARI!$C$8)),MAX($U$3:U23)+1,""))</f>
        <v/>
      </c>
      <c r="V24" s="40" t="str">
        <f aca="false">IF($T24="","",MAX($V$3:V23)+1)</f>
        <v/>
      </c>
      <c r="W24" s="40" t="str">
        <f aca="false">IF($E24="","",$E24&amp;"#"&amp;COUNTIF($E$4:$E24,$E24))</f>
        <v/>
      </c>
      <c r="X24" s="40" t="str">
        <f aca="false">IF($B24="","",IF(AND(OR(CETAK!$J$10="",$E24=CETAK!$J$10),OR(CETAK!$J$11="",$F24=CETAK!$J$11),OR(CETAK!$J$12="",$K24=CETAK!$J$12),OR(CETAK!$J$13="",$H24=CETAK!$J$13),OR(CETAK!$J$14="",$O24=CETAK!$J$14)),MAX($X$3:X23)+1,""))</f>
        <v/>
      </c>
      <c r="Y24" s="40" t="str">
        <f aca="false">IF($B24="","",IF(AND(OR(ABSENSI!$H$10="",$E24=ABSENSI!$H$10),OR(ABSENSI!$H$11="",$F24=ABSENSI!$H$11),OR(ABSENSI!$H$12="",$K24=ABSENSI!$H$12)),MAX($Y$3:Y23)+1,""))</f>
        <v/>
      </c>
      <c r="Z24" s="40" t="str">
        <f aca="false">IF($B24="","",IF(AND(OR(KARTU!$K$6="",$E24=KARTU!$K$6),OR(KARTU!$K$7="",$F24=KARTU!$K$7),OR(KARTU!$K$8="",$K24=KARTU!$K$8)),MAX($Z$3:Z23)+1,""))</f>
        <v/>
      </c>
    </row>
    <row r="25" customFormat="false" ht="15" hidden="false" customHeight="false" outlineLevel="0" collapsed="false">
      <c r="A25" s="36" t="str">
        <f aca="false">IF($B25="","",COUNTA($B$4:$B25))</f>
        <v/>
      </c>
      <c r="B25" s="37"/>
      <c r="C25" s="38"/>
      <c r="D25" s="39"/>
      <c r="E25" s="37"/>
      <c r="F25" s="39"/>
      <c r="G25" s="40" t="str">
        <f aca="false">IF(OR($E25="",$F25=""),"",$E25&amp;" - RT "&amp;$F25)</f>
        <v/>
      </c>
      <c r="H25" s="37"/>
      <c r="I25" s="38"/>
      <c r="J25" s="37"/>
      <c r="K25" s="39"/>
      <c r="L25" s="41"/>
      <c r="M25" s="36" t="str">
        <f aca="true">IF(OR($B25="",$L25=""),"",DATEDIF($L25,TODAY(),"Y"))</f>
        <v/>
      </c>
      <c r="N25" s="40" t="str">
        <f aca="false">IF($M25="","",INDEX(usia_label,MATCH($M25,usia_min,1)))</f>
        <v/>
      </c>
      <c r="O25" s="37"/>
      <c r="P25" s="41"/>
      <c r="Q25" s="37"/>
      <c r="R25" s="37"/>
      <c r="S25" s="40" t="str">
        <f aca="false">IF($G25="","",$G25&amp;"#"&amp;COUNTIF($G$4:$G25,$G25))</f>
        <v/>
      </c>
      <c r="T25" s="40" t="str">
        <f aca="false">IF($B25="","",IF($C25="","NIK kosong",IF(LEN($C25)&lt;&gt;16,"NIK bukan 16 digit",IF(COUNTIF($C$4:$C$2003,$C25&amp;"*")&gt;1,"NIK ganda",IF($E25="","Kadus kosong",IF($F25="","RT kosong",IF($H25="","Jabatan kosong",IF($I25="","No. HP kosong",IF($J25="","Alamat kosong",IF(AND($M25&lt;&gt;"",$M25&lt;17),"Usia di bawah 17",""))))))))))</f>
        <v/>
      </c>
      <c r="U25" s="40" t="str">
        <f aca="false">IF($B25="","",IF(AND(OR(CARI!$C$5="",ISNUMBER(SEARCH(CARI!$C$5,$B25&amp;" "&amp;$C25&amp;" "&amp;$I25&amp;" "&amp;$J25&amp;" "&amp;$Q25))),OR(CARI!$C$6="",$E25=CARI!$C$6),OR(CARI!$C$7="",$F25=CARI!$C$7),OR(CARI!$C$8="",$O25=CARI!$C$8)),MAX($U$3:U24)+1,""))</f>
        <v/>
      </c>
      <c r="V25" s="40" t="str">
        <f aca="false">IF($T25="","",MAX($V$3:V24)+1)</f>
        <v/>
      </c>
      <c r="W25" s="40" t="str">
        <f aca="false">IF($E25="","",$E25&amp;"#"&amp;COUNTIF($E$4:$E25,$E25))</f>
        <v/>
      </c>
      <c r="X25" s="40" t="str">
        <f aca="false">IF($B25="","",IF(AND(OR(CETAK!$J$10="",$E25=CETAK!$J$10),OR(CETAK!$J$11="",$F25=CETAK!$J$11),OR(CETAK!$J$12="",$K25=CETAK!$J$12),OR(CETAK!$J$13="",$H25=CETAK!$J$13),OR(CETAK!$J$14="",$O25=CETAK!$J$14)),MAX($X$3:X24)+1,""))</f>
        <v/>
      </c>
      <c r="Y25" s="40" t="str">
        <f aca="false">IF($B25="","",IF(AND(OR(ABSENSI!$H$10="",$E25=ABSENSI!$H$10),OR(ABSENSI!$H$11="",$F25=ABSENSI!$H$11),OR(ABSENSI!$H$12="",$K25=ABSENSI!$H$12)),MAX($Y$3:Y24)+1,""))</f>
        <v/>
      </c>
      <c r="Z25" s="40" t="str">
        <f aca="false">IF($B25="","",IF(AND(OR(KARTU!$K$6="",$E25=KARTU!$K$6),OR(KARTU!$K$7="",$F25=KARTU!$K$7),OR(KARTU!$K$8="",$K25=KARTU!$K$8)),MAX($Z$3:Z24)+1,""))</f>
        <v/>
      </c>
    </row>
    <row r="26" customFormat="false" ht="15" hidden="false" customHeight="false" outlineLevel="0" collapsed="false">
      <c r="A26" s="36" t="str">
        <f aca="false">IF($B26="","",COUNTA($B$4:$B26))</f>
        <v/>
      </c>
      <c r="B26" s="37"/>
      <c r="C26" s="38"/>
      <c r="D26" s="39"/>
      <c r="E26" s="37"/>
      <c r="F26" s="39"/>
      <c r="G26" s="40" t="str">
        <f aca="false">IF(OR($E26="",$F26=""),"",$E26&amp;" - RT "&amp;$F26)</f>
        <v/>
      </c>
      <c r="H26" s="37"/>
      <c r="I26" s="38"/>
      <c r="J26" s="37"/>
      <c r="K26" s="39"/>
      <c r="L26" s="41"/>
      <c r="M26" s="36" t="str">
        <f aca="true">IF(OR($B26="",$L26=""),"",DATEDIF($L26,TODAY(),"Y"))</f>
        <v/>
      </c>
      <c r="N26" s="40" t="str">
        <f aca="false">IF($M26="","",INDEX(usia_label,MATCH($M26,usia_min,1)))</f>
        <v/>
      </c>
      <c r="O26" s="37"/>
      <c r="P26" s="41"/>
      <c r="Q26" s="37"/>
      <c r="R26" s="37"/>
      <c r="S26" s="40" t="str">
        <f aca="false">IF($G26="","",$G26&amp;"#"&amp;COUNTIF($G$4:$G26,$G26))</f>
        <v/>
      </c>
      <c r="T26" s="40" t="str">
        <f aca="false">IF($B26="","",IF($C26="","NIK kosong",IF(LEN($C26)&lt;&gt;16,"NIK bukan 16 digit",IF(COUNTIF($C$4:$C$2003,$C26&amp;"*")&gt;1,"NIK ganda",IF($E26="","Kadus kosong",IF($F26="","RT kosong",IF($H26="","Jabatan kosong",IF($I26="","No. HP kosong",IF($J26="","Alamat kosong",IF(AND($M26&lt;&gt;"",$M26&lt;17),"Usia di bawah 17",""))))))))))</f>
        <v/>
      </c>
      <c r="U26" s="40" t="str">
        <f aca="false">IF($B26="","",IF(AND(OR(CARI!$C$5="",ISNUMBER(SEARCH(CARI!$C$5,$B26&amp;" "&amp;$C26&amp;" "&amp;$I26&amp;" "&amp;$J26&amp;" "&amp;$Q26))),OR(CARI!$C$6="",$E26=CARI!$C$6),OR(CARI!$C$7="",$F26=CARI!$C$7),OR(CARI!$C$8="",$O26=CARI!$C$8)),MAX($U$3:U25)+1,""))</f>
        <v/>
      </c>
      <c r="V26" s="40" t="str">
        <f aca="false">IF($T26="","",MAX($V$3:V25)+1)</f>
        <v/>
      </c>
      <c r="W26" s="40" t="str">
        <f aca="false">IF($E26="","",$E26&amp;"#"&amp;COUNTIF($E$4:$E26,$E26))</f>
        <v/>
      </c>
      <c r="X26" s="40" t="str">
        <f aca="false">IF($B26="","",IF(AND(OR(CETAK!$J$10="",$E26=CETAK!$J$10),OR(CETAK!$J$11="",$F26=CETAK!$J$11),OR(CETAK!$J$12="",$K26=CETAK!$J$12),OR(CETAK!$J$13="",$H26=CETAK!$J$13),OR(CETAK!$J$14="",$O26=CETAK!$J$14)),MAX($X$3:X25)+1,""))</f>
        <v/>
      </c>
      <c r="Y26" s="40" t="str">
        <f aca="false">IF($B26="","",IF(AND(OR(ABSENSI!$H$10="",$E26=ABSENSI!$H$10),OR(ABSENSI!$H$11="",$F26=ABSENSI!$H$11),OR(ABSENSI!$H$12="",$K26=ABSENSI!$H$12)),MAX($Y$3:Y25)+1,""))</f>
        <v/>
      </c>
      <c r="Z26" s="40" t="str">
        <f aca="false">IF($B26="","",IF(AND(OR(KARTU!$K$6="",$E26=KARTU!$K$6),OR(KARTU!$K$7="",$F26=KARTU!$K$7),OR(KARTU!$K$8="",$K26=KARTU!$K$8)),MAX($Z$3:Z25)+1,""))</f>
        <v/>
      </c>
    </row>
    <row r="27" customFormat="false" ht="15" hidden="false" customHeight="false" outlineLevel="0" collapsed="false">
      <c r="A27" s="36" t="str">
        <f aca="false">IF($B27="","",COUNTA($B$4:$B27))</f>
        <v/>
      </c>
      <c r="B27" s="37"/>
      <c r="C27" s="38"/>
      <c r="D27" s="39"/>
      <c r="E27" s="37"/>
      <c r="F27" s="39"/>
      <c r="G27" s="40" t="str">
        <f aca="false">IF(OR($E27="",$F27=""),"",$E27&amp;" - RT "&amp;$F27)</f>
        <v/>
      </c>
      <c r="H27" s="37"/>
      <c r="I27" s="38"/>
      <c r="J27" s="37"/>
      <c r="K27" s="39"/>
      <c r="L27" s="41"/>
      <c r="M27" s="36" t="str">
        <f aca="true">IF(OR($B27="",$L27=""),"",DATEDIF($L27,TODAY(),"Y"))</f>
        <v/>
      </c>
      <c r="N27" s="40" t="str">
        <f aca="false">IF($M27="","",INDEX(usia_label,MATCH($M27,usia_min,1)))</f>
        <v/>
      </c>
      <c r="O27" s="37"/>
      <c r="P27" s="41"/>
      <c r="Q27" s="37"/>
      <c r="R27" s="37"/>
      <c r="S27" s="40" t="str">
        <f aca="false">IF($G27="","",$G27&amp;"#"&amp;COUNTIF($G$4:$G27,$G27))</f>
        <v/>
      </c>
      <c r="T27" s="40" t="str">
        <f aca="false">IF($B27="","",IF($C27="","NIK kosong",IF(LEN($C27)&lt;&gt;16,"NIK bukan 16 digit",IF(COUNTIF($C$4:$C$2003,$C27&amp;"*")&gt;1,"NIK ganda",IF($E27="","Kadus kosong",IF($F27="","RT kosong",IF($H27="","Jabatan kosong",IF($I27="","No. HP kosong",IF($J27="","Alamat kosong",IF(AND($M27&lt;&gt;"",$M27&lt;17),"Usia di bawah 17",""))))))))))</f>
        <v/>
      </c>
      <c r="U27" s="40" t="str">
        <f aca="false">IF($B27="","",IF(AND(OR(CARI!$C$5="",ISNUMBER(SEARCH(CARI!$C$5,$B27&amp;" "&amp;$C27&amp;" "&amp;$I27&amp;" "&amp;$J27&amp;" "&amp;$Q27))),OR(CARI!$C$6="",$E27=CARI!$C$6),OR(CARI!$C$7="",$F27=CARI!$C$7),OR(CARI!$C$8="",$O27=CARI!$C$8)),MAX($U$3:U26)+1,""))</f>
        <v/>
      </c>
      <c r="V27" s="40" t="str">
        <f aca="false">IF($T27="","",MAX($V$3:V26)+1)</f>
        <v/>
      </c>
      <c r="W27" s="40" t="str">
        <f aca="false">IF($E27="","",$E27&amp;"#"&amp;COUNTIF($E$4:$E27,$E27))</f>
        <v/>
      </c>
      <c r="X27" s="40" t="str">
        <f aca="false">IF($B27="","",IF(AND(OR(CETAK!$J$10="",$E27=CETAK!$J$10),OR(CETAK!$J$11="",$F27=CETAK!$J$11),OR(CETAK!$J$12="",$K27=CETAK!$J$12),OR(CETAK!$J$13="",$H27=CETAK!$J$13),OR(CETAK!$J$14="",$O27=CETAK!$J$14)),MAX($X$3:X26)+1,""))</f>
        <v/>
      </c>
      <c r="Y27" s="40" t="str">
        <f aca="false">IF($B27="","",IF(AND(OR(ABSENSI!$H$10="",$E27=ABSENSI!$H$10),OR(ABSENSI!$H$11="",$F27=ABSENSI!$H$11),OR(ABSENSI!$H$12="",$K27=ABSENSI!$H$12)),MAX($Y$3:Y26)+1,""))</f>
        <v/>
      </c>
      <c r="Z27" s="40" t="str">
        <f aca="false">IF($B27="","",IF(AND(OR(KARTU!$K$6="",$E27=KARTU!$K$6),OR(KARTU!$K$7="",$F27=KARTU!$K$7),OR(KARTU!$K$8="",$K27=KARTU!$K$8)),MAX($Z$3:Z26)+1,""))</f>
        <v/>
      </c>
    </row>
    <row r="28" customFormat="false" ht="15" hidden="false" customHeight="false" outlineLevel="0" collapsed="false">
      <c r="A28" s="36" t="str">
        <f aca="false">IF($B28="","",COUNTA($B$4:$B28))</f>
        <v/>
      </c>
      <c r="B28" s="37"/>
      <c r="C28" s="38"/>
      <c r="D28" s="39"/>
      <c r="E28" s="37"/>
      <c r="F28" s="39"/>
      <c r="G28" s="40" t="str">
        <f aca="false">IF(OR($E28="",$F28=""),"",$E28&amp;" - RT "&amp;$F28)</f>
        <v/>
      </c>
      <c r="H28" s="37"/>
      <c r="I28" s="38"/>
      <c r="J28" s="37"/>
      <c r="K28" s="39"/>
      <c r="L28" s="41"/>
      <c r="M28" s="36" t="str">
        <f aca="true">IF(OR($B28="",$L28=""),"",DATEDIF($L28,TODAY(),"Y"))</f>
        <v/>
      </c>
      <c r="N28" s="40" t="str">
        <f aca="false">IF($M28="","",INDEX(usia_label,MATCH($M28,usia_min,1)))</f>
        <v/>
      </c>
      <c r="O28" s="37"/>
      <c r="P28" s="41"/>
      <c r="Q28" s="37"/>
      <c r="R28" s="37"/>
      <c r="S28" s="40" t="str">
        <f aca="false">IF($G28="","",$G28&amp;"#"&amp;COUNTIF($G$4:$G28,$G28))</f>
        <v/>
      </c>
      <c r="T28" s="40" t="str">
        <f aca="false">IF($B28="","",IF($C28="","NIK kosong",IF(LEN($C28)&lt;&gt;16,"NIK bukan 16 digit",IF(COUNTIF($C$4:$C$2003,$C28&amp;"*")&gt;1,"NIK ganda",IF($E28="","Kadus kosong",IF($F28="","RT kosong",IF($H28="","Jabatan kosong",IF($I28="","No. HP kosong",IF($J28="","Alamat kosong",IF(AND($M28&lt;&gt;"",$M28&lt;17),"Usia di bawah 17",""))))))))))</f>
        <v/>
      </c>
      <c r="U28" s="40" t="str">
        <f aca="false">IF($B28="","",IF(AND(OR(CARI!$C$5="",ISNUMBER(SEARCH(CARI!$C$5,$B28&amp;" "&amp;$C28&amp;" "&amp;$I28&amp;" "&amp;$J28&amp;" "&amp;$Q28))),OR(CARI!$C$6="",$E28=CARI!$C$6),OR(CARI!$C$7="",$F28=CARI!$C$7),OR(CARI!$C$8="",$O28=CARI!$C$8)),MAX($U$3:U27)+1,""))</f>
        <v/>
      </c>
      <c r="V28" s="40" t="str">
        <f aca="false">IF($T28="","",MAX($V$3:V27)+1)</f>
        <v/>
      </c>
      <c r="W28" s="40" t="str">
        <f aca="false">IF($E28="","",$E28&amp;"#"&amp;COUNTIF($E$4:$E28,$E28))</f>
        <v/>
      </c>
      <c r="X28" s="40" t="str">
        <f aca="false">IF($B28="","",IF(AND(OR(CETAK!$J$10="",$E28=CETAK!$J$10),OR(CETAK!$J$11="",$F28=CETAK!$J$11),OR(CETAK!$J$12="",$K28=CETAK!$J$12),OR(CETAK!$J$13="",$H28=CETAK!$J$13),OR(CETAK!$J$14="",$O28=CETAK!$J$14)),MAX($X$3:X27)+1,""))</f>
        <v/>
      </c>
      <c r="Y28" s="40" t="str">
        <f aca="false">IF($B28="","",IF(AND(OR(ABSENSI!$H$10="",$E28=ABSENSI!$H$10),OR(ABSENSI!$H$11="",$F28=ABSENSI!$H$11),OR(ABSENSI!$H$12="",$K28=ABSENSI!$H$12)),MAX($Y$3:Y27)+1,""))</f>
        <v/>
      </c>
      <c r="Z28" s="40" t="str">
        <f aca="false">IF($B28="","",IF(AND(OR(KARTU!$K$6="",$E28=KARTU!$K$6),OR(KARTU!$K$7="",$F28=KARTU!$K$7),OR(KARTU!$K$8="",$K28=KARTU!$K$8)),MAX($Z$3:Z27)+1,""))</f>
        <v/>
      </c>
    </row>
    <row r="29" customFormat="false" ht="15" hidden="false" customHeight="false" outlineLevel="0" collapsed="false">
      <c r="A29" s="36" t="str">
        <f aca="false">IF($B29="","",COUNTA($B$4:$B29))</f>
        <v/>
      </c>
      <c r="B29" s="37"/>
      <c r="C29" s="38"/>
      <c r="D29" s="39"/>
      <c r="E29" s="37"/>
      <c r="F29" s="39"/>
      <c r="G29" s="40" t="str">
        <f aca="false">IF(OR($E29="",$F29=""),"",$E29&amp;" - RT "&amp;$F29)</f>
        <v/>
      </c>
      <c r="H29" s="37"/>
      <c r="I29" s="38"/>
      <c r="J29" s="37"/>
      <c r="K29" s="39"/>
      <c r="L29" s="41"/>
      <c r="M29" s="36" t="str">
        <f aca="true">IF(OR($B29="",$L29=""),"",DATEDIF($L29,TODAY(),"Y"))</f>
        <v/>
      </c>
      <c r="N29" s="40" t="str">
        <f aca="false">IF($M29="","",INDEX(usia_label,MATCH($M29,usia_min,1)))</f>
        <v/>
      </c>
      <c r="O29" s="37"/>
      <c r="P29" s="41"/>
      <c r="Q29" s="37"/>
      <c r="R29" s="37"/>
      <c r="S29" s="40" t="str">
        <f aca="false">IF($G29="","",$G29&amp;"#"&amp;COUNTIF($G$4:$G29,$G29))</f>
        <v/>
      </c>
      <c r="T29" s="40" t="str">
        <f aca="false">IF($B29="","",IF($C29="","NIK kosong",IF(LEN($C29)&lt;&gt;16,"NIK bukan 16 digit",IF(COUNTIF($C$4:$C$2003,$C29&amp;"*")&gt;1,"NIK ganda",IF($E29="","Kadus kosong",IF($F29="","RT kosong",IF($H29="","Jabatan kosong",IF($I29="","No. HP kosong",IF($J29="","Alamat kosong",IF(AND($M29&lt;&gt;"",$M29&lt;17),"Usia di bawah 17",""))))))))))</f>
        <v/>
      </c>
      <c r="U29" s="40" t="str">
        <f aca="false">IF($B29="","",IF(AND(OR(CARI!$C$5="",ISNUMBER(SEARCH(CARI!$C$5,$B29&amp;" "&amp;$C29&amp;" "&amp;$I29&amp;" "&amp;$J29&amp;" "&amp;$Q29))),OR(CARI!$C$6="",$E29=CARI!$C$6),OR(CARI!$C$7="",$F29=CARI!$C$7),OR(CARI!$C$8="",$O29=CARI!$C$8)),MAX($U$3:U28)+1,""))</f>
        <v/>
      </c>
      <c r="V29" s="40" t="str">
        <f aca="false">IF($T29="","",MAX($V$3:V28)+1)</f>
        <v/>
      </c>
      <c r="W29" s="40" t="str">
        <f aca="false">IF($E29="","",$E29&amp;"#"&amp;COUNTIF($E$4:$E29,$E29))</f>
        <v/>
      </c>
      <c r="X29" s="40" t="str">
        <f aca="false">IF($B29="","",IF(AND(OR(CETAK!$J$10="",$E29=CETAK!$J$10),OR(CETAK!$J$11="",$F29=CETAK!$J$11),OR(CETAK!$J$12="",$K29=CETAK!$J$12),OR(CETAK!$J$13="",$H29=CETAK!$J$13),OR(CETAK!$J$14="",$O29=CETAK!$J$14)),MAX($X$3:X28)+1,""))</f>
        <v/>
      </c>
      <c r="Y29" s="40" t="str">
        <f aca="false">IF($B29="","",IF(AND(OR(ABSENSI!$H$10="",$E29=ABSENSI!$H$10),OR(ABSENSI!$H$11="",$F29=ABSENSI!$H$11),OR(ABSENSI!$H$12="",$K29=ABSENSI!$H$12)),MAX($Y$3:Y28)+1,""))</f>
        <v/>
      </c>
      <c r="Z29" s="40" t="str">
        <f aca="false">IF($B29="","",IF(AND(OR(KARTU!$K$6="",$E29=KARTU!$K$6),OR(KARTU!$K$7="",$F29=KARTU!$K$7),OR(KARTU!$K$8="",$K29=KARTU!$K$8)),MAX($Z$3:Z28)+1,""))</f>
        <v/>
      </c>
    </row>
    <row r="30" customFormat="false" ht="15" hidden="false" customHeight="false" outlineLevel="0" collapsed="false">
      <c r="A30" s="36" t="str">
        <f aca="false">IF($B30="","",COUNTA($B$4:$B30))</f>
        <v/>
      </c>
      <c r="B30" s="37"/>
      <c r="C30" s="38"/>
      <c r="D30" s="39"/>
      <c r="E30" s="37"/>
      <c r="F30" s="39"/>
      <c r="G30" s="40" t="str">
        <f aca="false">IF(OR($E30="",$F30=""),"",$E30&amp;" - RT "&amp;$F30)</f>
        <v/>
      </c>
      <c r="H30" s="37"/>
      <c r="I30" s="38"/>
      <c r="J30" s="37"/>
      <c r="K30" s="39"/>
      <c r="L30" s="41"/>
      <c r="M30" s="36" t="str">
        <f aca="true">IF(OR($B30="",$L30=""),"",DATEDIF($L30,TODAY(),"Y"))</f>
        <v/>
      </c>
      <c r="N30" s="40" t="str">
        <f aca="false">IF($M30="","",INDEX(usia_label,MATCH($M30,usia_min,1)))</f>
        <v/>
      </c>
      <c r="O30" s="37"/>
      <c r="P30" s="41"/>
      <c r="Q30" s="37"/>
      <c r="R30" s="37"/>
      <c r="S30" s="40" t="str">
        <f aca="false">IF($G30="","",$G30&amp;"#"&amp;COUNTIF($G$4:$G30,$G30))</f>
        <v/>
      </c>
      <c r="T30" s="40" t="str">
        <f aca="false">IF($B30="","",IF($C30="","NIK kosong",IF(LEN($C30)&lt;&gt;16,"NIK bukan 16 digit",IF(COUNTIF($C$4:$C$2003,$C30&amp;"*")&gt;1,"NIK ganda",IF($E30="","Kadus kosong",IF($F30="","RT kosong",IF($H30="","Jabatan kosong",IF($I30="","No. HP kosong",IF($J30="","Alamat kosong",IF(AND($M30&lt;&gt;"",$M30&lt;17),"Usia di bawah 17",""))))))))))</f>
        <v/>
      </c>
      <c r="U30" s="40" t="str">
        <f aca="false">IF($B30="","",IF(AND(OR(CARI!$C$5="",ISNUMBER(SEARCH(CARI!$C$5,$B30&amp;" "&amp;$C30&amp;" "&amp;$I30&amp;" "&amp;$J30&amp;" "&amp;$Q30))),OR(CARI!$C$6="",$E30=CARI!$C$6),OR(CARI!$C$7="",$F30=CARI!$C$7),OR(CARI!$C$8="",$O30=CARI!$C$8)),MAX($U$3:U29)+1,""))</f>
        <v/>
      </c>
      <c r="V30" s="40" t="str">
        <f aca="false">IF($T30="","",MAX($V$3:V29)+1)</f>
        <v/>
      </c>
      <c r="W30" s="40" t="str">
        <f aca="false">IF($E30="","",$E30&amp;"#"&amp;COUNTIF($E$4:$E30,$E30))</f>
        <v/>
      </c>
      <c r="X30" s="40" t="str">
        <f aca="false">IF($B30="","",IF(AND(OR(CETAK!$J$10="",$E30=CETAK!$J$10),OR(CETAK!$J$11="",$F30=CETAK!$J$11),OR(CETAK!$J$12="",$K30=CETAK!$J$12),OR(CETAK!$J$13="",$H30=CETAK!$J$13),OR(CETAK!$J$14="",$O30=CETAK!$J$14)),MAX($X$3:X29)+1,""))</f>
        <v/>
      </c>
      <c r="Y30" s="40" t="str">
        <f aca="false">IF($B30="","",IF(AND(OR(ABSENSI!$H$10="",$E30=ABSENSI!$H$10),OR(ABSENSI!$H$11="",$F30=ABSENSI!$H$11),OR(ABSENSI!$H$12="",$K30=ABSENSI!$H$12)),MAX($Y$3:Y29)+1,""))</f>
        <v/>
      </c>
      <c r="Z30" s="40" t="str">
        <f aca="false">IF($B30="","",IF(AND(OR(KARTU!$K$6="",$E30=KARTU!$K$6),OR(KARTU!$K$7="",$F30=KARTU!$K$7),OR(KARTU!$K$8="",$K30=KARTU!$K$8)),MAX($Z$3:Z29)+1,""))</f>
        <v/>
      </c>
    </row>
    <row r="31" customFormat="false" ht="15" hidden="false" customHeight="false" outlineLevel="0" collapsed="false">
      <c r="A31" s="36" t="str">
        <f aca="false">IF($B31="","",COUNTA($B$4:$B31))</f>
        <v/>
      </c>
      <c r="B31" s="37"/>
      <c r="C31" s="38"/>
      <c r="D31" s="39"/>
      <c r="E31" s="37"/>
      <c r="F31" s="39"/>
      <c r="G31" s="40" t="str">
        <f aca="false">IF(OR($E31="",$F31=""),"",$E31&amp;" - RT "&amp;$F31)</f>
        <v/>
      </c>
      <c r="H31" s="37"/>
      <c r="I31" s="38"/>
      <c r="J31" s="37"/>
      <c r="K31" s="39"/>
      <c r="L31" s="41"/>
      <c r="M31" s="36" t="str">
        <f aca="true">IF(OR($B31="",$L31=""),"",DATEDIF($L31,TODAY(),"Y"))</f>
        <v/>
      </c>
      <c r="N31" s="40" t="str">
        <f aca="false">IF($M31="","",INDEX(usia_label,MATCH($M31,usia_min,1)))</f>
        <v/>
      </c>
      <c r="O31" s="37"/>
      <c r="P31" s="41"/>
      <c r="Q31" s="37"/>
      <c r="R31" s="37"/>
      <c r="S31" s="40" t="str">
        <f aca="false">IF($G31="","",$G31&amp;"#"&amp;COUNTIF($G$4:$G31,$G31))</f>
        <v/>
      </c>
      <c r="T31" s="40" t="str">
        <f aca="false">IF($B31="","",IF($C31="","NIK kosong",IF(LEN($C31)&lt;&gt;16,"NIK bukan 16 digit",IF(COUNTIF($C$4:$C$2003,$C31&amp;"*")&gt;1,"NIK ganda",IF($E31="","Kadus kosong",IF($F31="","RT kosong",IF($H31="","Jabatan kosong",IF($I31="","No. HP kosong",IF($J31="","Alamat kosong",IF(AND($M31&lt;&gt;"",$M31&lt;17),"Usia di bawah 17",""))))))))))</f>
        <v/>
      </c>
      <c r="U31" s="40" t="str">
        <f aca="false">IF($B31="","",IF(AND(OR(CARI!$C$5="",ISNUMBER(SEARCH(CARI!$C$5,$B31&amp;" "&amp;$C31&amp;" "&amp;$I31&amp;" "&amp;$J31&amp;" "&amp;$Q31))),OR(CARI!$C$6="",$E31=CARI!$C$6),OR(CARI!$C$7="",$F31=CARI!$C$7),OR(CARI!$C$8="",$O31=CARI!$C$8)),MAX($U$3:U30)+1,""))</f>
        <v/>
      </c>
      <c r="V31" s="40" t="str">
        <f aca="false">IF($T31="","",MAX($V$3:V30)+1)</f>
        <v/>
      </c>
      <c r="W31" s="40" t="str">
        <f aca="false">IF($E31="","",$E31&amp;"#"&amp;COUNTIF($E$4:$E31,$E31))</f>
        <v/>
      </c>
      <c r="X31" s="40" t="str">
        <f aca="false">IF($B31="","",IF(AND(OR(CETAK!$J$10="",$E31=CETAK!$J$10),OR(CETAK!$J$11="",$F31=CETAK!$J$11),OR(CETAK!$J$12="",$K31=CETAK!$J$12),OR(CETAK!$J$13="",$H31=CETAK!$J$13),OR(CETAK!$J$14="",$O31=CETAK!$J$14)),MAX($X$3:X30)+1,""))</f>
        <v/>
      </c>
      <c r="Y31" s="40" t="str">
        <f aca="false">IF($B31="","",IF(AND(OR(ABSENSI!$H$10="",$E31=ABSENSI!$H$10),OR(ABSENSI!$H$11="",$F31=ABSENSI!$H$11),OR(ABSENSI!$H$12="",$K31=ABSENSI!$H$12)),MAX($Y$3:Y30)+1,""))</f>
        <v/>
      </c>
      <c r="Z31" s="40" t="str">
        <f aca="false">IF($B31="","",IF(AND(OR(KARTU!$K$6="",$E31=KARTU!$K$6),OR(KARTU!$K$7="",$F31=KARTU!$K$7),OR(KARTU!$K$8="",$K31=KARTU!$K$8)),MAX($Z$3:Z30)+1,""))</f>
        <v/>
      </c>
    </row>
    <row r="32" customFormat="false" ht="15" hidden="false" customHeight="false" outlineLevel="0" collapsed="false">
      <c r="A32" s="36" t="str">
        <f aca="false">IF($B32="","",COUNTA($B$4:$B32))</f>
        <v/>
      </c>
      <c r="B32" s="37"/>
      <c r="C32" s="38"/>
      <c r="D32" s="39"/>
      <c r="E32" s="37"/>
      <c r="F32" s="39"/>
      <c r="G32" s="40" t="str">
        <f aca="false">IF(OR($E32="",$F32=""),"",$E32&amp;" - RT "&amp;$F32)</f>
        <v/>
      </c>
      <c r="H32" s="37"/>
      <c r="I32" s="38"/>
      <c r="J32" s="37"/>
      <c r="K32" s="39"/>
      <c r="L32" s="41"/>
      <c r="M32" s="36" t="str">
        <f aca="true">IF(OR($B32="",$L32=""),"",DATEDIF($L32,TODAY(),"Y"))</f>
        <v/>
      </c>
      <c r="N32" s="40" t="str">
        <f aca="false">IF($M32="","",INDEX(usia_label,MATCH($M32,usia_min,1)))</f>
        <v/>
      </c>
      <c r="O32" s="37"/>
      <c r="P32" s="41"/>
      <c r="Q32" s="37"/>
      <c r="R32" s="37"/>
      <c r="S32" s="40" t="str">
        <f aca="false">IF($G32="","",$G32&amp;"#"&amp;COUNTIF($G$4:$G32,$G32))</f>
        <v/>
      </c>
      <c r="T32" s="40" t="str">
        <f aca="false">IF($B32="","",IF($C32="","NIK kosong",IF(LEN($C32)&lt;&gt;16,"NIK bukan 16 digit",IF(COUNTIF($C$4:$C$2003,$C32&amp;"*")&gt;1,"NIK ganda",IF($E32="","Kadus kosong",IF($F32="","RT kosong",IF($H32="","Jabatan kosong",IF($I32="","No. HP kosong",IF($J32="","Alamat kosong",IF(AND($M32&lt;&gt;"",$M32&lt;17),"Usia di bawah 17",""))))))))))</f>
        <v/>
      </c>
      <c r="U32" s="40" t="str">
        <f aca="false">IF($B32="","",IF(AND(OR(CARI!$C$5="",ISNUMBER(SEARCH(CARI!$C$5,$B32&amp;" "&amp;$C32&amp;" "&amp;$I32&amp;" "&amp;$J32&amp;" "&amp;$Q32))),OR(CARI!$C$6="",$E32=CARI!$C$6),OR(CARI!$C$7="",$F32=CARI!$C$7),OR(CARI!$C$8="",$O32=CARI!$C$8)),MAX($U$3:U31)+1,""))</f>
        <v/>
      </c>
      <c r="V32" s="40" t="str">
        <f aca="false">IF($T32="","",MAX($V$3:V31)+1)</f>
        <v/>
      </c>
      <c r="W32" s="40" t="str">
        <f aca="false">IF($E32="","",$E32&amp;"#"&amp;COUNTIF($E$4:$E32,$E32))</f>
        <v/>
      </c>
      <c r="X32" s="40" t="str">
        <f aca="false">IF($B32="","",IF(AND(OR(CETAK!$J$10="",$E32=CETAK!$J$10),OR(CETAK!$J$11="",$F32=CETAK!$J$11),OR(CETAK!$J$12="",$K32=CETAK!$J$12),OR(CETAK!$J$13="",$H32=CETAK!$J$13),OR(CETAK!$J$14="",$O32=CETAK!$J$14)),MAX($X$3:X31)+1,""))</f>
        <v/>
      </c>
      <c r="Y32" s="40" t="str">
        <f aca="false">IF($B32="","",IF(AND(OR(ABSENSI!$H$10="",$E32=ABSENSI!$H$10),OR(ABSENSI!$H$11="",$F32=ABSENSI!$H$11),OR(ABSENSI!$H$12="",$K32=ABSENSI!$H$12)),MAX($Y$3:Y31)+1,""))</f>
        <v/>
      </c>
      <c r="Z32" s="40" t="str">
        <f aca="false">IF($B32="","",IF(AND(OR(KARTU!$K$6="",$E32=KARTU!$K$6),OR(KARTU!$K$7="",$F32=KARTU!$K$7),OR(KARTU!$K$8="",$K32=KARTU!$K$8)),MAX($Z$3:Z31)+1,""))</f>
        <v/>
      </c>
    </row>
    <row r="33" customFormat="false" ht="15" hidden="false" customHeight="false" outlineLevel="0" collapsed="false">
      <c r="A33" s="36" t="str">
        <f aca="false">IF($B33="","",COUNTA($B$4:$B33))</f>
        <v/>
      </c>
      <c r="B33" s="37"/>
      <c r="C33" s="38"/>
      <c r="D33" s="39"/>
      <c r="E33" s="37"/>
      <c r="F33" s="39"/>
      <c r="G33" s="40" t="str">
        <f aca="false">IF(OR($E33="",$F33=""),"",$E33&amp;" - RT "&amp;$F33)</f>
        <v/>
      </c>
      <c r="H33" s="37"/>
      <c r="I33" s="38"/>
      <c r="J33" s="37"/>
      <c r="K33" s="39"/>
      <c r="L33" s="41"/>
      <c r="M33" s="36" t="str">
        <f aca="true">IF(OR($B33="",$L33=""),"",DATEDIF($L33,TODAY(),"Y"))</f>
        <v/>
      </c>
      <c r="N33" s="40" t="str">
        <f aca="false">IF($M33="","",INDEX(usia_label,MATCH($M33,usia_min,1)))</f>
        <v/>
      </c>
      <c r="O33" s="37"/>
      <c r="P33" s="41"/>
      <c r="Q33" s="37"/>
      <c r="R33" s="37"/>
      <c r="S33" s="40" t="str">
        <f aca="false">IF($G33="","",$G33&amp;"#"&amp;COUNTIF($G$4:$G33,$G33))</f>
        <v/>
      </c>
      <c r="T33" s="40" t="str">
        <f aca="false">IF($B33="","",IF($C33="","NIK kosong",IF(LEN($C33)&lt;&gt;16,"NIK bukan 16 digit",IF(COUNTIF($C$4:$C$2003,$C33&amp;"*")&gt;1,"NIK ganda",IF($E33="","Kadus kosong",IF($F33="","RT kosong",IF($H33="","Jabatan kosong",IF($I33="","No. HP kosong",IF($J33="","Alamat kosong",IF(AND($M33&lt;&gt;"",$M33&lt;17),"Usia di bawah 17",""))))))))))</f>
        <v/>
      </c>
      <c r="U33" s="40" t="str">
        <f aca="false">IF($B33="","",IF(AND(OR(CARI!$C$5="",ISNUMBER(SEARCH(CARI!$C$5,$B33&amp;" "&amp;$C33&amp;" "&amp;$I33&amp;" "&amp;$J33&amp;" "&amp;$Q33))),OR(CARI!$C$6="",$E33=CARI!$C$6),OR(CARI!$C$7="",$F33=CARI!$C$7),OR(CARI!$C$8="",$O33=CARI!$C$8)),MAX($U$3:U32)+1,""))</f>
        <v/>
      </c>
      <c r="V33" s="40" t="str">
        <f aca="false">IF($T33="","",MAX($V$3:V32)+1)</f>
        <v/>
      </c>
      <c r="W33" s="40" t="str">
        <f aca="false">IF($E33="","",$E33&amp;"#"&amp;COUNTIF($E$4:$E33,$E33))</f>
        <v/>
      </c>
      <c r="X33" s="40" t="str">
        <f aca="false">IF($B33="","",IF(AND(OR(CETAK!$J$10="",$E33=CETAK!$J$10),OR(CETAK!$J$11="",$F33=CETAK!$J$11),OR(CETAK!$J$12="",$K33=CETAK!$J$12),OR(CETAK!$J$13="",$H33=CETAK!$J$13),OR(CETAK!$J$14="",$O33=CETAK!$J$14)),MAX($X$3:X32)+1,""))</f>
        <v/>
      </c>
      <c r="Y33" s="40" t="str">
        <f aca="false">IF($B33="","",IF(AND(OR(ABSENSI!$H$10="",$E33=ABSENSI!$H$10),OR(ABSENSI!$H$11="",$F33=ABSENSI!$H$11),OR(ABSENSI!$H$12="",$K33=ABSENSI!$H$12)),MAX($Y$3:Y32)+1,""))</f>
        <v/>
      </c>
      <c r="Z33" s="40" t="str">
        <f aca="false">IF($B33="","",IF(AND(OR(KARTU!$K$6="",$E33=KARTU!$K$6),OR(KARTU!$K$7="",$F33=KARTU!$K$7),OR(KARTU!$K$8="",$K33=KARTU!$K$8)),MAX($Z$3:Z32)+1,""))</f>
        <v/>
      </c>
    </row>
    <row r="34" customFormat="false" ht="15" hidden="false" customHeight="false" outlineLevel="0" collapsed="false">
      <c r="A34" s="36" t="str">
        <f aca="false">IF($B34="","",COUNTA($B$4:$B34))</f>
        <v/>
      </c>
      <c r="B34" s="37"/>
      <c r="C34" s="38"/>
      <c r="D34" s="39"/>
      <c r="E34" s="37"/>
      <c r="F34" s="39"/>
      <c r="G34" s="40" t="str">
        <f aca="false">IF(OR($E34="",$F34=""),"",$E34&amp;" - RT "&amp;$F34)</f>
        <v/>
      </c>
      <c r="H34" s="37"/>
      <c r="I34" s="38"/>
      <c r="J34" s="37"/>
      <c r="K34" s="39"/>
      <c r="L34" s="41"/>
      <c r="M34" s="36" t="str">
        <f aca="true">IF(OR($B34="",$L34=""),"",DATEDIF($L34,TODAY(),"Y"))</f>
        <v/>
      </c>
      <c r="N34" s="40" t="str">
        <f aca="false">IF($M34="","",INDEX(usia_label,MATCH($M34,usia_min,1)))</f>
        <v/>
      </c>
      <c r="O34" s="37"/>
      <c r="P34" s="41"/>
      <c r="Q34" s="37"/>
      <c r="R34" s="37"/>
      <c r="S34" s="40" t="str">
        <f aca="false">IF($G34="","",$G34&amp;"#"&amp;COUNTIF($G$4:$G34,$G34))</f>
        <v/>
      </c>
      <c r="T34" s="40" t="str">
        <f aca="false">IF($B34="","",IF($C34="","NIK kosong",IF(LEN($C34)&lt;&gt;16,"NIK bukan 16 digit",IF(COUNTIF($C$4:$C$2003,$C34&amp;"*")&gt;1,"NIK ganda",IF($E34="","Kadus kosong",IF($F34="","RT kosong",IF($H34="","Jabatan kosong",IF($I34="","No. HP kosong",IF($J34="","Alamat kosong",IF(AND($M34&lt;&gt;"",$M34&lt;17),"Usia di bawah 17",""))))))))))</f>
        <v/>
      </c>
      <c r="U34" s="40" t="str">
        <f aca="false">IF($B34="","",IF(AND(OR(CARI!$C$5="",ISNUMBER(SEARCH(CARI!$C$5,$B34&amp;" "&amp;$C34&amp;" "&amp;$I34&amp;" "&amp;$J34&amp;" "&amp;$Q34))),OR(CARI!$C$6="",$E34=CARI!$C$6),OR(CARI!$C$7="",$F34=CARI!$C$7),OR(CARI!$C$8="",$O34=CARI!$C$8)),MAX($U$3:U33)+1,""))</f>
        <v/>
      </c>
      <c r="V34" s="40" t="str">
        <f aca="false">IF($T34="","",MAX($V$3:V33)+1)</f>
        <v/>
      </c>
      <c r="W34" s="40" t="str">
        <f aca="false">IF($E34="","",$E34&amp;"#"&amp;COUNTIF($E$4:$E34,$E34))</f>
        <v/>
      </c>
      <c r="X34" s="40" t="str">
        <f aca="false">IF($B34="","",IF(AND(OR(CETAK!$J$10="",$E34=CETAK!$J$10),OR(CETAK!$J$11="",$F34=CETAK!$J$11),OR(CETAK!$J$12="",$K34=CETAK!$J$12),OR(CETAK!$J$13="",$H34=CETAK!$J$13),OR(CETAK!$J$14="",$O34=CETAK!$J$14)),MAX($X$3:X33)+1,""))</f>
        <v/>
      </c>
      <c r="Y34" s="40" t="str">
        <f aca="false">IF($B34="","",IF(AND(OR(ABSENSI!$H$10="",$E34=ABSENSI!$H$10),OR(ABSENSI!$H$11="",$F34=ABSENSI!$H$11),OR(ABSENSI!$H$12="",$K34=ABSENSI!$H$12)),MAX($Y$3:Y33)+1,""))</f>
        <v/>
      </c>
      <c r="Z34" s="40" t="str">
        <f aca="false">IF($B34="","",IF(AND(OR(KARTU!$K$6="",$E34=KARTU!$K$6),OR(KARTU!$K$7="",$F34=KARTU!$K$7),OR(KARTU!$K$8="",$K34=KARTU!$K$8)),MAX($Z$3:Z33)+1,""))</f>
        <v/>
      </c>
    </row>
    <row r="35" customFormat="false" ht="15" hidden="false" customHeight="false" outlineLevel="0" collapsed="false">
      <c r="A35" s="36" t="str">
        <f aca="false">IF($B35="","",COUNTA($B$4:$B35))</f>
        <v/>
      </c>
      <c r="B35" s="37"/>
      <c r="C35" s="38"/>
      <c r="D35" s="39"/>
      <c r="E35" s="37"/>
      <c r="F35" s="39"/>
      <c r="G35" s="40" t="str">
        <f aca="false">IF(OR($E35="",$F35=""),"",$E35&amp;" - RT "&amp;$F35)</f>
        <v/>
      </c>
      <c r="H35" s="37"/>
      <c r="I35" s="38"/>
      <c r="J35" s="37"/>
      <c r="K35" s="39"/>
      <c r="L35" s="41"/>
      <c r="M35" s="36" t="str">
        <f aca="true">IF(OR($B35="",$L35=""),"",DATEDIF($L35,TODAY(),"Y"))</f>
        <v/>
      </c>
      <c r="N35" s="40" t="str">
        <f aca="false">IF($M35="","",INDEX(usia_label,MATCH($M35,usia_min,1)))</f>
        <v/>
      </c>
      <c r="O35" s="37"/>
      <c r="P35" s="41"/>
      <c r="Q35" s="37"/>
      <c r="R35" s="37"/>
      <c r="S35" s="40" t="str">
        <f aca="false">IF($G35="","",$G35&amp;"#"&amp;COUNTIF($G$4:$G35,$G35))</f>
        <v/>
      </c>
      <c r="T35" s="40" t="str">
        <f aca="false">IF($B35="","",IF($C35="","NIK kosong",IF(LEN($C35)&lt;&gt;16,"NIK bukan 16 digit",IF(COUNTIF($C$4:$C$2003,$C35&amp;"*")&gt;1,"NIK ganda",IF($E35="","Kadus kosong",IF($F35="","RT kosong",IF($H35="","Jabatan kosong",IF($I35="","No. HP kosong",IF($J35="","Alamat kosong",IF(AND($M35&lt;&gt;"",$M35&lt;17),"Usia di bawah 17",""))))))))))</f>
        <v/>
      </c>
      <c r="U35" s="40" t="str">
        <f aca="false">IF($B35="","",IF(AND(OR(CARI!$C$5="",ISNUMBER(SEARCH(CARI!$C$5,$B35&amp;" "&amp;$C35&amp;" "&amp;$I35&amp;" "&amp;$J35&amp;" "&amp;$Q35))),OR(CARI!$C$6="",$E35=CARI!$C$6),OR(CARI!$C$7="",$F35=CARI!$C$7),OR(CARI!$C$8="",$O35=CARI!$C$8)),MAX($U$3:U34)+1,""))</f>
        <v/>
      </c>
      <c r="V35" s="40" t="str">
        <f aca="false">IF($T35="","",MAX($V$3:V34)+1)</f>
        <v/>
      </c>
      <c r="W35" s="40" t="str">
        <f aca="false">IF($E35="","",$E35&amp;"#"&amp;COUNTIF($E$4:$E35,$E35))</f>
        <v/>
      </c>
      <c r="X35" s="40" t="str">
        <f aca="false">IF($B35="","",IF(AND(OR(CETAK!$J$10="",$E35=CETAK!$J$10),OR(CETAK!$J$11="",$F35=CETAK!$J$11),OR(CETAK!$J$12="",$K35=CETAK!$J$12),OR(CETAK!$J$13="",$H35=CETAK!$J$13),OR(CETAK!$J$14="",$O35=CETAK!$J$14)),MAX($X$3:X34)+1,""))</f>
        <v/>
      </c>
      <c r="Y35" s="40" t="str">
        <f aca="false">IF($B35="","",IF(AND(OR(ABSENSI!$H$10="",$E35=ABSENSI!$H$10),OR(ABSENSI!$H$11="",$F35=ABSENSI!$H$11),OR(ABSENSI!$H$12="",$K35=ABSENSI!$H$12)),MAX($Y$3:Y34)+1,""))</f>
        <v/>
      </c>
      <c r="Z35" s="40" t="str">
        <f aca="false">IF($B35="","",IF(AND(OR(KARTU!$K$6="",$E35=KARTU!$K$6),OR(KARTU!$K$7="",$F35=KARTU!$K$7),OR(KARTU!$K$8="",$K35=KARTU!$K$8)),MAX($Z$3:Z34)+1,""))</f>
        <v/>
      </c>
    </row>
    <row r="36" customFormat="false" ht="15" hidden="false" customHeight="false" outlineLevel="0" collapsed="false">
      <c r="A36" s="36" t="str">
        <f aca="false">IF($B36="","",COUNTA($B$4:$B36))</f>
        <v/>
      </c>
      <c r="B36" s="37"/>
      <c r="C36" s="38"/>
      <c r="D36" s="39"/>
      <c r="E36" s="37"/>
      <c r="F36" s="39"/>
      <c r="G36" s="40" t="str">
        <f aca="false">IF(OR($E36="",$F36=""),"",$E36&amp;" - RT "&amp;$F36)</f>
        <v/>
      </c>
      <c r="H36" s="37"/>
      <c r="I36" s="38"/>
      <c r="J36" s="37"/>
      <c r="K36" s="39"/>
      <c r="L36" s="41"/>
      <c r="M36" s="36" t="str">
        <f aca="true">IF(OR($B36="",$L36=""),"",DATEDIF($L36,TODAY(),"Y"))</f>
        <v/>
      </c>
      <c r="N36" s="40" t="str">
        <f aca="false">IF($M36="","",INDEX(usia_label,MATCH($M36,usia_min,1)))</f>
        <v/>
      </c>
      <c r="O36" s="37"/>
      <c r="P36" s="41"/>
      <c r="Q36" s="37"/>
      <c r="R36" s="37"/>
      <c r="S36" s="40" t="str">
        <f aca="false">IF($G36="","",$G36&amp;"#"&amp;COUNTIF($G$4:$G36,$G36))</f>
        <v/>
      </c>
      <c r="T36" s="40" t="str">
        <f aca="false">IF($B36="","",IF($C36="","NIK kosong",IF(LEN($C36)&lt;&gt;16,"NIK bukan 16 digit",IF(COUNTIF($C$4:$C$2003,$C36&amp;"*")&gt;1,"NIK ganda",IF($E36="","Kadus kosong",IF($F36="","RT kosong",IF($H36="","Jabatan kosong",IF($I36="","No. HP kosong",IF($J36="","Alamat kosong",IF(AND($M36&lt;&gt;"",$M36&lt;17),"Usia di bawah 17",""))))))))))</f>
        <v/>
      </c>
      <c r="U36" s="40" t="str">
        <f aca="false">IF($B36="","",IF(AND(OR(CARI!$C$5="",ISNUMBER(SEARCH(CARI!$C$5,$B36&amp;" "&amp;$C36&amp;" "&amp;$I36&amp;" "&amp;$J36&amp;" "&amp;$Q36))),OR(CARI!$C$6="",$E36=CARI!$C$6),OR(CARI!$C$7="",$F36=CARI!$C$7),OR(CARI!$C$8="",$O36=CARI!$C$8)),MAX($U$3:U35)+1,""))</f>
        <v/>
      </c>
      <c r="V36" s="40" t="str">
        <f aca="false">IF($T36="","",MAX($V$3:V35)+1)</f>
        <v/>
      </c>
      <c r="W36" s="40" t="str">
        <f aca="false">IF($E36="","",$E36&amp;"#"&amp;COUNTIF($E$4:$E36,$E36))</f>
        <v/>
      </c>
      <c r="X36" s="40" t="str">
        <f aca="false">IF($B36="","",IF(AND(OR(CETAK!$J$10="",$E36=CETAK!$J$10),OR(CETAK!$J$11="",$F36=CETAK!$J$11),OR(CETAK!$J$12="",$K36=CETAK!$J$12),OR(CETAK!$J$13="",$H36=CETAK!$J$13),OR(CETAK!$J$14="",$O36=CETAK!$J$14)),MAX($X$3:X35)+1,""))</f>
        <v/>
      </c>
      <c r="Y36" s="40" t="str">
        <f aca="false">IF($B36="","",IF(AND(OR(ABSENSI!$H$10="",$E36=ABSENSI!$H$10),OR(ABSENSI!$H$11="",$F36=ABSENSI!$H$11),OR(ABSENSI!$H$12="",$K36=ABSENSI!$H$12)),MAX($Y$3:Y35)+1,""))</f>
        <v/>
      </c>
      <c r="Z36" s="40" t="str">
        <f aca="false">IF($B36="","",IF(AND(OR(KARTU!$K$6="",$E36=KARTU!$K$6),OR(KARTU!$K$7="",$F36=KARTU!$K$7),OR(KARTU!$K$8="",$K36=KARTU!$K$8)),MAX($Z$3:Z35)+1,""))</f>
        <v/>
      </c>
    </row>
    <row r="37" customFormat="false" ht="15" hidden="false" customHeight="false" outlineLevel="0" collapsed="false">
      <c r="A37" s="36" t="str">
        <f aca="false">IF($B37="","",COUNTA($B$4:$B37))</f>
        <v/>
      </c>
      <c r="B37" s="37"/>
      <c r="C37" s="38"/>
      <c r="D37" s="39"/>
      <c r="E37" s="37"/>
      <c r="F37" s="39"/>
      <c r="G37" s="40" t="str">
        <f aca="false">IF(OR($E37="",$F37=""),"",$E37&amp;" - RT "&amp;$F37)</f>
        <v/>
      </c>
      <c r="H37" s="37"/>
      <c r="I37" s="38"/>
      <c r="J37" s="37"/>
      <c r="K37" s="39"/>
      <c r="L37" s="41"/>
      <c r="M37" s="36" t="str">
        <f aca="true">IF(OR($B37="",$L37=""),"",DATEDIF($L37,TODAY(),"Y"))</f>
        <v/>
      </c>
      <c r="N37" s="40" t="str">
        <f aca="false">IF($M37="","",INDEX(usia_label,MATCH($M37,usia_min,1)))</f>
        <v/>
      </c>
      <c r="O37" s="37"/>
      <c r="P37" s="41"/>
      <c r="Q37" s="37"/>
      <c r="R37" s="37"/>
      <c r="S37" s="40" t="str">
        <f aca="false">IF($G37="","",$G37&amp;"#"&amp;COUNTIF($G$4:$G37,$G37))</f>
        <v/>
      </c>
      <c r="T37" s="40" t="str">
        <f aca="false">IF($B37="","",IF($C37="","NIK kosong",IF(LEN($C37)&lt;&gt;16,"NIK bukan 16 digit",IF(COUNTIF($C$4:$C$2003,$C37&amp;"*")&gt;1,"NIK ganda",IF($E37="","Kadus kosong",IF($F37="","RT kosong",IF($H37="","Jabatan kosong",IF($I37="","No. HP kosong",IF($J37="","Alamat kosong",IF(AND($M37&lt;&gt;"",$M37&lt;17),"Usia di bawah 17",""))))))))))</f>
        <v/>
      </c>
      <c r="U37" s="40" t="str">
        <f aca="false">IF($B37="","",IF(AND(OR(CARI!$C$5="",ISNUMBER(SEARCH(CARI!$C$5,$B37&amp;" "&amp;$C37&amp;" "&amp;$I37&amp;" "&amp;$J37&amp;" "&amp;$Q37))),OR(CARI!$C$6="",$E37=CARI!$C$6),OR(CARI!$C$7="",$F37=CARI!$C$7),OR(CARI!$C$8="",$O37=CARI!$C$8)),MAX($U$3:U36)+1,""))</f>
        <v/>
      </c>
      <c r="V37" s="40" t="str">
        <f aca="false">IF($T37="","",MAX($V$3:V36)+1)</f>
        <v/>
      </c>
      <c r="W37" s="40" t="str">
        <f aca="false">IF($E37="","",$E37&amp;"#"&amp;COUNTIF($E$4:$E37,$E37))</f>
        <v/>
      </c>
      <c r="X37" s="40" t="str">
        <f aca="false">IF($B37="","",IF(AND(OR(CETAK!$J$10="",$E37=CETAK!$J$10),OR(CETAK!$J$11="",$F37=CETAK!$J$11),OR(CETAK!$J$12="",$K37=CETAK!$J$12),OR(CETAK!$J$13="",$H37=CETAK!$J$13),OR(CETAK!$J$14="",$O37=CETAK!$J$14)),MAX($X$3:X36)+1,""))</f>
        <v/>
      </c>
      <c r="Y37" s="40" t="str">
        <f aca="false">IF($B37="","",IF(AND(OR(ABSENSI!$H$10="",$E37=ABSENSI!$H$10),OR(ABSENSI!$H$11="",$F37=ABSENSI!$H$11),OR(ABSENSI!$H$12="",$K37=ABSENSI!$H$12)),MAX($Y$3:Y36)+1,""))</f>
        <v/>
      </c>
      <c r="Z37" s="40" t="str">
        <f aca="false">IF($B37="","",IF(AND(OR(KARTU!$K$6="",$E37=KARTU!$K$6),OR(KARTU!$K$7="",$F37=KARTU!$K$7),OR(KARTU!$K$8="",$K37=KARTU!$K$8)),MAX($Z$3:Z36)+1,""))</f>
        <v/>
      </c>
    </row>
    <row r="38" customFormat="false" ht="15" hidden="false" customHeight="false" outlineLevel="0" collapsed="false">
      <c r="A38" s="36" t="str">
        <f aca="false">IF($B38="","",COUNTA($B$4:$B38))</f>
        <v/>
      </c>
      <c r="B38" s="37"/>
      <c r="C38" s="38"/>
      <c r="D38" s="39"/>
      <c r="E38" s="37"/>
      <c r="F38" s="39"/>
      <c r="G38" s="40" t="str">
        <f aca="false">IF(OR($E38="",$F38=""),"",$E38&amp;" - RT "&amp;$F38)</f>
        <v/>
      </c>
      <c r="H38" s="37"/>
      <c r="I38" s="38"/>
      <c r="J38" s="37"/>
      <c r="K38" s="39"/>
      <c r="L38" s="41"/>
      <c r="M38" s="36" t="str">
        <f aca="true">IF(OR($B38="",$L38=""),"",DATEDIF($L38,TODAY(),"Y"))</f>
        <v/>
      </c>
      <c r="N38" s="40" t="str">
        <f aca="false">IF($M38="","",INDEX(usia_label,MATCH($M38,usia_min,1)))</f>
        <v/>
      </c>
      <c r="O38" s="37"/>
      <c r="P38" s="41"/>
      <c r="Q38" s="37"/>
      <c r="R38" s="37"/>
      <c r="S38" s="40" t="str">
        <f aca="false">IF($G38="","",$G38&amp;"#"&amp;COUNTIF($G$4:$G38,$G38))</f>
        <v/>
      </c>
      <c r="T38" s="40" t="str">
        <f aca="false">IF($B38="","",IF($C38="","NIK kosong",IF(LEN($C38)&lt;&gt;16,"NIK bukan 16 digit",IF(COUNTIF($C$4:$C$2003,$C38&amp;"*")&gt;1,"NIK ganda",IF($E38="","Kadus kosong",IF($F38="","RT kosong",IF($H38="","Jabatan kosong",IF($I38="","No. HP kosong",IF($J38="","Alamat kosong",IF(AND($M38&lt;&gt;"",$M38&lt;17),"Usia di bawah 17",""))))))))))</f>
        <v/>
      </c>
      <c r="U38" s="40" t="str">
        <f aca="false">IF($B38="","",IF(AND(OR(CARI!$C$5="",ISNUMBER(SEARCH(CARI!$C$5,$B38&amp;" "&amp;$C38&amp;" "&amp;$I38&amp;" "&amp;$J38&amp;" "&amp;$Q38))),OR(CARI!$C$6="",$E38=CARI!$C$6),OR(CARI!$C$7="",$F38=CARI!$C$7),OR(CARI!$C$8="",$O38=CARI!$C$8)),MAX($U$3:U37)+1,""))</f>
        <v/>
      </c>
      <c r="V38" s="40" t="str">
        <f aca="false">IF($T38="","",MAX($V$3:V37)+1)</f>
        <v/>
      </c>
      <c r="W38" s="40" t="str">
        <f aca="false">IF($E38="","",$E38&amp;"#"&amp;COUNTIF($E$4:$E38,$E38))</f>
        <v/>
      </c>
      <c r="X38" s="40" t="str">
        <f aca="false">IF($B38="","",IF(AND(OR(CETAK!$J$10="",$E38=CETAK!$J$10),OR(CETAK!$J$11="",$F38=CETAK!$J$11),OR(CETAK!$J$12="",$K38=CETAK!$J$12),OR(CETAK!$J$13="",$H38=CETAK!$J$13),OR(CETAK!$J$14="",$O38=CETAK!$J$14)),MAX($X$3:X37)+1,""))</f>
        <v/>
      </c>
      <c r="Y38" s="40" t="str">
        <f aca="false">IF($B38="","",IF(AND(OR(ABSENSI!$H$10="",$E38=ABSENSI!$H$10),OR(ABSENSI!$H$11="",$F38=ABSENSI!$H$11),OR(ABSENSI!$H$12="",$K38=ABSENSI!$H$12)),MAX($Y$3:Y37)+1,""))</f>
        <v/>
      </c>
      <c r="Z38" s="40" t="str">
        <f aca="false">IF($B38="","",IF(AND(OR(KARTU!$K$6="",$E38=KARTU!$K$6),OR(KARTU!$K$7="",$F38=KARTU!$K$7),OR(KARTU!$K$8="",$K38=KARTU!$K$8)),MAX($Z$3:Z37)+1,""))</f>
        <v/>
      </c>
    </row>
    <row r="39" customFormat="false" ht="15" hidden="false" customHeight="false" outlineLevel="0" collapsed="false">
      <c r="A39" s="36" t="str">
        <f aca="false">IF($B39="","",COUNTA($B$4:$B39))</f>
        <v/>
      </c>
      <c r="B39" s="37"/>
      <c r="C39" s="38"/>
      <c r="D39" s="39"/>
      <c r="E39" s="37"/>
      <c r="F39" s="39"/>
      <c r="G39" s="40" t="str">
        <f aca="false">IF(OR($E39="",$F39=""),"",$E39&amp;" - RT "&amp;$F39)</f>
        <v/>
      </c>
      <c r="H39" s="37"/>
      <c r="I39" s="38"/>
      <c r="J39" s="37"/>
      <c r="K39" s="39"/>
      <c r="L39" s="41"/>
      <c r="M39" s="36" t="str">
        <f aca="true">IF(OR($B39="",$L39=""),"",DATEDIF($L39,TODAY(),"Y"))</f>
        <v/>
      </c>
      <c r="N39" s="40" t="str">
        <f aca="false">IF($M39="","",INDEX(usia_label,MATCH($M39,usia_min,1)))</f>
        <v/>
      </c>
      <c r="O39" s="37"/>
      <c r="P39" s="41"/>
      <c r="Q39" s="37"/>
      <c r="R39" s="37"/>
      <c r="S39" s="40" t="str">
        <f aca="false">IF($G39="","",$G39&amp;"#"&amp;COUNTIF($G$4:$G39,$G39))</f>
        <v/>
      </c>
      <c r="T39" s="40" t="str">
        <f aca="false">IF($B39="","",IF($C39="","NIK kosong",IF(LEN($C39)&lt;&gt;16,"NIK bukan 16 digit",IF(COUNTIF($C$4:$C$2003,$C39&amp;"*")&gt;1,"NIK ganda",IF($E39="","Kadus kosong",IF($F39="","RT kosong",IF($H39="","Jabatan kosong",IF($I39="","No. HP kosong",IF($J39="","Alamat kosong",IF(AND($M39&lt;&gt;"",$M39&lt;17),"Usia di bawah 17",""))))))))))</f>
        <v/>
      </c>
      <c r="U39" s="40" t="str">
        <f aca="false">IF($B39="","",IF(AND(OR(CARI!$C$5="",ISNUMBER(SEARCH(CARI!$C$5,$B39&amp;" "&amp;$C39&amp;" "&amp;$I39&amp;" "&amp;$J39&amp;" "&amp;$Q39))),OR(CARI!$C$6="",$E39=CARI!$C$6),OR(CARI!$C$7="",$F39=CARI!$C$7),OR(CARI!$C$8="",$O39=CARI!$C$8)),MAX($U$3:U38)+1,""))</f>
        <v/>
      </c>
      <c r="V39" s="40" t="str">
        <f aca="false">IF($T39="","",MAX($V$3:V38)+1)</f>
        <v/>
      </c>
      <c r="W39" s="40" t="str">
        <f aca="false">IF($E39="","",$E39&amp;"#"&amp;COUNTIF($E$4:$E39,$E39))</f>
        <v/>
      </c>
      <c r="X39" s="40" t="str">
        <f aca="false">IF($B39="","",IF(AND(OR(CETAK!$J$10="",$E39=CETAK!$J$10),OR(CETAK!$J$11="",$F39=CETAK!$J$11),OR(CETAK!$J$12="",$K39=CETAK!$J$12),OR(CETAK!$J$13="",$H39=CETAK!$J$13),OR(CETAK!$J$14="",$O39=CETAK!$J$14)),MAX($X$3:X38)+1,""))</f>
        <v/>
      </c>
      <c r="Y39" s="40" t="str">
        <f aca="false">IF($B39="","",IF(AND(OR(ABSENSI!$H$10="",$E39=ABSENSI!$H$10),OR(ABSENSI!$H$11="",$F39=ABSENSI!$H$11),OR(ABSENSI!$H$12="",$K39=ABSENSI!$H$12)),MAX($Y$3:Y38)+1,""))</f>
        <v/>
      </c>
      <c r="Z39" s="40" t="str">
        <f aca="false">IF($B39="","",IF(AND(OR(KARTU!$K$6="",$E39=KARTU!$K$6),OR(KARTU!$K$7="",$F39=KARTU!$K$7),OR(KARTU!$K$8="",$K39=KARTU!$K$8)),MAX($Z$3:Z38)+1,""))</f>
        <v/>
      </c>
    </row>
    <row r="40" customFormat="false" ht="15" hidden="false" customHeight="false" outlineLevel="0" collapsed="false">
      <c r="A40" s="36" t="str">
        <f aca="false">IF($B40="","",COUNTA($B$4:$B40))</f>
        <v/>
      </c>
      <c r="B40" s="37"/>
      <c r="C40" s="38"/>
      <c r="D40" s="39"/>
      <c r="E40" s="37"/>
      <c r="F40" s="39"/>
      <c r="G40" s="40" t="str">
        <f aca="false">IF(OR($E40="",$F40=""),"",$E40&amp;" - RT "&amp;$F40)</f>
        <v/>
      </c>
      <c r="H40" s="37"/>
      <c r="I40" s="38"/>
      <c r="J40" s="37"/>
      <c r="K40" s="39"/>
      <c r="L40" s="41"/>
      <c r="M40" s="36" t="str">
        <f aca="true">IF(OR($B40="",$L40=""),"",DATEDIF($L40,TODAY(),"Y"))</f>
        <v/>
      </c>
      <c r="N40" s="40" t="str">
        <f aca="false">IF($M40="","",INDEX(usia_label,MATCH($M40,usia_min,1)))</f>
        <v/>
      </c>
      <c r="O40" s="37"/>
      <c r="P40" s="41"/>
      <c r="Q40" s="37"/>
      <c r="R40" s="37"/>
      <c r="S40" s="40" t="str">
        <f aca="false">IF($G40="","",$G40&amp;"#"&amp;COUNTIF($G$4:$G40,$G40))</f>
        <v/>
      </c>
      <c r="T40" s="40" t="str">
        <f aca="false">IF($B40="","",IF($C40="","NIK kosong",IF(LEN($C40)&lt;&gt;16,"NIK bukan 16 digit",IF(COUNTIF($C$4:$C$2003,$C40&amp;"*")&gt;1,"NIK ganda",IF($E40="","Kadus kosong",IF($F40="","RT kosong",IF($H40="","Jabatan kosong",IF($I40="","No. HP kosong",IF($J40="","Alamat kosong",IF(AND($M40&lt;&gt;"",$M40&lt;17),"Usia di bawah 17",""))))))))))</f>
        <v/>
      </c>
      <c r="U40" s="40" t="str">
        <f aca="false">IF($B40="","",IF(AND(OR(CARI!$C$5="",ISNUMBER(SEARCH(CARI!$C$5,$B40&amp;" "&amp;$C40&amp;" "&amp;$I40&amp;" "&amp;$J40&amp;" "&amp;$Q40))),OR(CARI!$C$6="",$E40=CARI!$C$6),OR(CARI!$C$7="",$F40=CARI!$C$7),OR(CARI!$C$8="",$O40=CARI!$C$8)),MAX($U$3:U39)+1,""))</f>
        <v/>
      </c>
      <c r="V40" s="40" t="str">
        <f aca="false">IF($T40="","",MAX($V$3:V39)+1)</f>
        <v/>
      </c>
      <c r="W40" s="40" t="str">
        <f aca="false">IF($E40="","",$E40&amp;"#"&amp;COUNTIF($E$4:$E40,$E40))</f>
        <v/>
      </c>
      <c r="X40" s="40" t="str">
        <f aca="false">IF($B40="","",IF(AND(OR(CETAK!$J$10="",$E40=CETAK!$J$10),OR(CETAK!$J$11="",$F40=CETAK!$J$11),OR(CETAK!$J$12="",$K40=CETAK!$J$12),OR(CETAK!$J$13="",$H40=CETAK!$J$13),OR(CETAK!$J$14="",$O40=CETAK!$J$14)),MAX($X$3:X39)+1,""))</f>
        <v/>
      </c>
      <c r="Y40" s="40" t="str">
        <f aca="false">IF($B40="","",IF(AND(OR(ABSENSI!$H$10="",$E40=ABSENSI!$H$10),OR(ABSENSI!$H$11="",$F40=ABSENSI!$H$11),OR(ABSENSI!$H$12="",$K40=ABSENSI!$H$12)),MAX($Y$3:Y39)+1,""))</f>
        <v/>
      </c>
      <c r="Z40" s="40" t="str">
        <f aca="false">IF($B40="","",IF(AND(OR(KARTU!$K$6="",$E40=KARTU!$K$6),OR(KARTU!$K$7="",$F40=KARTU!$K$7),OR(KARTU!$K$8="",$K40=KARTU!$K$8)),MAX($Z$3:Z39)+1,""))</f>
        <v/>
      </c>
    </row>
    <row r="41" customFormat="false" ht="15" hidden="false" customHeight="false" outlineLevel="0" collapsed="false">
      <c r="A41" s="36" t="str">
        <f aca="false">IF($B41="","",COUNTA($B$4:$B41))</f>
        <v/>
      </c>
      <c r="B41" s="37"/>
      <c r="C41" s="38"/>
      <c r="D41" s="39"/>
      <c r="E41" s="37"/>
      <c r="F41" s="39"/>
      <c r="G41" s="40" t="str">
        <f aca="false">IF(OR($E41="",$F41=""),"",$E41&amp;" - RT "&amp;$F41)</f>
        <v/>
      </c>
      <c r="H41" s="37"/>
      <c r="I41" s="38"/>
      <c r="J41" s="37"/>
      <c r="K41" s="39"/>
      <c r="L41" s="41"/>
      <c r="M41" s="36" t="str">
        <f aca="true">IF(OR($B41="",$L41=""),"",DATEDIF($L41,TODAY(),"Y"))</f>
        <v/>
      </c>
      <c r="N41" s="40" t="str">
        <f aca="false">IF($M41="","",INDEX(usia_label,MATCH($M41,usia_min,1)))</f>
        <v/>
      </c>
      <c r="O41" s="37"/>
      <c r="P41" s="41"/>
      <c r="Q41" s="37"/>
      <c r="R41" s="37"/>
      <c r="S41" s="40" t="str">
        <f aca="false">IF($G41="","",$G41&amp;"#"&amp;COUNTIF($G$4:$G41,$G41))</f>
        <v/>
      </c>
      <c r="T41" s="40" t="str">
        <f aca="false">IF($B41="","",IF($C41="","NIK kosong",IF(LEN($C41)&lt;&gt;16,"NIK bukan 16 digit",IF(COUNTIF($C$4:$C$2003,$C41&amp;"*")&gt;1,"NIK ganda",IF($E41="","Kadus kosong",IF($F41="","RT kosong",IF($H41="","Jabatan kosong",IF($I41="","No. HP kosong",IF($J41="","Alamat kosong",IF(AND($M41&lt;&gt;"",$M41&lt;17),"Usia di bawah 17",""))))))))))</f>
        <v/>
      </c>
      <c r="U41" s="40" t="str">
        <f aca="false">IF($B41="","",IF(AND(OR(CARI!$C$5="",ISNUMBER(SEARCH(CARI!$C$5,$B41&amp;" "&amp;$C41&amp;" "&amp;$I41&amp;" "&amp;$J41&amp;" "&amp;$Q41))),OR(CARI!$C$6="",$E41=CARI!$C$6),OR(CARI!$C$7="",$F41=CARI!$C$7),OR(CARI!$C$8="",$O41=CARI!$C$8)),MAX($U$3:U40)+1,""))</f>
        <v/>
      </c>
      <c r="V41" s="40" t="str">
        <f aca="false">IF($T41="","",MAX($V$3:V40)+1)</f>
        <v/>
      </c>
      <c r="W41" s="40" t="str">
        <f aca="false">IF($E41="","",$E41&amp;"#"&amp;COUNTIF($E$4:$E41,$E41))</f>
        <v/>
      </c>
      <c r="X41" s="40" t="str">
        <f aca="false">IF($B41="","",IF(AND(OR(CETAK!$J$10="",$E41=CETAK!$J$10),OR(CETAK!$J$11="",$F41=CETAK!$J$11),OR(CETAK!$J$12="",$K41=CETAK!$J$12),OR(CETAK!$J$13="",$H41=CETAK!$J$13),OR(CETAK!$J$14="",$O41=CETAK!$J$14)),MAX($X$3:X40)+1,""))</f>
        <v/>
      </c>
      <c r="Y41" s="40" t="str">
        <f aca="false">IF($B41="","",IF(AND(OR(ABSENSI!$H$10="",$E41=ABSENSI!$H$10),OR(ABSENSI!$H$11="",$F41=ABSENSI!$H$11),OR(ABSENSI!$H$12="",$K41=ABSENSI!$H$12)),MAX($Y$3:Y40)+1,""))</f>
        <v/>
      </c>
      <c r="Z41" s="40" t="str">
        <f aca="false">IF($B41="","",IF(AND(OR(KARTU!$K$6="",$E41=KARTU!$K$6),OR(KARTU!$K$7="",$F41=KARTU!$K$7),OR(KARTU!$K$8="",$K41=KARTU!$K$8)),MAX($Z$3:Z40)+1,""))</f>
        <v/>
      </c>
    </row>
    <row r="42" customFormat="false" ht="15" hidden="false" customHeight="false" outlineLevel="0" collapsed="false">
      <c r="A42" s="36" t="str">
        <f aca="false">IF($B42="","",COUNTA($B$4:$B42))</f>
        <v/>
      </c>
      <c r="B42" s="37"/>
      <c r="C42" s="38"/>
      <c r="D42" s="39"/>
      <c r="E42" s="37"/>
      <c r="F42" s="39"/>
      <c r="G42" s="40" t="str">
        <f aca="false">IF(OR($E42="",$F42=""),"",$E42&amp;" - RT "&amp;$F42)</f>
        <v/>
      </c>
      <c r="H42" s="37"/>
      <c r="I42" s="38"/>
      <c r="J42" s="37"/>
      <c r="K42" s="39"/>
      <c r="L42" s="41"/>
      <c r="M42" s="36" t="str">
        <f aca="true">IF(OR($B42="",$L42=""),"",DATEDIF($L42,TODAY(),"Y"))</f>
        <v/>
      </c>
      <c r="N42" s="40" t="str">
        <f aca="false">IF($M42="","",INDEX(usia_label,MATCH($M42,usia_min,1)))</f>
        <v/>
      </c>
      <c r="O42" s="37"/>
      <c r="P42" s="41"/>
      <c r="Q42" s="37"/>
      <c r="R42" s="37"/>
      <c r="S42" s="40" t="str">
        <f aca="false">IF($G42="","",$G42&amp;"#"&amp;COUNTIF($G$4:$G42,$G42))</f>
        <v/>
      </c>
      <c r="T42" s="40" t="str">
        <f aca="false">IF($B42="","",IF($C42="","NIK kosong",IF(LEN($C42)&lt;&gt;16,"NIK bukan 16 digit",IF(COUNTIF($C$4:$C$2003,$C42&amp;"*")&gt;1,"NIK ganda",IF($E42="","Kadus kosong",IF($F42="","RT kosong",IF($H42="","Jabatan kosong",IF($I42="","No. HP kosong",IF($J42="","Alamat kosong",IF(AND($M42&lt;&gt;"",$M42&lt;17),"Usia di bawah 17",""))))))))))</f>
        <v/>
      </c>
      <c r="U42" s="40" t="str">
        <f aca="false">IF($B42="","",IF(AND(OR(CARI!$C$5="",ISNUMBER(SEARCH(CARI!$C$5,$B42&amp;" "&amp;$C42&amp;" "&amp;$I42&amp;" "&amp;$J42&amp;" "&amp;$Q42))),OR(CARI!$C$6="",$E42=CARI!$C$6),OR(CARI!$C$7="",$F42=CARI!$C$7),OR(CARI!$C$8="",$O42=CARI!$C$8)),MAX($U$3:U41)+1,""))</f>
        <v/>
      </c>
      <c r="V42" s="40" t="str">
        <f aca="false">IF($T42="","",MAX($V$3:V41)+1)</f>
        <v/>
      </c>
      <c r="W42" s="40" t="str">
        <f aca="false">IF($E42="","",$E42&amp;"#"&amp;COUNTIF($E$4:$E42,$E42))</f>
        <v/>
      </c>
      <c r="X42" s="40" t="str">
        <f aca="false">IF($B42="","",IF(AND(OR(CETAK!$J$10="",$E42=CETAK!$J$10),OR(CETAK!$J$11="",$F42=CETAK!$J$11),OR(CETAK!$J$12="",$K42=CETAK!$J$12),OR(CETAK!$J$13="",$H42=CETAK!$J$13),OR(CETAK!$J$14="",$O42=CETAK!$J$14)),MAX($X$3:X41)+1,""))</f>
        <v/>
      </c>
      <c r="Y42" s="40" t="str">
        <f aca="false">IF($B42="","",IF(AND(OR(ABSENSI!$H$10="",$E42=ABSENSI!$H$10),OR(ABSENSI!$H$11="",$F42=ABSENSI!$H$11),OR(ABSENSI!$H$12="",$K42=ABSENSI!$H$12)),MAX($Y$3:Y41)+1,""))</f>
        <v/>
      </c>
      <c r="Z42" s="40" t="str">
        <f aca="false">IF($B42="","",IF(AND(OR(KARTU!$K$6="",$E42=KARTU!$K$6),OR(KARTU!$K$7="",$F42=KARTU!$K$7),OR(KARTU!$K$8="",$K42=KARTU!$K$8)),MAX($Z$3:Z41)+1,""))</f>
        <v/>
      </c>
    </row>
    <row r="43" customFormat="false" ht="15" hidden="false" customHeight="false" outlineLevel="0" collapsed="false">
      <c r="A43" s="36" t="str">
        <f aca="false">IF($B43="","",COUNTA($B$4:$B43))</f>
        <v/>
      </c>
      <c r="B43" s="37"/>
      <c r="C43" s="38"/>
      <c r="D43" s="39"/>
      <c r="E43" s="37"/>
      <c r="F43" s="39"/>
      <c r="G43" s="40" t="str">
        <f aca="false">IF(OR($E43="",$F43=""),"",$E43&amp;" - RT "&amp;$F43)</f>
        <v/>
      </c>
      <c r="H43" s="37"/>
      <c r="I43" s="38"/>
      <c r="J43" s="37"/>
      <c r="K43" s="39"/>
      <c r="L43" s="41"/>
      <c r="M43" s="36" t="str">
        <f aca="true">IF(OR($B43="",$L43=""),"",DATEDIF($L43,TODAY(),"Y"))</f>
        <v/>
      </c>
      <c r="N43" s="40" t="str">
        <f aca="false">IF($M43="","",INDEX(usia_label,MATCH($M43,usia_min,1)))</f>
        <v/>
      </c>
      <c r="O43" s="37"/>
      <c r="P43" s="41"/>
      <c r="Q43" s="37"/>
      <c r="R43" s="37"/>
      <c r="S43" s="40" t="str">
        <f aca="false">IF($G43="","",$G43&amp;"#"&amp;COUNTIF($G$4:$G43,$G43))</f>
        <v/>
      </c>
      <c r="T43" s="40" t="str">
        <f aca="false">IF($B43="","",IF($C43="","NIK kosong",IF(LEN($C43)&lt;&gt;16,"NIK bukan 16 digit",IF(COUNTIF($C$4:$C$2003,$C43&amp;"*")&gt;1,"NIK ganda",IF($E43="","Kadus kosong",IF($F43="","RT kosong",IF($H43="","Jabatan kosong",IF($I43="","No. HP kosong",IF($J43="","Alamat kosong",IF(AND($M43&lt;&gt;"",$M43&lt;17),"Usia di bawah 17",""))))))))))</f>
        <v/>
      </c>
      <c r="U43" s="40" t="str">
        <f aca="false">IF($B43="","",IF(AND(OR(CARI!$C$5="",ISNUMBER(SEARCH(CARI!$C$5,$B43&amp;" "&amp;$C43&amp;" "&amp;$I43&amp;" "&amp;$J43&amp;" "&amp;$Q43))),OR(CARI!$C$6="",$E43=CARI!$C$6),OR(CARI!$C$7="",$F43=CARI!$C$7),OR(CARI!$C$8="",$O43=CARI!$C$8)),MAX($U$3:U42)+1,""))</f>
        <v/>
      </c>
      <c r="V43" s="40" t="str">
        <f aca="false">IF($T43="","",MAX($V$3:V42)+1)</f>
        <v/>
      </c>
      <c r="W43" s="40" t="str">
        <f aca="false">IF($E43="","",$E43&amp;"#"&amp;COUNTIF($E$4:$E43,$E43))</f>
        <v/>
      </c>
      <c r="X43" s="40" t="str">
        <f aca="false">IF($B43="","",IF(AND(OR(CETAK!$J$10="",$E43=CETAK!$J$10),OR(CETAK!$J$11="",$F43=CETAK!$J$11),OR(CETAK!$J$12="",$K43=CETAK!$J$12),OR(CETAK!$J$13="",$H43=CETAK!$J$13),OR(CETAK!$J$14="",$O43=CETAK!$J$14)),MAX($X$3:X42)+1,""))</f>
        <v/>
      </c>
      <c r="Y43" s="40" t="str">
        <f aca="false">IF($B43="","",IF(AND(OR(ABSENSI!$H$10="",$E43=ABSENSI!$H$10),OR(ABSENSI!$H$11="",$F43=ABSENSI!$H$11),OR(ABSENSI!$H$12="",$K43=ABSENSI!$H$12)),MAX($Y$3:Y42)+1,""))</f>
        <v/>
      </c>
      <c r="Z43" s="40" t="str">
        <f aca="false">IF($B43="","",IF(AND(OR(KARTU!$K$6="",$E43=KARTU!$K$6),OR(KARTU!$K$7="",$F43=KARTU!$K$7),OR(KARTU!$K$8="",$K43=KARTU!$K$8)),MAX($Z$3:Z42)+1,""))</f>
        <v/>
      </c>
    </row>
    <row r="44" customFormat="false" ht="15" hidden="false" customHeight="false" outlineLevel="0" collapsed="false">
      <c r="A44" s="36" t="str">
        <f aca="false">IF($B44="","",COUNTA($B$4:$B44))</f>
        <v/>
      </c>
      <c r="B44" s="37"/>
      <c r="C44" s="38"/>
      <c r="D44" s="39"/>
      <c r="E44" s="37"/>
      <c r="F44" s="39"/>
      <c r="G44" s="40" t="str">
        <f aca="false">IF(OR($E44="",$F44=""),"",$E44&amp;" - RT "&amp;$F44)</f>
        <v/>
      </c>
      <c r="H44" s="37"/>
      <c r="I44" s="38"/>
      <c r="J44" s="37"/>
      <c r="K44" s="39"/>
      <c r="L44" s="41"/>
      <c r="M44" s="36" t="str">
        <f aca="true">IF(OR($B44="",$L44=""),"",DATEDIF($L44,TODAY(),"Y"))</f>
        <v/>
      </c>
      <c r="N44" s="40" t="str">
        <f aca="false">IF($M44="","",INDEX(usia_label,MATCH($M44,usia_min,1)))</f>
        <v/>
      </c>
      <c r="O44" s="37"/>
      <c r="P44" s="41"/>
      <c r="Q44" s="37"/>
      <c r="R44" s="37"/>
      <c r="S44" s="40" t="str">
        <f aca="false">IF($G44="","",$G44&amp;"#"&amp;COUNTIF($G$4:$G44,$G44))</f>
        <v/>
      </c>
      <c r="T44" s="40" t="str">
        <f aca="false">IF($B44="","",IF($C44="","NIK kosong",IF(LEN($C44)&lt;&gt;16,"NIK bukan 16 digit",IF(COUNTIF($C$4:$C$2003,$C44&amp;"*")&gt;1,"NIK ganda",IF($E44="","Kadus kosong",IF($F44="","RT kosong",IF($H44="","Jabatan kosong",IF($I44="","No. HP kosong",IF($J44="","Alamat kosong",IF(AND($M44&lt;&gt;"",$M44&lt;17),"Usia di bawah 17",""))))))))))</f>
        <v/>
      </c>
      <c r="U44" s="40" t="str">
        <f aca="false">IF($B44="","",IF(AND(OR(CARI!$C$5="",ISNUMBER(SEARCH(CARI!$C$5,$B44&amp;" "&amp;$C44&amp;" "&amp;$I44&amp;" "&amp;$J44&amp;" "&amp;$Q44))),OR(CARI!$C$6="",$E44=CARI!$C$6),OR(CARI!$C$7="",$F44=CARI!$C$7),OR(CARI!$C$8="",$O44=CARI!$C$8)),MAX($U$3:U43)+1,""))</f>
        <v/>
      </c>
      <c r="V44" s="40" t="str">
        <f aca="false">IF($T44="","",MAX($V$3:V43)+1)</f>
        <v/>
      </c>
      <c r="W44" s="40" t="str">
        <f aca="false">IF($E44="","",$E44&amp;"#"&amp;COUNTIF($E$4:$E44,$E44))</f>
        <v/>
      </c>
      <c r="X44" s="40" t="str">
        <f aca="false">IF($B44="","",IF(AND(OR(CETAK!$J$10="",$E44=CETAK!$J$10),OR(CETAK!$J$11="",$F44=CETAK!$J$11),OR(CETAK!$J$12="",$K44=CETAK!$J$12),OR(CETAK!$J$13="",$H44=CETAK!$J$13),OR(CETAK!$J$14="",$O44=CETAK!$J$14)),MAX($X$3:X43)+1,""))</f>
        <v/>
      </c>
      <c r="Y44" s="40" t="str">
        <f aca="false">IF($B44="","",IF(AND(OR(ABSENSI!$H$10="",$E44=ABSENSI!$H$10),OR(ABSENSI!$H$11="",$F44=ABSENSI!$H$11),OR(ABSENSI!$H$12="",$K44=ABSENSI!$H$12)),MAX($Y$3:Y43)+1,""))</f>
        <v/>
      </c>
      <c r="Z44" s="40" t="str">
        <f aca="false">IF($B44="","",IF(AND(OR(KARTU!$K$6="",$E44=KARTU!$K$6),OR(KARTU!$K$7="",$F44=KARTU!$K$7),OR(KARTU!$K$8="",$K44=KARTU!$K$8)),MAX($Z$3:Z43)+1,""))</f>
        <v/>
      </c>
    </row>
    <row r="45" customFormat="false" ht="15" hidden="false" customHeight="false" outlineLevel="0" collapsed="false">
      <c r="A45" s="36" t="str">
        <f aca="false">IF($B45="","",COUNTA($B$4:$B45))</f>
        <v/>
      </c>
      <c r="B45" s="37"/>
      <c r="C45" s="38"/>
      <c r="D45" s="39"/>
      <c r="E45" s="37"/>
      <c r="F45" s="39"/>
      <c r="G45" s="40" t="str">
        <f aca="false">IF(OR($E45="",$F45=""),"",$E45&amp;" - RT "&amp;$F45)</f>
        <v/>
      </c>
      <c r="H45" s="37"/>
      <c r="I45" s="38"/>
      <c r="J45" s="37"/>
      <c r="K45" s="39"/>
      <c r="L45" s="41"/>
      <c r="M45" s="36" t="str">
        <f aca="true">IF(OR($B45="",$L45=""),"",DATEDIF($L45,TODAY(),"Y"))</f>
        <v/>
      </c>
      <c r="N45" s="40" t="str">
        <f aca="false">IF($M45="","",INDEX(usia_label,MATCH($M45,usia_min,1)))</f>
        <v/>
      </c>
      <c r="O45" s="37"/>
      <c r="P45" s="41"/>
      <c r="Q45" s="37"/>
      <c r="R45" s="37"/>
      <c r="S45" s="40" t="str">
        <f aca="false">IF($G45="","",$G45&amp;"#"&amp;COUNTIF($G$4:$G45,$G45))</f>
        <v/>
      </c>
      <c r="T45" s="40" t="str">
        <f aca="false">IF($B45="","",IF($C45="","NIK kosong",IF(LEN($C45)&lt;&gt;16,"NIK bukan 16 digit",IF(COUNTIF($C$4:$C$2003,$C45&amp;"*")&gt;1,"NIK ganda",IF($E45="","Kadus kosong",IF($F45="","RT kosong",IF($H45="","Jabatan kosong",IF($I45="","No. HP kosong",IF($J45="","Alamat kosong",IF(AND($M45&lt;&gt;"",$M45&lt;17),"Usia di bawah 17",""))))))))))</f>
        <v/>
      </c>
      <c r="U45" s="40" t="str">
        <f aca="false">IF($B45="","",IF(AND(OR(CARI!$C$5="",ISNUMBER(SEARCH(CARI!$C$5,$B45&amp;" "&amp;$C45&amp;" "&amp;$I45&amp;" "&amp;$J45&amp;" "&amp;$Q45))),OR(CARI!$C$6="",$E45=CARI!$C$6),OR(CARI!$C$7="",$F45=CARI!$C$7),OR(CARI!$C$8="",$O45=CARI!$C$8)),MAX($U$3:U44)+1,""))</f>
        <v/>
      </c>
      <c r="V45" s="40" t="str">
        <f aca="false">IF($T45="","",MAX($V$3:V44)+1)</f>
        <v/>
      </c>
      <c r="W45" s="40" t="str">
        <f aca="false">IF($E45="","",$E45&amp;"#"&amp;COUNTIF($E$4:$E45,$E45))</f>
        <v/>
      </c>
      <c r="X45" s="40" t="str">
        <f aca="false">IF($B45="","",IF(AND(OR(CETAK!$J$10="",$E45=CETAK!$J$10),OR(CETAK!$J$11="",$F45=CETAK!$J$11),OR(CETAK!$J$12="",$K45=CETAK!$J$12),OR(CETAK!$J$13="",$H45=CETAK!$J$13),OR(CETAK!$J$14="",$O45=CETAK!$J$14)),MAX($X$3:X44)+1,""))</f>
        <v/>
      </c>
      <c r="Y45" s="40" t="str">
        <f aca="false">IF($B45="","",IF(AND(OR(ABSENSI!$H$10="",$E45=ABSENSI!$H$10),OR(ABSENSI!$H$11="",$F45=ABSENSI!$H$11),OR(ABSENSI!$H$12="",$K45=ABSENSI!$H$12)),MAX($Y$3:Y44)+1,""))</f>
        <v/>
      </c>
      <c r="Z45" s="40" t="str">
        <f aca="false">IF($B45="","",IF(AND(OR(KARTU!$K$6="",$E45=KARTU!$K$6),OR(KARTU!$K$7="",$F45=KARTU!$K$7),OR(KARTU!$K$8="",$K45=KARTU!$K$8)),MAX($Z$3:Z44)+1,""))</f>
        <v/>
      </c>
    </row>
    <row r="46" customFormat="false" ht="15" hidden="false" customHeight="false" outlineLevel="0" collapsed="false">
      <c r="A46" s="36" t="str">
        <f aca="false">IF($B46="","",COUNTA($B$4:$B46))</f>
        <v/>
      </c>
      <c r="B46" s="37"/>
      <c r="C46" s="38"/>
      <c r="D46" s="39"/>
      <c r="E46" s="37"/>
      <c r="F46" s="39"/>
      <c r="G46" s="40" t="str">
        <f aca="false">IF(OR($E46="",$F46=""),"",$E46&amp;" - RT "&amp;$F46)</f>
        <v/>
      </c>
      <c r="H46" s="37"/>
      <c r="I46" s="38"/>
      <c r="J46" s="37"/>
      <c r="K46" s="39"/>
      <c r="L46" s="41"/>
      <c r="M46" s="36" t="str">
        <f aca="true">IF(OR($B46="",$L46=""),"",DATEDIF($L46,TODAY(),"Y"))</f>
        <v/>
      </c>
      <c r="N46" s="40" t="str">
        <f aca="false">IF($M46="","",INDEX(usia_label,MATCH($M46,usia_min,1)))</f>
        <v/>
      </c>
      <c r="O46" s="37"/>
      <c r="P46" s="41"/>
      <c r="Q46" s="37"/>
      <c r="R46" s="37"/>
      <c r="S46" s="40" t="str">
        <f aca="false">IF($G46="","",$G46&amp;"#"&amp;COUNTIF($G$4:$G46,$G46))</f>
        <v/>
      </c>
      <c r="T46" s="40" t="str">
        <f aca="false">IF($B46="","",IF($C46="","NIK kosong",IF(LEN($C46)&lt;&gt;16,"NIK bukan 16 digit",IF(COUNTIF($C$4:$C$2003,$C46&amp;"*")&gt;1,"NIK ganda",IF($E46="","Kadus kosong",IF($F46="","RT kosong",IF($H46="","Jabatan kosong",IF($I46="","No. HP kosong",IF($J46="","Alamat kosong",IF(AND($M46&lt;&gt;"",$M46&lt;17),"Usia di bawah 17",""))))))))))</f>
        <v/>
      </c>
      <c r="U46" s="40" t="str">
        <f aca="false">IF($B46="","",IF(AND(OR(CARI!$C$5="",ISNUMBER(SEARCH(CARI!$C$5,$B46&amp;" "&amp;$C46&amp;" "&amp;$I46&amp;" "&amp;$J46&amp;" "&amp;$Q46))),OR(CARI!$C$6="",$E46=CARI!$C$6),OR(CARI!$C$7="",$F46=CARI!$C$7),OR(CARI!$C$8="",$O46=CARI!$C$8)),MAX($U$3:U45)+1,""))</f>
        <v/>
      </c>
      <c r="V46" s="40" t="str">
        <f aca="false">IF($T46="","",MAX($V$3:V45)+1)</f>
        <v/>
      </c>
      <c r="W46" s="40" t="str">
        <f aca="false">IF($E46="","",$E46&amp;"#"&amp;COUNTIF($E$4:$E46,$E46))</f>
        <v/>
      </c>
      <c r="X46" s="40" t="str">
        <f aca="false">IF($B46="","",IF(AND(OR(CETAK!$J$10="",$E46=CETAK!$J$10),OR(CETAK!$J$11="",$F46=CETAK!$J$11),OR(CETAK!$J$12="",$K46=CETAK!$J$12),OR(CETAK!$J$13="",$H46=CETAK!$J$13),OR(CETAK!$J$14="",$O46=CETAK!$J$14)),MAX($X$3:X45)+1,""))</f>
        <v/>
      </c>
      <c r="Y46" s="40" t="str">
        <f aca="false">IF($B46="","",IF(AND(OR(ABSENSI!$H$10="",$E46=ABSENSI!$H$10),OR(ABSENSI!$H$11="",$F46=ABSENSI!$H$11),OR(ABSENSI!$H$12="",$K46=ABSENSI!$H$12)),MAX($Y$3:Y45)+1,""))</f>
        <v/>
      </c>
      <c r="Z46" s="40" t="str">
        <f aca="false">IF($B46="","",IF(AND(OR(KARTU!$K$6="",$E46=KARTU!$K$6),OR(KARTU!$K$7="",$F46=KARTU!$K$7),OR(KARTU!$K$8="",$K46=KARTU!$K$8)),MAX($Z$3:Z45)+1,""))</f>
        <v/>
      </c>
    </row>
    <row r="47" customFormat="false" ht="15" hidden="false" customHeight="false" outlineLevel="0" collapsed="false">
      <c r="A47" s="36" t="str">
        <f aca="false">IF($B47="","",COUNTA($B$4:$B47))</f>
        <v/>
      </c>
      <c r="B47" s="37"/>
      <c r="C47" s="38"/>
      <c r="D47" s="39"/>
      <c r="E47" s="37"/>
      <c r="F47" s="39"/>
      <c r="G47" s="40" t="str">
        <f aca="false">IF(OR($E47="",$F47=""),"",$E47&amp;" - RT "&amp;$F47)</f>
        <v/>
      </c>
      <c r="H47" s="37"/>
      <c r="I47" s="38"/>
      <c r="J47" s="37"/>
      <c r="K47" s="39"/>
      <c r="L47" s="41"/>
      <c r="M47" s="36" t="str">
        <f aca="true">IF(OR($B47="",$L47=""),"",DATEDIF($L47,TODAY(),"Y"))</f>
        <v/>
      </c>
      <c r="N47" s="40" t="str">
        <f aca="false">IF($M47="","",INDEX(usia_label,MATCH($M47,usia_min,1)))</f>
        <v/>
      </c>
      <c r="O47" s="37"/>
      <c r="P47" s="41"/>
      <c r="Q47" s="37"/>
      <c r="R47" s="37"/>
      <c r="S47" s="40" t="str">
        <f aca="false">IF($G47="","",$G47&amp;"#"&amp;COUNTIF($G$4:$G47,$G47))</f>
        <v/>
      </c>
      <c r="T47" s="40" t="str">
        <f aca="false">IF($B47="","",IF($C47="","NIK kosong",IF(LEN($C47)&lt;&gt;16,"NIK bukan 16 digit",IF(COUNTIF($C$4:$C$2003,$C47&amp;"*")&gt;1,"NIK ganda",IF($E47="","Kadus kosong",IF($F47="","RT kosong",IF($H47="","Jabatan kosong",IF($I47="","No. HP kosong",IF($J47="","Alamat kosong",IF(AND($M47&lt;&gt;"",$M47&lt;17),"Usia di bawah 17",""))))))))))</f>
        <v/>
      </c>
      <c r="U47" s="40" t="str">
        <f aca="false">IF($B47="","",IF(AND(OR(CARI!$C$5="",ISNUMBER(SEARCH(CARI!$C$5,$B47&amp;" "&amp;$C47&amp;" "&amp;$I47&amp;" "&amp;$J47&amp;" "&amp;$Q47))),OR(CARI!$C$6="",$E47=CARI!$C$6),OR(CARI!$C$7="",$F47=CARI!$C$7),OR(CARI!$C$8="",$O47=CARI!$C$8)),MAX($U$3:U46)+1,""))</f>
        <v/>
      </c>
      <c r="V47" s="40" t="str">
        <f aca="false">IF($T47="","",MAX($V$3:V46)+1)</f>
        <v/>
      </c>
      <c r="W47" s="40" t="str">
        <f aca="false">IF($E47="","",$E47&amp;"#"&amp;COUNTIF($E$4:$E47,$E47))</f>
        <v/>
      </c>
      <c r="X47" s="40" t="str">
        <f aca="false">IF($B47="","",IF(AND(OR(CETAK!$J$10="",$E47=CETAK!$J$10),OR(CETAK!$J$11="",$F47=CETAK!$J$11),OR(CETAK!$J$12="",$K47=CETAK!$J$12),OR(CETAK!$J$13="",$H47=CETAK!$J$13),OR(CETAK!$J$14="",$O47=CETAK!$J$14)),MAX($X$3:X46)+1,""))</f>
        <v/>
      </c>
      <c r="Y47" s="40" t="str">
        <f aca="false">IF($B47="","",IF(AND(OR(ABSENSI!$H$10="",$E47=ABSENSI!$H$10),OR(ABSENSI!$H$11="",$F47=ABSENSI!$H$11),OR(ABSENSI!$H$12="",$K47=ABSENSI!$H$12)),MAX($Y$3:Y46)+1,""))</f>
        <v/>
      </c>
      <c r="Z47" s="40" t="str">
        <f aca="false">IF($B47="","",IF(AND(OR(KARTU!$K$6="",$E47=KARTU!$K$6),OR(KARTU!$K$7="",$F47=KARTU!$K$7),OR(KARTU!$K$8="",$K47=KARTU!$K$8)),MAX($Z$3:Z46)+1,""))</f>
        <v/>
      </c>
    </row>
    <row r="48" customFormat="false" ht="15" hidden="false" customHeight="false" outlineLevel="0" collapsed="false">
      <c r="A48" s="36" t="str">
        <f aca="false">IF($B48="","",COUNTA($B$4:$B48))</f>
        <v/>
      </c>
      <c r="B48" s="37"/>
      <c r="C48" s="38"/>
      <c r="D48" s="39"/>
      <c r="E48" s="37"/>
      <c r="F48" s="39"/>
      <c r="G48" s="40" t="str">
        <f aca="false">IF(OR($E48="",$F48=""),"",$E48&amp;" - RT "&amp;$F48)</f>
        <v/>
      </c>
      <c r="H48" s="37"/>
      <c r="I48" s="38"/>
      <c r="J48" s="37"/>
      <c r="K48" s="39"/>
      <c r="L48" s="41"/>
      <c r="M48" s="36" t="str">
        <f aca="true">IF(OR($B48="",$L48=""),"",DATEDIF($L48,TODAY(),"Y"))</f>
        <v/>
      </c>
      <c r="N48" s="40" t="str">
        <f aca="false">IF($M48="","",INDEX(usia_label,MATCH($M48,usia_min,1)))</f>
        <v/>
      </c>
      <c r="O48" s="37"/>
      <c r="P48" s="41"/>
      <c r="Q48" s="37"/>
      <c r="R48" s="37"/>
      <c r="S48" s="40" t="str">
        <f aca="false">IF($G48="","",$G48&amp;"#"&amp;COUNTIF($G$4:$G48,$G48))</f>
        <v/>
      </c>
      <c r="T48" s="40" t="str">
        <f aca="false">IF($B48="","",IF($C48="","NIK kosong",IF(LEN($C48)&lt;&gt;16,"NIK bukan 16 digit",IF(COUNTIF($C$4:$C$2003,$C48&amp;"*")&gt;1,"NIK ganda",IF($E48="","Kadus kosong",IF($F48="","RT kosong",IF($H48="","Jabatan kosong",IF($I48="","No. HP kosong",IF($J48="","Alamat kosong",IF(AND($M48&lt;&gt;"",$M48&lt;17),"Usia di bawah 17",""))))))))))</f>
        <v/>
      </c>
      <c r="U48" s="40" t="str">
        <f aca="false">IF($B48="","",IF(AND(OR(CARI!$C$5="",ISNUMBER(SEARCH(CARI!$C$5,$B48&amp;" "&amp;$C48&amp;" "&amp;$I48&amp;" "&amp;$J48&amp;" "&amp;$Q48))),OR(CARI!$C$6="",$E48=CARI!$C$6),OR(CARI!$C$7="",$F48=CARI!$C$7),OR(CARI!$C$8="",$O48=CARI!$C$8)),MAX($U$3:U47)+1,""))</f>
        <v/>
      </c>
      <c r="V48" s="40" t="str">
        <f aca="false">IF($T48="","",MAX($V$3:V47)+1)</f>
        <v/>
      </c>
      <c r="W48" s="40" t="str">
        <f aca="false">IF($E48="","",$E48&amp;"#"&amp;COUNTIF($E$4:$E48,$E48))</f>
        <v/>
      </c>
      <c r="X48" s="40" t="str">
        <f aca="false">IF($B48="","",IF(AND(OR(CETAK!$J$10="",$E48=CETAK!$J$10),OR(CETAK!$J$11="",$F48=CETAK!$J$11),OR(CETAK!$J$12="",$K48=CETAK!$J$12),OR(CETAK!$J$13="",$H48=CETAK!$J$13),OR(CETAK!$J$14="",$O48=CETAK!$J$14)),MAX($X$3:X47)+1,""))</f>
        <v/>
      </c>
      <c r="Y48" s="40" t="str">
        <f aca="false">IF($B48="","",IF(AND(OR(ABSENSI!$H$10="",$E48=ABSENSI!$H$10),OR(ABSENSI!$H$11="",$F48=ABSENSI!$H$11),OR(ABSENSI!$H$12="",$K48=ABSENSI!$H$12)),MAX($Y$3:Y47)+1,""))</f>
        <v/>
      </c>
      <c r="Z48" s="40" t="str">
        <f aca="false">IF($B48="","",IF(AND(OR(KARTU!$K$6="",$E48=KARTU!$K$6),OR(KARTU!$K$7="",$F48=KARTU!$K$7),OR(KARTU!$K$8="",$K48=KARTU!$K$8)),MAX($Z$3:Z47)+1,""))</f>
        <v/>
      </c>
    </row>
    <row r="49" customFormat="false" ht="15" hidden="false" customHeight="false" outlineLevel="0" collapsed="false">
      <c r="A49" s="36" t="str">
        <f aca="false">IF($B49="","",COUNTA($B$4:$B49))</f>
        <v/>
      </c>
      <c r="B49" s="37"/>
      <c r="C49" s="38"/>
      <c r="D49" s="39"/>
      <c r="E49" s="37"/>
      <c r="F49" s="39"/>
      <c r="G49" s="40" t="str">
        <f aca="false">IF(OR($E49="",$F49=""),"",$E49&amp;" - RT "&amp;$F49)</f>
        <v/>
      </c>
      <c r="H49" s="37"/>
      <c r="I49" s="38"/>
      <c r="J49" s="37"/>
      <c r="K49" s="39"/>
      <c r="L49" s="41"/>
      <c r="M49" s="36" t="str">
        <f aca="true">IF(OR($B49="",$L49=""),"",DATEDIF($L49,TODAY(),"Y"))</f>
        <v/>
      </c>
      <c r="N49" s="40" t="str">
        <f aca="false">IF($M49="","",INDEX(usia_label,MATCH($M49,usia_min,1)))</f>
        <v/>
      </c>
      <c r="O49" s="37"/>
      <c r="P49" s="41"/>
      <c r="Q49" s="37"/>
      <c r="R49" s="37"/>
      <c r="S49" s="40" t="str">
        <f aca="false">IF($G49="","",$G49&amp;"#"&amp;COUNTIF($G$4:$G49,$G49))</f>
        <v/>
      </c>
      <c r="T49" s="40" t="str">
        <f aca="false">IF($B49="","",IF($C49="","NIK kosong",IF(LEN($C49)&lt;&gt;16,"NIK bukan 16 digit",IF(COUNTIF($C$4:$C$2003,$C49&amp;"*")&gt;1,"NIK ganda",IF($E49="","Kadus kosong",IF($F49="","RT kosong",IF($H49="","Jabatan kosong",IF($I49="","No. HP kosong",IF($J49="","Alamat kosong",IF(AND($M49&lt;&gt;"",$M49&lt;17),"Usia di bawah 17",""))))))))))</f>
        <v/>
      </c>
      <c r="U49" s="40" t="str">
        <f aca="false">IF($B49="","",IF(AND(OR(CARI!$C$5="",ISNUMBER(SEARCH(CARI!$C$5,$B49&amp;" "&amp;$C49&amp;" "&amp;$I49&amp;" "&amp;$J49&amp;" "&amp;$Q49))),OR(CARI!$C$6="",$E49=CARI!$C$6),OR(CARI!$C$7="",$F49=CARI!$C$7),OR(CARI!$C$8="",$O49=CARI!$C$8)),MAX($U$3:U48)+1,""))</f>
        <v/>
      </c>
      <c r="V49" s="40" t="str">
        <f aca="false">IF($T49="","",MAX($V$3:V48)+1)</f>
        <v/>
      </c>
      <c r="W49" s="40" t="str">
        <f aca="false">IF($E49="","",$E49&amp;"#"&amp;COUNTIF($E$4:$E49,$E49))</f>
        <v/>
      </c>
      <c r="X49" s="40" t="str">
        <f aca="false">IF($B49="","",IF(AND(OR(CETAK!$J$10="",$E49=CETAK!$J$10),OR(CETAK!$J$11="",$F49=CETAK!$J$11),OR(CETAK!$J$12="",$K49=CETAK!$J$12),OR(CETAK!$J$13="",$H49=CETAK!$J$13),OR(CETAK!$J$14="",$O49=CETAK!$J$14)),MAX($X$3:X48)+1,""))</f>
        <v/>
      </c>
      <c r="Y49" s="40" t="str">
        <f aca="false">IF($B49="","",IF(AND(OR(ABSENSI!$H$10="",$E49=ABSENSI!$H$10),OR(ABSENSI!$H$11="",$F49=ABSENSI!$H$11),OR(ABSENSI!$H$12="",$K49=ABSENSI!$H$12)),MAX($Y$3:Y48)+1,""))</f>
        <v/>
      </c>
      <c r="Z49" s="40" t="str">
        <f aca="false">IF($B49="","",IF(AND(OR(KARTU!$K$6="",$E49=KARTU!$K$6),OR(KARTU!$K$7="",$F49=KARTU!$K$7),OR(KARTU!$K$8="",$K49=KARTU!$K$8)),MAX($Z$3:Z48)+1,""))</f>
        <v/>
      </c>
    </row>
    <row r="50" customFormat="false" ht="15" hidden="false" customHeight="false" outlineLevel="0" collapsed="false">
      <c r="A50" s="36" t="str">
        <f aca="false">IF($B50="","",COUNTA($B$4:$B50))</f>
        <v/>
      </c>
      <c r="B50" s="37"/>
      <c r="C50" s="38"/>
      <c r="D50" s="39"/>
      <c r="E50" s="37"/>
      <c r="F50" s="39"/>
      <c r="G50" s="40" t="str">
        <f aca="false">IF(OR($E50="",$F50=""),"",$E50&amp;" - RT "&amp;$F50)</f>
        <v/>
      </c>
      <c r="H50" s="37"/>
      <c r="I50" s="38"/>
      <c r="J50" s="37"/>
      <c r="K50" s="39"/>
      <c r="L50" s="41"/>
      <c r="M50" s="36" t="str">
        <f aca="true">IF(OR($B50="",$L50=""),"",DATEDIF($L50,TODAY(),"Y"))</f>
        <v/>
      </c>
      <c r="N50" s="40" t="str">
        <f aca="false">IF($M50="","",INDEX(usia_label,MATCH($M50,usia_min,1)))</f>
        <v/>
      </c>
      <c r="O50" s="37"/>
      <c r="P50" s="41"/>
      <c r="Q50" s="37"/>
      <c r="R50" s="37"/>
      <c r="S50" s="40" t="str">
        <f aca="false">IF($G50="","",$G50&amp;"#"&amp;COUNTIF($G$4:$G50,$G50))</f>
        <v/>
      </c>
      <c r="T50" s="40" t="str">
        <f aca="false">IF($B50="","",IF($C50="","NIK kosong",IF(LEN($C50)&lt;&gt;16,"NIK bukan 16 digit",IF(COUNTIF($C$4:$C$2003,$C50&amp;"*")&gt;1,"NIK ganda",IF($E50="","Kadus kosong",IF($F50="","RT kosong",IF($H50="","Jabatan kosong",IF($I50="","No. HP kosong",IF($J50="","Alamat kosong",IF(AND($M50&lt;&gt;"",$M50&lt;17),"Usia di bawah 17",""))))))))))</f>
        <v/>
      </c>
      <c r="U50" s="40" t="str">
        <f aca="false">IF($B50="","",IF(AND(OR(CARI!$C$5="",ISNUMBER(SEARCH(CARI!$C$5,$B50&amp;" "&amp;$C50&amp;" "&amp;$I50&amp;" "&amp;$J50&amp;" "&amp;$Q50))),OR(CARI!$C$6="",$E50=CARI!$C$6),OR(CARI!$C$7="",$F50=CARI!$C$7),OR(CARI!$C$8="",$O50=CARI!$C$8)),MAX($U$3:U49)+1,""))</f>
        <v/>
      </c>
      <c r="V50" s="40" t="str">
        <f aca="false">IF($T50="","",MAX($V$3:V49)+1)</f>
        <v/>
      </c>
      <c r="W50" s="40" t="str">
        <f aca="false">IF($E50="","",$E50&amp;"#"&amp;COUNTIF($E$4:$E50,$E50))</f>
        <v/>
      </c>
      <c r="X50" s="40" t="str">
        <f aca="false">IF($B50="","",IF(AND(OR(CETAK!$J$10="",$E50=CETAK!$J$10),OR(CETAK!$J$11="",$F50=CETAK!$J$11),OR(CETAK!$J$12="",$K50=CETAK!$J$12),OR(CETAK!$J$13="",$H50=CETAK!$J$13),OR(CETAK!$J$14="",$O50=CETAK!$J$14)),MAX($X$3:X49)+1,""))</f>
        <v/>
      </c>
      <c r="Y50" s="40" t="str">
        <f aca="false">IF($B50="","",IF(AND(OR(ABSENSI!$H$10="",$E50=ABSENSI!$H$10),OR(ABSENSI!$H$11="",$F50=ABSENSI!$H$11),OR(ABSENSI!$H$12="",$K50=ABSENSI!$H$12)),MAX($Y$3:Y49)+1,""))</f>
        <v/>
      </c>
      <c r="Z50" s="40" t="str">
        <f aca="false">IF($B50="","",IF(AND(OR(KARTU!$K$6="",$E50=KARTU!$K$6),OR(KARTU!$K$7="",$F50=KARTU!$K$7),OR(KARTU!$K$8="",$K50=KARTU!$K$8)),MAX($Z$3:Z49)+1,""))</f>
        <v/>
      </c>
    </row>
    <row r="51" customFormat="false" ht="15" hidden="false" customHeight="false" outlineLevel="0" collapsed="false">
      <c r="A51" s="36" t="str">
        <f aca="false">IF($B51="","",COUNTA($B$4:$B51))</f>
        <v/>
      </c>
      <c r="B51" s="37"/>
      <c r="C51" s="38"/>
      <c r="D51" s="39"/>
      <c r="E51" s="37"/>
      <c r="F51" s="39"/>
      <c r="G51" s="40" t="str">
        <f aca="false">IF(OR($E51="",$F51=""),"",$E51&amp;" - RT "&amp;$F51)</f>
        <v/>
      </c>
      <c r="H51" s="37"/>
      <c r="I51" s="38"/>
      <c r="J51" s="37"/>
      <c r="K51" s="39"/>
      <c r="L51" s="41"/>
      <c r="M51" s="36" t="str">
        <f aca="true">IF(OR($B51="",$L51=""),"",DATEDIF($L51,TODAY(),"Y"))</f>
        <v/>
      </c>
      <c r="N51" s="40" t="str">
        <f aca="false">IF($M51="","",INDEX(usia_label,MATCH($M51,usia_min,1)))</f>
        <v/>
      </c>
      <c r="O51" s="37"/>
      <c r="P51" s="41"/>
      <c r="Q51" s="37"/>
      <c r="R51" s="37"/>
      <c r="S51" s="40" t="str">
        <f aca="false">IF($G51="","",$G51&amp;"#"&amp;COUNTIF($G$4:$G51,$G51))</f>
        <v/>
      </c>
      <c r="T51" s="40" t="str">
        <f aca="false">IF($B51="","",IF($C51="","NIK kosong",IF(LEN($C51)&lt;&gt;16,"NIK bukan 16 digit",IF(COUNTIF($C$4:$C$2003,$C51&amp;"*")&gt;1,"NIK ganda",IF($E51="","Kadus kosong",IF($F51="","RT kosong",IF($H51="","Jabatan kosong",IF($I51="","No. HP kosong",IF($J51="","Alamat kosong",IF(AND($M51&lt;&gt;"",$M51&lt;17),"Usia di bawah 17",""))))))))))</f>
        <v/>
      </c>
      <c r="U51" s="40" t="str">
        <f aca="false">IF($B51="","",IF(AND(OR(CARI!$C$5="",ISNUMBER(SEARCH(CARI!$C$5,$B51&amp;" "&amp;$C51&amp;" "&amp;$I51&amp;" "&amp;$J51&amp;" "&amp;$Q51))),OR(CARI!$C$6="",$E51=CARI!$C$6),OR(CARI!$C$7="",$F51=CARI!$C$7),OR(CARI!$C$8="",$O51=CARI!$C$8)),MAX($U$3:U50)+1,""))</f>
        <v/>
      </c>
      <c r="V51" s="40" t="str">
        <f aca="false">IF($T51="","",MAX($V$3:V50)+1)</f>
        <v/>
      </c>
      <c r="W51" s="40" t="str">
        <f aca="false">IF($E51="","",$E51&amp;"#"&amp;COUNTIF($E$4:$E51,$E51))</f>
        <v/>
      </c>
      <c r="X51" s="40" t="str">
        <f aca="false">IF($B51="","",IF(AND(OR(CETAK!$J$10="",$E51=CETAK!$J$10),OR(CETAK!$J$11="",$F51=CETAK!$J$11),OR(CETAK!$J$12="",$K51=CETAK!$J$12),OR(CETAK!$J$13="",$H51=CETAK!$J$13),OR(CETAK!$J$14="",$O51=CETAK!$J$14)),MAX($X$3:X50)+1,""))</f>
        <v/>
      </c>
      <c r="Y51" s="40" t="str">
        <f aca="false">IF($B51="","",IF(AND(OR(ABSENSI!$H$10="",$E51=ABSENSI!$H$10),OR(ABSENSI!$H$11="",$F51=ABSENSI!$H$11),OR(ABSENSI!$H$12="",$K51=ABSENSI!$H$12)),MAX($Y$3:Y50)+1,""))</f>
        <v/>
      </c>
      <c r="Z51" s="40" t="str">
        <f aca="false">IF($B51="","",IF(AND(OR(KARTU!$K$6="",$E51=KARTU!$K$6),OR(KARTU!$K$7="",$F51=KARTU!$K$7),OR(KARTU!$K$8="",$K51=KARTU!$K$8)),MAX($Z$3:Z50)+1,""))</f>
        <v/>
      </c>
    </row>
    <row r="52" customFormat="false" ht="15" hidden="false" customHeight="false" outlineLevel="0" collapsed="false">
      <c r="A52" s="36" t="str">
        <f aca="false">IF($B52="","",COUNTA($B$4:$B52))</f>
        <v/>
      </c>
      <c r="B52" s="37"/>
      <c r="C52" s="38"/>
      <c r="D52" s="39"/>
      <c r="E52" s="37"/>
      <c r="F52" s="39"/>
      <c r="G52" s="40" t="str">
        <f aca="false">IF(OR($E52="",$F52=""),"",$E52&amp;" - RT "&amp;$F52)</f>
        <v/>
      </c>
      <c r="H52" s="37"/>
      <c r="I52" s="38"/>
      <c r="J52" s="37"/>
      <c r="K52" s="39"/>
      <c r="L52" s="41"/>
      <c r="M52" s="36" t="str">
        <f aca="true">IF(OR($B52="",$L52=""),"",DATEDIF($L52,TODAY(),"Y"))</f>
        <v/>
      </c>
      <c r="N52" s="40" t="str">
        <f aca="false">IF($M52="","",INDEX(usia_label,MATCH($M52,usia_min,1)))</f>
        <v/>
      </c>
      <c r="O52" s="37"/>
      <c r="P52" s="41"/>
      <c r="Q52" s="37"/>
      <c r="R52" s="37"/>
      <c r="S52" s="40" t="str">
        <f aca="false">IF($G52="","",$G52&amp;"#"&amp;COUNTIF($G$4:$G52,$G52))</f>
        <v/>
      </c>
      <c r="T52" s="40" t="str">
        <f aca="false">IF($B52="","",IF($C52="","NIK kosong",IF(LEN($C52)&lt;&gt;16,"NIK bukan 16 digit",IF(COUNTIF($C$4:$C$2003,$C52&amp;"*")&gt;1,"NIK ganda",IF($E52="","Kadus kosong",IF($F52="","RT kosong",IF($H52="","Jabatan kosong",IF($I52="","No. HP kosong",IF($J52="","Alamat kosong",IF(AND($M52&lt;&gt;"",$M52&lt;17),"Usia di bawah 17",""))))))))))</f>
        <v/>
      </c>
      <c r="U52" s="40" t="str">
        <f aca="false">IF($B52="","",IF(AND(OR(CARI!$C$5="",ISNUMBER(SEARCH(CARI!$C$5,$B52&amp;" "&amp;$C52&amp;" "&amp;$I52&amp;" "&amp;$J52&amp;" "&amp;$Q52))),OR(CARI!$C$6="",$E52=CARI!$C$6),OR(CARI!$C$7="",$F52=CARI!$C$7),OR(CARI!$C$8="",$O52=CARI!$C$8)),MAX($U$3:U51)+1,""))</f>
        <v/>
      </c>
      <c r="V52" s="40" t="str">
        <f aca="false">IF($T52="","",MAX($V$3:V51)+1)</f>
        <v/>
      </c>
      <c r="W52" s="40" t="str">
        <f aca="false">IF($E52="","",$E52&amp;"#"&amp;COUNTIF($E$4:$E52,$E52))</f>
        <v/>
      </c>
      <c r="X52" s="40" t="str">
        <f aca="false">IF($B52="","",IF(AND(OR(CETAK!$J$10="",$E52=CETAK!$J$10),OR(CETAK!$J$11="",$F52=CETAK!$J$11),OR(CETAK!$J$12="",$K52=CETAK!$J$12),OR(CETAK!$J$13="",$H52=CETAK!$J$13),OR(CETAK!$J$14="",$O52=CETAK!$J$14)),MAX($X$3:X51)+1,""))</f>
        <v/>
      </c>
      <c r="Y52" s="40" t="str">
        <f aca="false">IF($B52="","",IF(AND(OR(ABSENSI!$H$10="",$E52=ABSENSI!$H$10),OR(ABSENSI!$H$11="",$F52=ABSENSI!$H$11),OR(ABSENSI!$H$12="",$K52=ABSENSI!$H$12)),MAX($Y$3:Y51)+1,""))</f>
        <v/>
      </c>
      <c r="Z52" s="40" t="str">
        <f aca="false">IF($B52="","",IF(AND(OR(KARTU!$K$6="",$E52=KARTU!$K$6),OR(KARTU!$K$7="",$F52=KARTU!$K$7),OR(KARTU!$K$8="",$K52=KARTU!$K$8)),MAX($Z$3:Z51)+1,""))</f>
        <v/>
      </c>
    </row>
    <row r="53" customFormat="false" ht="15" hidden="false" customHeight="false" outlineLevel="0" collapsed="false">
      <c r="A53" s="36" t="str">
        <f aca="false">IF($B53="","",COUNTA($B$4:$B53))</f>
        <v/>
      </c>
      <c r="B53" s="37"/>
      <c r="C53" s="38"/>
      <c r="D53" s="39"/>
      <c r="E53" s="37"/>
      <c r="F53" s="39"/>
      <c r="G53" s="40" t="str">
        <f aca="false">IF(OR($E53="",$F53=""),"",$E53&amp;" - RT "&amp;$F53)</f>
        <v/>
      </c>
      <c r="H53" s="37"/>
      <c r="I53" s="38"/>
      <c r="J53" s="37"/>
      <c r="K53" s="39"/>
      <c r="L53" s="41"/>
      <c r="M53" s="36" t="str">
        <f aca="true">IF(OR($B53="",$L53=""),"",DATEDIF($L53,TODAY(),"Y"))</f>
        <v/>
      </c>
      <c r="N53" s="40" t="str">
        <f aca="false">IF($M53="","",INDEX(usia_label,MATCH($M53,usia_min,1)))</f>
        <v/>
      </c>
      <c r="O53" s="37"/>
      <c r="P53" s="41"/>
      <c r="Q53" s="37"/>
      <c r="R53" s="37"/>
      <c r="S53" s="40" t="str">
        <f aca="false">IF($G53="","",$G53&amp;"#"&amp;COUNTIF($G$4:$G53,$G53))</f>
        <v/>
      </c>
      <c r="T53" s="40" t="str">
        <f aca="false">IF($B53="","",IF($C53="","NIK kosong",IF(LEN($C53)&lt;&gt;16,"NIK bukan 16 digit",IF(COUNTIF($C$4:$C$2003,$C53&amp;"*")&gt;1,"NIK ganda",IF($E53="","Kadus kosong",IF($F53="","RT kosong",IF($H53="","Jabatan kosong",IF($I53="","No. HP kosong",IF($J53="","Alamat kosong",IF(AND($M53&lt;&gt;"",$M53&lt;17),"Usia di bawah 17",""))))))))))</f>
        <v/>
      </c>
      <c r="U53" s="40" t="str">
        <f aca="false">IF($B53="","",IF(AND(OR(CARI!$C$5="",ISNUMBER(SEARCH(CARI!$C$5,$B53&amp;" "&amp;$C53&amp;" "&amp;$I53&amp;" "&amp;$J53&amp;" "&amp;$Q53))),OR(CARI!$C$6="",$E53=CARI!$C$6),OR(CARI!$C$7="",$F53=CARI!$C$7),OR(CARI!$C$8="",$O53=CARI!$C$8)),MAX($U$3:U52)+1,""))</f>
        <v/>
      </c>
      <c r="V53" s="40" t="str">
        <f aca="false">IF($T53="","",MAX($V$3:V52)+1)</f>
        <v/>
      </c>
      <c r="W53" s="40" t="str">
        <f aca="false">IF($E53="","",$E53&amp;"#"&amp;COUNTIF($E$4:$E53,$E53))</f>
        <v/>
      </c>
      <c r="X53" s="40" t="str">
        <f aca="false">IF($B53="","",IF(AND(OR(CETAK!$J$10="",$E53=CETAK!$J$10),OR(CETAK!$J$11="",$F53=CETAK!$J$11),OR(CETAK!$J$12="",$K53=CETAK!$J$12),OR(CETAK!$J$13="",$H53=CETAK!$J$13),OR(CETAK!$J$14="",$O53=CETAK!$J$14)),MAX($X$3:X52)+1,""))</f>
        <v/>
      </c>
      <c r="Y53" s="40" t="str">
        <f aca="false">IF($B53="","",IF(AND(OR(ABSENSI!$H$10="",$E53=ABSENSI!$H$10),OR(ABSENSI!$H$11="",$F53=ABSENSI!$H$11),OR(ABSENSI!$H$12="",$K53=ABSENSI!$H$12)),MAX($Y$3:Y52)+1,""))</f>
        <v/>
      </c>
      <c r="Z53" s="40" t="str">
        <f aca="false">IF($B53="","",IF(AND(OR(KARTU!$K$6="",$E53=KARTU!$K$6),OR(KARTU!$K$7="",$F53=KARTU!$K$7),OR(KARTU!$K$8="",$K53=KARTU!$K$8)),MAX($Z$3:Z52)+1,""))</f>
        <v/>
      </c>
    </row>
    <row r="54" customFormat="false" ht="15" hidden="false" customHeight="false" outlineLevel="0" collapsed="false">
      <c r="A54" s="36" t="str">
        <f aca="false">IF($B54="","",COUNTA($B$4:$B54))</f>
        <v/>
      </c>
      <c r="B54" s="37"/>
      <c r="C54" s="38"/>
      <c r="D54" s="39"/>
      <c r="E54" s="37"/>
      <c r="F54" s="39"/>
      <c r="G54" s="40" t="str">
        <f aca="false">IF(OR($E54="",$F54=""),"",$E54&amp;" - RT "&amp;$F54)</f>
        <v/>
      </c>
      <c r="H54" s="37"/>
      <c r="I54" s="38"/>
      <c r="J54" s="37"/>
      <c r="K54" s="39"/>
      <c r="L54" s="41"/>
      <c r="M54" s="36" t="str">
        <f aca="true">IF(OR($B54="",$L54=""),"",DATEDIF($L54,TODAY(),"Y"))</f>
        <v/>
      </c>
      <c r="N54" s="40" t="str">
        <f aca="false">IF($M54="","",INDEX(usia_label,MATCH($M54,usia_min,1)))</f>
        <v/>
      </c>
      <c r="O54" s="37"/>
      <c r="P54" s="41"/>
      <c r="Q54" s="37"/>
      <c r="R54" s="37"/>
      <c r="S54" s="40" t="str">
        <f aca="false">IF($G54="","",$G54&amp;"#"&amp;COUNTIF($G$4:$G54,$G54))</f>
        <v/>
      </c>
      <c r="T54" s="40" t="str">
        <f aca="false">IF($B54="","",IF($C54="","NIK kosong",IF(LEN($C54)&lt;&gt;16,"NIK bukan 16 digit",IF(COUNTIF($C$4:$C$2003,$C54&amp;"*")&gt;1,"NIK ganda",IF($E54="","Kadus kosong",IF($F54="","RT kosong",IF($H54="","Jabatan kosong",IF($I54="","No. HP kosong",IF($J54="","Alamat kosong",IF(AND($M54&lt;&gt;"",$M54&lt;17),"Usia di bawah 17",""))))))))))</f>
        <v/>
      </c>
      <c r="U54" s="40" t="str">
        <f aca="false">IF($B54="","",IF(AND(OR(CARI!$C$5="",ISNUMBER(SEARCH(CARI!$C$5,$B54&amp;" "&amp;$C54&amp;" "&amp;$I54&amp;" "&amp;$J54&amp;" "&amp;$Q54))),OR(CARI!$C$6="",$E54=CARI!$C$6),OR(CARI!$C$7="",$F54=CARI!$C$7),OR(CARI!$C$8="",$O54=CARI!$C$8)),MAX($U$3:U53)+1,""))</f>
        <v/>
      </c>
      <c r="V54" s="40" t="str">
        <f aca="false">IF($T54="","",MAX($V$3:V53)+1)</f>
        <v/>
      </c>
      <c r="W54" s="40" t="str">
        <f aca="false">IF($E54="","",$E54&amp;"#"&amp;COUNTIF($E$4:$E54,$E54))</f>
        <v/>
      </c>
      <c r="X54" s="40" t="str">
        <f aca="false">IF($B54="","",IF(AND(OR(CETAK!$J$10="",$E54=CETAK!$J$10),OR(CETAK!$J$11="",$F54=CETAK!$J$11),OR(CETAK!$J$12="",$K54=CETAK!$J$12),OR(CETAK!$J$13="",$H54=CETAK!$J$13),OR(CETAK!$J$14="",$O54=CETAK!$J$14)),MAX($X$3:X53)+1,""))</f>
        <v/>
      </c>
      <c r="Y54" s="40" t="str">
        <f aca="false">IF($B54="","",IF(AND(OR(ABSENSI!$H$10="",$E54=ABSENSI!$H$10),OR(ABSENSI!$H$11="",$F54=ABSENSI!$H$11),OR(ABSENSI!$H$12="",$K54=ABSENSI!$H$12)),MAX($Y$3:Y53)+1,""))</f>
        <v/>
      </c>
      <c r="Z54" s="40" t="str">
        <f aca="false">IF($B54="","",IF(AND(OR(KARTU!$K$6="",$E54=KARTU!$K$6),OR(KARTU!$K$7="",$F54=KARTU!$K$7),OR(KARTU!$K$8="",$K54=KARTU!$K$8)),MAX($Z$3:Z53)+1,""))</f>
        <v/>
      </c>
    </row>
    <row r="55" customFormat="false" ht="15" hidden="false" customHeight="false" outlineLevel="0" collapsed="false">
      <c r="A55" s="36" t="str">
        <f aca="false">IF($B55="","",COUNTA($B$4:$B55))</f>
        <v/>
      </c>
      <c r="B55" s="37"/>
      <c r="C55" s="38"/>
      <c r="D55" s="39"/>
      <c r="E55" s="37"/>
      <c r="F55" s="39"/>
      <c r="G55" s="40" t="str">
        <f aca="false">IF(OR($E55="",$F55=""),"",$E55&amp;" - RT "&amp;$F55)</f>
        <v/>
      </c>
      <c r="H55" s="37"/>
      <c r="I55" s="38"/>
      <c r="J55" s="37"/>
      <c r="K55" s="39"/>
      <c r="L55" s="41"/>
      <c r="M55" s="36" t="str">
        <f aca="true">IF(OR($B55="",$L55=""),"",DATEDIF($L55,TODAY(),"Y"))</f>
        <v/>
      </c>
      <c r="N55" s="40" t="str">
        <f aca="false">IF($M55="","",INDEX(usia_label,MATCH($M55,usia_min,1)))</f>
        <v/>
      </c>
      <c r="O55" s="37"/>
      <c r="P55" s="41"/>
      <c r="Q55" s="37"/>
      <c r="R55" s="37"/>
      <c r="S55" s="40" t="str">
        <f aca="false">IF($G55="","",$G55&amp;"#"&amp;COUNTIF($G$4:$G55,$G55))</f>
        <v/>
      </c>
      <c r="T55" s="40" t="str">
        <f aca="false">IF($B55="","",IF($C55="","NIK kosong",IF(LEN($C55)&lt;&gt;16,"NIK bukan 16 digit",IF(COUNTIF($C$4:$C$2003,$C55&amp;"*")&gt;1,"NIK ganda",IF($E55="","Kadus kosong",IF($F55="","RT kosong",IF($H55="","Jabatan kosong",IF($I55="","No. HP kosong",IF($J55="","Alamat kosong",IF(AND($M55&lt;&gt;"",$M55&lt;17),"Usia di bawah 17",""))))))))))</f>
        <v/>
      </c>
      <c r="U55" s="40" t="str">
        <f aca="false">IF($B55="","",IF(AND(OR(CARI!$C$5="",ISNUMBER(SEARCH(CARI!$C$5,$B55&amp;" "&amp;$C55&amp;" "&amp;$I55&amp;" "&amp;$J55&amp;" "&amp;$Q55))),OR(CARI!$C$6="",$E55=CARI!$C$6),OR(CARI!$C$7="",$F55=CARI!$C$7),OR(CARI!$C$8="",$O55=CARI!$C$8)),MAX($U$3:U54)+1,""))</f>
        <v/>
      </c>
      <c r="V55" s="40" t="str">
        <f aca="false">IF($T55="","",MAX($V$3:V54)+1)</f>
        <v/>
      </c>
      <c r="W55" s="40" t="str">
        <f aca="false">IF($E55="","",$E55&amp;"#"&amp;COUNTIF($E$4:$E55,$E55))</f>
        <v/>
      </c>
      <c r="X55" s="40" t="str">
        <f aca="false">IF($B55="","",IF(AND(OR(CETAK!$J$10="",$E55=CETAK!$J$10),OR(CETAK!$J$11="",$F55=CETAK!$J$11),OR(CETAK!$J$12="",$K55=CETAK!$J$12),OR(CETAK!$J$13="",$H55=CETAK!$J$13),OR(CETAK!$J$14="",$O55=CETAK!$J$14)),MAX($X$3:X54)+1,""))</f>
        <v/>
      </c>
      <c r="Y55" s="40" t="str">
        <f aca="false">IF($B55="","",IF(AND(OR(ABSENSI!$H$10="",$E55=ABSENSI!$H$10),OR(ABSENSI!$H$11="",$F55=ABSENSI!$H$11),OR(ABSENSI!$H$12="",$K55=ABSENSI!$H$12)),MAX($Y$3:Y54)+1,""))</f>
        <v/>
      </c>
      <c r="Z55" s="40" t="str">
        <f aca="false">IF($B55="","",IF(AND(OR(KARTU!$K$6="",$E55=KARTU!$K$6),OR(KARTU!$K$7="",$F55=KARTU!$K$7),OR(KARTU!$K$8="",$K55=KARTU!$K$8)),MAX($Z$3:Z54)+1,""))</f>
        <v/>
      </c>
    </row>
    <row r="56" customFormat="false" ht="15" hidden="false" customHeight="false" outlineLevel="0" collapsed="false">
      <c r="A56" s="36" t="str">
        <f aca="false">IF($B56="","",COUNTA($B$4:$B56))</f>
        <v/>
      </c>
      <c r="B56" s="37"/>
      <c r="C56" s="38"/>
      <c r="D56" s="39"/>
      <c r="E56" s="37"/>
      <c r="F56" s="39"/>
      <c r="G56" s="40" t="str">
        <f aca="false">IF(OR($E56="",$F56=""),"",$E56&amp;" - RT "&amp;$F56)</f>
        <v/>
      </c>
      <c r="H56" s="37"/>
      <c r="I56" s="38"/>
      <c r="J56" s="37"/>
      <c r="K56" s="39"/>
      <c r="L56" s="41"/>
      <c r="M56" s="36" t="str">
        <f aca="true">IF(OR($B56="",$L56=""),"",DATEDIF($L56,TODAY(),"Y"))</f>
        <v/>
      </c>
      <c r="N56" s="40" t="str">
        <f aca="false">IF($M56="","",INDEX(usia_label,MATCH($M56,usia_min,1)))</f>
        <v/>
      </c>
      <c r="O56" s="37"/>
      <c r="P56" s="41"/>
      <c r="Q56" s="37"/>
      <c r="R56" s="37"/>
      <c r="S56" s="40" t="str">
        <f aca="false">IF($G56="","",$G56&amp;"#"&amp;COUNTIF($G$4:$G56,$G56))</f>
        <v/>
      </c>
      <c r="T56" s="40" t="str">
        <f aca="false">IF($B56="","",IF($C56="","NIK kosong",IF(LEN($C56)&lt;&gt;16,"NIK bukan 16 digit",IF(COUNTIF($C$4:$C$2003,$C56&amp;"*")&gt;1,"NIK ganda",IF($E56="","Kadus kosong",IF($F56="","RT kosong",IF($H56="","Jabatan kosong",IF($I56="","No. HP kosong",IF($J56="","Alamat kosong",IF(AND($M56&lt;&gt;"",$M56&lt;17),"Usia di bawah 17",""))))))))))</f>
        <v/>
      </c>
      <c r="U56" s="40" t="str">
        <f aca="false">IF($B56="","",IF(AND(OR(CARI!$C$5="",ISNUMBER(SEARCH(CARI!$C$5,$B56&amp;" "&amp;$C56&amp;" "&amp;$I56&amp;" "&amp;$J56&amp;" "&amp;$Q56))),OR(CARI!$C$6="",$E56=CARI!$C$6),OR(CARI!$C$7="",$F56=CARI!$C$7),OR(CARI!$C$8="",$O56=CARI!$C$8)),MAX($U$3:U55)+1,""))</f>
        <v/>
      </c>
      <c r="V56" s="40" t="str">
        <f aca="false">IF($T56="","",MAX($V$3:V55)+1)</f>
        <v/>
      </c>
      <c r="W56" s="40" t="str">
        <f aca="false">IF($E56="","",$E56&amp;"#"&amp;COUNTIF($E$4:$E56,$E56))</f>
        <v/>
      </c>
      <c r="X56" s="40" t="str">
        <f aca="false">IF($B56="","",IF(AND(OR(CETAK!$J$10="",$E56=CETAK!$J$10),OR(CETAK!$J$11="",$F56=CETAK!$J$11),OR(CETAK!$J$12="",$K56=CETAK!$J$12),OR(CETAK!$J$13="",$H56=CETAK!$J$13),OR(CETAK!$J$14="",$O56=CETAK!$J$14)),MAX($X$3:X55)+1,""))</f>
        <v/>
      </c>
      <c r="Y56" s="40" t="str">
        <f aca="false">IF($B56="","",IF(AND(OR(ABSENSI!$H$10="",$E56=ABSENSI!$H$10),OR(ABSENSI!$H$11="",$F56=ABSENSI!$H$11),OR(ABSENSI!$H$12="",$K56=ABSENSI!$H$12)),MAX($Y$3:Y55)+1,""))</f>
        <v/>
      </c>
      <c r="Z56" s="40" t="str">
        <f aca="false">IF($B56="","",IF(AND(OR(KARTU!$K$6="",$E56=KARTU!$K$6),OR(KARTU!$K$7="",$F56=KARTU!$K$7),OR(KARTU!$K$8="",$K56=KARTU!$K$8)),MAX($Z$3:Z55)+1,""))</f>
        <v/>
      </c>
    </row>
    <row r="57" customFormat="false" ht="15" hidden="false" customHeight="false" outlineLevel="0" collapsed="false">
      <c r="A57" s="36" t="str">
        <f aca="false">IF($B57="","",COUNTA($B$4:$B57))</f>
        <v/>
      </c>
      <c r="B57" s="37"/>
      <c r="C57" s="38"/>
      <c r="D57" s="39"/>
      <c r="E57" s="37"/>
      <c r="F57" s="39"/>
      <c r="G57" s="40" t="str">
        <f aca="false">IF(OR($E57="",$F57=""),"",$E57&amp;" - RT "&amp;$F57)</f>
        <v/>
      </c>
      <c r="H57" s="37"/>
      <c r="I57" s="38"/>
      <c r="J57" s="37"/>
      <c r="K57" s="39"/>
      <c r="L57" s="41"/>
      <c r="M57" s="36" t="str">
        <f aca="true">IF(OR($B57="",$L57=""),"",DATEDIF($L57,TODAY(),"Y"))</f>
        <v/>
      </c>
      <c r="N57" s="40" t="str">
        <f aca="false">IF($M57="","",INDEX(usia_label,MATCH($M57,usia_min,1)))</f>
        <v/>
      </c>
      <c r="O57" s="37"/>
      <c r="P57" s="41"/>
      <c r="Q57" s="37"/>
      <c r="R57" s="37"/>
      <c r="S57" s="40" t="str">
        <f aca="false">IF($G57="","",$G57&amp;"#"&amp;COUNTIF($G$4:$G57,$G57))</f>
        <v/>
      </c>
      <c r="T57" s="40" t="str">
        <f aca="false">IF($B57="","",IF($C57="","NIK kosong",IF(LEN($C57)&lt;&gt;16,"NIK bukan 16 digit",IF(COUNTIF($C$4:$C$2003,$C57&amp;"*")&gt;1,"NIK ganda",IF($E57="","Kadus kosong",IF($F57="","RT kosong",IF($H57="","Jabatan kosong",IF($I57="","No. HP kosong",IF($J57="","Alamat kosong",IF(AND($M57&lt;&gt;"",$M57&lt;17),"Usia di bawah 17",""))))))))))</f>
        <v/>
      </c>
      <c r="U57" s="40" t="str">
        <f aca="false">IF($B57="","",IF(AND(OR(CARI!$C$5="",ISNUMBER(SEARCH(CARI!$C$5,$B57&amp;" "&amp;$C57&amp;" "&amp;$I57&amp;" "&amp;$J57&amp;" "&amp;$Q57))),OR(CARI!$C$6="",$E57=CARI!$C$6),OR(CARI!$C$7="",$F57=CARI!$C$7),OR(CARI!$C$8="",$O57=CARI!$C$8)),MAX($U$3:U56)+1,""))</f>
        <v/>
      </c>
      <c r="V57" s="40" t="str">
        <f aca="false">IF($T57="","",MAX($V$3:V56)+1)</f>
        <v/>
      </c>
      <c r="W57" s="40" t="str">
        <f aca="false">IF($E57="","",$E57&amp;"#"&amp;COUNTIF($E$4:$E57,$E57))</f>
        <v/>
      </c>
      <c r="X57" s="40" t="str">
        <f aca="false">IF($B57="","",IF(AND(OR(CETAK!$J$10="",$E57=CETAK!$J$10),OR(CETAK!$J$11="",$F57=CETAK!$J$11),OR(CETAK!$J$12="",$K57=CETAK!$J$12),OR(CETAK!$J$13="",$H57=CETAK!$J$13),OR(CETAK!$J$14="",$O57=CETAK!$J$14)),MAX($X$3:X56)+1,""))</f>
        <v/>
      </c>
      <c r="Y57" s="40" t="str">
        <f aca="false">IF($B57="","",IF(AND(OR(ABSENSI!$H$10="",$E57=ABSENSI!$H$10),OR(ABSENSI!$H$11="",$F57=ABSENSI!$H$11),OR(ABSENSI!$H$12="",$K57=ABSENSI!$H$12)),MAX($Y$3:Y56)+1,""))</f>
        <v/>
      </c>
      <c r="Z57" s="40" t="str">
        <f aca="false">IF($B57="","",IF(AND(OR(KARTU!$K$6="",$E57=KARTU!$K$6),OR(KARTU!$K$7="",$F57=KARTU!$K$7),OR(KARTU!$K$8="",$K57=KARTU!$K$8)),MAX($Z$3:Z56)+1,""))</f>
        <v/>
      </c>
    </row>
    <row r="58" customFormat="false" ht="15" hidden="false" customHeight="false" outlineLevel="0" collapsed="false">
      <c r="A58" s="36" t="str">
        <f aca="false">IF($B58="","",COUNTA($B$4:$B58))</f>
        <v/>
      </c>
      <c r="B58" s="37"/>
      <c r="C58" s="38"/>
      <c r="D58" s="39"/>
      <c r="E58" s="37"/>
      <c r="F58" s="39"/>
      <c r="G58" s="40" t="str">
        <f aca="false">IF(OR($E58="",$F58=""),"",$E58&amp;" - RT "&amp;$F58)</f>
        <v/>
      </c>
      <c r="H58" s="37"/>
      <c r="I58" s="38"/>
      <c r="J58" s="37"/>
      <c r="K58" s="39"/>
      <c r="L58" s="41"/>
      <c r="M58" s="36" t="str">
        <f aca="true">IF(OR($B58="",$L58=""),"",DATEDIF($L58,TODAY(),"Y"))</f>
        <v/>
      </c>
      <c r="N58" s="40" t="str">
        <f aca="false">IF($M58="","",INDEX(usia_label,MATCH($M58,usia_min,1)))</f>
        <v/>
      </c>
      <c r="O58" s="37"/>
      <c r="P58" s="41"/>
      <c r="Q58" s="37"/>
      <c r="R58" s="37"/>
      <c r="S58" s="40" t="str">
        <f aca="false">IF($G58="","",$G58&amp;"#"&amp;COUNTIF($G$4:$G58,$G58))</f>
        <v/>
      </c>
      <c r="T58" s="40" t="str">
        <f aca="false">IF($B58="","",IF($C58="","NIK kosong",IF(LEN($C58)&lt;&gt;16,"NIK bukan 16 digit",IF(COUNTIF($C$4:$C$2003,$C58&amp;"*")&gt;1,"NIK ganda",IF($E58="","Kadus kosong",IF($F58="","RT kosong",IF($H58="","Jabatan kosong",IF($I58="","No. HP kosong",IF($J58="","Alamat kosong",IF(AND($M58&lt;&gt;"",$M58&lt;17),"Usia di bawah 17",""))))))))))</f>
        <v/>
      </c>
      <c r="U58" s="40" t="str">
        <f aca="false">IF($B58="","",IF(AND(OR(CARI!$C$5="",ISNUMBER(SEARCH(CARI!$C$5,$B58&amp;" "&amp;$C58&amp;" "&amp;$I58&amp;" "&amp;$J58&amp;" "&amp;$Q58))),OR(CARI!$C$6="",$E58=CARI!$C$6),OR(CARI!$C$7="",$F58=CARI!$C$7),OR(CARI!$C$8="",$O58=CARI!$C$8)),MAX($U$3:U57)+1,""))</f>
        <v/>
      </c>
      <c r="V58" s="40" t="str">
        <f aca="false">IF($T58="","",MAX($V$3:V57)+1)</f>
        <v/>
      </c>
      <c r="W58" s="40" t="str">
        <f aca="false">IF($E58="","",$E58&amp;"#"&amp;COUNTIF($E$4:$E58,$E58))</f>
        <v/>
      </c>
      <c r="X58" s="40" t="str">
        <f aca="false">IF($B58="","",IF(AND(OR(CETAK!$J$10="",$E58=CETAK!$J$10),OR(CETAK!$J$11="",$F58=CETAK!$J$11),OR(CETAK!$J$12="",$K58=CETAK!$J$12),OR(CETAK!$J$13="",$H58=CETAK!$J$13),OR(CETAK!$J$14="",$O58=CETAK!$J$14)),MAX($X$3:X57)+1,""))</f>
        <v/>
      </c>
      <c r="Y58" s="40" t="str">
        <f aca="false">IF($B58="","",IF(AND(OR(ABSENSI!$H$10="",$E58=ABSENSI!$H$10),OR(ABSENSI!$H$11="",$F58=ABSENSI!$H$11),OR(ABSENSI!$H$12="",$K58=ABSENSI!$H$12)),MAX($Y$3:Y57)+1,""))</f>
        <v/>
      </c>
      <c r="Z58" s="40" t="str">
        <f aca="false">IF($B58="","",IF(AND(OR(KARTU!$K$6="",$E58=KARTU!$K$6),OR(KARTU!$K$7="",$F58=KARTU!$K$7),OR(KARTU!$K$8="",$K58=KARTU!$K$8)),MAX($Z$3:Z57)+1,""))</f>
        <v/>
      </c>
    </row>
    <row r="59" customFormat="false" ht="15" hidden="false" customHeight="false" outlineLevel="0" collapsed="false">
      <c r="A59" s="36" t="str">
        <f aca="false">IF($B59="","",COUNTA($B$4:$B59))</f>
        <v/>
      </c>
      <c r="B59" s="37"/>
      <c r="C59" s="38"/>
      <c r="D59" s="39"/>
      <c r="E59" s="37"/>
      <c r="F59" s="39"/>
      <c r="G59" s="40" t="str">
        <f aca="false">IF(OR($E59="",$F59=""),"",$E59&amp;" - RT "&amp;$F59)</f>
        <v/>
      </c>
      <c r="H59" s="37"/>
      <c r="I59" s="38"/>
      <c r="J59" s="37"/>
      <c r="K59" s="39"/>
      <c r="L59" s="41"/>
      <c r="M59" s="36" t="str">
        <f aca="true">IF(OR($B59="",$L59=""),"",DATEDIF($L59,TODAY(),"Y"))</f>
        <v/>
      </c>
      <c r="N59" s="40" t="str">
        <f aca="false">IF($M59="","",INDEX(usia_label,MATCH($M59,usia_min,1)))</f>
        <v/>
      </c>
      <c r="O59" s="37"/>
      <c r="P59" s="41"/>
      <c r="Q59" s="37"/>
      <c r="R59" s="37"/>
      <c r="S59" s="40" t="str">
        <f aca="false">IF($G59="","",$G59&amp;"#"&amp;COUNTIF($G$4:$G59,$G59))</f>
        <v/>
      </c>
      <c r="T59" s="40" t="str">
        <f aca="false">IF($B59="","",IF($C59="","NIK kosong",IF(LEN($C59)&lt;&gt;16,"NIK bukan 16 digit",IF(COUNTIF($C$4:$C$2003,$C59&amp;"*")&gt;1,"NIK ganda",IF($E59="","Kadus kosong",IF($F59="","RT kosong",IF($H59="","Jabatan kosong",IF($I59="","No. HP kosong",IF($J59="","Alamat kosong",IF(AND($M59&lt;&gt;"",$M59&lt;17),"Usia di bawah 17",""))))))))))</f>
        <v/>
      </c>
      <c r="U59" s="40" t="str">
        <f aca="false">IF($B59="","",IF(AND(OR(CARI!$C$5="",ISNUMBER(SEARCH(CARI!$C$5,$B59&amp;" "&amp;$C59&amp;" "&amp;$I59&amp;" "&amp;$J59&amp;" "&amp;$Q59))),OR(CARI!$C$6="",$E59=CARI!$C$6),OR(CARI!$C$7="",$F59=CARI!$C$7),OR(CARI!$C$8="",$O59=CARI!$C$8)),MAX($U$3:U58)+1,""))</f>
        <v/>
      </c>
      <c r="V59" s="40" t="str">
        <f aca="false">IF($T59="","",MAX($V$3:V58)+1)</f>
        <v/>
      </c>
      <c r="W59" s="40" t="str">
        <f aca="false">IF($E59="","",$E59&amp;"#"&amp;COUNTIF($E$4:$E59,$E59))</f>
        <v/>
      </c>
      <c r="X59" s="40" t="str">
        <f aca="false">IF($B59="","",IF(AND(OR(CETAK!$J$10="",$E59=CETAK!$J$10),OR(CETAK!$J$11="",$F59=CETAK!$J$11),OR(CETAK!$J$12="",$K59=CETAK!$J$12),OR(CETAK!$J$13="",$H59=CETAK!$J$13),OR(CETAK!$J$14="",$O59=CETAK!$J$14)),MAX($X$3:X58)+1,""))</f>
        <v/>
      </c>
      <c r="Y59" s="40" t="str">
        <f aca="false">IF($B59="","",IF(AND(OR(ABSENSI!$H$10="",$E59=ABSENSI!$H$10),OR(ABSENSI!$H$11="",$F59=ABSENSI!$H$11),OR(ABSENSI!$H$12="",$K59=ABSENSI!$H$12)),MAX($Y$3:Y58)+1,""))</f>
        <v/>
      </c>
      <c r="Z59" s="40" t="str">
        <f aca="false">IF($B59="","",IF(AND(OR(KARTU!$K$6="",$E59=KARTU!$K$6),OR(KARTU!$K$7="",$F59=KARTU!$K$7),OR(KARTU!$K$8="",$K59=KARTU!$K$8)),MAX($Z$3:Z58)+1,""))</f>
        <v/>
      </c>
    </row>
    <row r="60" customFormat="false" ht="15" hidden="false" customHeight="false" outlineLevel="0" collapsed="false">
      <c r="A60" s="36" t="str">
        <f aca="false">IF($B60="","",COUNTA($B$4:$B60))</f>
        <v/>
      </c>
      <c r="B60" s="37"/>
      <c r="C60" s="38"/>
      <c r="D60" s="39"/>
      <c r="E60" s="37"/>
      <c r="F60" s="39"/>
      <c r="G60" s="40" t="str">
        <f aca="false">IF(OR($E60="",$F60=""),"",$E60&amp;" - RT "&amp;$F60)</f>
        <v/>
      </c>
      <c r="H60" s="37"/>
      <c r="I60" s="38"/>
      <c r="J60" s="37"/>
      <c r="K60" s="39"/>
      <c r="L60" s="41"/>
      <c r="M60" s="36" t="str">
        <f aca="true">IF(OR($B60="",$L60=""),"",DATEDIF($L60,TODAY(),"Y"))</f>
        <v/>
      </c>
      <c r="N60" s="40" t="str">
        <f aca="false">IF($M60="","",INDEX(usia_label,MATCH($M60,usia_min,1)))</f>
        <v/>
      </c>
      <c r="O60" s="37"/>
      <c r="P60" s="41"/>
      <c r="Q60" s="37"/>
      <c r="R60" s="37"/>
      <c r="S60" s="40" t="str">
        <f aca="false">IF($G60="","",$G60&amp;"#"&amp;COUNTIF($G$4:$G60,$G60))</f>
        <v/>
      </c>
      <c r="T60" s="40" t="str">
        <f aca="false">IF($B60="","",IF($C60="","NIK kosong",IF(LEN($C60)&lt;&gt;16,"NIK bukan 16 digit",IF(COUNTIF($C$4:$C$2003,$C60&amp;"*")&gt;1,"NIK ganda",IF($E60="","Kadus kosong",IF($F60="","RT kosong",IF($H60="","Jabatan kosong",IF($I60="","No. HP kosong",IF($J60="","Alamat kosong",IF(AND($M60&lt;&gt;"",$M60&lt;17),"Usia di bawah 17",""))))))))))</f>
        <v/>
      </c>
      <c r="U60" s="40" t="str">
        <f aca="false">IF($B60="","",IF(AND(OR(CARI!$C$5="",ISNUMBER(SEARCH(CARI!$C$5,$B60&amp;" "&amp;$C60&amp;" "&amp;$I60&amp;" "&amp;$J60&amp;" "&amp;$Q60))),OR(CARI!$C$6="",$E60=CARI!$C$6),OR(CARI!$C$7="",$F60=CARI!$C$7),OR(CARI!$C$8="",$O60=CARI!$C$8)),MAX($U$3:U59)+1,""))</f>
        <v/>
      </c>
      <c r="V60" s="40" t="str">
        <f aca="false">IF($T60="","",MAX($V$3:V59)+1)</f>
        <v/>
      </c>
      <c r="W60" s="40" t="str">
        <f aca="false">IF($E60="","",$E60&amp;"#"&amp;COUNTIF($E$4:$E60,$E60))</f>
        <v/>
      </c>
      <c r="X60" s="40" t="str">
        <f aca="false">IF($B60="","",IF(AND(OR(CETAK!$J$10="",$E60=CETAK!$J$10),OR(CETAK!$J$11="",$F60=CETAK!$J$11),OR(CETAK!$J$12="",$K60=CETAK!$J$12),OR(CETAK!$J$13="",$H60=CETAK!$J$13),OR(CETAK!$J$14="",$O60=CETAK!$J$14)),MAX($X$3:X59)+1,""))</f>
        <v/>
      </c>
      <c r="Y60" s="40" t="str">
        <f aca="false">IF($B60="","",IF(AND(OR(ABSENSI!$H$10="",$E60=ABSENSI!$H$10),OR(ABSENSI!$H$11="",$F60=ABSENSI!$H$11),OR(ABSENSI!$H$12="",$K60=ABSENSI!$H$12)),MAX($Y$3:Y59)+1,""))</f>
        <v/>
      </c>
      <c r="Z60" s="40" t="str">
        <f aca="false">IF($B60="","",IF(AND(OR(KARTU!$K$6="",$E60=KARTU!$K$6),OR(KARTU!$K$7="",$F60=KARTU!$K$7),OR(KARTU!$K$8="",$K60=KARTU!$K$8)),MAX($Z$3:Z59)+1,""))</f>
        <v/>
      </c>
    </row>
    <row r="61" customFormat="false" ht="15" hidden="false" customHeight="false" outlineLevel="0" collapsed="false">
      <c r="A61" s="36" t="str">
        <f aca="false">IF($B61="","",COUNTA($B$4:$B61))</f>
        <v/>
      </c>
      <c r="B61" s="37"/>
      <c r="C61" s="38"/>
      <c r="D61" s="39"/>
      <c r="E61" s="37"/>
      <c r="F61" s="39"/>
      <c r="G61" s="40" t="str">
        <f aca="false">IF(OR($E61="",$F61=""),"",$E61&amp;" - RT "&amp;$F61)</f>
        <v/>
      </c>
      <c r="H61" s="37"/>
      <c r="I61" s="38"/>
      <c r="J61" s="37"/>
      <c r="K61" s="39"/>
      <c r="L61" s="41"/>
      <c r="M61" s="36" t="str">
        <f aca="true">IF(OR($B61="",$L61=""),"",DATEDIF($L61,TODAY(),"Y"))</f>
        <v/>
      </c>
      <c r="N61" s="40" t="str">
        <f aca="false">IF($M61="","",INDEX(usia_label,MATCH($M61,usia_min,1)))</f>
        <v/>
      </c>
      <c r="O61" s="37"/>
      <c r="P61" s="41"/>
      <c r="Q61" s="37"/>
      <c r="R61" s="37"/>
      <c r="S61" s="40" t="str">
        <f aca="false">IF($G61="","",$G61&amp;"#"&amp;COUNTIF($G$4:$G61,$G61))</f>
        <v/>
      </c>
      <c r="T61" s="40" t="str">
        <f aca="false">IF($B61="","",IF($C61="","NIK kosong",IF(LEN($C61)&lt;&gt;16,"NIK bukan 16 digit",IF(COUNTIF($C$4:$C$2003,$C61&amp;"*")&gt;1,"NIK ganda",IF($E61="","Kadus kosong",IF($F61="","RT kosong",IF($H61="","Jabatan kosong",IF($I61="","No. HP kosong",IF($J61="","Alamat kosong",IF(AND($M61&lt;&gt;"",$M61&lt;17),"Usia di bawah 17",""))))))))))</f>
        <v/>
      </c>
      <c r="U61" s="40" t="str">
        <f aca="false">IF($B61="","",IF(AND(OR(CARI!$C$5="",ISNUMBER(SEARCH(CARI!$C$5,$B61&amp;" "&amp;$C61&amp;" "&amp;$I61&amp;" "&amp;$J61&amp;" "&amp;$Q61))),OR(CARI!$C$6="",$E61=CARI!$C$6),OR(CARI!$C$7="",$F61=CARI!$C$7),OR(CARI!$C$8="",$O61=CARI!$C$8)),MAX($U$3:U60)+1,""))</f>
        <v/>
      </c>
      <c r="V61" s="40" t="str">
        <f aca="false">IF($T61="","",MAX($V$3:V60)+1)</f>
        <v/>
      </c>
      <c r="W61" s="40" t="str">
        <f aca="false">IF($E61="","",$E61&amp;"#"&amp;COUNTIF($E$4:$E61,$E61))</f>
        <v/>
      </c>
      <c r="X61" s="40" t="str">
        <f aca="false">IF($B61="","",IF(AND(OR(CETAK!$J$10="",$E61=CETAK!$J$10),OR(CETAK!$J$11="",$F61=CETAK!$J$11),OR(CETAK!$J$12="",$K61=CETAK!$J$12),OR(CETAK!$J$13="",$H61=CETAK!$J$13),OR(CETAK!$J$14="",$O61=CETAK!$J$14)),MAX($X$3:X60)+1,""))</f>
        <v/>
      </c>
      <c r="Y61" s="40" t="str">
        <f aca="false">IF($B61="","",IF(AND(OR(ABSENSI!$H$10="",$E61=ABSENSI!$H$10),OR(ABSENSI!$H$11="",$F61=ABSENSI!$H$11),OR(ABSENSI!$H$12="",$K61=ABSENSI!$H$12)),MAX($Y$3:Y60)+1,""))</f>
        <v/>
      </c>
      <c r="Z61" s="40" t="str">
        <f aca="false">IF($B61="","",IF(AND(OR(KARTU!$K$6="",$E61=KARTU!$K$6),OR(KARTU!$K$7="",$F61=KARTU!$K$7),OR(KARTU!$K$8="",$K61=KARTU!$K$8)),MAX($Z$3:Z60)+1,""))</f>
        <v/>
      </c>
    </row>
    <row r="62" customFormat="false" ht="15" hidden="false" customHeight="false" outlineLevel="0" collapsed="false">
      <c r="A62" s="36" t="str">
        <f aca="false">IF($B62="","",COUNTA($B$4:$B62))</f>
        <v/>
      </c>
      <c r="B62" s="37"/>
      <c r="C62" s="38"/>
      <c r="D62" s="39"/>
      <c r="E62" s="37"/>
      <c r="F62" s="39"/>
      <c r="G62" s="40" t="str">
        <f aca="false">IF(OR($E62="",$F62=""),"",$E62&amp;" - RT "&amp;$F62)</f>
        <v/>
      </c>
      <c r="H62" s="37"/>
      <c r="I62" s="38"/>
      <c r="J62" s="37"/>
      <c r="K62" s="39"/>
      <c r="L62" s="41"/>
      <c r="M62" s="36" t="str">
        <f aca="true">IF(OR($B62="",$L62=""),"",DATEDIF($L62,TODAY(),"Y"))</f>
        <v/>
      </c>
      <c r="N62" s="40" t="str">
        <f aca="false">IF($M62="","",INDEX(usia_label,MATCH($M62,usia_min,1)))</f>
        <v/>
      </c>
      <c r="O62" s="37"/>
      <c r="P62" s="41"/>
      <c r="Q62" s="37"/>
      <c r="R62" s="37"/>
      <c r="S62" s="40" t="str">
        <f aca="false">IF($G62="","",$G62&amp;"#"&amp;COUNTIF($G$4:$G62,$G62))</f>
        <v/>
      </c>
      <c r="T62" s="40" t="str">
        <f aca="false">IF($B62="","",IF($C62="","NIK kosong",IF(LEN($C62)&lt;&gt;16,"NIK bukan 16 digit",IF(COUNTIF($C$4:$C$2003,$C62&amp;"*")&gt;1,"NIK ganda",IF($E62="","Kadus kosong",IF($F62="","RT kosong",IF($H62="","Jabatan kosong",IF($I62="","No. HP kosong",IF($J62="","Alamat kosong",IF(AND($M62&lt;&gt;"",$M62&lt;17),"Usia di bawah 17",""))))))))))</f>
        <v/>
      </c>
      <c r="U62" s="40" t="str">
        <f aca="false">IF($B62="","",IF(AND(OR(CARI!$C$5="",ISNUMBER(SEARCH(CARI!$C$5,$B62&amp;" "&amp;$C62&amp;" "&amp;$I62&amp;" "&amp;$J62&amp;" "&amp;$Q62))),OR(CARI!$C$6="",$E62=CARI!$C$6),OR(CARI!$C$7="",$F62=CARI!$C$7),OR(CARI!$C$8="",$O62=CARI!$C$8)),MAX($U$3:U61)+1,""))</f>
        <v/>
      </c>
      <c r="V62" s="40" t="str">
        <f aca="false">IF($T62="","",MAX($V$3:V61)+1)</f>
        <v/>
      </c>
      <c r="W62" s="40" t="str">
        <f aca="false">IF($E62="","",$E62&amp;"#"&amp;COUNTIF($E$4:$E62,$E62))</f>
        <v/>
      </c>
      <c r="X62" s="40" t="str">
        <f aca="false">IF($B62="","",IF(AND(OR(CETAK!$J$10="",$E62=CETAK!$J$10),OR(CETAK!$J$11="",$F62=CETAK!$J$11),OR(CETAK!$J$12="",$K62=CETAK!$J$12),OR(CETAK!$J$13="",$H62=CETAK!$J$13),OR(CETAK!$J$14="",$O62=CETAK!$J$14)),MAX($X$3:X61)+1,""))</f>
        <v/>
      </c>
      <c r="Y62" s="40" t="str">
        <f aca="false">IF($B62="","",IF(AND(OR(ABSENSI!$H$10="",$E62=ABSENSI!$H$10),OR(ABSENSI!$H$11="",$F62=ABSENSI!$H$11),OR(ABSENSI!$H$12="",$K62=ABSENSI!$H$12)),MAX($Y$3:Y61)+1,""))</f>
        <v/>
      </c>
      <c r="Z62" s="40" t="str">
        <f aca="false">IF($B62="","",IF(AND(OR(KARTU!$K$6="",$E62=KARTU!$K$6),OR(KARTU!$K$7="",$F62=KARTU!$K$7),OR(KARTU!$K$8="",$K62=KARTU!$K$8)),MAX($Z$3:Z61)+1,""))</f>
        <v/>
      </c>
    </row>
    <row r="63" customFormat="false" ht="15" hidden="false" customHeight="false" outlineLevel="0" collapsed="false">
      <c r="A63" s="36" t="str">
        <f aca="false">IF($B63="","",COUNTA($B$4:$B63))</f>
        <v/>
      </c>
      <c r="B63" s="37"/>
      <c r="C63" s="38"/>
      <c r="D63" s="39"/>
      <c r="E63" s="37"/>
      <c r="F63" s="39"/>
      <c r="G63" s="40" t="str">
        <f aca="false">IF(OR($E63="",$F63=""),"",$E63&amp;" - RT "&amp;$F63)</f>
        <v/>
      </c>
      <c r="H63" s="37"/>
      <c r="I63" s="38"/>
      <c r="J63" s="37"/>
      <c r="K63" s="39"/>
      <c r="L63" s="41"/>
      <c r="M63" s="36" t="str">
        <f aca="true">IF(OR($B63="",$L63=""),"",DATEDIF($L63,TODAY(),"Y"))</f>
        <v/>
      </c>
      <c r="N63" s="40" t="str">
        <f aca="false">IF($M63="","",INDEX(usia_label,MATCH($M63,usia_min,1)))</f>
        <v/>
      </c>
      <c r="O63" s="37"/>
      <c r="P63" s="41"/>
      <c r="Q63" s="37"/>
      <c r="R63" s="37"/>
      <c r="S63" s="40" t="str">
        <f aca="false">IF($G63="","",$G63&amp;"#"&amp;COUNTIF($G$4:$G63,$G63))</f>
        <v/>
      </c>
      <c r="T63" s="40" t="str">
        <f aca="false">IF($B63="","",IF($C63="","NIK kosong",IF(LEN($C63)&lt;&gt;16,"NIK bukan 16 digit",IF(COUNTIF($C$4:$C$2003,$C63&amp;"*")&gt;1,"NIK ganda",IF($E63="","Kadus kosong",IF($F63="","RT kosong",IF($H63="","Jabatan kosong",IF($I63="","No. HP kosong",IF($J63="","Alamat kosong",IF(AND($M63&lt;&gt;"",$M63&lt;17),"Usia di bawah 17",""))))))))))</f>
        <v/>
      </c>
      <c r="U63" s="40" t="str">
        <f aca="false">IF($B63="","",IF(AND(OR(CARI!$C$5="",ISNUMBER(SEARCH(CARI!$C$5,$B63&amp;" "&amp;$C63&amp;" "&amp;$I63&amp;" "&amp;$J63&amp;" "&amp;$Q63))),OR(CARI!$C$6="",$E63=CARI!$C$6),OR(CARI!$C$7="",$F63=CARI!$C$7),OR(CARI!$C$8="",$O63=CARI!$C$8)),MAX($U$3:U62)+1,""))</f>
        <v/>
      </c>
      <c r="V63" s="40" t="str">
        <f aca="false">IF($T63="","",MAX($V$3:V62)+1)</f>
        <v/>
      </c>
      <c r="W63" s="40" t="str">
        <f aca="false">IF($E63="","",$E63&amp;"#"&amp;COUNTIF($E$4:$E63,$E63))</f>
        <v/>
      </c>
      <c r="X63" s="40" t="str">
        <f aca="false">IF($B63="","",IF(AND(OR(CETAK!$J$10="",$E63=CETAK!$J$10),OR(CETAK!$J$11="",$F63=CETAK!$J$11),OR(CETAK!$J$12="",$K63=CETAK!$J$12),OR(CETAK!$J$13="",$H63=CETAK!$J$13),OR(CETAK!$J$14="",$O63=CETAK!$J$14)),MAX($X$3:X62)+1,""))</f>
        <v/>
      </c>
      <c r="Y63" s="40" t="str">
        <f aca="false">IF($B63="","",IF(AND(OR(ABSENSI!$H$10="",$E63=ABSENSI!$H$10),OR(ABSENSI!$H$11="",$F63=ABSENSI!$H$11),OR(ABSENSI!$H$12="",$K63=ABSENSI!$H$12)),MAX($Y$3:Y62)+1,""))</f>
        <v/>
      </c>
      <c r="Z63" s="40" t="str">
        <f aca="false">IF($B63="","",IF(AND(OR(KARTU!$K$6="",$E63=KARTU!$K$6),OR(KARTU!$K$7="",$F63=KARTU!$K$7),OR(KARTU!$K$8="",$K63=KARTU!$K$8)),MAX($Z$3:Z62)+1,""))</f>
        <v/>
      </c>
    </row>
    <row r="64" customFormat="false" ht="15" hidden="false" customHeight="false" outlineLevel="0" collapsed="false">
      <c r="A64" s="36" t="str">
        <f aca="false">IF($B64="","",COUNTA($B$4:$B64))</f>
        <v/>
      </c>
      <c r="B64" s="37"/>
      <c r="C64" s="38"/>
      <c r="D64" s="39"/>
      <c r="E64" s="37"/>
      <c r="F64" s="39"/>
      <c r="G64" s="40" t="str">
        <f aca="false">IF(OR($E64="",$F64=""),"",$E64&amp;" - RT "&amp;$F64)</f>
        <v/>
      </c>
      <c r="H64" s="37"/>
      <c r="I64" s="38"/>
      <c r="J64" s="37"/>
      <c r="K64" s="39"/>
      <c r="L64" s="41"/>
      <c r="M64" s="36" t="str">
        <f aca="true">IF(OR($B64="",$L64=""),"",DATEDIF($L64,TODAY(),"Y"))</f>
        <v/>
      </c>
      <c r="N64" s="40" t="str">
        <f aca="false">IF($M64="","",INDEX(usia_label,MATCH($M64,usia_min,1)))</f>
        <v/>
      </c>
      <c r="O64" s="37"/>
      <c r="P64" s="41"/>
      <c r="Q64" s="37"/>
      <c r="R64" s="37"/>
      <c r="S64" s="40" t="str">
        <f aca="false">IF($G64="","",$G64&amp;"#"&amp;COUNTIF($G$4:$G64,$G64))</f>
        <v/>
      </c>
      <c r="T64" s="40" t="str">
        <f aca="false">IF($B64="","",IF($C64="","NIK kosong",IF(LEN($C64)&lt;&gt;16,"NIK bukan 16 digit",IF(COUNTIF($C$4:$C$2003,$C64&amp;"*")&gt;1,"NIK ganda",IF($E64="","Kadus kosong",IF($F64="","RT kosong",IF($H64="","Jabatan kosong",IF($I64="","No. HP kosong",IF($J64="","Alamat kosong",IF(AND($M64&lt;&gt;"",$M64&lt;17),"Usia di bawah 17",""))))))))))</f>
        <v/>
      </c>
      <c r="U64" s="40" t="str">
        <f aca="false">IF($B64="","",IF(AND(OR(CARI!$C$5="",ISNUMBER(SEARCH(CARI!$C$5,$B64&amp;" "&amp;$C64&amp;" "&amp;$I64&amp;" "&amp;$J64&amp;" "&amp;$Q64))),OR(CARI!$C$6="",$E64=CARI!$C$6),OR(CARI!$C$7="",$F64=CARI!$C$7),OR(CARI!$C$8="",$O64=CARI!$C$8)),MAX($U$3:U63)+1,""))</f>
        <v/>
      </c>
      <c r="V64" s="40" t="str">
        <f aca="false">IF($T64="","",MAX($V$3:V63)+1)</f>
        <v/>
      </c>
      <c r="W64" s="40" t="str">
        <f aca="false">IF($E64="","",$E64&amp;"#"&amp;COUNTIF($E$4:$E64,$E64))</f>
        <v/>
      </c>
      <c r="X64" s="40" t="str">
        <f aca="false">IF($B64="","",IF(AND(OR(CETAK!$J$10="",$E64=CETAK!$J$10),OR(CETAK!$J$11="",$F64=CETAK!$J$11),OR(CETAK!$J$12="",$K64=CETAK!$J$12),OR(CETAK!$J$13="",$H64=CETAK!$J$13),OR(CETAK!$J$14="",$O64=CETAK!$J$14)),MAX($X$3:X63)+1,""))</f>
        <v/>
      </c>
      <c r="Y64" s="40" t="str">
        <f aca="false">IF($B64="","",IF(AND(OR(ABSENSI!$H$10="",$E64=ABSENSI!$H$10),OR(ABSENSI!$H$11="",$F64=ABSENSI!$H$11),OR(ABSENSI!$H$12="",$K64=ABSENSI!$H$12)),MAX($Y$3:Y63)+1,""))</f>
        <v/>
      </c>
      <c r="Z64" s="40" t="str">
        <f aca="false">IF($B64="","",IF(AND(OR(KARTU!$K$6="",$E64=KARTU!$K$6),OR(KARTU!$K$7="",$F64=KARTU!$K$7),OR(KARTU!$K$8="",$K64=KARTU!$K$8)),MAX($Z$3:Z63)+1,""))</f>
        <v/>
      </c>
    </row>
    <row r="65" customFormat="false" ht="15" hidden="false" customHeight="false" outlineLevel="0" collapsed="false">
      <c r="A65" s="36" t="str">
        <f aca="false">IF($B65="","",COUNTA($B$4:$B65))</f>
        <v/>
      </c>
      <c r="B65" s="37"/>
      <c r="C65" s="38"/>
      <c r="D65" s="39"/>
      <c r="E65" s="37"/>
      <c r="F65" s="39"/>
      <c r="G65" s="40" t="str">
        <f aca="false">IF(OR($E65="",$F65=""),"",$E65&amp;" - RT "&amp;$F65)</f>
        <v/>
      </c>
      <c r="H65" s="37"/>
      <c r="I65" s="38"/>
      <c r="J65" s="37"/>
      <c r="K65" s="39"/>
      <c r="L65" s="41"/>
      <c r="M65" s="36" t="str">
        <f aca="true">IF(OR($B65="",$L65=""),"",DATEDIF($L65,TODAY(),"Y"))</f>
        <v/>
      </c>
      <c r="N65" s="40" t="str">
        <f aca="false">IF($M65="","",INDEX(usia_label,MATCH($M65,usia_min,1)))</f>
        <v/>
      </c>
      <c r="O65" s="37"/>
      <c r="P65" s="41"/>
      <c r="Q65" s="37"/>
      <c r="R65" s="37"/>
      <c r="S65" s="40" t="str">
        <f aca="false">IF($G65="","",$G65&amp;"#"&amp;COUNTIF($G$4:$G65,$G65))</f>
        <v/>
      </c>
      <c r="T65" s="40" t="str">
        <f aca="false">IF($B65="","",IF($C65="","NIK kosong",IF(LEN($C65)&lt;&gt;16,"NIK bukan 16 digit",IF(COUNTIF($C$4:$C$2003,$C65&amp;"*")&gt;1,"NIK ganda",IF($E65="","Kadus kosong",IF($F65="","RT kosong",IF($H65="","Jabatan kosong",IF($I65="","No. HP kosong",IF($J65="","Alamat kosong",IF(AND($M65&lt;&gt;"",$M65&lt;17),"Usia di bawah 17",""))))))))))</f>
        <v/>
      </c>
      <c r="U65" s="40" t="str">
        <f aca="false">IF($B65="","",IF(AND(OR(CARI!$C$5="",ISNUMBER(SEARCH(CARI!$C$5,$B65&amp;" "&amp;$C65&amp;" "&amp;$I65&amp;" "&amp;$J65&amp;" "&amp;$Q65))),OR(CARI!$C$6="",$E65=CARI!$C$6),OR(CARI!$C$7="",$F65=CARI!$C$7),OR(CARI!$C$8="",$O65=CARI!$C$8)),MAX($U$3:U64)+1,""))</f>
        <v/>
      </c>
      <c r="V65" s="40" t="str">
        <f aca="false">IF($T65="","",MAX($V$3:V64)+1)</f>
        <v/>
      </c>
      <c r="W65" s="40" t="str">
        <f aca="false">IF($E65="","",$E65&amp;"#"&amp;COUNTIF($E$4:$E65,$E65))</f>
        <v/>
      </c>
      <c r="X65" s="40" t="str">
        <f aca="false">IF($B65="","",IF(AND(OR(CETAK!$J$10="",$E65=CETAK!$J$10),OR(CETAK!$J$11="",$F65=CETAK!$J$11),OR(CETAK!$J$12="",$K65=CETAK!$J$12),OR(CETAK!$J$13="",$H65=CETAK!$J$13),OR(CETAK!$J$14="",$O65=CETAK!$J$14)),MAX($X$3:X64)+1,""))</f>
        <v/>
      </c>
      <c r="Y65" s="40" t="str">
        <f aca="false">IF($B65="","",IF(AND(OR(ABSENSI!$H$10="",$E65=ABSENSI!$H$10),OR(ABSENSI!$H$11="",$F65=ABSENSI!$H$11),OR(ABSENSI!$H$12="",$K65=ABSENSI!$H$12)),MAX($Y$3:Y64)+1,""))</f>
        <v/>
      </c>
      <c r="Z65" s="40" t="str">
        <f aca="false">IF($B65="","",IF(AND(OR(KARTU!$K$6="",$E65=KARTU!$K$6),OR(KARTU!$K$7="",$F65=KARTU!$K$7),OR(KARTU!$K$8="",$K65=KARTU!$K$8)),MAX($Z$3:Z64)+1,""))</f>
        <v/>
      </c>
    </row>
    <row r="66" customFormat="false" ht="15" hidden="false" customHeight="false" outlineLevel="0" collapsed="false">
      <c r="A66" s="36" t="str">
        <f aca="false">IF($B66="","",COUNTA($B$4:$B66))</f>
        <v/>
      </c>
      <c r="B66" s="37"/>
      <c r="C66" s="38"/>
      <c r="D66" s="39"/>
      <c r="E66" s="37"/>
      <c r="F66" s="39"/>
      <c r="G66" s="40" t="str">
        <f aca="false">IF(OR($E66="",$F66=""),"",$E66&amp;" - RT "&amp;$F66)</f>
        <v/>
      </c>
      <c r="H66" s="37"/>
      <c r="I66" s="38"/>
      <c r="J66" s="37"/>
      <c r="K66" s="39"/>
      <c r="L66" s="41"/>
      <c r="M66" s="36" t="str">
        <f aca="true">IF(OR($B66="",$L66=""),"",DATEDIF($L66,TODAY(),"Y"))</f>
        <v/>
      </c>
      <c r="N66" s="40" t="str">
        <f aca="false">IF($M66="","",INDEX(usia_label,MATCH($M66,usia_min,1)))</f>
        <v/>
      </c>
      <c r="O66" s="37"/>
      <c r="P66" s="41"/>
      <c r="Q66" s="37"/>
      <c r="R66" s="37"/>
      <c r="S66" s="40" t="str">
        <f aca="false">IF($G66="","",$G66&amp;"#"&amp;COUNTIF($G$4:$G66,$G66))</f>
        <v/>
      </c>
      <c r="T66" s="40" t="str">
        <f aca="false">IF($B66="","",IF($C66="","NIK kosong",IF(LEN($C66)&lt;&gt;16,"NIK bukan 16 digit",IF(COUNTIF($C$4:$C$2003,$C66&amp;"*")&gt;1,"NIK ganda",IF($E66="","Kadus kosong",IF($F66="","RT kosong",IF($H66="","Jabatan kosong",IF($I66="","No. HP kosong",IF($J66="","Alamat kosong",IF(AND($M66&lt;&gt;"",$M66&lt;17),"Usia di bawah 17",""))))))))))</f>
        <v/>
      </c>
      <c r="U66" s="40" t="str">
        <f aca="false">IF($B66="","",IF(AND(OR(CARI!$C$5="",ISNUMBER(SEARCH(CARI!$C$5,$B66&amp;" "&amp;$C66&amp;" "&amp;$I66&amp;" "&amp;$J66&amp;" "&amp;$Q66))),OR(CARI!$C$6="",$E66=CARI!$C$6),OR(CARI!$C$7="",$F66=CARI!$C$7),OR(CARI!$C$8="",$O66=CARI!$C$8)),MAX($U$3:U65)+1,""))</f>
        <v/>
      </c>
      <c r="V66" s="40" t="str">
        <f aca="false">IF($T66="","",MAX($V$3:V65)+1)</f>
        <v/>
      </c>
      <c r="W66" s="40" t="str">
        <f aca="false">IF($E66="","",$E66&amp;"#"&amp;COUNTIF($E$4:$E66,$E66))</f>
        <v/>
      </c>
      <c r="X66" s="40" t="str">
        <f aca="false">IF($B66="","",IF(AND(OR(CETAK!$J$10="",$E66=CETAK!$J$10),OR(CETAK!$J$11="",$F66=CETAK!$J$11),OR(CETAK!$J$12="",$K66=CETAK!$J$12),OR(CETAK!$J$13="",$H66=CETAK!$J$13),OR(CETAK!$J$14="",$O66=CETAK!$J$14)),MAX($X$3:X65)+1,""))</f>
        <v/>
      </c>
      <c r="Y66" s="40" t="str">
        <f aca="false">IF($B66="","",IF(AND(OR(ABSENSI!$H$10="",$E66=ABSENSI!$H$10),OR(ABSENSI!$H$11="",$F66=ABSENSI!$H$11),OR(ABSENSI!$H$12="",$K66=ABSENSI!$H$12)),MAX($Y$3:Y65)+1,""))</f>
        <v/>
      </c>
      <c r="Z66" s="40" t="str">
        <f aca="false">IF($B66="","",IF(AND(OR(KARTU!$K$6="",$E66=KARTU!$K$6),OR(KARTU!$K$7="",$F66=KARTU!$K$7),OR(KARTU!$K$8="",$K66=KARTU!$K$8)),MAX($Z$3:Z65)+1,""))</f>
        <v/>
      </c>
    </row>
    <row r="67" customFormat="false" ht="15" hidden="false" customHeight="false" outlineLevel="0" collapsed="false">
      <c r="A67" s="36" t="str">
        <f aca="false">IF($B67="","",COUNTA($B$4:$B67))</f>
        <v/>
      </c>
      <c r="B67" s="37"/>
      <c r="C67" s="38"/>
      <c r="D67" s="39"/>
      <c r="E67" s="37"/>
      <c r="F67" s="39"/>
      <c r="G67" s="40" t="str">
        <f aca="false">IF(OR($E67="",$F67=""),"",$E67&amp;" - RT "&amp;$F67)</f>
        <v/>
      </c>
      <c r="H67" s="37"/>
      <c r="I67" s="38"/>
      <c r="J67" s="37"/>
      <c r="K67" s="39"/>
      <c r="L67" s="41"/>
      <c r="M67" s="36" t="str">
        <f aca="true">IF(OR($B67="",$L67=""),"",DATEDIF($L67,TODAY(),"Y"))</f>
        <v/>
      </c>
      <c r="N67" s="40" t="str">
        <f aca="false">IF($M67="","",INDEX(usia_label,MATCH($M67,usia_min,1)))</f>
        <v/>
      </c>
      <c r="O67" s="37"/>
      <c r="P67" s="41"/>
      <c r="Q67" s="37"/>
      <c r="R67" s="37"/>
      <c r="S67" s="40" t="str">
        <f aca="false">IF($G67="","",$G67&amp;"#"&amp;COUNTIF($G$4:$G67,$G67))</f>
        <v/>
      </c>
      <c r="T67" s="40" t="str">
        <f aca="false">IF($B67="","",IF($C67="","NIK kosong",IF(LEN($C67)&lt;&gt;16,"NIK bukan 16 digit",IF(COUNTIF($C$4:$C$2003,$C67&amp;"*")&gt;1,"NIK ganda",IF($E67="","Kadus kosong",IF($F67="","RT kosong",IF($H67="","Jabatan kosong",IF($I67="","No. HP kosong",IF($J67="","Alamat kosong",IF(AND($M67&lt;&gt;"",$M67&lt;17),"Usia di bawah 17",""))))))))))</f>
        <v/>
      </c>
      <c r="U67" s="40" t="str">
        <f aca="false">IF($B67="","",IF(AND(OR(CARI!$C$5="",ISNUMBER(SEARCH(CARI!$C$5,$B67&amp;" "&amp;$C67&amp;" "&amp;$I67&amp;" "&amp;$J67&amp;" "&amp;$Q67))),OR(CARI!$C$6="",$E67=CARI!$C$6),OR(CARI!$C$7="",$F67=CARI!$C$7),OR(CARI!$C$8="",$O67=CARI!$C$8)),MAX($U$3:U66)+1,""))</f>
        <v/>
      </c>
      <c r="V67" s="40" t="str">
        <f aca="false">IF($T67="","",MAX($V$3:V66)+1)</f>
        <v/>
      </c>
      <c r="W67" s="40" t="str">
        <f aca="false">IF($E67="","",$E67&amp;"#"&amp;COUNTIF($E$4:$E67,$E67))</f>
        <v/>
      </c>
      <c r="X67" s="40" t="str">
        <f aca="false">IF($B67="","",IF(AND(OR(CETAK!$J$10="",$E67=CETAK!$J$10),OR(CETAK!$J$11="",$F67=CETAK!$J$11),OR(CETAK!$J$12="",$K67=CETAK!$J$12),OR(CETAK!$J$13="",$H67=CETAK!$J$13),OR(CETAK!$J$14="",$O67=CETAK!$J$14)),MAX($X$3:X66)+1,""))</f>
        <v/>
      </c>
      <c r="Y67" s="40" t="str">
        <f aca="false">IF($B67="","",IF(AND(OR(ABSENSI!$H$10="",$E67=ABSENSI!$H$10),OR(ABSENSI!$H$11="",$F67=ABSENSI!$H$11),OR(ABSENSI!$H$12="",$K67=ABSENSI!$H$12)),MAX($Y$3:Y66)+1,""))</f>
        <v/>
      </c>
      <c r="Z67" s="40" t="str">
        <f aca="false">IF($B67="","",IF(AND(OR(KARTU!$K$6="",$E67=KARTU!$K$6),OR(KARTU!$K$7="",$F67=KARTU!$K$7),OR(KARTU!$K$8="",$K67=KARTU!$K$8)),MAX($Z$3:Z66)+1,""))</f>
        <v/>
      </c>
    </row>
    <row r="68" customFormat="false" ht="15" hidden="false" customHeight="false" outlineLevel="0" collapsed="false">
      <c r="A68" s="36" t="str">
        <f aca="false">IF($B68="","",COUNTA($B$4:$B68))</f>
        <v/>
      </c>
      <c r="B68" s="37"/>
      <c r="C68" s="38"/>
      <c r="D68" s="39"/>
      <c r="E68" s="37"/>
      <c r="F68" s="39"/>
      <c r="G68" s="40" t="str">
        <f aca="false">IF(OR($E68="",$F68=""),"",$E68&amp;" - RT "&amp;$F68)</f>
        <v/>
      </c>
      <c r="H68" s="37"/>
      <c r="I68" s="38"/>
      <c r="J68" s="37"/>
      <c r="K68" s="39"/>
      <c r="L68" s="41"/>
      <c r="M68" s="36" t="str">
        <f aca="true">IF(OR($B68="",$L68=""),"",DATEDIF($L68,TODAY(),"Y"))</f>
        <v/>
      </c>
      <c r="N68" s="40" t="str">
        <f aca="false">IF($M68="","",INDEX(usia_label,MATCH($M68,usia_min,1)))</f>
        <v/>
      </c>
      <c r="O68" s="37"/>
      <c r="P68" s="41"/>
      <c r="Q68" s="37"/>
      <c r="R68" s="37"/>
      <c r="S68" s="40" t="str">
        <f aca="false">IF($G68="","",$G68&amp;"#"&amp;COUNTIF($G$4:$G68,$G68))</f>
        <v/>
      </c>
      <c r="T68" s="40" t="str">
        <f aca="false">IF($B68="","",IF($C68="","NIK kosong",IF(LEN($C68)&lt;&gt;16,"NIK bukan 16 digit",IF(COUNTIF($C$4:$C$2003,$C68&amp;"*")&gt;1,"NIK ganda",IF($E68="","Kadus kosong",IF($F68="","RT kosong",IF($H68="","Jabatan kosong",IF($I68="","No. HP kosong",IF($J68="","Alamat kosong",IF(AND($M68&lt;&gt;"",$M68&lt;17),"Usia di bawah 17",""))))))))))</f>
        <v/>
      </c>
      <c r="U68" s="40" t="str">
        <f aca="false">IF($B68="","",IF(AND(OR(CARI!$C$5="",ISNUMBER(SEARCH(CARI!$C$5,$B68&amp;" "&amp;$C68&amp;" "&amp;$I68&amp;" "&amp;$J68&amp;" "&amp;$Q68))),OR(CARI!$C$6="",$E68=CARI!$C$6),OR(CARI!$C$7="",$F68=CARI!$C$7),OR(CARI!$C$8="",$O68=CARI!$C$8)),MAX($U$3:U67)+1,""))</f>
        <v/>
      </c>
      <c r="V68" s="40" t="str">
        <f aca="false">IF($T68="","",MAX($V$3:V67)+1)</f>
        <v/>
      </c>
      <c r="W68" s="40" t="str">
        <f aca="false">IF($E68="","",$E68&amp;"#"&amp;COUNTIF($E$4:$E68,$E68))</f>
        <v/>
      </c>
      <c r="X68" s="40" t="str">
        <f aca="false">IF($B68="","",IF(AND(OR(CETAK!$J$10="",$E68=CETAK!$J$10),OR(CETAK!$J$11="",$F68=CETAK!$J$11),OR(CETAK!$J$12="",$K68=CETAK!$J$12),OR(CETAK!$J$13="",$H68=CETAK!$J$13),OR(CETAK!$J$14="",$O68=CETAK!$J$14)),MAX($X$3:X67)+1,""))</f>
        <v/>
      </c>
      <c r="Y68" s="40" t="str">
        <f aca="false">IF($B68="","",IF(AND(OR(ABSENSI!$H$10="",$E68=ABSENSI!$H$10),OR(ABSENSI!$H$11="",$F68=ABSENSI!$H$11),OR(ABSENSI!$H$12="",$K68=ABSENSI!$H$12)),MAX($Y$3:Y67)+1,""))</f>
        <v/>
      </c>
      <c r="Z68" s="40" t="str">
        <f aca="false">IF($B68="","",IF(AND(OR(KARTU!$K$6="",$E68=KARTU!$K$6),OR(KARTU!$K$7="",$F68=KARTU!$K$7),OR(KARTU!$K$8="",$K68=KARTU!$K$8)),MAX($Z$3:Z67)+1,""))</f>
        <v/>
      </c>
    </row>
    <row r="69" customFormat="false" ht="15" hidden="false" customHeight="false" outlineLevel="0" collapsed="false">
      <c r="A69" s="36" t="str">
        <f aca="false">IF($B69="","",COUNTA($B$4:$B69))</f>
        <v/>
      </c>
      <c r="B69" s="37"/>
      <c r="C69" s="38"/>
      <c r="D69" s="39"/>
      <c r="E69" s="37"/>
      <c r="F69" s="39"/>
      <c r="G69" s="40" t="str">
        <f aca="false">IF(OR($E69="",$F69=""),"",$E69&amp;" - RT "&amp;$F69)</f>
        <v/>
      </c>
      <c r="H69" s="37"/>
      <c r="I69" s="38"/>
      <c r="J69" s="37"/>
      <c r="K69" s="39"/>
      <c r="L69" s="41"/>
      <c r="M69" s="36" t="str">
        <f aca="true">IF(OR($B69="",$L69=""),"",DATEDIF($L69,TODAY(),"Y"))</f>
        <v/>
      </c>
      <c r="N69" s="40" t="str">
        <f aca="false">IF($M69="","",INDEX(usia_label,MATCH($M69,usia_min,1)))</f>
        <v/>
      </c>
      <c r="O69" s="37"/>
      <c r="P69" s="41"/>
      <c r="Q69" s="37"/>
      <c r="R69" s="37"/>
      <c r="S69" s="40" t="str">
        <f aca="false">IF($G69="","",$G69&amp;"#"&amp;COUNTIF($G$4:$G69,$G69))</f>
        <v/>
      </c>
      <c r="T69" s="40" t="str">
        <f aca="false">IF($B69="","",IF($C69="","NIK kosong",IF(LEN($C69)&lt;&gt;16,"NIK bukan 16 digit",IF(COUNTIF($C$4:$C$2003,$C69&amp;"*")&gt;1,"NIK ganda",IF($E69="","Kadus kosong",IF($F69="","RT kosong",IF($H69="","Jabatan kosong",IF($I69="","No. HP kosong",IF($J69="","Alamat kosong",IF(AND($M69&lt;&gt;"",$M69&lt;17),"Usia di bawah 17",""))))))))))</f>
        <v/>
      </c>
      <c r="U69" s="40" t="str">
        <f aca="false">IF($B69="","",IF(AND(OR(CARI!$C$5="",ISNUMBER(SEARCH(CARI!$C$5,$B69&amp;" "&amp;$C69&amp;" "&amp;$I69&amp;" "&amp;$J69&amp;" "&amp;$Q69))),OR(CARI!$C$6="",$E69=CARI!$C$6),OR(CARI!$C$7="",$F69=CARI!$C$7),OR(CARI!$C$8="",$O69=CARI!$C$8)),MAX($U$3:U68)+1,""))</f>
        <v/>
      </c>
      <c r="V69" s="40" t="str">
        <f aca="false">IF($T69="","",MAX($V$3:V68)+1)</f>
        <v/>
      </c>
      <c r="W69" s="40" t="str">
        <f aca="false">IF($E69="","",$E69&amp;"#"&amp;COUNTIF($E$4:$E69,$E69))</f>
        <v/>
      </c>
      <c r="X69" s="40" t="str">
        <f aca="false">IF($B69="","",IF(AND(OR(CETAK!$J$10="",$E69=CETAK!$J$10),OR(CETAK!$J$11="",$F69=CETAK!$J$11),OR(CETAK!$J$12="",$K69=CETAK!$J$12),OR(CETAK!$J$13="",$H69=CETAK!$J$13),OR(CETAK!$J$14="",$O69=CETAK!$J$14)),MAX($X$3:X68)+1,""))</f>
        <v/>
      </c>
      <c r="Y69" s="40" t="str">
        <f aca="false">IF($B69="","",IF(AND(OR(ABSENSI!$H$10="",$E69=ABSENSI!$H$10),OR(ABSENSI!$H$11="",$F69=ABSENSI!$H$11),OR(ABSENSI!$H$12="",$K69=ABSENSI!$H$12)),MAX($Y$3:Y68)+1,""))</f>
        <v/>
      </c>
      <c r="Z69" s="40" t="str">
        <f aca="false">IF($B69="","",IF(AND(OR(KARTU!$K$6="",$E69=KARTU!$K$6),OR(KARTU!$K$7="",$F69=KARTU!$K$7),OR(KARTU!$K$8="",$K69=KARTU!$K$8)),MAX($Z$3:Z68)+1,""))</f>
        <v/>
      </c>
    </row>
    <row r="70" customFormat="false" ht="15" hidden="false" customHeight="false" outlineLevel="0" collapsed="false">
      <c r="A70" s="36" t="str">
        <f aca="false">IF($B70="","",COUNTA($B$4:$B70))</f>
        <v/>
      </c>
      <c r="B70" s="37"/>
      <c r="C70" s="38"/>
      <c r="D70" s="39"/>
      <c r="E70" s="37"/>
      <c r="F70" s="39"/>
      <c r="G70" s="40" t="str">
        <f aca="false">IF(OR($E70="",$F70=""),"",$E70&amp;" - RT "&amp;$F70)</f>
        <v/>
      </c>
      <c r="H70" s="37"/>
      <c r="I70" s="38"/>
      <c r="J70" s="37"/>
      <c r="K70" s="39"/>
      <c r="L70" s="41"/>
      <c r="M70" s="36" t="str">
        <f aca="true">IF(OR($B70="",$L70=""),"",DATEDIF($L70,TODAY(),"Y"))</f>
        <v/>
      </c>
      <c r="N70" s="40" t="str">
        <f aca="false">IF($M70="","",INDEX(usia_label,MATCH($M70,usia_min,1)))</f>
        <v/>
      </c>
      <c r="O70" s="37"/>
      <c r="P70" s="41"/>
      <c r="Q70" s="37"/>
      <c r="R70" s="37"/>
      <c r="S70" s="40" t="str">
        <f aca="false">IF($G70="","",$G70&amp;"#"&amp;COUNTIF($G$4:$G70,$G70))</f>
        <v/>
      </c>
      <c r="T70" s="40" t="str">
        <f aca="false">IF($B70="","",IF($C70="","NIK kosong",IF(LEN($C70)&lt;&gt;16,"NIK bukan 16 digit",IF(COUNTIF($C$4:$C$2003,$C70&amp;"*")&gt;1,"NIK ganda",IF($E70="","Kadus kosong",IF($F70="","RT kosong",IF($H70="","Jabatan kosong",IF($I70="","No. HP kosong",IF($J70="","Alamat kosong",IF(AND($M70&lt;&gt;"",$M70&lt;17),"Usia di bawah 17",""))))))))))</f>
        <v/>
      </c>
      <c r="U70" s="40" t="str">
        <f aca="false">IF($B70="","",IF(AND(OR(CARI!$C$5="",ISNUMBER(SEARCH(CARI!$C$5,$B70&amp;" "&amp;$C70&amp;" "&amp;$I70&amp;" "&amp;$J70&amp;" "&amp;$Q70))),OR(CARI!$C$6="",$E70=CARI!$C$6),OR(CARI!$C$7="",$F70=CARI!$C$7),OR(CARI!$C$8="",$O70=CARI!$C$8)),MAX($U$3:U69)+1,""))</f>
        <v/>
      </c>
      <c r="V70" s="40" t="str">
        <f aca="false">IF($T70="","",MAX($V$3:V69)+1)</f>
        <v/>
      </c>
      <c r="W70" s="40" t="str">
        <f aca="false">IF($E70="","",$E70&amp;"#"&amp;COUNTIF($E$4:$E70,$E70))</f>
        <v/>
      </c>
      <c r="X70" s="40" t="str">
        <f aca="false">IF($B70="","",IF(AND(OR(CETAK!$J$10="",$E70=CETAK!$J$10),OR(CETAK!$J$11="",$F70=CETAK!$J$11),OR(CETAK!$J$12="",$K70=CETAK!$J$12),OR(CETAK!$J$13="",$H70=CETAK!$J$13),OR(CETAK!$J$14="",$O70=CETAK!$J$14)),MAX($X$3:X69)+1,""))</f>
        <v/>
      </c>
      <c r="Y70" s="40" t="str">
        <f aca="false">IF($B70="","",IF(AND(OR(ABSENSI!$H$10="",$E70=ABSENSI!$H$10),OR(ABSENSI!$H$11="",$F70=ABSENSI!$H$11),OR(ABSENSI!$H$12="",$K70=ABSENSI!$H$12)),MAX($Y$3:Y69)+1,""))</f>
        <v/>
      </c>
      <c r="Z70" s="40" t="str">
        <f aca="false">IF($B70="","",IF(AND(OR(KARTU!$K$6="",$E70=KARTU!$K$6),OR(KARTU!$K$7="",$F70=KARTU!$K$7),OR(KARTU!$K$8="",$K70=KARTU!$K$8)),MAX($Z$3:Z69)+1,""))</f>
        <v/>
      </c>
    </row>
    <row r="71" customFormat="false" ht="15" hidden="false" customHeight="false" outlineLevel="0" collapsed="false">
      <c r="A71" s="36" t="str">
        <f aca="false">IF($B71="","",COUNTA($B$4:$B71))</f>
        <v/>
      </c>
      <c r="B71" s="37"/>
      <c r="C71" s="38"/>
      <c r="D71" s="39"/>
      <c r="E71" s="37"/>
      <c r="F71" s="39"/>
      <c r="G71" s="40" t="str">
        <f aca="false">IF(OR($E71="",$F71=""),"",$E71&amp;" - RT "&amp;$F71)</f>
        <v/>
      </c>
      <c r="H71" s="37"/>
      <c r="I71" s="38"/>
      <c r="J71" s="37"/>
      <c r="K71" s="39"/>
      <c r="L71" s="41"/>
      <c r="M71" s="36" t="str">
        <f aca="true">IF(OR($B71="",$L71=""),"",DATEDIF($L71,TODAY(),"Y"))</f>
        <v/>
      </c>
      <c r="N71" s="40" t="str">
        <f aca="false">IF($M71="","",INDEX(usia_label,MATCH($M71,usia_min,1)))</f>
        <v/>
      </c>
      <c r="O71" s="37"/>
      <c r="P71" s="41"/>
      <c r="Q71" s="37"/>
      <c r="R71" s="37"/>
      <c r="S71" s="40" t="str">
        <f aca="false">IF($G71="","",$G71&amp;"#"&amp;COUNTIF($G$4:$G71,$G71))</f>
        <v/>
      </c>
      <c r="T71" s="40" t="str">
        <f aca="false">IF($B71="","",IF($C71="","NIK kosong",IF(LEN($C71)&lt;&gt;16,"NIK bukan 16 digit",IF(COUNTIF($C$4:$C$2003,$C71&amp;"*")&gt;1,"NIK ganda",IF($E71="","Kadus kosong",IF($F71="","RT kosong",IF($H71="","Jabatan kosong",IF($I71="","No. HP kosong",IF($J71="","Alamat kosong",IF(AND($M71&lt;&gt;"",$M71&lt;17),"Usia di bawah 17",""))))))))))</f>
        <v/>
      </c>
      <c r="U71" s="40" t="str">
        <f aca="false">IF($B71="","",IF(AND(OR(CARI!$C$5="",ISNUMBER(SEARCH(CARI!$C$5,$B71&amp;" "&amp;$C71&amp;" "&amp;$I71&amp;" "&amp;$J71&amp;" "&amp;$Q71))),OR(CARI!$C$6="",$E71=CARI!$C$6),OR(CARI!$C$7="",$F71=CARI!$C$7),OR(CARI!$C$8="",$O71=CARI!$C$8)),MAX($U$3:U70)+1,""))</f>
        <v/>
      </c>
      <c r="V71" s="40" t="str">
        <f aca="false">IF($T71="","",MAX($V$3:V70)+1)</f>
        <v/>
      </c>
      <c r="W71" s="40" t="str">
        <f aca="false">IF($E71="","",$E71&amp;"#"&amp;COUNTIF($E$4:$E71,$E71))</f>
        <v/>
      </c>
      <c r="X71" s="40" t="str">
        <f aca="false">IF($B71="","",IF(AND(OR(CETAK!$J$10="",$E71=CETAK!$J$10),OR(CETAK!$J$11="",$F71=CETAK!$J$11),OR(CETAK!$J$12="",$K71=CETAK!$J$12),OR(CETAK!$J$13="",$H71=CETAK!$J$13),OR(CETAK!$J$14="",$O71=CETAK!$J$14)),MAX($X$3:X70)+1,""))</f>
        <v/>
      </c>
      <c r="Y71" s="40" t="str">
        <f aca="false">IF($B71="","",IF(AND(OR(ABSENSI!$H$10="",$E71=ABSENSI!$H$10),OR(ABSENSI!$H$11="",$F71=ABSENSI!$H$11),OR(ABSENSI!$H$12="",$K71=ABSENSI!$H$12)),MAX($Y$3:Y70)+1,""))</f>
        <v/>
      </c>
      <c r="Z71" s="40" t="str">
        <f aca="false">IF($B71="","",IF(AND(OR(KARTU!$K$6="",$E71=KARTU!$K$6),OR(KARTU!$K$7="",$F71=KARTU!$K$7),OR(KARTU!$K$8="",$K71=KARTU!$K$8)),MAX($Z$3:Z70)+1,""))</f>
        <v/>
      </c>
    </row>
    <row r="72" customFormat="false" ht="15" hidden="false" customHeight="false" outlineLevel="0" collapsed="false">
      <c r="A72" s="36" t="str">
        <f aca="false">IF($B72="","",COUNTA($B$4:$B72))</f>
        <v/>
      </c>
      <c r="B72" s="37"/>
      <c r="C72" s="38"/>
      <c r="D72" s="39"/>
      <c r="E72" s="37"/>
      <c r="F72" s="39"/>
      <c r="G72" s="40" t="str">
        <f aca="false">IF(OR($E72="",$F72=""),"",$E72&amp;" - RT "&amp;$F72)</f>
        <v/>
      </c>
      <c r="H72" s="37"/>
      <c r="I72" s="38"/>
      <c r="J72" s="37"/>
      <c r="K72" s="39"/>
      <c r="L72" s="41"/>
      <c r="M72" s="36" t="str">
        <f aca="true">IF(OR($B72="",$L72=""),"",DATEDIF($L72,TODAY(),"Y"))</f>
        <v/>
      </c>
      <c r="N72" s="40" t="str">
        <f aca="false">IF($M72="","",INDEX(usia_label,MATCH($M72,usia_min,1)))</f>
        <v/>
      </c>
      <c r="O72" s="37"/>
      <c r="P72" s="41"/>
      <c r="Q72" s="37"/>
      <c r="R72" s="37"/>
      <c r="S72" s="40" t="str">
        <f aca="false">IF($G72="","",$G72&amp;"#"&amp;COUNTIF($G$4:$G72,$G72))</f>
        <v/>
      </c>
      <c r="T72" s="40" t="str">
        <f aca="false">IF($B72="","",IF($C72="","NIK kosong",IF(LEN($C72)&lt;&gt;16,"NIK bukan 16 digit",IF(COUNTIF($C$4:$C$2003,$C72&amp;"*")&gt;1,"NIK ganda",IF($E72="","Kadus kosong",IF($F72="","RT kosong",IF($H72="","Jabatan kosong",IF($I72="","No. HP kosong",IF($J72="","Alamat kosong",IF(AND($M72&lt;&gt;"",$M72&lt;17),"Usia di bawah 17",""))))))))))</f>
        <v/>
      </c>
      <c r="U72" s="40" t="str">
        <f aca="false">IF($B72="","",IF(AND(OR(CARI!$C$5="",ISNUMBER(SEARCH(CARI!$C$5,$B72&amp;" "&amp;$C72&amp;" "&amp;$I72&amp;" "&amp;$J72&amp;" "&amp;$Q72))),OR(CARI!$C$6="",$E72=CARI!$C$6),OR(CARI!$C$7="",$F72=CARI!$C$7),OR(CARI!$C$8="",$O72=CARI!$C$8)),MAX($U$3:U71)+1,""))</f>
        <v/>
      </c>
      <c r="V72" s="40" t="str">
        <f aca="false">IF($T72="","",MAX($V$3:V71)+1)</f>
        <v/>
      </c>
      <c r="W72" s="40" t="str">
        <f aca="false">IF($E72="","",$E72&amp;"#"&amp;COUNTIF($E$4:$E72,$E72))</f>
        <v/>
      </c>
      <c r="X72" s="40" t="str">
        <f aca="false">IF($B72="","",IF(AND(OR(CETAK!$J$10="",$E72=CETAK!$J$10),OR(CETAK!$J$11="",$F72=CETAK!$J$11),OR(CETAK!$J$12="",$K72=CETAK!$J$12),OR(CETAK!$J$13="",$H72=CETAK!$J$13),OR(CETAK!$J$14="",$O72=CETAK!$J$14)),MAX($X$3:X71)+1,""))</f>
        <v/>
      </c>
      <c r="Y72" s="40" t="str">
        <f aca="false">IF($B72="","",IF(AND(OR(ABSENSI!$H$10="",$E72=ABSENSI!$H$10),OR(ABSENSI!$H$11="",$F72=ABSENSI!$H$11),OR(ABSENSI!$H$12="",$K72=ABSENSI!$H$12)),MAX($Y$3:Y71)+1,""))</f>
        <v/>
      </c>
      <c r="Z72" s="40" t="str">
        <f aca="false">IF($B72="","",IF(AND(OR(KARTU!$K$6="",$E72=KARTU!$K$6),OR(KARTU!$K$7="",$F72=KARTU!$K$7),OR(KARTU!$K$8="",$K72=KARTU!$K$8)),MAX($Z$3:Z71)+1,""))</f>
        <v/>
      </c>
    </row>
    <row r="73" customFormat="false" ht="15" hidden="false" customHeight="false" outlineLevel="0" collapsed="false">
      <c r="A73" s="36" t="str">
        <f aca="false">IF($B73="","",COUNTA($B$4:$B73))</f>
        <v/>
      </c>
      <c r="B73" s="37"/>
      <c r="C73" s="38"/>
      <c r="D73" s="39"/>
      <c r="E73" s="37"/>
      <c r="F73" s="39"/>
      <c r="G73" s="40" t="str">
        <f aca="false">IF(OR($E73="",$F73=""),"",$E73&amp;" - RT "&amp;$F73)</f>
        <v/>
      </c>
      <c r="H73" s="37"/>
      <c r="I73" s="38"/>
      <c r="J73" s="37"/>
      <c r="K73" s="39"/>
      <c r="L73" s="41"/>
      <c r="M73" s="36" t="str">
        <f aca="true">IF(OR($B73="",$L73=""),"",DATEDIF($L73,TODAY(),"Y"))</f>
        <v/>
      </c>
      <c r="N73" s="40" t="str">
        <f aca="false">IF($M73="","",INDEX(usia_label,MATCH($M73,usia_min,1)))</f>
        <v/>
      </c>
      <c r="O73" s="37"/>
      <c r="P73" s="41"/>
      <c r="Q73" s="37"/>
      <c r="R73" s="37"/>
      <c r="S73" s="40" t="str">
        <f aca="false">IF($G73="","",$G73&amp;"#"&amp;COUNTIF($G$4:$G73,$G73))</f>
        <v/>
      </c>
      <c r="T73" s="40" t="str">
        <f aca="false">IF($B73="","",IF($C73="","NIK kosong",IF(LEN($C73)&lt;&gt;16,"NIK bukan 16 digit",IF(COUNTIF($C$4:$C$2003,$C73&amp;"*")&gt;1,"NIK ganda",IF($E73="","Kadus kosong",IF($F73="","RT kosong",IF($H73="","Jabatan kosong",IF($I73="","No. HP kosong",IF($J73="","Alamat kosong",IF(AND($M73&lt;&gt;"",$M73&lt;17),"Usia di bawah 17",""))))))))))</f>
        <v/>
      </c>
      <c r="U73" s="40" t="str">
        <f aca="false">IF($B73="","",IF(AND(OR(CARI!$C$5="",ISNUMBER(SEARCH(CARI!$C$5,$B73&amp;" "&amp;$C73&amp;" "&amp;$I73&amp;" "&amp;$J73&amp;" "&amp;$Q73))),OR(CARI!$C$6="",$E73=CARI!$C$6),OR(CARI!$C$7="",$F73=CARI!$C$7),OR(CARI!$C$8="",$O73=CARI!$C$8)),MAX($U$3:U72)+1,""))</f>
        <v/>
      </c>
      <c r="V73" s="40" t="str">
        <f aca="false">IF($T73="","",MAX($V$3:V72)+1)</f>
        <v/>
      </c>
      <c r="W73" s="40" t="str">
        <f aca="false">IF($E73="","",$E73&amp;"#"&amp;COUNTIF($E$4:$E73,$E73))</f>
        <v/>
      </c>
      <c r="X73" s="40" t="str">
        <f aca="false">IF($B73="","",IF(AND(OR(CETAK!$J$10="",$E73=CETAK!$J$10),OR(CETAK!$J$11="",$F73=CETAK!$J$11),OR(CETAK!$J$12="",$K73=CETAK!$J$12),OR(CETAK!$J$13="",$H73=CETAK!$J$13),OR(CETAK!$J$14="",$O73=CETAK!$J$14)),MAX($X$3:X72)+1,""))</f>
        <v/>
      </c>
      <c r="Y73" s="40" t="str">
        <f aca="false">IF($B73="","",IF(AND(OR(ABSENSI!$H$10="",$E73=ABSENSI!$H$10),OR(ABSENSI!$H$11="",$F73=ABSENSI!$H$11),OR(ABSENSI!$H$12="",$K73=ABSENSI!$H$12)),MAX($Y$3:Y72)+1,""))</f>
        <v/>
      </c>
      <c r="Z73" s="40" t="str">
        <f aca="false">IF($B73="","",IF(AND(OR(KARTU!$K$6="",$E73=KARTU!$K$6),OR(KARTU!$K$7="",$F73=KARTU!$K$7),OR(KARTU!$K$8="",$K73=KARTU!$K$8)),MAX($Z$3:Z72)+1,""))</f>
        <v/>
      </c>
    </row>
    <row r="74" customFormat="false" ht="15" hidden="false" customHeight="false" outlineLevel="0" collapsed="false">
      <c r="A74" s="36" t="str">
        <f aca="false">IF($B74="","",COUNTA($B$4:$B74))</f>
        <v/>
      </c>
      <c r="B74" s="37"/>
      <c r="C74" s="38"/>
      <c r="D74" s="39"/>
      <c r="E74" s="37"/>
      <c r="F74" s="39"/>
      <c r="G74" s="40" t="str">
        <f aca="false">IF(OR($E74="",$F74=""),"",$E74&amp;" - RT "&amp;$F74)</f>
        <v/>
      </c>
      <c r="H74" s="37"/>
      <c r="I74" s="38"/>
      <c r="J74" s="37"/>
      <c r="K74" s="39"/>
      <c r="L74" s="41"/>
      <c r="M74" s="36" t="str">
        <f aca="true">IF(OR($B74="",$L74=""),"",DATEDIF($L74,TODAY(),"Y"))</f>
        <v/>
      </c>
      <c r="N74" s="40" t="str">
        <f aca="false">IF($M74="","",INDEX(usia_label,MATCH($M74,usia_min,1)))</f>
        <v/>
      </c>
      <c r="O74" s="37"/>
      <c r="P74" s="41"/>
      <c r="Q74" s="37"/>
      <c r="R74" s="37"/>
      <c r="S74" s="40" t="str">
        <f aca="false">IF($G74="","",$G74&amp;"#"&amp;COUNTIF($G$4:$G74,$G74))</f>
        <v/>
      </c>
      <c r="T74" s="40" t="str">
        <f aca="false">IF($B74="","",IF($C74="","NIK kosong",IF(LEN($C74)&lt;&gt;16,"NIK bukan 16 digit",IF(COUNTIF($C$4:$C$2003,$C74&amp;"*")&gt;1,"NIK ganda",IF($E74="","Kadus kosong",IF($F74="","RT kosong",IF($H74="","Jabatan kosong",IF($I74="","No. HP kosong",IF($J74="","Alamat kosong",IF(AND($M74&lt;&gt;"",$M74&lt;17),"Usia di bawah 17",""))))))))))</f>
        <v/>
      </c>
      <c r="U74" s="40" t="str">
        <f aca="false">IF($B74="","",IF(AND(OR(CARI!$C$5="",ISNUMBER(SEARCH(CARI!$C$5,$B74&amp;" "&amp;$C74&amp;" "&amp;$I74&amp;" "&amp;$J74&amp;" "&amp;$Q74))),OR(CARI!$C$6="",$E74=CARI!$C$6),OR(CARI!$C$7="",$F74=CARI!$C$7),OR(CARI!$C$8="",$O74=CARI!$C$8)),MAX($U$3:U73)+1,""))</f>
        <v/>
      </c>
      <c r="V74" s="40" t="str">
        <f aca="false">IF($T74="","",MAX($V$3:V73)+1)</f>
        <v/>
      </c>
      <c r="W74" s="40" t="str">
        <f aca="false">IF($E74="","",$E74&amp;"#"&amp;COUNTIF($E$4:$E74,$E74))</f>
        <v/>
      </c>
      <c r="X74" s="40" t="str">
        <f aca="false">IF($B74="","",IF(AND(OR(CETAK!$J$10="",$E74=CETAK!$J$10),OR(CETAK!$J$11="",$F74=CETAK!$J$11),OR(CETAK!$J$12="",$K74=CETAK!$J$12),OR(CETAK!$J$13="",$H74=CETAK!$J$13),OR(CETAK!$J$14="",$O74=CETAK!$J$14)),MAX($X$3:X73)+1,""))</f>
        <v/>
      </c>
      <c r="Y74" s="40" t="str">
        <f aca="false">IF($B74="","",IF(AND(OR(ABSENSI!$H$10="",$E74=ABSENSI!$H$10),OR(ABSENSI!$H$11="",$F74=ABSENSI!$H$11),OR(ABSENSI!$H$12="",$K74=ABSENSI!$H$12)),MAX($Y$3:Y73)+1,""))</f>
        <v/>
      </c>
      <c r="Z74" s="40" t="str">
        <f aca="false">IF($B74="","",IF(AND(OR(KARTU!$K$6="",$E74=KARTU!$K$6),OR(KARTU!$K$7="",$F74=KARTU!$K$7),OR(KARTU!$K$8="",$K74=KARTU!$K$8)),MAX($Z$3:Z73)+1,""))</f>
        <v/>
      </c>
    </row>
    <row r="75" customFormat="false" ht="15" hidden="false" customHeight="false" outlineLevel="0" collapsed="false">
      <c r="A75" s="36" t="str">
        <f aca="false">IF($B75="","",COUNTA($B$4:$B75))</f>
        <v/>
      </c>
      <c r="B75" s="37"/>
      <c r="C75" s="38"/>
      <c r="D75" s="39"/>
      <c r="E75" s="37"/>
      <c r="F75" s="39"/>
      <c r="G75" s="40" t="str">
        <f aca="false">IF(OR($E75="",$F75=""),"",$E75&amp;" - RT "&amp;$F75)</f>
        <v/>
      </c>
      <c r="H75" s="37"/>
      <c r="I75" s="38"/>
      <c r="J75" s="37"/>
      <c r="K75" s="39"/>
      <c r="L75" s="41"/>
      <c r="M75" s="36" t="str">
        <f aca="true">IF(OR($B75="",$L75=""),"",DATEDIF($L75,TODAY(),"Y"))</f>
        <v/>
      </c>
      <c r="N75" s="40" t="str">
        <f aca="false">IF($M75="","",INDEX(usia_label,MATCH($M75,usia_min,1)))</f>
        <v/>
      </c>
      <c r="O75" s="37"/>
      <c r="P75" s="41"/>
      <c r="Q75" s="37"/>
      <c r="R75" s="37"/>
      <c r="S75" s="40" t="str">
        <f aca="false">IF($G75="","",$G75&amp;"#"&amp;COUNTIF($G$4:$G75,$G75))</f>
        <v/>
      </c>
      <c r="T75" s="40" t="str">
        <f aca="false">IF($B75="","",IF($C75="","NIK kosong",IF(LEN($C75)&lt;&gt;16,"NIK bukan 16 digit",IF(COUNTIF($C$4:$C$2003,$C75&amp;"*")&gt;1,"NIK ganda",IF($E75="","Kadus kosong",IF($F75="","RT kosong",IF($H75="","Jabatan kosong",IF($I75="","No. HP kosong",IF($J75="","Alamat kosong",IF(AND($M75&lt;&gt;"",$M75&lt;17),"Usia di bawah 17",""))))))))))</f>
        <v/>
      </c>
      <c r="U75" s="40" t="str">
        <f aca="false">IF($B75="","",IF(AND(OR(CARI!$C$5="",ISNUMBER(SEARCH(CARI!$C$5,$B75&amp;" "&amp;$C75&amp;" "&amp;$I75&amp;" "&amp;$J75&amp;" "&amp;$Q75))),OR(CARI!$C$6="",$E75=CARI!$C$6),OR(CARI!$C$7="",$F75=CARI!$C$7),OR(CARI!$C$8="",$O75=CARI!$C$8)),MAX($U$3:U74)+1,""))</f>
        <v/>
      </c>
      <c r="V75" s="40" t="str">
        <f aca="false">IF($T75="","",MAX($V$3:V74)+1)</f>
        <v/>
      </c>
      <c r="W75" s="40" t="str">
        <f aca="false">IF($E75="","",$E75&amp;"#"&amp;COUNTIF($E$4:$E75,$E75))</f>
        <v/>
      </c>
      <c r="X75" s="40" t="str">
        <f aca="false">IF($B75="","",IF(AND(OR(CETAK!$J$10="",$E75=CETAK!$J$10),OR(CETAK!$J$11="",$F75=CETAK!$J$11),OR(CETAK!$J$12="",$K75=CETAK!$J$12),OR(CETAK!$J$13="",$H75=CETAK!$J$13),OR(CETAK!$J$14="",$O75=CETAK!$J$14)),MAX($X$3:X74)+1,""))</f>
        <v/>
      </c>
      <c r="Y75" s="40" t="str">
        <f aca="false">IF($B75="","",IF(AND(OR(ABSENSI!$H$10="",$E75=ABSENSI!$H$10),OR(ABSENSI!$H$11="",$F75=ABSENSI!$H$11),OR(ABSENSI!$H$12="",$K75=ABSENSI!$H$12)),MAX($Y$3:Y74)+1,""))</f>
        <v/>
      </c>
      <c r="Z75" s="40" t="str">
        <f aca="false">IF($B75="","",IF(AND(OR(KARTU!$K$6="",$E75=KARTU!$K$6),OR(KARTU!$K$7="",$F75=KARTU!$K$7),OR(KARTU!$K$8="",$K75=KARTU!$K$8)),MAX($Z$3:Z74)+1,""))</f>
        <v/>
      </c>
    </row>
    <row r="76" customFormat="false" ht="15" hidden="false" customHeight="false" outlineLevel="0" collapsed="false">
      <c r="A76" s="36" t="str">
        <f aca="false">IF($B76="","",COUNTA($B$4:$B76))</f>
        <v/>
      </c>
      <c r="B76" s="37"/>
      <c r="C76" s="38"/>
      <c r="D76" s="39"/>
      <c r="E76" s="37"/>
      <c r="F76" s="39"/>
      <c r="G76" s="40" t="str">
        <f aca="false">IF(OR($E76="",$F76=""),"",$E76&amp;" - RT "&amp;$F76)</f>
        <v/>
      </c>
      <c r="H76" s="37"/>
      <c r="I76" s="38"/>
      <c r="J76" s="37"/>
      <c r="K76" s="39"/>
      <c r="L76" s="41"/>
      <c r="M76" s="36" t="str">
        <f aca="true">IF(OR($B76="",$L76=""),"",DATEDIF($L76,TODAY(),"Y"))</f>
        <v/>
      </c>
      <c r="N76" s="40" t="str">
        <f aca="false">IF($M76="","",INDEX(usia_label,MATCH($M76,usia_min,1)))</f>
        <v/>
      </c>
      <c r="O76" s="37"/>
      <c r="P76" s="41"/>
      <c r="Q76" s="37"/>
      <c r="R76" s="37"/>
      <c r="S76" s="40" t="str">
        <f aca="false">IF($G76="","",$G76&amp;"#"&amp;COUNTIF($G$4:$G76,$G76))</f>
        <v/>
      </c>
      <c r="T76" s="40" t="str">
        <f aca="false">IF($B76="","",IF($C76="","NIK kosong",IF(LEN($C76)&lt;&gt;16,"NIK bukan 16 digit",IF(COUNTIF($C$4:$C$2003,$C76&amp;"*")&gt;1,"NIK ganda",IF($E76="","Kadus kosong",IF($F76="","RT kosong",IF($H76="","Jabatan kosong",IF($I76="","No. HP kosong",IF($J76="","Alamat kosong",IF(AND($M76&lt;&gt;"",$M76&lt;17),"Usia di bawah 17",""))))))))))</f>
        <v/>
      </c>
      <c r="U76" s="40" t="str">
        <f aca="false">IF($B76="","",IF(AND(OR(CARI!$C$5="",ISNUMBER(SEARCH(CARI!$C$5,$B76&amp;" "&amp;$C76&amp;" "&amp;$I76&amp;" "&amp;$J76&amp;" "&amp;$Q76))),OR(CARI!$C$6="",$E76=CARI!$C$6),OR(CARI!$C$7="",$F76=CARI!$C$7),OR(CARI!$C$8="",$O76=CARI!$C$8)),MAX($U$3:U75)+1,""))</f>
        <v/>
      </c>
      <c r="V76" s="40" t="str">
        <f aca="false">IF($T76="","",MAX($V$3:V75)+1)</f>
        <v/>
      </c>
      <c r="W76" s="40" t="str">
        <f aca="false">IF($E76="","",$E76&amp;"#"&amp;COUNTIF($E$4:$E76,$E76))</f>
        <v/>
      </c>
      <c r="X76" s="40" t="str">
        <f aca="false">IF($B76="","",IF(AND(OR(CETAK!$J$10="",$E76=CETAK!$J$10),OR(CETAK!$J$11="",$F76=CETAK!$J$11),OR(CETAK!$J$12="",$K76=CETAK!$J$12),OR(CETAK!$J$13="",$H76=CETAK!$J$13),OR(CETAK!$J$14="",$O76=CETAK!$J$14)),MAX($X$3:X75)+1,""))</f>
        <v/>
      </c>
      <c r="Y76" s="40" t="str">
        <f aca="false">IF($B76="","",IF(AND(OR(ABSENSI!$H$10="",$E76=ABSENSI!$H$10),OR(ABSENSI!$H$11="",$F76=ABSENSI!$H$11),OR(ABSENSI!$H$12="",$K76=ABSENSI!$H$12)),MAX($Y$3:Y75)+1,""))</f>
        <v/>
      </c>
      <c r="Z76" s="40" t="str">
        <f aca="false">IF($B76="","",IF(AND(OR(KARTU!$K$6="",$E76=KARTU!$K$6),OR(KARTU!$K$7="",$F76=KARTU!$K$7),OR(KARTU!$K$8="",$K76=KARTU!$K$8)),MAX($Z$3:Z75)+1,""))</f>
        <v/>
      </c>
    </row>
    <row r="77" customFormat="false" ht="15" hidden="false" customHeight="false" outlineLevel="0" collapsed="false">
      <c r="A77" s="36" t="str">
        <f aca="false">IF($B77="","",COUNTA($B$4:$B77))</f>
        <v/>
      </c>
      <c r="B77" s="37"/>
      <c r="C77" s="38"/>
      <c r="D77" s="39"/>
      <c r="E77" s="37"/>
      <c r="F77" s="39"/>
      <c r="G77" s="40" t="str">
        <f aca="false">IF(OR($E77="",$F77=""),"",$E77&amp;" - RT "&amp;$F77)</f>
        <v/>
      </c>
      <c r="H77" s="37"/>
      <c r="I77" s="38"/>
      <c r="J77" s="37"/>
      <c r="K77" s="39"/>
      <c r="L77" s="41"/>
      <c r="M77" s="36" t="str">
        <f aca="true">IF(OR($B77="",$L77=""),"",DATEDIF($L77,TODAY(),"Y"))</f>
        <v/>
      </c>
      <c r="N77" s="40" t="str">
        <f aca="false">IF($M77="","",INDEX(usia_label,MATCH($M77,usia_min,1)))</f>
        <v/>
      </c>
      <c r="O77" s="37"/>
      <c r="P77" s="41"/>
      <c r="Q77" s="37"/>
      <c r="R77" s="37"/>
      <c r="S77" s="40" t="str">
        <f aca="false">IF($G77="","",$G77&amp;"#"&amp;COUNTIF($G$4:$G77,$G77))</f>
        <v/>
      </c>
      <c r="T77" s="40" t="str">
        <f aca="false">IF($B77="","",IF($C77="","NIK kosong",IF(LEN($C77)&lt;&gt;16,"NIK bukan 16 digit",IF(COUNTIF($C$4:$C$2003,$C77&amp;"*")&gt;1,"NIK ganda",IF($E77="","Kadus kosong",IF($F77="","RT kosong",IF($H77="","Jabatan kosong",IF($I77="","No. HP kosong",IF($J77="","Alamat kosong",IF(AND($M77&lt;&gt;"",$M77&lt;17),"Usia di bawah 17",""))))))))))</f>
        <v/>
      </c>
      <c r="U77" s="40" t="str">
        <f aca="false">IF($B77="","",IF(AND(OR(CARI!$C$5="",ISNUMBER(SEARCH(CARI!$C$5,$B77&amp;" "&amp;$C77&amp;" "&amp;$I77&amp;" "&amp;$J77&amp;" "&amp;$Q77))),OR(CARI!$C$6="",$E77=CARI!$C$6),OR(CARI!$C$7="",$F77=CARI!$C$7),OR(CARI!$C$8="",$O77=CARI!$C$8)),MAX($U$3:U76)+1,""))</f>
        <v/>
      </c>
      <c r="V77" s="40" t="str">
        <f aca="false">IF($T77="","",MAX($V$3:V76)+1)</f>
        <v/>
      </c>
      <c r="W77" s="40" t="str">
        <f aca="false">IF($E77="","",$E77&amp;"#"&amp;COUNTIF($E$4:$E77,$E77))</f>
        <v/>
      </c>
      <c r="X77" s="40" t="str">
        <f aca="false">IF($B77="","",IF(AND(OR(CETAK!$J$10="",$E77=CETAK!$J$10),OR(CETAK!$J$11="",$F77=CETAK!$J$11),OR(CETAK!$J$12="",$K77=CETAK!$J$12),OR(CETAK!$J$13="",$H77=CETAK!$J$13),OR(CETAK!$J$14="",$O77=CETAK!$J$14)),MAX($X$3:X76)+1,""))</f>
        <v/>
      </c>
      <c r="Y77" s="40" t="str">
        <f aca="false">IF($B77="","",IF(AND(OR(ABSENSI!$H$10="",$E77=ABSENSI!$H$10),OR(ABSENSI!$H$11="",$F77=ABSENSI!$H$11),OR(ABSENSI!$H$12="",$K77=ABSENSI!$H$12)),MAX($Y$3:Y76)+1,""))</f>
        <v/>
      </c>
      <c r="Z77" s="40" t="str">
        <f aca="false">IF($B77="","",IF(AND(OR(KARTU!$K$6="",$E77=KARTU!$K$6),OR(KARTU!$K$7="",$F77=KARTU!$K$7),OR(KARTU!$K$8="",$K77=KARTU!$K$8)),MAX($Z$3:Z76)+1,""))</f>
        <v/>
      </c>
    </row>
    <row r="78" customFormat="false" ht="15" hidden="false" customHeight="false" outlineLevel="0" collapsed="false">
      <c r="A78" s="36" t="str">
        <f aca="false">IF($B78="","",COUNTA($B$4:$B78))</f>
        <v/>
      </c>
      <c r="B78" s="37"/>
      <c r="C78" s="38"/>
      <c r="D78" s="39"/>
      <c r="E78" s="37"/>
      <c r="F78" s="39"/>
      <c r="G78" s="40" t="str">
        <f aca="false">IF(OR($E78="",$F78=""),"",$E78&amp;" - RT "&amp;$F78)</f>
        <v/>
      </c>
      <c r="H78" s="37"/>
      <c r="I78" s="38"/>
      <c r="J78" s="37"/>
      <c r="K78" s="39"/>
      <c r="L78" s="41"/>
      <c r="M78" s="36" t="str">
        <f aca="true">IF(OR($B78="",$L78=""),"",DATEDIF($L78,TODAY(),"Y"))</f>
        <v/>
      </c>
      <c r="N78" s="40" t="str">
        <f aca="false">IF($M78="","",INDEX(usia_label,MATCH($M78,usia_min,1)))</f>
        <v/>
      </c>
      <c r="O78" s="37"/>
      <c r="P78" s="41"/>
      <c r="Q78" s="37"/>
      <c r="R78" s="37"/>
      <c r="S78" s="40" t="str">
        <f aca="false">IF($G78="","",$G78&amp;"#"&amp;COUNTIF($G$4:$G78,$G78))</f>
        <v/>
      </c>
      <c r="T78" s="40" t="str">
        <f aca="false">IF($B78="","",IF($C78="","NIK kosong",IF(LEN($C78)&lt;&gt;16,"NIK bukan 16 digit",IF(COUNTIF($C$4:$C$2003,$C78&amp;"*")&gt;1,"NIK ganda",IF($E78="","Kadus kosong",IF($F78="","RT kosong",IF($H78="","Jabatan kosong",IF($I78="","No. HP kosong",IF($J78="","Alamat kosong",IF(AND($M78&lt;&gt;"",$M78&lt;17),"Usia di bawah 17",""))))))))))</f>
        <v/>
      </c>
      <c r="U78" s="40" t="str">
        <f aca="false">IF($B78="","",IF(AND(OR(CARI!$C$5="",ISNUMBER(SEARCH(CARI!$C$5,$B78&amp;" "&amp;$C78&amp;" "&amp;$I78&amp;" "&amp;$J78&amp;" "&amp;$Q78))),OR(CARI!$C$6="",$E78=CARI!$C$6),OR(CARI!$C$7="",$F78=CARI!$C$7),OR(CARI!$C$8="",$O78=CARI!$C$8)),MAX($U$3:U77)+1,""))</f>
        <v/>
      </c>
      <c r="V78" s="40" t="str">
        <f aca="false">IF($T78="","",MAX($V$3:V77)+1)</f>
        <v/>
      </c>
      <c r="W78" s="40" t="str">
        <f aca="false">IF($E78="","",$E78&amp;"#"&amp;COUNTIF($E$4:$E78,$E78))</f>
        <v/>
      </c>
      <c r="X78" s="40" t="str">
        <f aca="false">IF($B78="","",IF(AND(OR(CETAK!$J$10="",$E78=CETAK!$J$10),OR(CETAK!$J$11="",$F78=CETAK!$J$11),OR(CETAK!$J$12="",$K78=CETAK!$J$12),OR(CETAK!$J$13="",$H78=CETAK!$J$13),OR(CETAK!$J$14="",$O78=CETAK!$J$14)),MAX($X$3:X77)+1,""))</f>
        <v/>
      </c>
      <c r="Y78" s="40" t="str">
        <f aca="false">IF($B78="","",IF(AND(OR(ABSENSI!$H$10="",$E78=ABSENSI!$H$10),OR(ABSENSI!$H$11="",$F78=ABSENSI!$H$11),OR(ABSENSI!$H$12="",$K78=ABSENSI!$H$12)),MAX($Y$3:Y77)+1,""))</f>
        <v/>
      </c>
      <c r="Z78" s="40" t="str">
        <f aca="false">IF($B78="","",IF(AND(OR(KARTU!$K$6="",$E78=KARTU!$K$6),OR(KARTU!$K$7="",$F78=KARTU!$K$7),OR(KARTU!$K$8="",$K78=KARTU!$K$8)),MAX($Z$3:Z77)+1,""))</f>
        <v/>
      </c>
    </row>
    <row r="79" customFormat="false" ht="15" hidden="false" customHeight="false" outlineLevel="0" collapsed="false">
      <c r="A79" s="36" t="str">
        <f aca="false">IF($B79="","",COUNTA($B$4:$B79))</f>
        <v/>
      </c>
      <c r="B79" s="37"/>
      <c r="C79" s="38"/>
      <c r="D79" s="39"/>
      <c r="E79" s="37"/>
      <c r="F79" s="39"/>
      <c r="G79" s="40" t="str">
        <f aca="false">IF(OR($E79="",$F79=""),"",$E79&amp;" - RT "&amp;$F79)</f>
        <v/>
      </c>
      <c r="H79" s="37"/>
      <c r="I79" s="38"/>
      <c r="J79" s="37"/>
      <c r="K79" s="39"/>
      <c r="L79" s="41"/>
      <c r="M79" s="36" t="str">
        <f aca="true">IF(OR($B79="",$L79=""),"",DATEDIF($L79,TODAY(),"Y"))</f>
        <v/>
      </c>
      <c r="N79" s="40" t="str">
        <f aca="false">IF($M79="","",INDEX(usia_label,MATCH($M79,usia_min,1)))</f>
        <v/>
      </c>
      <c r="O79" s="37"/>
      <c r="P79" s="41"/>
      <c r="Q79" s="37"/>
      <c r="R79" s="37"/>
      <c r="S79" s="40" t="str">
        <f aca="false">IF($G79="","",$G79&amp;"#"&amp;COUNTIF($G$4:$G79,$G79))</f>
        <v/>
      </c>
      <c r="T79" s="40" t="str">
        <f aca="false">IF($B79="","",IF($C79="","NIK kosong",IF(LEN($C79)&lt;&gt;16,"NIK bukan 16 digit",IF(COUNTIF($C$4:$C$2003,$C79&amp;"*")&gt;1,"NIK ganda",IF($E79="","Kadus kosong",IF($F79="","RT kosong",IF($H79="","Jabatan kosong",IF($I79="","No. HP kosong",IF($J79="","Alamat kosong",IF(AND($M79&lt;&gt;"",$M79&lt;17),"Usia di bawah 17",""))))))))))</f>
        <v/>
      </c>
      <c r="U79" s="40" t="str">
        <f aca="false">IF($B79="","",IF(AND(OR(CARI!$C$5="",ISNUMBER(SEARCH(CARI!$C$5,$B79&amp;" "&amp;$C79&amp;" "&amp;$I79&amp;" "&amp;$J79&amp;" "&amp;$Q79))),OR(CARI!$C$6="",$E79=CARI!$C$6),OR(CARI!$C$7="",$F79=CARI!$C$7),OR(CARI!$C$8="",$O79=CARI!$C$8)),MAX($U$3:U78)+1,""))</f>
        <v/>
      </c>
      <c r="V79" s="40" t="str">
        <f aca="false">IF($T79="","",MAX($V$3:V78)+1)</f>
        <v/>
      </c>
      <c r="W79" s="40" t="str">
        <f aca="false">IF($E79="","",$E79&amp;"#"&amp;COUNTIF($E$4:$E79,$E79))</f>
        <v/>
      </c>
      <c r="X79" s="40" t="str">
        <f aca="false">IF($B79="","",IF(AND(OR(CETAK!$J$10="",$E79=CETAK!$J$10),OR(CETAK!$J$11="",$F79=CETAK!$J$11),OR(CETAK!$J$12="",$K79=CETAK!$J$12),OR(CETAK!$J$13="",$H79=CETAK!$J$13),OR(CETAK!$J$14="",$O79=CETAK!$J$14)),MAX($X$3:X78)+1,""))</f>
        <v/>
      </c>
      <c r="Y79" s="40" t="str">
        <f aca="false">IF($B79="","",IF(AND(OR(ABSENSI!$H$10="",$E79=ABSENSI!$H$10),OR(ABSENSI!$H$11="",$F79=ABSENSI!$H$11),OR(ABSENSI!$H$12="",$K79=ABSENSI!$H$12)),MAX($Y$3:Y78)+1,""))</f>
        <v/>
      </c>
      <c r="Z79" s="40" t="str">
        <f aca="false">IF($B79="","",IF(AND(OR(KARTU!$K$6="",$E79=KARTU!$K$6),OR(KARTU!$K$7="",$F79=KARTU!$K$7),OR(KARTU!$K$8="",$K79=KARTU!$K$8)),MAX($Z$3:Z78)+1,""))</f>
        <v/>
      </c>
    </row>
    <row r="80" customFormat="false" ht="15" hidden="false" customHeight="false" outlineLevel="0" collapsed="false">
      <c r="A80" s="36" t="str">
        <f aca="false">IF($B80="","",COUNTA($B$4:$B80))</f>
        <v/>
      </c>
      <c r="B80" s="37"/>
      <c r="C80" s="38"/>
      <c r="D80" s="39"/>
      <c r="E80" s="37"/>
      <c r="F80" s="39"/>
      <c r="G80" s="40" t="str">
        <f aca="false">IF(OR($E80="",$F80=""),"",$E80&amp;" - RT "&amp;$F80)</f>
        <v/>
      </c>
      <c r="H80" s="37"/>
      <c r="I80" s="38"/>
      <c r="J80" s="37"/>
      <c r="K80" s="39"/>
      <c r="L80" s="41"/>
      <c r="M80" s="36" t="str">
        <f aca="true">IF(OR($B80="",$L80=""),"",DATEDIF($L80,TODAY(),"Y"))</f>
        <v/>
      </c>
      <c r="N80" s="40" t="str">
        <f aca="false">IF($M80="","",INDEX(usia_label,MATCH($M80,usia_min,1)))</f>
        <v/>
      </c>
      <c r="O80" s="37"/>
      <c r="P80" s="41"/>
      <c r="Q80" s="37"/>
      <c r="R80" s="37"/>
      <c r="S80" s="40" t="str">
        <f aca="false">IF($G80="","",$G80&amp;"#"&amp;COUNTIF($G$4:$G80,$G80))</f>
        <v/>
      </c>
      <c r="T80" s="40" t="str">
        <f aca="false">IF($B80="","",IF($C80="","NIK kosong",IF(LEN($C80)&lt;&gt;16,"NIK bukan 16 digit",IF(COUNTIF($C$4:$C$2003,$C80&amp;"*")&gt;1,"NIK ganda",IF($E80="","Kadus kosong",IF($F80="","RT kosong",IF($H80="","Jabatan kosong",IF($I80="","No. HP kosong",IF($J80="","Alamat kosong",IF(AND($M80&lt;&gt;"",$M80&lt;17),"Usia di bawah 17",""))))))))))</f>
        <v/>
      </c>
      <c r="U80" s="40" t="str">
        <f aca="false">IF($B80="","",IF(AND(OR(CARI!$C$5="",ISNUMBER(SEARCH(CARI!$C$5,$B80&amp;" "&amp;$C80&amp;" "&amp;$I80&amp;" "&amp;$J80&amp;" "&amp;$Q80))),OR(CARI!$C$6="",$E80=CARI!$C$6),OR(CARI!$C$7="",$F80=CARI!$C$7),OR(CARI!$C$8="",$O80=CARI!$C$8)),MAX($U$3:U79)+1,""))</f>
        <v/>
      </c>
      <c r="V80" s="40" t="str">
        <f aca="false">IF($T80="","",MAX($V$3:V79)+1)</f>
        <v/>
      </c>
      <c r="W80" s="40" t="str">
        <f aca="false">IF($E80="","",$E80&amp;"#"&amp;COUNTIF($E$4:$E80,$E80))</f>
        <v/>
      </c>
      <c r="X80" s="40" t="str">
        <f aca="false">IF($B80="","",IF(AND(OR(CETAK!$J$10="",$E80=CETAK!$J$10),OR(CETAK!$J$11="",$F80=CETAK!$J$11),OR(CETAK!$J$12="",$K80=CETAK!$J$12),OR(CETAK!$J$13="",$H80=CETAK!$J$13),OR(CETAK!$J$14="",$O80=CETAK!$J$14)),MAX($X$3:X79)+1,""))</f>
        <v/>
      </c>
      <c r="Y80" s="40" t="str">
        <f aca="false">IF($B80="","",IF(AND(OR(ABSENSI!$H$10="",$E80=ABSENSI!$H$10),OR(ABSENSI!$H$11="",$F80=ABSENSI!$H$11),OR(ABSENSI!$H$12="",$K80=ABSENSI!$H$12)),MAX($Y$3:Y79)+1,""))</f>
        <v/>
      </c>
      <c r="Z80" s="40" t="str">
        <f aca="false">IF($B80="","",IF(AND(OR(KARTU!$K$6="",$E80=KARTU!$K$6),OR(KARTU!$K$7="",$F80=KARTU!$K$7),OR(KARTU!$K$8="",$K80=KARTU!$K$8)),MAX($Z$3:Z79)+1,""))</f>
        <v/>
      </c>
    </row>
    <row r="81" customFormat="false" ht="15" hidden="false" customHeight="false" outlineLevel="0" collapsed="false">
      <c r="A81" s="36" t="str">
        <f aca="false">IF($B81="","",COUNTA($B$4:$B81))</f>
        <v/>
      </c>
      <c r="B81" s="37"/>
      <c r="C81" s="38"/>
      <c r="D81" s="39"/>
      <c r="E81" s="37"/>
      <c r="F81" s="39"/>
      <c r="G81" s="40" t="str">
        <f aca="false">IF(OR($E81="",$F81=""),"",$E81&amp;" - RT "&amp;$F81)</f>
        <v/>
      </c>
      <c r="H81" s="37"/>
      <c r="I81" s="38"/>
      <c r="J81" s="37"/>
      <c r="K81" s="39"/>
      <c r="L81" s="41"/>
      <c r="M81" s="36" t="str">
        <f aca="true">IF(OR($B81="",$L81=""),"",DATEDIF($L81,TODAY(),"Y"))</f>
        <v/>
      </c>
      <c r="N81" s="40" t="str">
        <f aca="false">IF($M81="","",INDEX(usia_label,MATCH($M81,usia_min,1)))</f>
        <v/>
      </c>
      <c r="O81" s="37"/>
      <c r="P81" s="41"/>
      <c r="Q81" s="37"/>
      <c r="R81" s="37"/>
      <c r="S81" s="40" t="str">
        <f aca="false">IF($G81="","",$G81&amp;"#"&amp;COUNTIF($G$4:$G81,$G81))</f>
        <v/>
      </c>
      <c r="T81" s="40" t="str">
        <f aca="false">IF($B81="","",IF($C81="","NIK kosong",IF(LEN($C81)&lt;&gt;16,"NIK bukan 16 digit",IF(COUNTIF($C$4:$C$2003,$C81&amp;"*")&gt;1,"NIK ganda",IF($E81="","Kadus kosong",IF($F81="","RT kosong",IF($H81="","Jabatan kosong",IF($I81="","No. HP kosong",IF($J81="","Alamat kosong",IF(AND($M81&lt;&gt;"",$M81&lt;17),"Usia di bawah 17",""))))))))))</f>
        <v/>
      </c>
      <c r="U81" s="40" t="str">
        <f aca="false">IF($B81="","",IF(AND(OR(CARI!$C$5="",ISNUMBER(SEARCH(CARI!$C$5,$B81&amp;" "&amp;$C81&amp;" "&amp;$I81&amp;" "&amp;$J81&amp;" "&amp;$Q81))),OR(CARI!$C$6="",$E81=CARI!$C$6),OR(CARI!$C$7="",$F81=CARI!$C$7),OR(CARI!$C$8="",$O81=CARI!$C$8)),MAX($U$3:U80)+1,""))</f>
        <v/>
      </c>
      <c r="V81" s="40" t="str">
        <f aca="false">IF($T81="","",MAX($V$3:V80)+1)</f>
        <v/>
      </c>
      <c r="W81" s="40" t="str">
        <f aca="false">IF($E81="","",$E81&amp;"#"&amp;COUNTIF($E$4:$E81,$E81))</f>
        <v/>
      </c>
      <c r="X81" s="40" t="str">
        <f aca="false">IF($B81="","",IF(AND(OR(CETAK!$J$10="",$E81=CETAK!$J$10),OR(CETAK!$J$11="",$F81=CETAK!$J$11),OR(CETAK!$J$12="",$K81=CETAK!$J$12),OR(CETAK!$J$13="",$H81=CETAK!$J$13),OR(CETAK!$J$14="",$O81=CETAK!$J$14)),MAX($X$3:X80)+1,""))</f>
        <v/>
      </c>
      <c r="Y81" s="40" t="str">
        <f aca="false">IF($B81="","",IF(AND(OR(ABSENSI!$H$10="",$E81=ABSENSI!$H$10),OR(ABSENSI!$H$11="",$F81=ABSENSI!$H$11),OR(ABSENSI!$H$12="",$K81=ABSENSI!$H$12)),MAX($Y$3:Y80)+1,""))</f>
        <v/>
      </c>
      <c r="Z81" s="40" t="str">
        <f aca="false">IF($B81="","",IF(AND(OR(KARTU!$K$6="",$E81=KARTU!$K$6),OR(KARTU!$K$7="",$F81=KARTU!$K$7),OR(KARTU!$K$8="",$K81=KARTU!$K$8)),MAX($Z$3:Z80)+1,""))</f>
        <v/>
      </c>
    </row>
    <row r="82" customFormat="false" ht="15" hidden="false" customHeight="false" outlineLevel="0" collapsed="false">
      <c r="A82" s="36" t="str">
        <f aca="false">IF($B82="","",COUNTA($B$4:$B82))</f>
        <v/>
      </c>
      <c r="B82" s="37"/>
      <c r="C82" s="38"/>
      <c r="D82" s="39"/>
      <c r="E82" s="37"/>
      <c r="F82" s="39"/>
      <c r="G82" s="40" t="str">
        <f aca="false">IF(OR($E82="",$F82=""),"",$E82&amp;" - RT "&amp;$F82)</f>
        <v/>
      </c>
      <c r="H82" s="37"/>
      <c r="I82" s="38"/>
      <c r="J82" s="37"/>
      <c r="K82" s="39"/>
      <c r="L82" s="41"/>
      <c r="M82" s="36" t="str">
        <f aca="true">IF(OR($B82="",$L82=""),"",DATEDIF($L82,TODAY(),"Y"))</f>
        <v/>
      </c>
      <c r="N82" s="40" t="str">
        <f aca="false">IF($M82="","",INDEX(usia_label,MATCH($M82,usia_min,1)))</f>
        <v/>
      </c>
      <c r="O82" s="37"/>
      <c r="P82" s="41"/>
      <c r="Q82" s="37"/>
      <c r="R82" s="37"/>
      <c r="S82" s="40" t="str">
        <f aca="false">IF($G82="","",$G82&amp;"#"&amp;COUNTIF($G$4:$G82,$G82))</f>
        <v/>
      </c>
      <c r="T82" s="40" t="str">
        <f aca="false">IF($B82="","",IF($C82="","NIK kosong",IF(LEN($C82)&lt;&gt;16,"NIK bukan 16 digit",IF(COUNTIF($C$4:$C$2003,$C82&amp;"*")&gt;1,"NIK ganda",IF($E82="","Kadus kosong",IF($F82="","RT kosong",IF($H82="","Jabatan kosong",IF($I82="","No. HP kosong",IF($J82="","Alamat kosong",IF(AND($M82&lt;&gt;"",$M82&lt;17),"Usia di bawah 17",""))))))))))</f>
        <v/>
      </c>
      <c r="U82" s="40" t="str">
        <f aca="false">IF($B82="","",IF(AND(OR(CARI!$C$5="",ISNUMBER(SEARCH(CARI!$C$5,$B82&amp;" "&amp;$C82&amp;" "&amp;$I82&amp;" "&amp;$J82&amp;" "&amp;$Q82))),OR(CARI!$C$6="",$E82=CARI!$C$6),OR(CARI!$C$7="",$F82=CARI!$C$7),OR(CARI!$C$8="",$O82=CARI!$C$8)),MAX($U$3:U81)+1,""))</f>
        <v/>
      </c>
      <c r="V82" s="40" t="str">
        <f aca="false">IF($T82="","",MAX($V$3:V81)+1)</f>
        <v/>
      </c>
      <c r="W82" s="40" t="str">
        <f aca="false">IF($E82="","",$E82&amp;"#"&amp;COUNTIF($E$4:$E82,$E82))</f>
        <v/>
      </c>
      <c r="X82" s="40" t="str">
        <f aca="false">IF($B82="","",IF(AND(OR(CETAK!$J$10="",$E82=CETAK!$J$10),OR(CETAK!$J$11="",$F82=CETAK!$J$11),OR(CETAK!$J$12="",$K82=CETAK!$J$12),OR(CETAK!$J$13="",$H82=CETAK!$J$13),OR(CETAK!$J$14="",$O82=CETAK!$J$14)),MAX($X$3:X81)+1,""))</f>
        <v/>
      </c>
      <c r="Y82" s="40" t="str">
        <f aca="false">IF($B82="","",IF(AND(OR(ABSENSI!$H$10="",$E82=ABSENSI!$H$10),OR(ABSENSI!$H$11="",$F82=ABSENSI!$H$11),OR(ABSENSI!$H$12="",$K82=ABSENSI!$H$12)),MAX($Y$3:Y81)+1,""))</f>
        <v/>
      </c>
      <c r="Z82" s="40" t="str">
        <f aca="false">IF($B82="","",IF(AND(OR(KARTU!$K$6="",$E82=KARTU!$K$6),OR(KARTU!$K$7="",$F82=KARTU!$K$7),OR(KARTU!$K$8="",$K82=KARTU!$K$8)),MAX($Z$3:Z81)+1,""))</f>
        <v/>
      </c>
    </row>
    <row r="83" customFormat="false" ht="15" hidden="false" customHeight="false" outlineLevel="0" collapsed="false">
      <c r="A83" s="36" t="str">
        <f aca="false">IF($B83="","",COUNTA($B$4:$B83))</f>
        <v/>
      </c>
      <c r="B83" s="37"/>
      <c r="C83" s="38"/>
      <c r="D83" s="39"/>
      <c r="E83" s="37"/>
      <c r="F83" s="39"/>
      <c r="G83" s="40" t="str">
        <f aca="false">IF(OR($E83="",$F83=""),"",$E83&amp;" - RT "&amp;$F83)</f>
        <v/>
      </c>
      <c r="H83" s="37"/>
      <c r="I83" s="38"/>
      <c r="J83" s="37"/>
      <c r="K83" s="39"/>
      <c r="L83" s="41"/>
      <c r="M83" s="36" t="str">
        <f aca="true">IF(OR($B83="",$L83=""),"",DATEDIF($L83,TODAY(),"Y"))</f>
        <v/>
      </c>
      <c r="N83" s="40" t="str">
        <f aca="false">IF($M83="","",INDEX(usia_label,MATCH($M83,usia_min,1)))</f>
        <v/>
      </c>
      <c r="O83" s="37"/>
      <c r="P83" s="41"/>
      <c r="Q83" s="37"/>
      <c r="R83" s="37"/>
      <c r="S83" s="40" t="str">
        <f aca="false">IF($G83="","",$G83&amp;"#"&amp;COUNTIF($G$4:$G83,$G83))</f>
        <v/>
      </c>
      <c r="T83" s="40" t="str">
        <f aca="false">IF($B83="","",IF($C83="","NIK kosong",IF(LEN($C83)&lt;&gt;16,"NIK bukan 16 digit",IF(COUNTIF($C$4:$C$2003,$C83&amp;"*")&gt;1,"NIK ganda",IF($E83="","Kadus kosong",IF($F83="","RT kosong",IF($H83="","Jabatan kosong",IF($I83="","No. HP kosong",IF($J83="","Alamat kosong",IF(AND($M83&lt;&gt;"",$M83&lt;17),"Usia di bawah 17",""))))))))))</f>
        <v/>
      </c>
      <c r="U83" s="40" t="str">
        <f aca="false">IF($B83="","",IF(AND(OR(CARI!$C$5="",ISNUMBER(SEARCH(CARI!$C$5,$B83&amp;" "&amp;$C83&amp;" "&amp;$I83&amp;" "&amp;$J83&amp;" "&amp;$Q83))),OR(CARI!$C$6="",$E83=CARI!$C$6),OR(CARI!$C$7="",$F83=CARI!$C$7),OR(CARI!$C$8="",$O83=CARI!$C$8)),MAX($U$3:U82)+1,""))</f>
        <v/>
      </c>
      <c r="V83" s="40" t="str">
        <f aca="false">IF($T83="","",MAX($V$3:V82)+1)</f>
        <v/>
      </c>
      <c r="W83" s="40" t="str">
        <f aca="false">IF($E83="","",$E83&amp;"#"&amp;COUNTIF($E$4:$E83,$E83))</f>
        <v/>
      </c>
      <c r="X83" s="40" t="str">
        <f aca="false">IF($B83="","",IF(AND(OR(CETAK!$J$10="",$E83=CETAK!$J$10),OR(CETAK!$J$11="",$F83=CETAK!$J$11),OR(CETAK!$J$12="",$K83=CETAK!$J$12),OR(CETAK!$J$13="",$H83=CETAK!$J$13),OR(CETAK!$J$14="",$O83=CETAK!$J$14)),MAX($X$3:X82)+1,""))</f>
        <v/>
      </c>
      <c r="Y83" s="40" t="str">
        <f aca="false">IF($B83="","",IF(AND(OR(ABSENSI!$H$10="",$E83=ABSENSI!$H$10),OR(ABSENSI!$H$11="",$F83=ABSENSI!$H$11),OR(ABSENSI!$H$12="",$K83=ABSENSI!$H$12)),MAX($Y$3:Y82)+1,""))</f>
        <v/>
      </c>
      <c r="Z83" s="40" t="str">
        <f aca="false">IF($B83="","",IF(AND(OR(KARTU!$K$6="",$E83=KARTU!$K$6),OR(KARTU!$K$7="",$F83=KARTU!$K$7),OR(KARTU!$K$8="",$K83=KARTU!$K$8)),MAX($Z$3:Z82)+1,""))</f>
        <v/>
      </c>
    </row>
    <row r="84" customFormat="false" ht="15" hidden="false" customHeight="false" outlineLevel="0" collapsed="false">
      <c r="A84" s="36" t="str">
        <f aca="false">IF($B84="","",COUNTA($B$4:$B84))</f>
        <v/>
      </c>
      <c r="B84" s="37"/>
      <c r="C84" s="38"/>
      <c r="D84" s="39"/>
      <c r="E84" s="37"/>
      <c r="F84" s="39"/>
      <c r="G84" s="40" t="str">
        <f aca="false">IF(OR($E84="",$F84=""),"",$E84&amp;" - RT "&amp;$F84)</f>
        <v/>
      </c>
      <c r="H84" s="37"/>
      <c r="I84" s="38"/>
      <c r="J84" s="37"/>
      <c r="K84" s="39"/>
      <c r="L84" s="41"/>
      <c r="M84" s="36" t="str">
        <f aca="true">IF(OR($B84="",$L84=""),"",DATEDIF($L84,TODAY(),"Y"))</f>
        <v/>
      </c>
      <c r="N84" s="40" t="str">
        <f aca="false">IF($M84="","",INDEX(usia_label,MATCH($M84,usia_min,1)))</f>
        <v/>
      </c>
      <c r="O84" s="37"/>
      <c r="P84" s="41"/>
      <c r="Q84" s="37"/>
      <c r="R84" s="37"/>
      <c r="S84" s="40" t="str">
        <f aca="false">IF($G84="","",$G84&amp;"#"&amp;COUNTIF($G$4:$G84,$G84))</f>
        <v/>
      </c>
      <c r="T84" s="40" t="str">
        <f aca="false">IF($B84="","",IF($C84="","NIK kosong",IF(LEN($C84)&lt;&gt;16,"NIK bukan 16 digit",IF(COUNTIF($C$4:$C$2003,$C84&amp;"*")&gt;1,"NIK ganda",IF($E84="","Kadus kosong",IF($F84="","RT kosong",IF($H84="","Jabatan kosong",IF($I84="","No. HP kosong",IF($J84="","Alamat kosong",IF(AND($M84&lt;&gt;"",$M84&lt;17),"Usia di bawah 17",""))))))))))</f>
        <v/>
      </c>
      <c r="U84" s="40" t="str">
        <f aca="false">IF($B84="","",IF(AND(OR(CARI!$C$5="",ISNUMBER(SEARCH(CARI!$C$5,$B84&amp;" "&amp;$C84&amp;" "&amp;$I84&amp;" "&amp;$J84&amp;" "&amp;$Q84))),OR(CARI!$C$6="",$E84=CARI!$C$6),OR(CARI!$C$7="",$F84=CARI!$C$7),OR(CARI!$C$8="",$O84=CARI!$C$8)),MAX($U$3:U83)+1,""))</f>
        <v/>
      </c>
      <c r="V84" s="40" t="str">
        <f aca="false">IF($T84="","",MAX($V$3:V83)+1)</f>
        <v/>
      </c>
      <c r="W84" s="40" t="str">
        <f aca="false">IF($E84="","",$E84&amp;"#"&amp;COUNTIF($E$4:$E84,$E84))</f>
        <v/>
      </c>
      <c r="X84" s="40" t="str">
        <f aca="false">IF($B84="","",IF(AND(OR(CETAK!$J$10="",$E84=CETAK!$J$10),OR(CETAK!$J$11="",$F84=CETAK!$J$11),OR(CETAK!$J$12="",$K84=CETAK!$J$12),OR(CETAK!$J$13="",$H84=CETAK!$J$13),OR(CETAK!$J$14="",$O84=CETAK!$J$14)),MAX($X$3:X83)+1,""))</f>
        <v/>
      </c>
      <c r="Y84" s="40" t="str">
        <f aca="false">IF($B84="","",IF(AND(OR(ABSENSI!$H$10="",$E84=ABSENSI!$H$10),OR(ABSENSI!$H$11="",$F84=ABSENSI!$H$11),OR(ABSENSI!$H$12="",$K84=ABSENSI!$H$12)),MAX($Y$3:Y83)+1,""))</f>
        <v/>
      </c>
      <c r="Z84" s="40" t="str">
        <f aca="false">IF($B84="","",IF(AND(OR(KARTU!$K$6="",$E84=KARTU!$K$6),OR(KARTU!$K$7="",$F84=KARTU!$K$7),OR(KARTU!$K$8="",$K84=KARTU!$K$8)),MAX($Z$3:Z83)+1,""))</f>
        <v/>
      </c>
    </row>
    <row r="85" customFormat="false" ht="15" hidden="false" customHeight="false" outlineLevel="0" collapsed="false">
      <c r="A85" s="36" t="str">
        <f aca="false">IF($B85="","",COUNTA($B$4:$B85))</f>
        <v/>
      </c>
      <c r="B85" s="37"/>
      <c r="C85" s="38"/>
      <c r="D85" s="39"/>
      <c r="E85" s="37"/>
      <c r="F85" s="39"/>
      <c r="G85" s="40" t="str">
        <f aca="false">IF(OR($E85="",$F85=""),"",$E85&amp;" - RT "&amp;$F85)</f>
        <v/>
      </c>
      <c r="H85" s="37"/>
      <c r="I85" s="38"/>
      <c r="J85" s="37"/>
      <c r="K85" s="39"/>
      <c r="L85" s="41"/>
      <c r="M85" s="36" t="str">
        <f aca="true">IF(OR($B85="",$L85=""),"",DATEDIF($L85,TODAY(),"Y"))</f>
        <v/>
      </c>
      <c r="N85" s="40" t="str">
        <f aca="false">IF($M85="","",INDEX(usia_label,MATCH($M85,usia_min,1)))</f>
        <v/>
      </c>
      <c r="O85" s="37"/>
      <c r="P85" s="41"/>
      <c r="Q85" s="37"/>
      <c r="R85" s="37"/>
      <c r="S85" s="40" t="str">
        <f aca="false">IF($G85="","",$G85&amp;"#"&amp;COUNTIF($G$4:$G85,$G85))</f>
        <v/>
      </c>
      <c r="T85" s="40" t="str">
        <f aca="false">IF($B85="","",IF($C85="","NIK kosong",IF(LEN($C85)&lt;&gt;16,"NIK bukan 16 digit",IF(COUNTIF($C$4:$C$2003,$C85&amp;"*")&gt;1,"NIK ganda",IF($E85="","Kadus kosong",IF($F85="","RT kosong",IF($H85="","Jabatan kosong",IF($I85="","No. HP kosong",IF($J85="","Alamat kosong",IF(AND($M85&lt;&gt;"",$M85&lt;17),"Usia di bawah 17",""))))))))))</f>
        <v/>
      </c>
      <c r="U85" s="40" t="str">
        <f aca="false">IF($B85="","",IF(AND(OR(CARI!$C$5="",ISNUMBER(SEARCH(CARI!$C$5,$B85&amp;" "&amp;$C85&amp;" "&amp;$I85&amp;" "&amp;$J85&amp;" "&amp;$Q85))),OR(CARI!$C$6="",$E85=CARI!$C$6),OR(CARI!$C$7="",$F85=CARI!$C$7),OR(CARI!$C$8="",$O85=CARI!$C$8)),MAX($U$3:U84)+1,""))</f>
        <v/>
      </c>
      <c r="V85" s="40" t="str">
        <f aca="false">IF($T85="","",MAX($V$3:V84)+1)</f>
        <v/>
      </c>
      <c r="W85" s="40" t="str">
        <f aca="false">IF($E85="","",$E85&amp;"#"&amp;COUNTIF($E$4:$E85,$E85))</f>
        <v/>
      </c>
      <c r="X85" s="40" t="str">
        <f aca="false">IF($B85="","",IF(AND(OR(CETAK!$J$10="",$E85=CETAK!$J$10),OR(CETAK!$J$11="",$F85=CETAK!$J$11),OR(CETAK!$J$12="",$K85=CETAK!$J$12),OR(CETAK!$J$13="",$H85=CETAK!$J$13),OR(CETAK!$J$14="",$O85=CETAK!$J$14)),MAX($X$3:X84)+1,""))</f>
        <v/>
      </c>
      <c r="Y85" s="40" t="str">
        <f aca="false">IF($B85="","",IF(AND(OR(ABSENSI!$H$10="",$E85=ABSENSI!$H$10),OR(ABSENSI!$H$11="",$F85=ABSENSI!$H$11),OR(ABSENSI!$H$12="",$K85=ABSENSI!$H$12)),MAX($Y$3:Y84)+1,""))</f>
        <v/>
      </c>
      <c r="Z85" s="40" t="str">
        <f aca="false">IF($B85="","",IF(AND(OR(KARTU!$K$6="",$E85=KARTU!$K$6),OR(KARTU!$K$7="",$F85=KARTU!$K$7),OR(KARTU!$K$8="",$K85=KARTU!$K$8)),MAX($Z$3:Z84)+1,""))</f>
        <v/>
      </c>
    </row>
    <row r="86" customFormat="false" ht="15" hidden="false" customHeight="false" outlineLevel="0" collapsed="false">
      <c r="A86" s="36" t="str">
        <f aca="false">IF($B86="","",COUNTA($B$4:$B86))</f>
        <v/>
      </c>
      <c r="B86" s="37"/>
      <c r="C86" s="38"/>
      <c r="D86" s="39"/>
      <c r="E86" s="37"/>
      <c r="F86" s="39"/>
      <c r="G86" s="40" t="str">
        <f aca="false">IF(OR($E86="",$F86=""),"",$E86&amp;" - RT "&amp;$F86)</f>
        <v/>
      </c>
      <c r="H86" s="37"/>
      <c r="I86" s="38"/>
      <c r="J86" s="37"/>
      <c r="K86" s="39"/>
      <c r="L86" s="41"/>
      <c r="M86" s="36" t="str">
        <f aca="true">IF(OR($B86="",$L86=""),"",DATEDIF($L86,TODAY(),"Y"))</f>
        <v/>
      </c>
      <c r="N86" s="40" t="str">
        <f aca="false">IF($M86="","",INDEX(usia_label,MATCH($M86,usia_min,1)))</f>
        <v/>
      </c>
      <c r="O86" s="37"/>
      <c r="P86" s="41"/>
      <c r="Q86" s="37"/>
      <c r="R86" s="37"/>
      <c r="S86" s="40" t="str">
        <f aca="false">IF($G86="","",$G86&amp;"#"&amp;COUNTIF($G$4:$G86,$G86))</f>
        <v/>
      </c>
      <c r="T86" s="40" t="str">
        <f aca="false">IF($B86="","",IF($C86="","NIK kosong",IF(LEN($C86)&lt;&gt;16,"NIK bukan 16 digit",IF(COUNTIF($C$4:$C$2003,$C86&amp;"*")&gt;1,"NIK ganda",IF($E86="","Kadus kosong",IF($F86="","RT kosong",IF($H86="","Jabatan kosong",IF($I86="","No. HP kosong",IF($J86="","Alamat kosong",IF(AND($M86&lt;&gt;"",$M86&lt;17),"Usia di bawah 17",""))))))))))</f>
        <v/>
      </c>
      <c r="U86" s="40" t="str">
        <f aca="false">IF($B86="","",IF(AND(OR(CARI!$C$5="",ISNUMBER(SEARCH(CARI!$C$5,$B86&amp;" "&amp;$C86&amp;" "&amp;$I86&amp;" "&amp;$J86&amp;" "&amp;$Q86))),OR(CARI!$C$6="",$E86=CARI!$C$6),OR(CARI!$C$7="",$F86=CARI!$C$7),OR(CARI!$C$8="",$O86=CARI!$C$8)),MAX($U$3:U85)+1,""))</f>
        <v/>
      </c>
      <c r="V86" s="40" t="str">
        <f aca="false">IF($T86="","",MAX($V$3:V85)+1)</f>
        <v/>
      </c>
      <c r="W86" s="40" t="str">
        <f aca="false">IF($E86="","",$E86&amp;"#"&amp;COUNTIF($E$4:$E86,$E86))</f>
        <v/>
      </c>
      <c r="X86" s="40" t="str">
        <f aca="false">IF($B86="","",IF(AND(OR(CETAK!$J$10="",$E86=CETAK!$J$10),OR(CETAK!$J$11="",$F86=CETAK!$J$11),OR(CETAK!$J$12="",$K86=CETAK!$J$12),OR(CETAK!$J$13="",$H86=CETAK!$J$13),OR(CETAK!$J$14="",$O86=CETAK!$J$14)),MAX($X$3:X85)+1,""))</f>
        <v/>
      </c>
      <c r="Y86" s="40" t="str">
        <f aca="false">IF($B86="","",IF(AND(OR(ABSENSI!$H$10="",$E86=ABSENSI!$H$10),OR(ABSENSI!$H$11="",$F86=ABSENSI!$H$11),OR(ABSENSI!$H$12="",$K86=ABSENSI!$H$12)),MAX($Y$3:Y85)+1,""))</f>
        <v/>
      </c>
      <c r="Z86" s="40" t="str">
        <f aca="false">IF($B86="","",IF(AND(OR(KARTU!$K$6="",$E86=KARTU!$K$6),OR(KARTU!$K$7="",$F86=KARTU!$K$7),OR(KARTU!$K$8="",$K86=KARTU!$K$8)),MAX($Z$3:Z85)+1,""))</f>
        <v/>
      </c>
    </row>
    <row r="87" customFormat="false" ht="15" hidden="false" customHeight="false" outlineLevel="0" collapsed="false">
      <c r="A87" s="36" t="str">
        <f aca="false">IF($B87="","",COUNTA($B$4:$B87))</f>
        <v/>
      </c>
      <c r="B87" s="37"/>
      <c r="C87" s="38"/>
      <c r="D87" s="39"/>
      <c r="E87" s="37"/>
      <c r="F87" s="39"/>
      <c r="G87" s="40" t="str">
        <f aca="false">IF(OR($E87="",$F87=""),"",$E87&amp;" - RT "&amp;$F87)</f>
        <v/>
      </c>
      <c r="H87" s="37"/>
      <c r="I87" s="38"/>
      <c r="J87" s="37"/>
      <c r="K87" s="39"/>
      <c r="L87" s="41"/>
      <c r="M87" s="36" t="str">
        <f aca="true">IF(OR($B87="",$L87=""),"",DATEDIF($L87,TODAY(),"Y"))</f>
        <v/>
      </c>
      <c r="N87" s="40" t="str">
        <f aca="false">IF($M87="","",INDEX(usia_label,MATCH($M87,usia_min,1)))</f>
        <v/>
      </c>
      <c r="O87" s="37"/>
      <c r="P87" s="41"/>
      <c r="Q87" s="37"/>
      <c r="R87" s="37"/>
      <c r="S87" s="40" t="str">
        <f aca="false">IF($G87="","",$G87&amp;"#"&amp;COUNTIF($G$4:$G87,$G87))</f>
        <v/>
      </c>
      <c r="T87" s="40" t="str">
        <f aca="false">IF($B87="","",IF($C87="","NIK kosong",IF(LEN($C87)&lt;&gt;16,"NIK bukan 16 digit",IF(COUNTIF($C$4:$C$2003,$C87&amp;"*")&gt;1,"NIK ganda",IF($E87="","Kadus kosong",IF($F87="","RT kosong",IF($H87="","Jabatan kosong",IF($I87="","No. HP kosong",IF($J87="","Alamat kosong",IF(AND($M87&lt;&gt;"",$M87&lt;17),"Usia di bawah 17",""))))))))))</f>
        <v/>
      </c>
      <c r="U87" s="40" t="str">
        <f aca="false">IF($B87="","",IF(AND(OR(CARI!$C$5="",ISNUMBER(SEARCH(CARI!$C$5,$B87&amp;" "&amp;$C87&amp;" "&amp;$I87&amp;" "&amp;$J87&amp;" "&amp;$Q87))),OR(CARI!$C$6="",$E87=CARI!$C$6),OR(CARI!$C$7="",$F87=CARI!$C$7),OR(CARI!$C$8="",$O87=CARI!$C$8)),MAX($U$3:U86)+1,""))</f>
        <v/>
      </c>
      <c r="V87" s="40" t="str">
        <f aca="false">IF($T87="","",MAX($V$3:V86)+1)</f>
        <v/>
      </c>
      <c r="W87" s="40" t="str">
        <f aca="false">IF($E87="","",$E87&amp;"#"&amp;COUNTIF($E$4:$E87,$E87))</f>
        <v/>
      </c>
      <c r="X87" s="40" t="str">
        <f aca="false">IF($B87="","",IF(AND(OR(CETAK!$J$10="",$E87=CETAK!$J$10),OR(CETAK!$J$11="",$F87=CETAK!$J$11),OR(CETAK!$J$12="",$K87=CETAK!$J$12),OR(CETAK!$J$13="",$H87=CETAK!$J$13),OR(CETAK!$J$14="",$O87=CETAK!$J$14)),MAX($X$3:X86)+1,""))</f>
        <v/>
      </c>
      <c r="Y87" s="40" t="str">
        <f aca="false">IF($B87="","",IF(AND(OR(ABSENSI!$H$10="",$E87=ABSENSI!$H$10),OR(ABSENSI!$H$11="",$F87=ABSENSI!$H$11),OR(ABSENSI!$H$12="",$K87=ABSENSI!$H$12)),MAX($Y$3:Y86)+1,""))</f>
        <v/>
      </c>
      <c r="Z87" s="40" t="str">
        <f aca="false">IF($B87="","",IF(AND(OR(KARTU!$K$6="",$E87=KARTU!$K$6),OR(KARTU!$K$7="",$F87=KARTU!$K$7),OR(KARTU!$K$8="",$K87=KARTU!$K$8)),MAX($Z$3:Z86)+1,""))</f>
        <v/>
      </c>
    </row>
    <row r="88" customFormat="false" ht="15" hidden="false" customHeight="false" outlineLevel="0" collapsed="false">
      <c r="A88" s="36" t="str">
        <f aca="false">IF($B88="","",COUNTA($B$4:$B88))</f>
        <v/>
      </c>
      <c r="B88" s="37"/>
      <c r="C88" s="38"/>
      <c r="D88" s="39"/>
      <c r="E88" s="37"/>
      <c r="F88" s="39"/>
      <c r="G88" s="40" t="str">
        <f aca="false">IF(OR($E88="",$F88=""),"",$E88&amp;" - RT "&amp;$F88)</f>
        <v/>
      </c>
      <c r="H88" s="37"/>
      <c r="I88" s="38"/>
      <c r="J88" s="37"/>
      <c r="K88" s="39"/>
      <c r="L88" s="41"/>
      <c r="M88" s="36" t="str">
        <f aca="true">IF(OR($B88="",$L88=""),"",DATEDIF($L88,TODAY(),"Y"))</f>
        <v/>
      </c>
      <c r="N88" s="40" t="str">
        <f aca="false">IF($M88="","",INDEX(usia_label,MATCH($M88,usia_min,1)))</f>
        <v/>
      </c>
      <c r="O88" s="37"/>
      <c r="P88" s="41"/>
      <c r="Q88" s="37"/>
      <c r="R88" s="37"/>
      <c r="S88" s="40" t="str">
        <f aca="false">IF($G88="","",$G88&amp;"#"&amp;COUNTIF($G$4:$G88,$G88))</f>
        <v/>
      </c>
      <c r="T88" s="40" t="str">
        <f aca="false">IF($B88="","",IF($C88="","NIK kosong",IF(LEN($C88)&lt;&gt;16,"NIK bukan 16 digit",IF(COUNTIF($C$4:$C$2003,$C88&amp;"*")&gt;1,"NIK ganda",IF($E88="","Kadus kosong",IF($F88="","RT kosong",IF($H88="","Jabatan kosong",IF($I88="","No. HP kosong",IF($J88="","Alamat kosong",IF(AND($M88&lt;&gt;"",$M88&lt;17),"Usia di bawah 17",""))))))))))</f>
        <v/>
      </c>
      <c r="U88" s="40" t="str">
        <f aca="false">IF($B88="","",IF(AND(OR(CARI!$C$5="",ISNUMBER(SEARCH(CARI!$C$5,$B88&amp;" "&amp;$C88&amp;" "&amp;$I88&amp;" "&amp;$J88&amp;" "&amp;$Q88))),OR(CARI!$C$6="",$E88=CARI!$C$6),OR(CARI!$C$7="",$F88=CARI!$C$7),OR(CARI!$C$8="",$O88=CARI!$C$8)),MAX($U$3:U87)+1,""))</f>
        <v/>
      </c>
      <c r="V88" s="40" t="str">
        <f aca="false">IF($T88="","",MAX($V$3:V87)+1)</f>
        <v/>
      </c>
      <c r="W88" s="40" t="str">
        <f aca="false">IF($E88="","",$E88&amp;"#"&amp;COUNTIF($E$4:$E88,$E88))</f>
        <v/>
      </c>
      <c r="X88" s="40" t="str">
        <f aca="false">IF($B88="","",IF(AND(OR(CETAK!$J$10="",$E88=CETAK!$J$10),OR(CETAK!$J$11="",$F88=CETAK!$J$11),OR(CETAK!$J$12="",$K88=CETAK!$J$12),OR(CETAK!$J$13="",$H88=CETAK!$J$13),OR(CETAK!$J$14="",$O88=CETAK!$J$14)),MAX($X$3:X87)+1,""))</f>
        <v/>
      </c>
      <c r="Y88" s="40" t="str">
        <f aca="false">IF($B88="","",IF(AND(OR(ABSENSI!$H$10="",$E88=ABSENSI!$H$10),OR(ABSENSI!$H$11="",$F88=ABSENSI!$H$11),OR(ABSENSI!$H$12="",$K88=ABSENSI!$H$12)),MAX($Y$3:Y87)+1,""))</f>
        <v/>
      </c>
      <c r="Z88" s="40" t="str">
        <f aca="false">IF($B88="","",IF(AND(OR(KARTU!$K$6="",$E88=KARTU!$K$6),OR(KARTU!$K$7="",$F88=KARTU!$K$7),OR(KARTU!$K$8="",$K88=KARTU!$K$8)),MAX($Z$3:Z87)+1,""))</f>
        <v/>
      </c>
    </row>
    <row r="89" customFormat="false" ht="15" hidden="false" customHeight="false" outlineLevel="0" collapsed="false">
      <c r="A89" s="36" t="str">
        <f aca="false">IF($B89="","",COUNTA($B$4:$B89))</f>
        <v/>
      </c>
      <c r="B89" s="37"/>
      <c r="C89" s="38"/>
      <c r="D89" s="39"/>
      <c r="E89" s="37"/>
      <c r="F89" s="39"/>
      <c r="G89" s="40" t="str">
        <f aca="false">IF(OR($E89="",$F89=""),"",$E89&amp;" - RT "&amp;$F89)</f>
        <v/>
      </c>
      <c r="H89" s="37"/>
      <c r="I89" s="38"/>
      <c r="J89" s="37"/>
      <c r="K89" s="39"/>
      <c r="L89" s="41"/>
      <c r="M89" s="36" t="str">
        <f aca="true">IF(OR($B89="",$L89=""),"",DATEDIF($L89,TODAY(),"Y"))</f>
        <v/>
      </c>
      <c r="N89" s="40" t="str">
        <f aca="false">IF($M89="","",INDEX(usia_label,MATCH($M89,usia_min,1)))</f>
        <v/>
      </c>
      <c r="O89" s="37"/>
      <c r="P89" s="41"/>
      <c r="Q89" s="37"/>
      <c r="R89" s="37"/>
      <c r="S89" s="40" t="str">
        <f aca="false">IF($G89="","",$G89&amp;"#"&amp;COUNTIF($G$4:$G89,$G89))</f>
        <v/>
      </c>
      <c r="T89" s="40" t="str">
        <f aca="false">IF($B89="","",IF($C89="","NIK kosong",IF(LEN($C89)&lt;&gt;16,"NIK bukan 16 digit",IF(COUNTIF($C$4:$C$2003,$C89&amp;"*")&gt;1,"NIK ganda",IF($E89="","Kadus kosong",IF($F89="","RT kosong",IF($H89="","Jabatan kosong",IF($I89="","No. HP kosong",IF($J89="","Alamat kosong",IF(AND($M89&lt;&gt;"",$M89&lt;17),"Usia di bawah 17",""))))))))))</f>
        <v/>
      </c>
      <c r="U89" s="40" t="str">
        <f aca="false">IF($B89="","",IF(AND(OR(CARI!$C$5="",ISNUMBER(SEARCH(CARI!$C$5,$B89&amp;" "&amp;$C89&amp;" "&amp;$I89&amp;" "&amp;$J89&amp;" "&amp;$Q89))),OR(CARI!$C$6="",$E89=CARI!$C$6),OR(CARI!$C$7="",$F89=CARI!$C$7),OR(CARI!$C$8="",$O89=CARI!$C$8)),MAX($U$3:U88)+1,""))</f>
        <v/>
      </c>
      <c r="V89" s="40" t="str">
        <f aca="false">IF($T89="","",MAX($V$3:V88)+1)</f>
        <v/>
      </c>
      <c r="W89" s="40" t="str">
        <f aca="false">IF($E89="","",$E89&amp;"#"&amp;COUNTIF($E$4:$E89,$E89))</f>
        <v/>
      </c>
      <c r="X89" s="40" t="str">
        <f aca="false">IF($B89="","",IF(AND(OR(CETAK!$J$10="",$E89=CETAK!$J$10),OR(CETAK!$J$11="",$F89=CETAK!$J$11),OR(CETAK!$J$12="",$K89=CETAK!$J$12),OR(CETAK!$J$13="",$H89=CETAK!$J$13),OR(CETAK!$J$14="",$O89=CETAK!$J$14)),MAX($X$3:X88)+1,""))</f>
        <v/>
      </c>
      <c r="Y89" s="40" t="str">
        <f aca="false">IF($B89="","",IF(AND(OR(ABSENSI!$H$10="",$E89=ABSENSI!$H$10),OR(ABSENSI!$H$11="",$F89=ABSENSI!$H$11),OR(ABSENSI!$H$12="",$K89=ABSENSI!$H$12)),MAX($Y$3:Y88)+1,""))</f>
        <v/>
      </c>
      <c r="Z89" s="40" t="str">
        <f aca="false">IF($B89="","",IF(AND(OR(KARTU!$K$6="",$E89=KARTU!$K$6),OR(KARTU!$K$7="",$F89=KARTU!$K$7),OR(KARTU!$K$8="",$K89=KARTU!$K$8)),MAX($Z$3:Z88)+1,""))</f>
        <v/>
      </c>
    </row>
    <row r="90" customFormat="false" ht="15" hidden="false" customHeight="false" outlineLevel="0" collapsed="false">
      <c r="A90" s="36" t="str">
        <f aca="false">IF($B90="","",COUNTA($B$4:$B90))</f>
        <v/>
      </c>
      <c r="B90" s="37"/>
      <c r="C90" s="38"/>
      <c r="D90" s="39"/>
      <c r="E90" s="37"/>
      <c r="F90" s="39"/>
      <c r="G90" s="40" t="str">
        <f aca="false">IF(OR($E90="",$F90=""),"",$E90&amp;" - RT "&amp;$F90)</f>
        <v/>
      </c>
      <c r="H90" s="37"/>
      <c r="I90" s="38"/>
      <c r="J90" s="37"/>
      <c r="K90" s="39"/>
      <c r="L90" s="41"/>
      <c r="M90" s="36" t="str">
        <f aca="true">IF(OR($B90="",$L90=""),"",DATEDIF($L90,TODAY(),"Y"))</f>
        <v/>
      </c>
      <c r="N90" s="40" t="str">
        <f aca="false">IF($M90="","",INDEX(usia_label,MATCH($M90,usia_min,1)))</f>
        <v/>
      </c>
      <c r="O90" s="37"/>
      <c r="P90" s="41"/>
      <c r="Q90" s="37"/>
      <c r="R90" s="37"/>
      <c r="S90" s="40" t="str">
        <f aca="false">IF($G90="","",$G90&amp;"#"&amp;COUNTIF($G$4:$G90,$G90))</f>
        <v/>
      </c>
      <c r="T90" s="40" t="str">
        <f aca="false">IF($B90="","",IF($C90="","NIK kosong",IF(LEN($C90)&lt;&gt;16,"NIK bukan 16 digit",IF(COUNTIF($C$4:$C$2003,$C90&amp;"*")&gt;1,"NIK ganda",IF($E90="","Kadus kosong",IF($F90="","RT kosong",IF($H90="","Jabatan kosong",IF($I90="","No. HP kosong",IF($J90="","Alamat kosong",IF(AND($M90&lt;&gt;"",$M90&lt;17),"Usia di bawah 17",""))))))))))</f>
        <v/>
      </c>
      <c r="U90" s="40" t="str">
        <f aca="false">IF($B90="","",IF(AND(OR(CARI!$C$5="",ISNUMBER(SEARCH(CARI!$C$5,$B90&amp;" "&amp;$C90&amp;" "&amp;$I90&amp;" "&amp;$J90&amp;" "&amp;$Q90))),OR(CARI!$C$6="",$E90=CARI!$C$6),OR(CARI!$C$7="",$F90=CARI!$C$7),OR(CARI!$C$8="",$O90=CARI!$C$8)),MAX($U$3:U89)+1,""))</f>
        <v/>
      </c>
      <c r="V90" s="40" t="str">
        <f aca="false">IF($T90="","",MAX($V$3:V89)+1)</f>
        <v/>
      </c>
      <c r="W90" s="40" t="str">
        <f aca="false">IF($E90="","",$E90&amp;"#"&amp;COUNTIF($E$4:$E90,$E90))</f>
        <v/>
      </c>
      <c r="X90" s="40" t="str">
        <f aca="false">IF($B90="","",IF(AND(OR(CETAK!$J$10="",$E90=CETAK!$J$10),OR(CETAK!$J$11="",$F90=CETAK!$J$11),OR(CETAK!$J$12="",$K90=CETAK!$J$12),OR(CETAK!$J$13="",$H90=CETAK!$J$13),OR(CETAK!$J$14="",$O90=CETAK!$J$14)),MAX($X$3:X89)+1,""))</f>
        <v/>
      </c>
      <c r="Y90" s="40" t="str">
        <f aca="false">IF($B90="","",IF(AND(OR(ABSENSI!$H$10="",$E90=ABSENSI!$H$10),OR(ABSENSI!$H$11="",$F90=ABSENSI!$H$11),OR(ABSENSI!$H$12="",$K90=ABSENSI!$H$12)),MAX($Y$3:Y89)+1,""))</f>
        <v/>
      </c>
      <c r="Z90" s="40" t="str">
        <f aca="false">IF($B90="","",IF(AND(OR(KARTU!$K$6="",$E90=KARTU!$K$6),OR(KARTU!$K$7="",$F90=KARTU!$K$7),OR(KARTU!$K$8="",$K90=KARTU!$K$8)),MAX($Z$3:Z89)+1,""))</f>
        <v/>
      </c>
    </row>
    <row r="91" customFormat="false" ht="15" hidden="false" customHeight="false" outlineLevel="0" collapsed="false">
      <c r="A91" s="36" t="str">
        <f aca="false">IF($B91="","",COUNTA($B$4:$B91))</f>
        <v/>
      </c>
      <c r="B91" s="37"/>
      <c r="C91" s="38"/>
      <c r="D91" s="39"/>
      <c r="E91" s="37"/>
      <c r="F91" s="39"/>
      <c r="G91" s="40" t="str">
        <f aca="false">IF(OR($E91="",$F91=""),"",$E91&amp;" - RT "&amp;$F91)</f>
        <v/>
      </c>
      <c r="H91" s="37"/>
      <c r="I91" s="38"/>
      <c r="J91" s="37"/>
      <c r="K91" s="39"/>
      <c r="L91" s="41"/>
      <c r="M91" s="36" t="str">
        <f aca="true">IF(OR($B91="",$L91=""),"",DATEDIF($L91,TODAY(),"Y"))</f>
        <v/>
      </c>
      <c r="N91" s="40" t="str">
        <f aca="false">IF($M91="","",INDEX(usia_label,MATCH($M91,usia_min,1)))</f>
        <v/>
      </c>
      <c r="O91" s="37"/>
      <c r="P91" s="41"/>
      <c r="Q91" s="37"/>
      <c r="R91" s="37"/>
      <c r="S91" s="40" t="str">
        <f aca="false">IF($G91="","",$G91&amp;"#"&amp;COUNTIF($G$4:$G91,$G91))</f>
        <v/>
      </c>
      <c r="T91" s="40" t="str">
        <f aca="false">IF($B91="","",IF($C91="","NIK kosong",IF(LEN($C91)&lt;&gt;16,"NIK bukan 16 digit",IF(COUNTIF($C$4:$C$2003,$C91&amp;"*")&gt;1,"NIK ganda",IF($E91="","Kadus kosong",IF($F91="","RT kosong",IF($H91="","Jabatan kosong",IF($I91="","No. HP kosong",IF($J91="","Alamat kosong",IF(AND($M91&lt;&gt;"",$M91&lt;17),"Usia di bawah 17",""))))))))))</f>
        <v/>
      </c>
      <c r="U91" s="40" t="str">
        <f aca="false">IF($B91="","",IF(AND(OR(CARI!$C$5="",ISNUMBER(SEARCH(CARI!$C$5,$B91&amp;" "&amp;$C91&amp;" "&amp;$I91&amp;" "&amp;$J91&amp;" "&amp;$Q91))),OR(CARI!$C$6="",$E91=CARI!$C$6),OR(CARI!$C$7="",$F91=CARI!$C$7),OR(CARI!$C$8="",$O91=CARI!$C$8)),MAX($U$3:U90)+1,""))</f>
        <v/>
      </c>
      <c r="V91" s="40" t="str">
        <f aca="false">IF($T91="","",MAX($V$3:V90)+1)</f>
        <v/>
      </c>
      <c r="W91" s="40" t="str">
        <f aca="false">IF($E91="","",$E91&amp;"#"&amp;COUNTIF($E$4:$E91,$E91))</f>
        <v/>
      </c>
      <c r="X91" s="40" t="str">
        <f aca="false">IF($B91="","",IF(AND(OR(CETAK!$J$10="",$E91=CETAK!$J$10),OR(CETAK!$J$11="",$F91=CETAK!$J$11),OR(CETAK!$J$12="",$K91=CETAK!$J$12),OR(CETAK!$J$13="",$H91=CETAK!$J$13),OR(CETAK!$J$14="",$O91=CETAK!$J$14)),MAX($X$3:X90)+1,""))</f>
        <v/>
      </c>
      <c r="Y91" s="40" t="str">
        <f aca="false">IF($B91="","",IF(AND(OR(ABSENSI!$H$10="",$E91=ABSENSI!$H$10),OR(ABSENSI!$H$11="",$F91=ABSENSI!$H$11),OR(ABSENSI!$H$12="",$K91=ABSENSI!$H$12)),MAX($Y$3:Y90)+1,""))</f>
        <v/>
      </c>
      <c r="Z91" s="40" t="str">
        <f aca="false">IF($B91="","",IF(AND(OR(KARTU!$K$6="",$E91=KARTU!$K$6),OR(KARTU!$K$7="",$F91=KARTU!$K$7),OR(KARTU!$K$8="",$K91=KARTU!$K$8)),MAX($Z$3:Z90)+1,""))</f>
        <v/>
      </c>
    </row>
    <row r="92" customFormat="false" ht="15" hidden="false" customHeight="false" outlineLevel="0" collapsed="false">
      <c r="A92" s="36" t="str">
        <f aca="false">IF($B92="","",COUNTA($B$4:$B92))</f>
        <v/>
      </c>
      <c r="B92" s="37"/>
      <c r="C92" s="38"/>
      <c r="D92" s="39"/>
      <c r="E92" s="37"/>
      <c r="F92" s="39"/>
      <c r="G92" s="40" t="str">
        <f aca="false">IF(OR($E92="",$F92=""),"",$E92&amp;" - RT "&amp;$F92)</f>
        <v/>
      </c>
      <c r="H92" s="37"/>
      <c r="I92" s="38"/>
      <c r="J92" s="37"/>
      <c r="K92" s="39"/>
      <c r="L92" s="41"/>
      <c r="M92" s="36" t="str">
        <f aca="true">IF(OR($B92="",$L92=""),"",DATEDIF($L92,TODAY(),"Y"))</f>
        <v/>
      </c>
      <c r="N92" s="40" t="str">
        <f aca="false">IF($M92="","",INDEX(usia_label,MATCH($M92,usia_min,1)))</f>
        <v/>
      </c>
      <c r="O92" s="37"/>
      <c r="P92" s="41"/>
      <c r="Q92" s="37"/>
      <c r="R92" s="37"/>
      <c r="S92" s="40" t="str">
        <f aca="false">IF($G92="","",$G92&amp;"#"&amp;COUNTIF($G$4:$G92,$G92))</f>
        <v/>
      </c>
      <c r="T92" s="40" t="str">
        <f aca="false">IF($B92="","",IF($C92="","NIK kosong",IF(LEN($C92)&lt;&gt;16,"NIK bukan 16 digit",IF(COUNTIF($C$4:$C$2003,$C92&amp;"*")&gt;1,"NIK ganda",IF($E92="","Kadus kosong",IF($F92="","RT kosong",IF($H92="","Jabatan kosong",IF($I92="","No. HP kosong",IF($J92="","Alamat kosong",IF(AND($M92&lt;&gt;"",$M92&lt;17),"Usia di bawah 17",""))))))))))</f>
        <v/>
      </c>
      <c r="U92" s="40" t="str">
        <f aca="false">IF($B92="","",IF(AND(OR(CARI!$C$5="",ISNUMBER(SEARCH(CARI!$C$5,$B92&amp;" "&amp;$C92&amp;" "&amp;$I92&amp;" "&amp;$J92&amp;" "&amp;$Q92))),OR(CARI!$C$6="",$E92=CARI!$C$6),OR(CARI!$C$7="",$F92=CARI!$C$7),OR(CARI!$C$8="",$O92=CARI!$C$8)),MAX($U$3:U91)+1,""))</f>
        <v/>
      </c>
      <c r="V92" s="40" t="str">
        <f aca="false">IF($T92="","",MAX($V$3:V91)+1)</f>
        <v/>
      </c>
      <c r="W92" s="40" t="str">
        <f aca="false">IF($E92="","",$E92&amp;"#"&amp;COUNTIF($E$4:$E92,$E92))</f>
        <v/>
      </c>
      <c r="X92" s="40" t="str">
        <f aca="false">IF($B92="","",IF(AND(OR(CETAK!$J$10="",$E92=CETAK!$J$10),OR(CETAK!$J$11="",$F92=CETAK!$J$11),OR(CETAK!$J$12="",$K92=CETAK!$J$12),OR(CETAK!$J$13="",$H92=CETAK!$J$13),OR(CETAK!$J$14="",$O92=CETAK!$J$14)),MAX($X$3:X91)+1,""))</f>
        <v/>
      </c>
      <c r="Y92" s="40" t="str">
        <f aca="false">IF($B92="","",IF(AND(OR(ABSENSI!$H$10="",$E92=ABSENSI!$H$10),OR(ABSENSI!$H$11="",$F92=ABSENSI!$H$11),OR(ABSENSI!$H$12="",$K92=ABSENSI!$H$12)),MAX($Y$3:Y91)+1,""))</f>
        <v/>
      </c>
      <c r="Z92" s="40" t="str">
        <f aca="false">IF($B92="","",IF(AND(OR(KARTU!$K$6="",$E92=KARTU!$K$6),OR(KARTU!$K$7="",$F92=KARTU!$K$7),OR(KARTU!$K$8="",$K92=KARTU!$K$8)),MAX($Z$3:Z91)+1,""))</f>
        <v/>
      </c>
    </row>
    <row r="93" customFormat="false" ht="15" hidden="false" customHeight="false" outlineLevel="0" collapsed="false">
      <c r="A93" s="36" t="str">
        <f aca="false">IF($B93="","",COUNTA($B$4:$B93))</f>
        <v/>
      </c>
      <c r="B93" s="37"/>
      <c r="C93" s="38"/>
      <c r="D93" s="39"/>
      <c r="E93" s="37"/>
      <c r="F93" s="39"/>
      <c r="G93" s="40" t="str">
        <f aca="false">IF(OR($E93="",$F93=""),"",$E93&amp;" - RT "&amp;$F93)</f>
        <v/>
      </c>
      <c r="H93" s="37"/>
      <c r="I93" s="38"/>
      <c r="J93" s="37"/>
      <c r="K93" s="39"/>
      <c r="L93" s="41"/>
      <c r="M93" s="36" t="str">
        <f aca="true">IF(OR($B93="",$L93=""),"",DATEDIF($L93,TODAY(),"Y"))</f>
        <v/>
      </c>
      <c r="N93" s="40" t="str">
        <f aca="false">IF($M93="","",INDEX(usia_label,MATCH($M93,usia_min,1)))</f>
        <v/>
      </c>
      <c r="O93" s="37"/>
      <c r="P93" s="41"/>
      <c r="Q93" s="37"/>
      <c r="R93" s="37"/>
      <c r="S93" s="40" t="str">
        <f aca="false">IF($G93="","",$G93&amp;"#"&amp;COUNTIF($G$4:$G93,$G93))</f>
        <v/>
      </c>
      <c r="T93" s="40" t="str">
        <f aca="false">IF($B93="","",IF($C93="","NIK kosong",IF(LEN($C93)&lt;&gt;16,"NIK bukan 16 digit",IF(COUNTIF($C$4:$C$2003,$C93&amp;"*")&gt;1,"NIK ganda",IF($E93="","Kadus kosong",IF($F93="","RT kosong",IF($H93="","Jabatan kosong",IF($I93="","No. HP kosong",IF($J93="","Alamat kosong",IF(AND($M93&lt;&gt;"",$M93&lt;17),"Usia di bawah 17",""))))))))))</f>
        <v/>
      </c>
      <c r="U93" s="40" t="str">
        <f aca="false">IF($B93="","",IF(AND(OR(CARI!$C$5="",ISNUMBER(SEARCH(CARI!$C$5,$B93&amp;" "&amp;$C93&amp;" "&amp;$I93&amp;" "&amp;$J93&amp;" "&amp;$Q93))),OR(CARI!$C$6="",$E93=CARI!$C$6),OR(CARI!$C$7="",$F93=CARI!$C$7),OR(CARI!$C$8="",$O93=CARI!$C$8)),MAX($U$3:U92)+1,""))</f>
        <v/>
      </c>
      <c r="V93" s="40" t="str">
        <f aca="false">IF($T93="","",MAX($V$3:V92)+1)</f>
        <v/>
      </c>
      <c r="W93" s="40" t="str">
        <f aca="false">IF($E93="","",$E93&amp;"#"&amp;COUNTIF($E$4:$E93,$E93))</f>
        <v/>
      </c>
      <c r="X93" s="40" t="str">
        <f aca="false">IF($B93="","",IF(AND(OR(CETAK!$J$10="",$E93=CETAK!$J$10),OR(CETAK!$J$11="",$F93=CETAK!$J$11),OR(CETAK!$J$12="",$K93=CETAK!$J$12),OR(CETAK!$J$13="",$H93=CETAK!$J$13),OR(CETAK!$J$14="",$O93=CETAK!$J$14)),MAX($X$3:X92)+1,""))</f>
        <v/>
      </c>
      <c r="Y93" s="40" t="str">
        <f aca="false">IF($B93="","",IF(AND(OR(ABSENSI!$H$10="",$E93=ABSENSI!$H$10),OR(ABSENSI!$H$11="",$F93=ABSENSI!$H$11),OR(ABSENSI!$H$12="",$K93=ABSENSI!$H$12)),MAX($Y$3:Y92)+1,""))</f>
        <v/>
      </c>
      <c r="Z93" s="40" t="str">
        <f aca="false">IF($B93="","",IF(AND(OR(KARTU!$K$6="",$E93=KARTU!$K$6),OR(KARTU!$K$7="",$F93=KARTU!$K$7),OR(KARTU!$K$8="",$K93=KARTU!$K$8)),MAX($Z$3:Z92)+1,""))</f>
        <v/>
      </c>
    </row>
    <row r="94" customFormat="false" ht="15" hidden="false" customHeight="false" outlineLevel="0" collapsed="false">
      <c r="A94" s="36" t="str">
        <f aca="false">IF($B94="","",COUNTA($B$4:$B94))</f>
        <v/>
      </c>
      <c r="B94" s="37"/>
      <c r="C94" s="38"/>
      <c r="D94" s="39"/>
      <c r="E94" s="37"/>
      <c r="F94" s="39"/>
      <c r="G94" s="40" t="str">
        <f aca="false">IF(OR($E94="",$F94=""),"",$E94&amp;" - RT "&amp;$F94)</f>
        <v/>
      </c>
      <c r="H94" s="37"/>
      <c r="I94" s="38"/>
      <c r="J94" s="37"/>
      <c r="K94" s="39"/>
      <c r="L94" s="41"/>
      <c r="M94" s="36" t="str">
        <f aca="true">IF(OR($B94="",$L94=""),"",DATEDIF($L94,TODAY(),"Y"))</f>
        <v/>
      </c>
      <c r="N94" s="40" t="str">
        <f aca="false">IF($M94="","",INDEX(usia_label,MATCH($M94,usia_min,1)))</f>
        <v/>
      </c>
      <c r="O94" s="37"/>
      <c r="P94" s="41"/>
      <c r="Q94" s="37"/>
      <c r="R94" s="37"/>
      <c r="S94" s="40" t="str">
        <f aca="false">IF($G94="","",$G94&amp;"#"&amp;COUNTIF($G$4:$G94,$G94))</f>
        <v/>
      </c>
      <c r="T94" s="40" t="str">
        <f aca="false">IF($B94="","",IF($C94="","NIK kosong",IF(LEN($C94)&lt;&gt;16,"NIK bukan 16 digit",IF(COUNTIF($C$4:$C$2003,$C94&amp;"*")&gt;1,"NIK ganda",IF($E94="","Kadus kosong",IF($F94="","RT kosong",IF($H94="","Jabatan kosong",IF($I94="","No. HP kosong",IF($J94="","Alamat kosong",IF(AND($M94&lt;&gt;"",$M94&lt;17),"Usia di bawah 17",""))))))))))</f>
        <v/>
      </c>
      <c r="U94" s="40" t="str">
        <f aca="false">IF($B94="","",IF(AND(OR(CARI!$C$5="",ISNUMBER(SEARCH(CARI!$C$5,$B94&amp;" "&amp;$C94&amp;" "&amp;$I94&amp;" "&amp;$J94&amp;" "&amp;$Q94))),OR(CARI!$C$6="",$E94=CARI!$C$6),OR(CARI!$C$7="",$F94=CARI!$C$7),OR(CARI!$C$8="",$O94=CARI!$C$8)),MAX($U$3:U93)+1,""))</f>
        <v/>
      </c>
      <c r="V94" s="40" t="str">
        <f aca="false">IF($T94="","",MAX($V$3:V93)+1)</f>
        <v/>
      </c>
      <c r="W94" s="40" t="str">
        <f aca="false">IF($E94="","",$E94&amp;"#"&amp;COUNTIF($E$4:$E94,$E94))</f>
        <v/>
      </c>
      <c r="X94" s="40" t="str">
        <f aca="false">IF($B94="","",IF(AND(OR(CETAK!$J$10="",$E94=CETAK!$J$10),OR(CETAK!$J$11="",$F94=CETAK!$J$11),OR(CETAK!$J$12="",$K94=CETAK!$J$12),OR(CETAK!$J$13="",$H94=CETAK!$J$13),OR(CETAK!$J$14="",$O94=CETAK!$J$14)),MAX($X$3:X93)+1,""))</f>
        <v/>
      </c>
      <c r="Y94" s="40" t="str">
        <f aca="false">IF($B94="","",IF(AND(OR(ABSENSI!$H$10="",$E94=ABSENSI!$H$10),OR(ABSENSI!$H$11="",$F94=ABSENSI!$H$11),OR(ABSENSI!$H$12="",$K94=ABSENSI!$H$12)),MAX($Y$3:Y93)+1,""))</f>
        <v/>
      </c>
      <c r="Z94" s="40" t="str">
        <f aca="false">IF($B94="","",IF(AND(OR(KARTU!$K$6="",$E94=KARTU!$K$6),OR(KARTU!$K$7="",$F94=KARTU!$K$7),OR(KARTU!$K$8="",$K94=KARTU!$K$8)),MAX($Z$3:Z93)+1,""))</f>
        <v/>
      </c>
    </row>
    <row r="95" customFormat="false" ht="15" hidden="false" customHeight="false" outlineLevel="0" collapsed="false">
      <c r="A95" s="36" t="str">
        <f aca="false">IF($B95="","",COUNTA($B$4:$B95))</f>
        <v/>
      </c>
      <c r="B95" s="37"/>
      <c r="C95" s="38"/>
      <c r="D95" s="39"/>
      <c r="E95" s="37"/>
      <c r="F95" s="39"/>
      <c r="G95" s="40" t="str">
        <f aca="false">IF(OR($E95="",$F95=""),"",$E95&amp;" - RT "&amp;$F95)</f>
        <v/>
      </c>
      <c r="H95" s="37"/>
      <c r="I95" s="38"/>
      <c r="J95" s="37"/>
      <c r="K95" s="39"/>
      <c r="L95" s="41"/>
      <c r="M95" s="36" t="str">
        <f aca="true">IF(OR($B95="",$L95=""),"",DATEDIF($L95,TODAY(),"Y"))</f>
        <v/>
      </c>
      <c r="N95" s="40" t="str">
        <f aca="false">IF($M95="","",INDEX(usia_label,MATCH($M95,usia_min,1)))</f>
        <v/>
      </c>
      <c r="O95" s="37"/>
      <c r="P95" s="41"/>
      <c r="Q95" s="37"/>
      <c r="R95" s="37"/>
      <c r="S95" s="40" t="str">
        <f aca="false">IF($G95="","",$G95&amp;"#"&amp;COUNTIF($G$4:$G95,$G95))</f>
        <v/>
      </c>
      <c r="T95" s="40" t="str">
        <f aca="false">IF($B95="","",IF($C95="","NIK kosong",IF(LEN($C95)&lt;&gt;16,"NIK bukan 16 digit",IF(COUNTIF($C$4:$C$2003,$C95&amp;"*")&gt;1,"NIK ganda",IF($E95="","Kadus kosong",IF($F95="","RT kosong",IF($H95="","Jabatan kosong",IF($I95="","No. HP kosong",IF($J95="","Alamat kosong",IF(AND($M95&lt;&gt;"",$M95&lt;17),"Usia di bawah 17",""))))))))))</f>
        <v/>
      </c>
      <c r="U95" s="40" t="str">
        <f aca="false">IF($B95="","",IF(AND(OR(CARI!$C$5="",ISNUMBER(SEARCH(CARI!$C$5,$B95&amp;" "&amp;$C95&amp;" "&amp;$I95&amp;" "&amp;$J95&amp;" "&amp;$Q95))),OR(CARI!$C$6="",$E95=CARI!$C$6),OR(CARI!$C$7="",$F95=CARI!$C$7),OR(CARI!$C$8="",$O95=CARI!$C$8)),MAX($U$3:U94)+1,""))</f>
        <v/>
      </c>
      <c r="V95" s="40" t="str">
        <f aca="false">IF($T95="","",MAX($V$3:V94)+1)</f>
        <v/>
      </c>
      <c r="W95" s="40" t="str">
        <f aca="false">IF($E95="","",$E95&amp;"#"&amp;COUNTIF($E$4:$E95,$E95))</f>
        <v/>
      </c>
      <c r="X95" s="40" t="str">
        <f aca="false">IF($B95="","",IF(AND(OR(CETAK!$J$10="",$E95=CETAK!$J$10),OR(CETAK!$J$11="",$F95=CETAK!$J$11),OR(CETAK!$J$12="",$K95=CETAK!$J$12),OR(CETAK!$J$13="",$H95=CETAK!$J$13),OR(CETAK!$J$14="",$O95=CETAK!$J$14)),MAX($X$3:X94)+1,""))</f>
        <v/>
      </c>
      <c r="Y95" s="40" t="str">
        <f aca="false">IF($B95="","",IF(AND(OR(ABSENSI!$H$10="",$E95=ABSENSI!$H$10),OR(ABSENSI!$H$11="",$F95=ABSENSI!$H$11),OR(ABSENSI!$H$12="",$K95=ABSENSI!$H$12)),MAX($Y$3:Y94)+1,""))</f>
        <v/>
      </c>
      <c r="Z95" s="40" t="str">
        <f aca="false">IF($B95="","",IF(AND(OR(KARTU!$K$6="",$E95=KARTU!$K$6),OR(KARTU!$K$7="",$F95=KARTU!$K$7),OR(KARTU!$K$8="",$K95=KARTU!$K$8)),MAX($Z$3:Z94)+1,""))</f>
        <v/>
      </c>
    </row>
    <row r="96" customFormat="false" ht="15" hidden="false" customHeight="false" outlineLevel="0" collapsed="false">
      <c r="A96" s="36" t="str">
        <f aca="false">IF($B96="","",COUNTA($B$4:$B96))</f>
        <v/>
      </c>
      <c r="B96" s="37"/>
      <c r="C96" s="38"/>
      <c r="D96" s="39"/>
      <c r="E96" s="37"/>
      <c r="F96" s="39"/>
      <c r="G96" s="40" t="str">
        <f aca="false">IF(OR($E96="",$F96=""),"",$E96&amp;" - RT "&amp;$F96)</f>
        <v/>
      </c>
      <c r="H96" s="37"/>
      <c r="I96" s="38"/>
      <c r="J96" s="37"/>
      <c r="K96" s="39"/>
      <c r="L96" s="41"/>
      <c r="M96" s="36" t="str">
        <f aca="true">IF(OR($B96="",$L96=""),"",DATEDIF($L96,TODAY(),"Y"))</f>
        <v/>
      </c>
      <c r="N96" s="40" t="str">
        <f aca="false">IF($M96="","",INDEX(usia_label,MATCH($M96,usia_min,1)))</f>
        <v/>
      </c>
      <c r="O96" s="37"/>
      <c r="P96" s="41"/>
      <c r="Q96" s="37"/>
      <c r="R96" s="37"/>
      <c r="S96" s="40" t="str">
        <f aca="false">IF($G96="","",$G96&amp;"#"&amp;COUNTIF($G$4:$G96,$G96))</f>
        <v/>
      </c>
      <c r="T96" s="40" t="str">
        <f aca="false">IF($B96="","",IF($C96="","NIK kosong",IF(LEN($C96)&lt;&gt;16,"NIK bukan 16 digit",IF(COUNTIF($C$4:$C$2003,$C96&amp;"*")&gt;1,"NIK ganda",IF($E96="","Kadus kosong",IF($F96="","RT kosong",IF($H96="","Jabatan kosong",IF($I96="","No. HP kosong",IF($J96="","Alamat kosong",IF(AND($M96&lt;&gt;"",$M96&lt;17),"Usia di bawah 17",""))))))))))</f>
        <v/>
      </c>
      <c r="U96" s="40" t="str">
        <f aca="false">IF($B96="","",IF(AND(OR(CARI!$C$5="",ISNUMBER(SEARCH(CARI!$C$5,$B96&amp;" "&amp;$C96&amp;" "&amp;$I96&amp;" "&amp;$J96&amp;" "&amp;$Q96))),OR(CARI!$C$6="",$E96=CARI!$C$6),OR(CARI!$C$7="",$F96=CARI!$C$7),OR(CARI!$C$8="",$O96=CARI!$C$8)),MAX($U$3:U95)+1,""))</f>
        <v/>
      </c>
      <c r="V96" s="40" t="str">
        <f aca="false">IF($T96="","",MAX($V$3:V95)+1)</f>
        <v/>
      </c>
      <c r="W96" s="40" t="str">
        <f aca="false">IF($E96="","",$E96&amp;"#"&amp;COUNTIF($E$4:$E96,$E96))</f>
        <v/>
      </c>
      <c r="X96" s="40" t="str">
        <f aca="false">IF($B96="","",IF(AND(OR(CETAK!$J$10="",$E96=CETAK!$J$10),OR(CETAK!$J$11="",$F96=CETAK!$J$11),OR(CETAK!$J$12="",$K96=CETAK!$J$12),OR(CETAK!$J$13="",$H96=CETAK!$J$13),OR(CETAK!$J$14="",$O96=CETAK!$J$14)),MAX($X$3:X95)+1,""))</f>
        <v/>
      </c>
      <c r="Y96" s="40" t="str">
        <f aca="false">IF($B96="","",IF(AND(OR(ABSENSI!$H$10="",$E96=ABSENSI!$H$10),OR(ABSENSI!$H$11="",$F96=ABSENSI!$H$11),OR(ABSENSI!$H$12="",$K96=ABSENSI!$H$12)),MAX($Y$3:Y95)+1,""))</f>
        <v/>
      </c>
      <c r="Z96" s="40" t="str">
        <f aca="false">IF($B96="","",IF(AND(OR(KARTU!$K$6="",$E96=KARTU!$K$6),OR(KARTU!$K$7="",$F96=KARTU!$K$7),OR(KARTU!$K$8="",$K96=KARTU!$K$8)),MAX($Z$3:Z95)+1,""))</f>
        <v/>
      </c>
    </row>
    <row r="97" customFormat="false" ht="15" hidden="false" customHeight="false" outlineLevel="0" collapsed="false">
      <c r="A97" s="36" t="str">
        <f aca="false">IF($B97="","",COUNTA($B$4:$B97))</f>
        <v/>
      </c>
      <c r="B97" s="37"/>
      <c r="C97" s="38"/>
      <c r="D97" s="39"/>
      <c r="E97" s="37"/>
      <c r="F97" s="39"/>
      <c r="G97" s="40" t="str">
        <f aca="false">IF(OR($E97="",$F97=""),"",$E97&amp;" - RT "&amp;$F97)</f>
        <v/>
      </c>
      <c r="H97" s="37"/>
      <c r="I97" s="38"/>
      <c r="J97" s="37"/>
      <c r="K97" s="39"/>
      <c r="L97" s="41"/>
      <c r="M97" s="36" t="str">
        <f aca="true">IF(OR($B97="",$L97=""),"",DATEDIF($L97,TODAY(),"Y"))</f>
        <v/>
      </c>
      <c r="N97" s="40" t="str">
        <f aca="false">IF($M97="","",INDEX(usia_label,MATCH($M97,usia_min,1)))</f>
        <v/>
      </c>
      <c r="O97" s="37"/>
      <c r="P97" s="41"/>
      <c r="Q97" s="37"/>
      <c r="R97" s="37"/>
      <c r="S97" s="40" t="str">
        <f aca="false">IF($G97="","",$G97&amp;"#"&amp;COUNTIF($G$4:$G97,$G97))</f>
        <v/>
      </c>
      <c r="T97" s="40" t="str">
        <f aca="false">IF($B97="","",IF($C97="","NIK kosong",IF(LEN($C97)&lt;&gt;16,"NIK bukan 16 digit",IF(COUNTIF($C$4:$C$2003,$C97&amp;"*")&gt;1,"NIK ganda",IF($E97="","Kadus kosong",IF($F97="","RT kosong",IF($H97="","Jabatan kosong",IF($I97="","No. HP kosong",IF($J97="","Alamat kosong",IF(AND($M97&lt;&gt;"",$M97&lt;17),"Usia di bawah 17",""))))))))))</f>
        <v/>
      </c>
      <c r="U97" s="40" t="str">
        <f aca="false">IF($B97="","",IF(AND(OR(CARI!$C$5="",ISNUMBER(SEARCH(CARI!$C$5,$B97&amp;" "&amp;$C97&amp;" "&amp;$I97&amp;" "&amp;$J97&amp;" "&amp;$Q97))),OR(CARI!$C$6="",$E97=CARI!$C$6),OR(CARI!$C$7="",$F97=CARI!$C$7),OR(CARI!$C$8="",$O97=CARI!$C$8)),MAX($U$3:U96)+1,""))</f>
        <v/>
      </c>
      <c r="V97" s="40" t="str">
        <f aca="false">IF($T97="","",MAX($V$3:V96)+1)</f>
        <v/>
      </c>
      <c r="W97" s="40" t="str">
        <f aca="false">IF($E97="","",$E97&amp;"#"&amp;COUNTIF($E$4:$E97,$E97))</f>
        <v/>
      </c>
      <c r="X97" s="40" t="str">
        <f aca="false">IF($B97="","",IF(AND(OR(CETAK!$J$10="",$E97=CETAK!$J$10),OR(CETAK!$J$11="",$F97=CETAK!$J$11),OR(CETAK!$J$12="",$K97=CETAK!$J$12),OR(CETAK!$J$13="",$H97=CETAK!$J$13),OR(CETAK!$J$14="",$O97=CETAK!$J$14)),MAX($X$3:X96)+1,""))</f>
        <v/>
      </c>
      <c r="Y97" s="40" t="str">
        <f aca="false">IF($B97="","",IF(AND(OR(ABSENSI!$H$10="",$E97=ABSENSI!$H$10),OR(ABSENSI!$H$11="",$F97=ABSENSI!$H$11),OR(ABSENSI!$H$12="",$K97=ABSENSI!$H$12)),MAX($Y$3:Y96)+1,""))</f>
        <v/>
      </c>
      <c r="Z97" s="40" t="str">
        <f aca="false">IF($B97="","",IF(AND(OR(KARTU!$K$6="",$E97=KARTU!$K$6),OR(KARTU!$K$7="",$F97=KARTU!$K$7),OR(KARTU!$K$8="",$K97=KARTU!$K$8)),MAX($Z$3:Z96)+1,""))</f>
        <v/>
      </c>
    </row>
    <row r="98" customFormat="false" ht="15" hidden="false" customHeight="false" outlineLevel="0" collapsed="false">
      <c r="A98" s="36" t="str">
        <f aca="false">IF($B98="","",COUNTA($B$4:$B98))</f>
        <v/>
      </c>
      <c r="B98" s="37"/>
      <c r="C98" s="38"/>
      <c r="D98" s="39"/>
      <c r="E98" s="37"/>
      <c r="F98" s="39"/>
      <c r="G98" s="40" t="str">
        <f aca="false">IF(OR($E98="",$F98=""),"",$E98&amp;" - RT "&amp;$F98)</f>
        <v/>
      </c>
      <c r="H98" s="37"/>
      <c r="I98" s="38"/>
      <c r="J98" s="37"/>
      <c r="K98" s="39"/>
      <c r="L98" s="41"/>
      <c r="M98" s="36" t="str">
        <f aca="true">IF(OR($B98="",$L98=""),"",DATEDIF($L98,TODAY(),"Y"))</f>
        <v/>
      </c>
      <c r="N98" s="40" t="str">
        <f aca="false">IF($M98="","",INDEX(usia_label,MATCH($M98,usia_min,1)))</f>
        <v/>
      </c>
      <c r="O98" s="37"/>
      <c r="P98" s="41"/>
      <c r="Q98" s="37"/>
      <c r="R98" s="37"/>
      <c r="S98" s="40" t="str">
        <f aca="false">IF($G98="","",$G98&amp;"#"&amp;COUNTIF($G$4:$G98,$G98))</f>
        <v/>
      </c>
      <c r="T98" s="40" t="str">
        <f aca="false">IF($B98="","",IF($C98="","NIK kosong",IF(LEN($C98)&lt;&gt;16,"NIK bukan 16 digit",IF(COUNTIF($C$4:$C$2003,$C98&amp;"*")&gt;1,"NIK ganda",IF($E98="","Kadus kosong",IF($F98="","RT kosong",IF($H98="","Jabatan kosong",IF($I98="","No. HP kosong",IF($J98="","Alamat kosong",IF(AND($M98&lt;&gt;"",$M98&lt;17),"Usia di bawah 17",""))))))))))</f>
        <v/>
      </c>
      <c r="U98" s="40" t="str">
        <f aca="false">IF($B98="","",IF(AND(OR(CARI!$C$5="",ISNUMBER(SEARCH(CARI!$C$5,$B98&amp;" "&amp;$C98&amp;" "&amp;$I98&amp;" "&amp;$J98&amp;" "&amp;$Q98))),OR(CARI!$C$6="",$E98=CARI!$C$6),OR(CARI!$C$7="",$F98=CARI!$C$7),OR(CARI!$C$8="",$O98=CARI!$C$8)),MAX($U$3:U97)+1,""))</f>
        <v/>
      </c>
      <c r="V98" s="40" t="str">
        <f aca="false">IF($T98="","",MAX($V$3:V97)+1)</f>
        <v/>
      </c>
      <c r="W98" s="40" t="str">
        <f aca="false">IF($E98="","",$E98&amp;"#"&amp;COUNTIF($E$4:$E98,$E98))</f>
        <v/>
      </c>
      <c r="X98" s="40" t="str">
        <f aca="false">IF($B98="","",IF(AND(OR(CETAK!$J$10="",$E98=CETAK!$J$10),OR(CETAK!$J$11="",$F98=CETAK!$J$11),OR(CETAK!$J$12="",$K98=CETAK!$J$12),OR(CETAK!$J$13="",$H98=CETAK!$J$13),OR(CETAK!$J$14="",$O98=CETAK!$J$14)),MAX($X$3:X97)+1,""))</f>
        <v/>
      </c>
      <c r="Y98" s="40" t="str">
        <f aca="false">IF($B98="","",IF(AND(OR(ABSENSI!$H$10="",$E98=ABSENSI!$H$10),OR(ABSENSI!$H$11="",$F98=ABSENSI!$H$11),OR(ABSENSI!$H$12="",$K98=ABSENSI!$H$12)),MAX($Y$3:Y97)+1,""))</f>
        <v/>
      </c>
      <c r="Z98" s="40" t="str">
        <f aca="false">IF($B98="","",IF(AND(OR(KARTU!$K$6="",$E98=KARTU!$K$6),OR(KARTU!$K$7="",$F98=KARTU!$K$7),OR(KARTU!$K$8="",$K98=KARTU!$K$8)),MAX($Z$3:Z97)+1,""))</f>
        <v/>
      </c>
    </row>
    <row r="99" customFormat="false" ht="15" hidden="false" customHeight="false" outlineLevel="0" collapsed="false">
      <c r="A99" s="36" t="str">
        <f aca="false">IF($B99="","",COUNTA($B$4:$B99))</f>
        <v/>
      </c>
      <c r="B99" s="37"/>
      <c r="C99" s="38"/>
      <c r="D99" s="39"/>
      <c r="E99" s="37"/>
      <c r="F99" s="39"/>
      <c r="G99" s="40" t="str">
        <f aca="false">IF(OR($E99="",$F99=""),"",$E99&amp;" - RT "&amp;$F99)</f>
        <v/>
      </c>
      <c r="H99" s="37"/>
      <c r="I99" s="38"/>
      <c r="J99" s="37"/>
      <c r="K99" s="39"/>
      <c r="L99" s="41"/>
      <c r="M99" s="36" t="str">
        <f aca="true">IF(OR($B99="",$L99=""),"",DATEDIF($L99,TODAY(),"Y"))</f>
        <v/>
      </c>
      <c r="N99" s="40" t="str">
        <f aca="false">IF($M99="","",INDEX(usia_label,MATCH($M99,usia_min,1)))</f>
        <v/>
      </c>
      <c r="O99" s="37"/>
      <c r="P99" s="41"/>
      <c r="Q99" s="37"/>
      <c r="R99" s="37"/>
      <c r="S99" s="40" t="str">
        <f aca="false">IF($G99="","",$G99&amp;"#"&amp;COUNTIF($G$4:$G99,$G99))</f>
        <v/>
      </c>
      <c r="T99" s="40" t="str">
        <f aca="false">IF($B99="","",IF($C99="","NIK kosong",IF(LEN($C99)&lt;&gt;16,"NIK bukan 16 digit",IF(COUNTIF($C$4:$C$2003,$C99&amp;"*")&gt;1,"NIK ganda",IF($E99="","Kadus kosong",IF($F99="","RT kosong",IF($H99="","Jabatan kosong",IF($I99="","No. HP kosong",IF($J99="","Alamat kosong",IF(AND($M99&lt;&gt;"",$M99&lt;17),"Usia di bawah 17",""))))))))))</f>
        <v/>
      </c>
      <c r="U99" s="40" t="str">
        <f aca="false">IF($B99="","",IF(AND(OR(CARI!$C$5="",ISNUMBER(SEARCH(CARI!$C$5,$B99&amp;" "&amp;$C99&amp;" "&amp;$I99&amp;" "&amp;$J99&amp;" "&amp;$Q99))),OR(CARI!$C$6="",$E99=CARI!$C$6),OR(CARI!$C$7="",$F99=CARI!$C$7),OR(CARI!$C$8="",$O99=CARI!$C$8)),MAX($U$3:U98)+1,""))</f>
        <v/>
      </c>
      <c r="V99" s="40" t="str">
        <f aca="false">IF($T99="","",MAX($V$3:V98)+1)</f>
        <v/>
      </c>
      <c r="W99" s="40" t="str">
        <f aca="false">IF($E99="","",$E99&amp;"#"&amp;COUNTIF($E$4:$E99,$E99))</f>
        <v/>
      </c>
      <c r="X99" s="40" t="str">
        <f aca="false">IF($B99="","",IF(AND(OR(CETAK!$J$10="",$E99=CETAK!$J$10),OR(CETAK!$J$11="",$F99=CETAK!$J$11),OR(CETAK!$J$12="",$K99=CETAK!$J$12),OR(CETAK!$J$13="",$H99=CETAK!$J$13),OR(CETAK!$J$14="",$O99=CETAK!$J$14)),MAX($X$3:X98)+1,""))</f>
        <v/>
      </c>
      <c r="Y99" s="40" t="str">
        <f aca="false">IF($B99="","",IF(AND(OR(ABSENSI!$H$10="",$E99=ABSENSI!$H$10),OR(ABSENSI!$H$11="",$F99=ABSENSI!$H$11),OR(ABSENSI!$H$12="",$K99=ABSENSI!$H$12)),MAX($Y$3:Y98)+1,""))</f>
        <v/>
      </c>
      <c r="Z99" s="40" t="str">
        <f aca="false">IF($B99="","",IF(AND(OR(KARTU!$K$6="",$E99=KARTU!$K$6),OR(KARTU!$K$7="",$F99=KARTU!$K$7),OR(KARTU!$K$8="",$K99=KARTU!$K$8)),MAX($Z$3:Z98)+1,""))</f>
        <v/>
      </c>
    </row>
    <row r="100" customFormat="false" ht="15" hidden="false" customHeight="false" outlineLevel="0" collapsed="false">
      <c r="A100" s="36" t="str">
        <f aca="false">IF($B100="","",COUNTA($B$4:$B100))</f>
        <v/>
      </c>
      <c r="B100" s="37"/>
      <c r="C100" s="38"/>
      <c r="D100" s="39"/>
      <c r="E100" s="37"/>
      <c r="F100" s="39"/>
      <c r="G100" s="40" t="str">
        <f aca="false">IF(OR($E100="",$F100=""),"",$E100&amp;" - RT "&amp;$F100)</f>
        <v/>
      </c>
      <c r="H100" s="37"/>
      <c r="I100" s="38"/>
      <c r="J100" s="37"/>
      <c r="K100" s="39"/>
      <c r="L100" s="41"/>
      <c r="M100" s="36" t="str">
        <f aca="true">IF(OR($B100="",$L100=""),"",DATEDIF($L100,TODAY(),"Y"))</f>
        <v/>
      </c>
      <c r="N100" s="40" t="str">
        <f aca="false">IF($M100="","",INDEX(usia_label,MATCH($M100,usia_min,1)))</f>
        <v/>
      </c>
      <c r="O100" s="37"/>
      <c r="P100" s="41"/>
      <c r="Q100" s="37"/>
      <c r="R100" s="37"/>
      <c r="S100" s="40" t="str">
        <f aca="false">IF($G100="","",$G100&amp;"#"&amp;COUNTIF($G$4:$G100,$G100))</f>
        <v/>
      </c>
      <c r="T100" s="40" t="str">
        <f aca="false">IF($B100="","",IF($C100="","NIK kosong",IF(LEN($C100)&lt;&gt;16,"NIK bukan 16 digit",IF(COUNTIF($C$4:$C$2003,$C100&amp;"*")&gt;1,"NIK ganda",IF($E100="","Kadus kosong",IF($F100="","RT kosong",IF($H100="","Jabatan kosong",IF($I100="","No. HP kosong",IF($J100="","Alamat kosong",IF(AND($M100&lt;&gt;"",$M100&lt;17),"Usia di bawah 17",""))))))))))</f>
        <v/>
      </c>
      <c r="U100" s="40" t="str">
        <f aca="false">IF($B100="","",IF(AND(OR(CARI!$C$5="",ISNUMBER(SEARCH(CARI!$C$5,$B100&amp;" "&amp;$C100&amp;" "&amp;$I100&amp;" "&amp;$J100&amp;" "&amp;$Q100))),OR(CARI!$C$6="",$E100=CARI!$C$6),OR(CARI!$C$7="",$F100=CARI!$C$7),OR(CARI!$C$8="",$O100=CARI!$C$8)),MAX($U$3:U99)+1,""))</f>
        <v/>
      </c>
      <c r="V100" s="40" t="str">
        <f aca="false">IF($T100="","",MAX($V$3:V99)+1)</f>
        <v/>
      </c>
      <c r="W100" s="40" t="str">
        <f aca="false">IF($E100="","",$E100&amp;"#"&amp;COUNTIF($E$4:$E100,$E100))</f>
        <v/>
      </c>
      <c r="X100" s="40" t="str">
        <f aca="false">IF($B100="","",IF(AND(OR(CETAK!$J$10="",$E100=CETAK!$J$10),OR(CETAK!$J$11="",$F100=CETAK!$J$11),OR(CETAK!$J$12="",$K100=CETAK!$J$12),OR(CETAK!$J$13="",$H100=CETAK!$J$13),OR(CETAK!$J$14="",$O100=CETAK!$J$14)),MAX($X$3:X99)+1,""))</f>
        <v/>
      </c>
      <c r="Y100" s="40" t="str">
        <f aca="false">IF($B100="","",IF(AND(OR(ABSENSI!$H$10="",$E100=ABSENSI!$H$10),OR(ABSENSI!$H$11="",$F100=ABSENSI!$H$11),OR(ABSENSI!$H$12="",$K100=ABSENSI!$H$12)),MAX($Y$3:Y99)+1,""))</f>
        <v/>
      </c>
      <c r="Z100" s="40" t="str">
        <f aca="false">IF($B100="","",IF(AND(OR(KARTU!$K$6="",$E100=KARTU!$K$6),OR(KARTU!$K$7="",$F100=KARTU!$K$7),OR(KARTU!$K$8="",$K100=KARTU!$K$8)),MAX($Z$3:Z99)+1,""))</f>
        <v/>
      </c>
    </row>
    <row r="101" customFormat="false" ht="15" hidden="false" customHeight="false" outlineLevel="0" collapsed="false">
      <c r="A101" s="36" t="str">
        <f aca="false">IF($B101="","",COUNTA($B$4:$B101))</f>
        <v/>
      </c>
      <c r="B101" s="37"/>
      <c r="C101" s="38"/>
      <c r="D101" s="39"/>
      <c r="E101" s="37"/>
      <c r="F101" s="39"/>
      <c r="G101" s="40" t="str">
        <f aca="false">IF(OR($E101="",$F101=""),"",$E101&amp;" - RT "&amp;$F101)</f>
        <v/>
      </c>
      <c r="H101" s="37"/>
      <c r="I101" s="38"/>
      <c r="J101" s="37"/>
      <c r="K101" s="39"/>
      <c r="L101" s="41"/>
      <c r="M101" s="36" t="str">
        <f aca="true">IF(OR($B101="",$L101=""),"",DATEDIF($L101,TODAY(),"Y"))</f>
        <v/>
      </c>
      <c r="N101" s="40" t="str">
        <f aca="false">IF($M101="","",INDEX(usia_label,MATCH($M101,usia_min,1)))</f>
        <v/>
      </c>
      <c r="O101" s="37"/>
      <c r="P101" s="41"/>
      <c r="Q101" s="37"/>
      <c r="R101" s="37"/>
      <c r="S101" s="40" t="str">
        <f aca="false">IF($G101="","",$G101&amp;"#"&amp;COUNTIF($G$4:$G101,$G101))</f>
        <v/>
      </c>
      <c r="T101" s="40" t="str">
        <f aca="false">IF($B101="","",IF($C101="","NIK kosong",IF(LEN($C101)&lt;&gt;16,"NIK bukan 16 digit",IF(COUNTIF($C$4:$C$2003,$C101&amp;"*")&gt;1,"NIK ganda",IF($E101="","Kadus kosong",IF($F101="","RT kosong",IF($H101="","Jabatan kosong",IF($I101="","No. HP kosong",IF($J101="","Alamat kosong",IF(AND($M101&lt;&gt;"",$M101&lt;17),"Usia di bawah 17",""))))))))))</f>
        <v/>
      </c>
      <c r="U101" s="40" t="str">
        <f aca="false">IF($B101="","",IF(AND(OR(CARI!$C$5="",ISNUMBER(SEARCH(CARI!$C$5,$B101&amp;" "&amp;$C101&amp;" "&amp;$I101&amp;" "&amp;$J101&amp;" "&amp;$Q101))),OR(CARI!$C$6="",$E101=CARI!$C$6),OR(CARI!$C$7="",$F101=CARI!$C$7),OR(CARI!$C$8="",$O101=CARI!$C$8)),MAX($U$3:U100)+1,""))</f>
        <v/>
      </c>
      <c r="V101" s="40" t="str">
        <f aca="false">IF($T101="","",MAX($V$3:V100)+1)</f>
        <v/>
      </c>
      <c r="W101" s="40" t="str">
        <f aca="false">IF($E101="","",$E101&amp;"#"&amp;COUNTIF($E$4:$E101,$E101))</f>
        <v/>
      </c>
      <c r="X101" s="40" t="str">
        <f aca="false">IF($B101="","",IF(AND(OR(CETAK!$J$10="",$E101=CETAK!$J$10),OR(CETAK!$J$11="",$F101=CETAK!$J$11),OR(CETAK!$J$12="",$K101=CETAK!$J$12),OR(CETAK!$J$13="",$H101=CETAK!$J$13),OR(CETAK!$J$14="",$O101=CETAK!$J$14)),MAX($X$3:X100)+1,""))</f>
        <v/>
      </c>
      <c r="Y101" s="40" t="str">
        <f aca="false">IF($B101="","",IF(AND(OR(ABSENSI!$H$10="",$E101=ABSENSI!$H$10),OR(ABSENSI!$H$11="",$F101=ABSENSI!$H$11),OR(ABSENSI!$H$12="",$K101=ABSENSI!$H$12)),MAX($Y$3:Y100)+1,""))</f>
        <v/>
      </c>
      <c r="Z101" s="40" t="str">
        <f aca="false">IF($B101="","",IF(AND(OR(KARTU!$K$6="",$E101=KARTU!$K$6),OR(KARTU!$K$7="",$F101=KARTU!$K$7),OR(KARTU!$K$8="",$K101=KARTU!$K$8)),MAX($Z$3:Z100)+1,""))</f>
        <v/>
      </c>
    </row>
    <row r="102" customFormat="false" ht="15" hidden="false" customHeight="false" outlineLevel="0" collapsed="false">
      <c r="A102" s="36" t="str">
        <f aca="false">IF($B102="","",COUNTA($B$4:$B102))</f>
        <v/>
      </c>
      <c r="B102" s="37"/>
      <c r="C102" s="38"/>
      <c r="D102" s="39"/>
      <c r="E102" s="37"/>
      <c r="F102" s="39"/>
      <c r="G102" s="40" t="str">
        <f aca="false">IF(OR($E102="",$F102=""),"",$E102&amp;" - RT "&amp;$F102)</f>
        <v/>
      </c>
      <c r="H102" s="37"/>
      <c r="I102" s="38"/>
      <c r="J102" s="37"/>
      <c r="K102" s="39"/>
      <c r="L102" s="41"/>
      <c r="M102" s="36" t="str">
        <f aca="true">IF(OR($B102="",$L102=""),"",DATEDIF($L102,TODAY(),"Y"))</f>
        <v/>
      </c>
      <c r="N102" s="40" t="str">
        <f aca="false">IF($M102="","",INDEX(usia_label,MATCH($M102,usia_min,1)))</f>
        <v/>
      </c>
      <c r="O102" s="37"/>
      <c r="P102" s="41"/>
      <c r="Q102" s="37"/>
      <c r="R102" s="37"/>
      <c r="S102" s="40" t="str">
        <f aca="false">IF($G102="","",$G102&amp;"#"&amp;COUNTIF($G$4:$G102,$G102))</f>
        <v/>
      </c>
      <c r="T102" s="40" t="str">
        <f aca="false">IF($B102="","",IF($C102="","NIK kosong",IF(LEN($C102)&lt;&gt;16,"NIK bukan 16 digit",IF(COUNTIF($C$4:$C$2003,$C102&amp;"*")&gt;1,"NIK ganda",IF($E102="","Kadus kosong",IF($F102="","RT kosong",IF($H102="","Jabatan kosong",IF($I102="","No. HP kosong",IF($J102="","Alamat kosong",IF(AND($M102&lt;&gt;"",$M102&lt;17),"Usia di bawah 17",""))))))))))</f>
        <v/>
      </c>
      <c r="U102" s="40" t="str">
        <f aca="false">IF($B102="","",IF(AND(OR(CARI!$C$5="",ISNUMBER(SEARCH(CARI!$C$5,$B102&amp;" "&amp;$C102&amp;" "&amp;$I102&amp;" "&amp;$J102&amp;" "&amp;$Q102))),OR(CARI!$C$6="",$E102=CARI!$C$6),OR(CARI!$C$7="",$F102=CARI!$C$7),OR(CARI!$C$8="",$O102=CARI!$C$8)),MAX($U$3:U101)+1,""))</f>
        <v/>
      </c>
      <c r="V102" s="40" t="str">
        <f aca="false">IF($T102="","",MAX($V$3:V101)+1)</f>
        <v/>
      </c>
      <c r="W102" s="40" t="str">
        <f aca="false">IF($E102="","",$E102&amp;"#"&amp;COUNTIF($E$4:$E102,$E102))</f>
        <v/>
      </c>
      <c r="X102" s="40" t="str">
        <f aca="false">IF($B102="","",IF(AND(OR(CETAK!$J$10="",$E102=CETAK!$J$10),OR(CETAK!$J$11="",$F102=CETAK!$J$11),OR(CETAK!$J$12="",$K102=CETAK!$J$12),OR(CETAK!$J$13="",$H102=CETAK!$J$13),OR(CETAK!$J$14="",$O102=CETAK!$J$14)),MAX($X$3:X101)+1,""))</f>
        <v/>
      </c>
      <c r="Y102" s="40" t="str">
        <f aca="false">IF($B102="","",IF(AND(OR(ABSENSI!$H$10="",$E102=ABSENSI!$H$10),OR(ABSENSI!$H$11="",$F102=ABSENSI!$H$11),OR(ABSENSI!$H$12="",$K102=ABSENSI!$H$12)),MAX($Y$3:Y101)+1,""))</f>
        <v/>
      </c>
      <c r="Z102" s="40" t="str">
        <f aca="false">IF($B102="","",IF(AND(OR(KARTU!$K$6="",$E102=KARTU!$K$6),OR(KARTU!$K$7="",$F102=KARTU!$K$7),OR(KARTU!$K$8="",$K102=KARTU!$K$8)),MAX($Z$3:Z101)+1,""))</f>
        <v/>
      </c>
    </row>
    <row r="103" customFormat="false" ht="15" hidden="false" customHeight="false" outlineLevel="0" collapsed="false">
      <c r="A103" s="36" t="str">
        <f aca="false">IF($B103="","",COUNTA($B$4:$B103))</f>
        <v/>
      </c>
      <c r="B103" s="37"/>
      <c r="C103" s="38"/>
      <c r="D103" s="39"/>
      <c r="E103" s="37"/>
      <c r="F103" s="39"/>
      <c r="G103" s="40" t="str">
        <f aca="false">IF(OR($E103="",$F103=""),"",$E103&amp;" - RT "&amp;$F103)</f>
        <v/>
      </c>
      <c r="H103" s="37"/>
      <c r="I103" s="38"/>
      <c r="J103" s="37"/>
      <c r="K103" s="39"/>
      <c r="L103" s="41"/>
      <c r="M103" s="36" t="str">
        <f aca="true">IF(OR($B103="",$L103=""),"",DATEDIF($L103,TODAY(),"Y"))</f>
        <v/>
      </c>
      <c r="N103" s="40" t="str">
        <f aca="false">IF($M103="","",INDEX(usia_label,MATCH($M103,usia_min,1)))</f>
        <v/>
      </c>
      <c r="O103" s="37"/>
      <c r="P103" s="41"/>
      <c r="Q103" s="37"/>
      <c r="R103" s="37"/>
      <c r="S103" s="40" t="str">
        <f aca="false">IF($G103="","",$G103&amp;"#"&amp;COUNTIF($G$4:$G103,$G103))</f>
        <v/>
      </c>
      <c r="T103" s="40" t="str">
        <f aca="false">IF($B103="","",IF($C103="","NIK kosong",IF(LEN($C103)&lt;&gt;16,"NIK bukan 16 digit",IF(COUNTIF($C$4:$C$2003,$C103&amp;"*")&gt;1,"NIK ganda",IF($E103="","Kadus kosong",IF($F103="","RT kosong",IF($H103="","Jabatan kosong",IF($I103="","No. HP kosong",IF($J103="","Alamat kosong",IF(AND($M103&lt;&gt;"",$M103&lt;17),"Usia di bawah 17",""))))))))))</f>
        <v/>
      </c>
      <c r="U103" s="40" t="str">
        <f aca="false">IF($B103="","",IF(AND(OR(CARI!$C$5="",ISNUMBER(SEARCH(CARI!$C$5,$B103&amp;" "&amp;$C103&amp;" "&amp;$I103&amp;" "&amp;$J103&amp;" "&amp;$Q103))),OR(CARI!$C$6="",$E103=CARI!$C$6),OR(CARI!$C$7="",$F103=CARI!$C$7),OR(CARI!$C$8="",$O103=CARI!$C$8)),MAX($U$3:U102)+1,""))</f>
        <v/>
      </c>
      <c r="V103" s="40" t="str">
        <f aca="false">IF($T103="","",MAX($V$3:V102)+1)</f>
        <v/>
      </c>
      <c r="W103" s="40" t="str">
        <f aca="false">IF($E103="","",$E103&amp;"#"&amp;COUNTIF($E$4:$E103,$E103))</f>
        <v/>
      </c>
      <c r="X103" s="40" t="str">
        <f aca="false">IF($B103="","",IF(AND(OR(CETAK!$J$10="",$E103=CETAK!$J$10),OR(CETAK!$J$11="",$F103=CETAK!$J$11),OR(CETAK!$J$12="",$K103=CETAK!$J$12),OR(CETAK!$J$13="",$H103=CETAK!$J$13),OR(CETAK!$J$14="",$O103=CETAK!$J$14)),MAX($X$3:X102)+1,""))</f>
        <v/>
      </c>
      <c r="Y103" s="40" t="str">
        <f aca="false">IF($B103="","",IF(AND(OR(ABSENSI!$H$10="",$E103=ABSENSI!$H$10),OR(ABSENSI!$H$11="",$F103=ABSENSI!$H$11),OR(ABSENSI!$H$12="",$K103=ABSENSI!$H$12)),MAX($Y$3:Y102)+1,""))</f>
        <v/>
      </c>
      <c r="Z103" s="40" t="str">
        <f aca="false">IF($B103="","",IF(AND(OR(KARTU!$K$6="",$E103=KARTU!$K$6),OR(KARTU!$K$7="",$F103=KARTU!$K$7),OR(KARTU!$K$8="",$K103=KARTU!$K$8)),MAX($Z$3:Z102)+1,""))</f>
        <v/>
      </c>
    </row>
    <row r="104" customFormat="false" ht="15" hidden="false" customHeight="false" outlineLevel="0" collapsed="false">
      <c r="A104" s="36" t="str">
        <f aca="false">IF($B104="","",COUNTA($B$4:$B104))</f>
        <v/>
      </c>
      <c r="B104" s="37"/>
      <c r="C104" s="38"/>
      <c r="D104" s="39"/>
      <c r="E104" s="37"/>
      <c r="F104" s="39"/>
      <c r="G104" s="40" t="str">
        <f aca="false">IF(OR($E104="",$F104=""),"",$E104&amp;" - RT "&amp;$F104)</f>
        <v/>
      </c>
      <c r="H104" s="37"/>
      <c r="I104" s="38"/>
      <c r="J104" s="37"/>
      <c r="K104" s="39"/>
      <c r="L104" s="41"/>
      <c r="M104" s="36" t="str">
        <f aca="true">IF(OR($B104="",$L104=""),"",DATEDIF($L104,TODAY(),"Y"))</f>
        <v/>
      </c>
      <c r="N104" s="40" t="str">
        <f aca="false">IF($M104="","",INDEX(usia_label,MATCH($M104,usia_min,1)))</f>
        <v/>
      </c>
      <c r="O104" s="37"/>
      <c r="P104" s="41"/>
      <c r="Q104" s="37"/>
      <c r="R104" s="37"/>
      <c r="S104" s="40" t="str">
        <f aca="false">IF($G104="","",$G104&amp;"#"&amp;COUNTIF($G$4:$G104,$G104))</f>
        <v/>
      </c>
      <c r="T104" s="40" t="str">
        <f aca="false">IF($B104="","",IF($C104="","NIK kosong",IF(LEN($C104)&lt;&gt;16,"NIK bukan 16 digit",IF(COUNTIF($C$4:$C$2003,$C104&amp;"*")&gt;1,"NIK ganda",IF($E104="","Kadus kosong",IF($F104="","RT kosong",IF($H104="","Jabatan kosong",IF($I104="","No. HP kosong",IF($J104="","Alamat kosong",IF(AND($M104&lt;&gt;"",$M104&lt;17),"Usia di bawah 17",""))))))))))</f>
        <v/>
      </c>
      <c r="U104" s="40" t="str">
        <f aca="false">IF($B104="","",IF(AND(OR(CARI!$C$5="",ISNUMBER(SEARCH(CARI!$C$5,$B104&amp;" "&amp;$C104&amp;" "&amp;$I104&amp;" "&amp;$J104&amp;" "&amp;$Q104))),OR(CARI!$C$6="",$E104=CARI!$C$6),OR(CARI!$C$7="",$F104=CARI!$C$7),OR(CARI!$C$8="",$O104=CARI!$C$8)),MAX($U$3:U103)+1,""))</f>
        <v/>
      </c>
      <c r="V104" s="40" t="str">
        <f aca="false">IF($T104="","",MAX($V$3:V103)+1)</f>
        <v/>
      </c>
      <c r="W104" s="40" t="str">
        <f aca="false">IF($E104="","",$E104&amp;"#"&amp;COUNTIF($E$4:$E104,$E104))</f>
        <v/>
      </c>
      <c r="X104" s="40" t="str">
        <f aca="false">IF($B104="","",IF(AND(OR(CETAK!$J$10="",$E104=CETAK!$J$10),OR(CETAK!$J$11="",$F104=CETAK!$J$11),OR(CETAK!$J$12="",$K104=CETAK!$J$12),OR(CETAK!$J$13="",$H104=CETAK!$J$13),OR(CETAK!$J$14="",$O104=CETAK!$J$14)),MAX($X$3:X103)+1,""))</f>
        <v/>
      </c>
      <c r="Y104" s="40" t="str">
        <f aca="false">IF($B104="","",IF(AND(OR(ABSENSI!$H$10="",$E104=ABSENSI!$H$10),OR(ABSENSI!$H$11="",$F104=ABSENSI!$H$11),OR(ABSENSI!$H$12="",$K104=ABSENSI!$H$12)),MAX($Y$3:Y103)+1,""))</f>
        <v/>
      </c>
      <c r="Z104" s="40" t="str">
        <f aca="false">IF($B104="","",IF(AND(OR(KARTU!$K$6="",$E104=KARTU!$K$6),OR(KARTU!$K$7="",$F104=KARTU!$K$7),OR(KARTU!$K$8="",$K104=KARTU!$K$8)),MAX($Z$3:Z103)+1,""))</f>
        <v/>
      </c>
    </row>
    <row r="105" customFormat="false" ht="15" hidden="false" customHeight="false" outlineLevel="0" collapsed="false">
      <c r="A105" s="36" t="str">
        <f aca="false">IF($B105="","",COUNTA($B$4:$B105))</f>
        <v/>
      </c>
      <c r="B105" s="37"/>
      <c r="C105" s="38"/>
      <c r="D105" s="39"/>
      <c r="E105" s="37"/>
      <c r="F105" s="39"/>
      <c r="G105" s="40" t="str">
        <f aca="false">IF(OR($E105="",$F105=""),"",$E105&amp;" - RT "&amp;$F105)</f>
        <v/>
      </c>
      <c r="H105" s="37"/>
      <c r="I105" s="38"/>
      <c r="J105" s="37"/>
      <c r="K105" s="39"/>
      <c r="L105" s="41"/>
      <c r="M105" s="36" t="str">
        <f aca="true">IF(OR($B105="",$L105=""),"",DATEDIF($L105,TODAY(),"Y"))</f>
        <v/>
      </c>
      <c r="N105" s="40" t="str">
        <f aca="false">IF($M105="","",INDEX(usia_label,MATCH($M105,usia_min,1)))</f>
        <v/>
      </c>
      <c r="O105" s="37"/>
      <c r="P105" s="41"/>
      <c r="Q105" s="37"/>
      <c r="R105" s="37"/>
      <c r="S105" s="40" t="str">
        <f aca="false">IF($G105="","",$G105&amp;"#"&amp;COUNTIF($G$4:$G105,$G105))</f>
        <v/>
      </c>
      <c r="T105" s="40" t="str">
        <f aca="false">IF($B105="","",IF($C105="","NIK kosong",IF(LEN($C105)&lt;&gt;16,"NIK bukan 16 digit",IF(COUNTIF($C$4:$C$2003,$C105&amp;"*")&gt;1,"NIK ganda",IF($E105="","Kadus kosong",IF($F105="","RT kosong",IF($H105="","Jabatan kosong",IF($I105="","No. HP kosong",IF($J105="","Alamat kosong",IF(AND($M105&lt;&gt;"",$M105&lt;17),"Usia di bawah 17",""))))))))))</f>
        <v/>
      </c>
      <c r="U105" s="40" t="str">
        <f aca="false">IF($B105="","",IF(AND(OR(CARI!$C$5="",ISNUMBER(SEARCH(CARI!$C$5,$B105&amp;" "&amp;$C105&amp;" "&amp;$I105&amp;" "&amp;$J105&amp;" "&amp;$Q105))),OR(CARI!$C$6="",$E105=CARI!$C$6),OR(CARI!$C$7="",$F105=CARI!$C$7),OR(CARI!$C$8="",$O105=CARI!$C$8)),MAX($U$3:U104)+1,""))</f>
        <v/>
      </c>
      <c r="V105" s="40" t="str">
        <f aca="false">IF($T105="","",MAX($V$3:V104)+1)</f>
        <v/>
      </c>
      <c r="W105" s="40" t="str">
        <f aca="false">IF($E105="","",$E105&amp;"#"&amp;COUNTIF($E$4:$E105,$E105))</f>
        <v/>
      </c>
      <c r="X105" s="40" t="str">
        <f aca="false">IF($B105="","",IF(AND(OR(CETAK!$J$10="",$E105=CETAK!$J$10),OR(CETAK!$J$11="",$F105=CETAK!$J$11),OR(CETAK!$J$12="",$K105=CETAK!$J$12),OR(CETAK!$J$13="",$H105=CETAK!$J$13),OR(CETAK!$J$14="",$O105=CETAK!$J$14)),MAX($X$3:X104)+1,""))</f>
        <v/>
      </c>
      <c r="Y105" s="40" t="str">
        <f aca="false">IF($B105="","",IF(AND(OR(ABSENSI!$H$10="",$E105=ABSENSI!$H$10),OR(ABSENSI!$H$11="",$F105=ABSENSI!$H$11),OR(ABSENSI!$H$12="",$K105=ABSENSI!$H$12)),MAX($Y$3:Y104)+1,""))</f>
        <v/>
      </c>
      <c r="Z105" s="40" t="str">
        <f aca="false">IF($B105="","",IF(AND(OR(KARTU!$K$6="",$E105=KARTU!$K$6),OR(KARTU!$K$7="",$F105=KARTU!$K$7),OR(KARTU!$K$8="",$K105=KARTU!$K$8)),MAX($Z$3:Z104)+1,""))</f>
        <v/>
      </c>
    </row>
    <row r="106" customFormat="false" ht="15" hidden="false" customHeight="false" outlineLevel="0" collapsed="false">
      <c r="A106" s="36" t="str">
        <f aca="false">IF($B106="","",COUNTA($B$4:$B106))</f>
        <v/>
      </c>
      <c r="B106" s="37"/>
      <c r="C106" s="38"/>
      <c r="D106" s="39"/>
      <c r="E106" s="37"/>
      <c r="F106" s="39"/>
      <c r="G106" s="40" t="str">
        <f aca="false">IF(OR($E106="",$F106=""),"",$E106&amp;" - RT "&amp;$F106)</f>
        <v/>
      </c>
      <c r="H106" s="37"/>
      <c r="I106" s="38"/>
      <c r="J106" s="37"/>
      <c r="K106" s="39"/>
      <c r="L106" s="41"/>
      <c r="M106" s="36" t="str">
        <f aca="true">IF(OR($B106="",$L106=""),"",DATEDIF($L106,TODAY(),"Y"))</f>
        <v/>
      </c>
      <c r="N106" s="40" t="str">
        <f aca="false">IF($M106="","",INDEX(usia_label,MATCH($M106,usia_min,1)))</f>
        <v/>
      </c>
      <c r="O106" s="37"/>
      <c r="P106" s="41"/>
      <c r="Q106" s="37"/>
      <c r="R106" s="37"/>
      <c r="S106" s="40" t="str">
        <f aca="false">IF($G106="","",$G106&amp;"#"&amp;COUNTIF($G$4:$G106,$G106))</f>
        <v/>
      </c>
      <c r="T106" s="40" t="str">
        <f aca="false">IF($B106="","",IF($C106="","NIK kosong",IF(LEN($C106)&lt;&gt;16,"NIK bukan 16 digit",IF(COUNTIF($C$4:$C$2003,$C106&amp;"*")&gt;1,"NIK ganda",IF($E106="","Kadus kosong",IF($F106="","RT kosong",IF($H106="","Jabatan kosong",IF($I106="","No. HP kosong",IF($J106="","Alamat kosong",IF(AND($M106&lt;&gt;"",$M106&lt;17),"Usia di bawah 17",""))))))))))</f>
        <v/>
      </c>
      <c r="U106" s="40" t="str">
        <f aca="false">IF($B106="","",IF(AND(OR(CARI!$C$5="",ISNUMBER(SEARCH(CARI!$C$5,$B106&amp;" "&amp;$C106&amp;" "&amp;$I106&amp;" "&amp;$J106&amp;" "&amp;$Q106))),OR(CARI!$C$6="",$E106=CARI!$C$6),OR(CARI!$C$7="",$F106=CARI!$C$7),OR(CARI!$C$8="",$O106=CARI!$C$8)),MAX($U$3:U105)+1,""))</f>
        <v/>
      </c>
      <c r="V106" s="40" t="str">
        <f aca="false">IF($T106="","",MAX($V$3:V105)+1)</f>
        <v/>
      </c>
      <c r="W106" s="40" t="str">
        <f aca="false">IF($E106="","",$E106&amp;"#"&amp;COUNTIF($E$4:$E106,$E106))</f>
        <v/>
      </c>
      <c r="X106" s="40" t="str">
        <f aca="false">IF($B106="","",IF(AND(OR(CETAK!$J$10="",$E106=CETAK!$J$10),OR(CETAK!$J$11="",$F106=CETAK!$J$11),OR(CETAK!$J$12="",$K106=CETAK!$J$12),OR(CETAK!$J$13="",$H106=CETAK!$J$13),OR(CETAK!$J$14="",$O106=CETAK!$J$14)),MAX($X$3:X105)+1,""))</f>
        <v/>
      </c>
      <c r="Y106" s="40" t="str">
        <f aca="false">IF($B106="","",IF(AND(OR(ABSENSI!$H$10="",$E106=ABSENSI!$H$10),OR(ABSENSI!$H$11="",$F106=ABSENSI!$H$11),OR(ABSENSI!$H$12="",$K106=ABSENSI!$H$12)),MAX($Y$3:Y105)+1,""))</f>
        <v/>
      </c>
      <c r="Z106" s="40" t="str">
        <f aca="false">IF($B106="","",IF(AND(OR(KARTU!$K$6="",$E106=KARTU!$K$6),OR(KARTU!$K$7="",$F106=KARTU!$K$7),OR(KARTU!$K$8="",$K106=KARTU!$K$8)),MAX($Z$3:Z105)+1,""))</f>
        <v/>
      </c>
    </row>
    <row r="107" customFormat="false" ht="15" hidden="false" customHeight="false" outlineLevel="0" collapsed="false">
      <c r="A107" s="36" t="str">
        <f aca="false">IF($B107="","",COUNTA($B$4:$B107))</f>
        <v/>
      </c>
      <c r="B107" s="37"/>
      <c r="C107" s="38"/>
      <c r="D107" s="39"/>
      <c r="E107" s="37"/>
      <c r="F107" s="39"/>
      <c r="G107" s="40" t="str">
        <f aca="false">IF(OR($E107="",$F107=""),"",$E107&amp;" - RT "&amp;$F107)</f>
        <v/>
      </c>
      <c r="H107" s="37"/>
      <c r="I107" s="38"/>
      <c r="J107" s="37"/>
      <c r="K107" s="39"/>
      <c r="L107" s="41"/>
      <c r="M107" s="36" t="str">
        <f aca="true">IF(OR($B107="",$L107=""),"",DATEDIF($L107,TODAY(),"Y"))</f>
        <v/>
      </c>
      <c r="N107" s="40" t="str">
        <f aca="false">IF($M107="","",INDEX(usia_label,MATCH($M107,usia_min,1)))</f>
        <v/>
      </c>
      <c r="O107" s="37"/>
      <c r="P107" s="41"/>
      <c r="Q107" s="37"/>
      <c r="R107" s="37"/>
      <c r="S107" s="40" t="str">
        <f aca="false">IF($G107="","",$G107&amp;"#"&amp;COUNTIF($G$4:$G107,$G107))</f>
        <v/>
      </c>
      <c r="T107" s="40" t="str">
        <f aca="false">IF($B107="","",IF($C107="","NIK kosong",IF(LEN($C107)&lt;&gt;16,"NIK bukan 16 digit",IF(COUNTIF($C$4:$C$2003,$C107&amp;"*")&gt;1,"NIK ganda",IF($E107="","Kadus kosong",IF($F107="","RT kosong",IF($H107="","Jabatan kosong",IF($I107="","No. HP kosong",IF($J107="","Alamat kosong",IF(AND($M107&lt;&gt;"",$M107&lt;17),"Usia di bawah 17",""))))))))))</f>
        <v/>
      </c>
      <c r="U107" s="40" t="str">
        <f aca="false">IF($B107="","",IF(AND(OR(CARI!$C$5="",ISNUMBER(SEARCH(CARI!$C$5,$B107&amp;" "&amp;$C107&amp;" "&amp;$I107&amp;" "&amp;$J107&amp;" "&amp;$Q107))),OR(CARI!$C$6="",$E107=CARI!$C$6),OR(CARI!$C$7="",$F107=CARI!$C$7),OR(CARI!$C$8="",$O107=CARI!$C$8)),MAX($U$3:U106)+1,""))</f>
        <v/>
      </c>
      <c r="V107" s="40" t="str">
        <f aca="false">IF($T107="","",MAX($V$3:V106)+1)</f>
        <v/>
      </c>
      <c r="W107" s="40" t="str">
        <f aca="false">IF($E107="","",$E107&amp;"#"&amp;COUNTIF($E$4:$E107,$E107))</f>
        <v/>
      </c>
      <c r="X107" s="40" t="str">
        <f aca="false">IF($B107="","",IF(AND(OR(CETAK!$J$10="",$E107=CETAK!$J$10),OR(CETAK!$J$11="",$F107=CETAK!$J$11),OR(CETAK!$J$12="",$K107=CETAK!$J$12),OR(CETAK!$J$13="",$H107=CETAK!$J$13),OR(CETAK!$J$14="",$O107=CETAK!$J$14)),MAX($X$3:X106)+1,""))</f>
        <v/>
      </c>
      <c r="Y107" s="40" t="str">
        <f aca="false">IF($B107="","",IF(AND(OR(ABSENSI!$H$10="",$E107=ABSENSI!$H$10),OR(ABSENSI!$H$11="",$F107=ABSENSI!$H$11),OR(ABSENSI!$H$12="",$K107=ABSENSI!$H$12)),MAX($Y$3:Y106)+1,""))</f>
        <v/>
      </c>
      <c r="Z107" s="40" t="str">
        <f aca="false">IF($B107="","",IF(AND(OR(KARTU!$K$6="",$E107=KARTU!$K$6),OR(KARTU!$K$7="",$F107=KARTU!$K$7),OR(KARTU!$K$8="",$K107=KARTU!$K$8)),MAX($Z$3:Z106)+1,""))</f>
        <v/>
      </c>
    </row>
    <row r="108" customFormat="false" ht="15" hidden="false" customHeight="false" outlineLevel="0" collapsed="false">
      <c r="A108" s="36" t="str">
        <f aca="false">IF($B108="","",COUNTA($B$4:$B108))</f>
        <v/>
      </c>
      <c r="B108" s="37"/>
      <c r="C108" s="38"/>
      <c r="D108" s="39"/>
      <c r="E108" s="37"/>
      <c r="F108" s="39"/>
      <c r="G108" s="40" t="str">
        <f aca="false">IF(OR($E108="",$F108=""),"",$E108&amp;" - RT "&amp;$F108)</f>
        <v/>
      </c>
      <c r="H108" s="37"/>
      <c r="I108" s="38"/>
      <c r="J108" s="37"/>
      <c r="K108" s="39"/>
      <c r="L108" s="41"/>
      <c r="M108" s="36" t="str">
        <f aca="true">IF(OR($B108="",$L108=""),"",DATEDIF($L108,TODAY(),"Y"))</f>
        <v/>
      </c>
      <c r="N108" s="40" t="str">
        <f aca="false">IF($M108="","",INDEX(usia_label,MATCH($M108,usia_min,1)))</f>
        <v/>
      </c>
      <c r="O108" s="37"/>
      <c r="P108" s="41"/>
      <c r="Q108" s="37"/>
      <c r="R108" s="37"/>
      <c r="S108" s="40" t="str">
        <f aca="false">IF($G108="","",$G108&amp;"#"&amp;COUNTIF($G$4:$G108,$G108))</f>
        <v/>
      </c>
      <c r="T108" s="40" t="str">
        <f aca="false">IF($B108="","",IF($C108="","NIK kosong",IF(LEN($C108)&lt;&gt;16,"NIK bukan 16 digit",IF(COUNTIF($C$4:$C$2003,$C108&amp;"*")&gt;1,"NIK ganda",IF($E108="","Kadus kosong",IF($F108="","RT kosong",IF($H108="","Jabatan kosong",IF($I108="","No. HP kosong",IF($J108="","Alamat kosong",IF(AND($M108&lt;&gt;"",$M108&lt;17),"Usia di bawah 17",""))))))))))</f>
        <v/>
      </c>
      <c r="U108" s="40" t="str">
        <f aca="false">IF($B108="","",IF(AND(OR(CARI!$C$5="",ISNUMBER(SEARCH(CARI!$C$5,$B108&amp;" "&amp;$C108&amp;" "&amp;$I108&amp;" "&amp;$J108&amp;" "&amp;$Q108))),OR(CARI!$C$6="",$E108=CARI!$C$6),OR(CARI!$C$7="",$F108=CARI!$C$7),OR(CARI!$C$8="",$O108=CARI!$C$8)),MAX($U$3:U107)+1,""))</f>
        <v/>
      </c>
      <c r="V108" s="40" t="str">
        <f aca="false">IF($T108="","",MAX($V$3:V107)+1)</f>
        <v/>
      </c>
      <c r="W108" s="40" t="str">
        <f aca="false">IF($E108="","",$E108&amp;"#"&amp;COUNTIF($E$4:$E108,$E108))</f>
        <v/>
      </c>
      <c r="X108" s="40" t="str">
        <f aca="false">IF($B108="","",IF(AND(OR(CETAK!$J$10="",$E108=CETAK!$J$10),OR(CETAK!$J$11="",$F108=CETAK!$J$11),OR(CETAK!$J$12="",$K108=CETAK!$J$12),OR(CETAK!$J$13="",$H108=CETAK!$J$13),OR(CETAK!$J$14="",$O108=CETAK!$J$14)),MAX($X$3:X107)+1,""))</f>
        <v/>
      </c>
      <c r="Y108" s="40" t="str">
        <f aca="false">IF($B108="","",IF(AND(OR(ABSENSI!$H$10="",$E108=ABSENSI!$H$10),OR(ABSENSI!$H$11="",$F108=ABSENSI!$H$11),OR(ABSENSI!$H$12="",$K108=ABSENSI!$H$12)),MAX($Y$3:Y107)+1,""))</f>
        <v/>
      </c>
      <c r="Z108" s="40" t="str">
        <f aca="false">IF($B108="","",IF(AND(OR(KARTU!$K$6="",$E108=KARTU!$K$6),OR(KARTU!$K$7="",$F108=KARTU!$K$7),OR(KARTU!$K$8="",$K108=KARTU!$K$8)),MAX($Z$3:Z107)+1,""))</f>
        <v/>
      </c>
    </row>
    <row r="109" customFormat="false" ht="15" hidden="false" customHeight="false" outlineLevel="0" collapsed="false">
      <c r="A109" s="36" t="str">
        <f aca="false">IF($B109="","",COUNTA($B$4:$B109))</f>
        <v/>
      </c>
      <c r="B109" s="37"/>
      <c r="C109" s="38"/>
      <c r="D109" s="39"/>
      <c r="E109" s="37"/>
      <c r="F109" s="39"/>
      <c r="G109" s="40" t="str">
        <f aca="false">IF(OR($E109="",$F109=""),"",$E109&amp;" - RT "&amp;$F109)</f>
        <v/>
      </c>
      <c r="H109" s="37"/>
      <c r="I109" s="38"/>
      <c r="J109" s="37"/>
      <c r="K109" s="39"/>
      <c r="L109" s="41"/>
      <c r="M109" s="36" t="str">
        <f aca="true">IF(OR($B109="",$L109=""),"",DATEDIF($L109,TODAY(),"Y"))</f>
        <v/>
      </c>
      <c r="N109" s="40" t="str">
        <f aca="false">IF($M109="","",INDEX(usia_label,MATCH($M109,usia_min,1)))</f>
        <v/>
      </c>
      <c r="O109" s="37"/>
      <c r="P109" s="41"/>
      <c r="Q109" s="37"/>
      <c r="R109" s="37"/>
      <c r="S109" s="40" t="str">
        <f aca="false">IF($G109="","",$G109&amp;"#"&amp;COUNTIF($G$4:$G109,$G109))</f>
        <v/>
      </c>
      <c r="T109" s="40" t="str">
        <f aca="false">IF($B109="","",IF($C109="","NIK kosong",IF(LEN($C109)&lt;&gt;16,"NIK bukan 16 digit",IF(COUNTIF($C$4:$C$2003,$C109&amp;"*")&gt;1,"NIK ganda",IF($E109="","Kadus kosong",IF($F109="","RT kosong",IF($H109="","Jabatan kosong",IF($I109="","No. HP kosong",IF($J109="","Alamat kosong",IF(AND($M109&lt;&gt;"",$M109&lt;17),"Usia di bawah 17",""))))))))))</f>
        <v/>
      </c>
      <c r="U109" s="40" t="str">
        <f aca="false">IF($B109="","",IF(AND(OR(CARI!$C$5="",ISNUMBER(SEARCH(CARI!$C$5,$B109&amp;" "&amp;$C109&amp;" "&amp;$I109&amp;" "&amp;$J109&amp;" "&amp;$Q109))),OR(CARI!$C$6="",$E109=CARI!$C$6),OR(CARI!$C$7="",$F109=CARI!$C$7),OR(CARI!$C$8="",$O109=CARI!$C$8)),MAX($U$3:U108)+1,""))</f>
        <v/>
      </c>
      <c r="V109" s="40" t="str">
        <f aca="false">IF($T109="","",MAX($V$3:V108)+1)</f>
        <v/>
      </c>
      <c r="W109" s="40" t="str">
        <f aca="false">IF($E109="","",$E109&amp;"#"&amp;COUNTIF($E$4:$E109,$E109))</f>
        <v/>
      </c>
      <c r="X109" s="40" t="str">
        <f aca="false">IF($B109="","",IF(AND(OR(CETAK!$J$10="",$E109=CETAK!$J$10),OR(CETAK!$J$11="",$F109=CETAK!$J$11),OR(CETAK!$J$12="",$K109=CETAK!$J$12),OR(CETAK!$J$13="",$H109=CETAK!$J$13),OR(CETAK!$J$14="",$O109=CETAK!$J$14)),MAX($X$3:X108)+1,""))</f>
        <v/>
      </c>
      <c r="Y109" s="40" t="str">
        <f aca="false">IF($B109="","",IF(AND(OR(ABSENSI!$H$10="",$E109=ABSENSI!$H$10),OR(ABSENSI!$H$11="",$F109=ABSENSI!$H$11),OR(ABSENSI!$H$12="",$K109=ABSENSI!$H$12)),MAX($Y$3:Y108)+1,""))</f>
        <v/>
      </c>
      <c r="Z109" s="40" t="str">
        <f aca="false">IF($B109="","",IF(AND(OR(KARTU!$K$6="",$E109=KARTU!$K$6),OR(KARTU!$K$7="",$F109=KARTU!$K$7),OR(KARTU!$K$8="",$K109=KARTU!$K$8)),MAX($Z$3:Z108)+1,""))</f>
        <v/>
      </c>
    </row>
    <row r="110" customFormat="false" ht="15" hidden="false" customHeight="false" outlineLevel="0" collapsed="false">
      <c r="A110" s="36" t="str">
        <f aca="false">IF($B110="","",COUNTA($B$4:$B110))</f>
        <v/>
      </c>
      <c r="B110" s="37"/>
      <c r="C110" s="38"/>
      <c r="D110" s="39"/>
      <c r="E110" s="37"/>
      <c r="F110" s="39"/>
      <c r="G110" s="40" t="str">
        <f aca="false">IF(OR($E110="",$F110=""),"",$E110&amp;" - RT "&amp;$F110)</f>
        <v/>
      </c>
      <c r="H110" s="37"/>
      <c r="I110" s="38"/>
      <c r="J110" s="37"/>
      <c r="K110" s="39"/>
      <c r="L110" s="41"/>
      <c r="M110" s="36" t="str">
        <f aca="true">IF(OR($B110="",$L110=""),"",DATEDIF($L110,TODAY(),"Y"))</f>
        <v/>
      </c>
      <c r="N110" s="40" t="str">
        <f aca="false">IF($M110="","",INDEX(usia_label,MATCH($M110,usia_min,1)))</f>
        <v/>
      </c>
      <c r="O110" s="37"/>
      <c r="P110" s="41"/>
      <c r="Q110" s="37"/>
      <c r="R110" s="37"/>
      <c r="S110" s="40" t="str">
        <f aca="false">IF($G110="","",$G110&amp;"#"&amp;COUNTIF($G$4:$G110,$G110))</f>
        <v/>
      </c>
      <c r="T110" s="40" t="str">
        <f aca="false">IF($B110="","",IF($C110="","NIK kosong",IF(LEN($C110)&lt;&gt;16,"NIK bukan 16 digit",IF(COUNTIF($C$4:$C$2003,$C110&amp;"*")&gt;1,"NIK ganda",IF($E110="","Kadus kosong",IF($F110="","RT kosong",IF($H110="","Jabatan kosong",IF($I110="","No. HP kosong",IF($J110="","Alamat kosong",IF(AND($M110&lt;&gt;"",$M110&lt;17),"Usia di bawah 17",""))))))))))</f>
        <v/>
      </c>
      <c r="U110" s="40" t="str">
        <f aca="false">IF($B110="","",IF(AND(OR(CARI!$C$5="",ISNUMBER(SEARCH(CARI!$C$5,$B110&amp;" "&amp;$C110&amp;" "&amp;$I110&amp;" "&amp;$J110&amp;" "&amp;$Q110))),OR(CARI!$C$6="",$E110=CARI!$C$6),OR(CARI!$C$7="",$F110=CARI!$C$7),OR(CARI!$C$8="",$O110=CARI!$C$8)),MAX($U$3:U109)+1,""))</f>
        <v/>
      </c>
      <c r="V110" s="40" t="str">
        <f aca="false">IF($T110="","",MAX($V$3:V109)+1)</f>
        <v/>
      </c>
      <c r="W110" s="40" t="str">
        <f aca="false">IF($E110="","",$E110&amp;"#"&amp;COUNTIF($E$4:$E110,$E110))</f>
        <v/>
      </c>
      <c r="X110" s="40" t="str">
        <f aca="false">IF($B110="","",IF(AND(OR(CETAK!$J$10="",$E110=CETAK!$J$10),OR(CETAK!$J$11="",$F110=CETAK!$J$11),OR(CETAK!$J$12="",$K110=CETAK!$J$12),OR(CETAK!$J$13="",$H110=CETAK!$J$13),OR(CETAK!$J$14="",$O110=CETAK!$J$14)),MAX($X$3:X109)+1,""))</f>
        <v/>
      </c>
      <c r="Y110" s="40" t="str">
        <f aca="false">IF($B110="","",IF(AND(OR(ABSENSI!$H$10="",$E110=ABSENSI!$H$10),OR(ABSENSI!$H$11="",$F110=ABSENSI!$H$11),OR(ABSENSI!$H$12="",$K110=ABSENSI!$H$12)),MAX($Y$3:Y109)+1,""))</f>
        <v/>
      </c>
      <c r="Z110" s="40" t="str">
        <f aca="false">IF($B110="","",IF(AND(OR(KARTU!$K$6="",$E110=KARTU!$K$6),OR(KARTU!$K$7="",$F110=KARTU!$K$7),OR(KARTU!$K$8="",$K110=KARTU!$K$8)),MAX($Z$3:Z109)+1,""))</f>
        <v/>
      </c>
    </row>
    <row r="111" customFormat="false" ht="15" hidden="false" customHeight="false" outlineLevel="0" collapsed="false">
      <c r="A111" s="36" t="str">
        <f aca="false">IF($B111="","",COUNTA($B$4:$B111))</f>
        <v/>
      </c>
      <c r="B111" s="37"/>
      <c r="C111" s="38"/>
      <c r="D111" s="39"/>
      <c r="E111" s="37"/>
      <c r="F111" s="39"/>
      <c r="G111" s="40" t="str">
        <f aca="false">IF(OR($E111="",$F111=""),"",$E111&amp;" - RT "&amp;$F111)</f>
        <v/>
      </c>
      <c r="H111" s="37"/>
      <c r="I111" s="38"/>
      <c r="J111" s="37"/>
      <c r="K111" s="39"/>
      <c r="L111" s="41"/>
      <c r="M111" s="36" t="str">
        <f aca="true">IF(OR($B111="",$L111=""),"",DATEDIF($L111,TODAY(),"Y"))</f>
        <v/>
      </c>
      <c r="N111" s="40" t="str">
        <f aca="false">IF($M111="","",INDEX(usia_label,MATCH($M111,usia_min,1)))</f>
        <v/>
      </c>
      <c r="O111" s="37"/>
      <c r="P111" s="41"/>
      <c r="Q111" s="37"/>
      <c r="R111" s="37"/>
      <c r="S111" s="40" t="str">
        <f aca="false">IF($G111="","",$G111&amp;"#"&amp;COUNTIF($G$4:$G111,$G111))</f>
        <v/>
      </c>
      <c r="T111" s="40" t="str">
        <f aca="false">IF($B111="","",IF($C111="","NIK kosong",IF(LEN($C111)&lt;&gt;16,"NIK bukan 16 digit",IF(COUNTIF($C$4:$C$2003,$C111&amp;"*")&gt;1,"NIK ganda",IF($E111="","Kadus kosong",IF($F111="","RT kosong",IF($H111="","Jabatan kosong",IF($I111="","No. HP kosong",IF($J111="","Alamat kosong",IF(AND($M111&lt;&gt;"",$M111&lt;17),"Usia di bawah 17",""))))))))))</f>
        <v/>
      </c>
      <c r="U111" s="40" t="str">
        <f aca="false">IF($B111="","",IF(AND(OR(CARI!$C$5="",ISNUMBER(SEARCH(CARI!$C$5,$B111&amp;" "&amp;$C111&amp;" "&amp;$I111&amp;" "&amp;$J111&amp;" "&amp;$Q111))),OR(CARI!$C$6="",$E111=CARI!$C$6),OR(CARI!$C$7="",$F111=CARI!$C$7),OR(CARI!$C$8="",$O111=CARI!$C$8)),MAX($U$3:U110)+1,""))</f>
        <v/>
      </c>
      <c r="V111" s="40" t="str">
        <f aca="false">IF($T111="","",MAX($V$3:V110)+1)</f>
        <v/>
      </c>
      <c r="W111" s="40" t="str">
        <f aca="false">IF($E111="","",$E111&amp;"#"&amp;COUNTIF($E$4:$E111,$E111))</f>
        <v/>
      </c>
      <c r="X111" s="40" t="str">
        <f aca="false">IF($B111="","",IF(AND(OR(CETAK!$J$10="",$E111=CETAK!$J$10),OR(CETAK!$J$11="",$F111=CETAK!$J$11),OR(CETAK!$J$12="",$K111=CETAK!$J$12),OR(CETAK!$J$13="",$H111=CETAK!$J$13),OR(CETAK!$J$14="",$O111=CETAK!$J$14)),MAX($X$3:X110)+1,""))</f>
        <v/>
      </c>
      <c r="Y111" s="40" t="str">
        <f aca="false">IF($B111="","",IF(AND(OR(ABSENSI!$H$10="",$E111=ABSENSI!$H$10),OR(ABSENSI!$H$11="",$F111=ABSENSI!$H$11),OR(ABSENSI!$H$12="",$K111=ABSENSI!$H$12)),MAX($Y$3:Y110)+1,""))</f>
        <v/>
      </c>
      <c r="Z111" s="40" t="str">
        <f aca="false">IF($B111="","",IF(AND(OR(KARTU!$K$6="",$E111=KARTU!$K$6),OR(KARTU!$K$7="",$F111=KARTU!$K$7),OR(KARTU!$K$8="",$K111=KARTU!$K$8)),MAX($Z$3:Z110)+1,""))</f>
        <v/>
      </c>
    </row>
    <row r="112" customFormat="false" ht="15" hidden="false" customHeight="false" outlineLevel="0" collapsed="false">
      <c r="A112" s="36" t="str">
        <f aca="false">IF($B112="","",COUNTA($B$4:$B112))</f>
        <v/>
      </c>
      <c r="B112" s="37"/>
      <c r="C112" s="38"/>
      <c r="D112" s="39"/>
      <c r="E112" s="37"/>
      <c r="F112" s="39"/>
      <c r="G112" s="40" t="str">
        <f aca="false">IF(OR($E112="",$F112=""),"",$E112&amp;" - RT "&amp;$F112)</f>
        <v/>
      </c>
      <c r="H112" s="37"/>
      <c r="I112" s="38"/>
      <c r="J112" s="37"/>
      <c r="K112" s="39"/>
      <c r="L112" s="41"/>
      <c r="M112" s="36" t="str">
        <f aca="true">IF(OR($B112="",$L112=""),"",DATEDIF($L112,TODAY(),"Y"))</f>
        <v/>
      </c>
      <c r="N112" s="40" t="str">
        <f aca="false">IF($M112="","",INDEX(usia_label,MATCH($M112,usia_min,1)))</f>
        <v/>
      </c>
      <c r="O112" s="37"/>
      <c r="P112" s="41"/>
      <c r="Q112" s="37"/>
      <c r="R112" s="37"/>
      <c r="S112" s="40" t="str">
        <f aca="false">IF($G112="","",$G112&amp;"#"&amp;COUNTIF($G$4:$G112,$G112))</f>
        <v/>
      </c>
      <c r="T112" s="40" t="str">
        <f aca="false">IF($B112="","",IF($C112="","NIK kosong",IF(LEN($C112)&lt;&gt;16,"NIK bukan 16 digit",IF(COUNTIF($C$4:$C$2003,$C112&amp;"*")&gt;1,"NIK ganda",IF($E112="","Kadus kosong",IF($F112="","RT kosong",IF($H112="","Jabatan kosong",IF($I112="","No. HP kosong",IF($J112="","Alamat kosong",IF(AND($M112&lt;&gt;"",$M112&lt;17),"Usia di bawah 17",""))))))))))</f>
        <v/>
      </c>
      <c r="U112" s="40" t="str">
        <f aca="false">IF($B112="","",IF(AND(OR(CARI!$C$5="",ISNUMBER(SEARCH(CARI!$C$5,$B112&amp;" "&amp;$C112&amp;" "&amp;$I112&amp;" "&amp;$J112&amp;" "&amp;$Q112))),OR(CARI!$C$6="",$E112=CARI!$C$6),OR(CARI!$C$7="",$F112=CARI!$C$7),OR(CARI!$C$8="",$O112=CARI!$C$8)),MAX($U$3:U111)+1,""))</f>
        <v/>
      </c>
      <c r="V112" s="40" t="str">
        <f aca="false">IF($T112="","",MAX($V$3:V111)+1)</f>
        <v/>
      </c>
      <c r="W112" s="40" t="str">
        <f aca="false">IF($E112="","",$E112&amp;"#"&amp;COUNTIF($E$4:$E112,$E112))</f>
        <v/>
      </c>
      <c r="X112" s="40" t="str">
        <f aca="false">IF($B112="","",IF(AND(OR(CETAK!$J$10="",$E112=CETAK!$J$10),OR(CETAK!$J$11="",$F112=CETAK!$J$11),OR(CETAK!$J$12="",$K112=CETAK!$J$12),OR(CETAK!$J$13="",$H112=CETAK!$J$13),OR(CETAK!$J$14="",$O112=CETAK!$J$14)),MAX($X$3:X111)+1,""))</f>
        <v/>
      </c>
      <c r="Y112" s="40" t="str">
        <f aca="false">IF($B112="","",IF(AND(OR(ABSENSI!$H$10="",$E112=ABSENSI!$H$10),OR(ABSENSI!$H$11="",$F112=ABSENSI!$H$11),OR(ABSENSI!$H$12="",$K112=ABSENSI!$H$12)),MAX($Y$3:Y111)+1,""))</f>
        <v/>
      </c>
      <c r="Z112" s="40" t="str">
        <f aca="false">IF($B112="","",IF(AND(OR(KARTU!$K$6="",$E112=KARTU!$K$6),OR(KARTU!$K$7="",$F112=KARTU!$K$7),OR(KARTU!$K$8="",$K112=KARTU!$K$8)),MAX($Z$3:Z111)+1,""))</f>
        <v/>
      </c>
    </row>
    <row r="113" customFormat="false" ht="15" hidden="false" customHeight="false" outlineLevel="0" collapsed="false">
      <c r="A113" s="36" t="str">
        <f aca="false">IF($B113="","",COUNTA($B$4:$B113))</f>
        <v/>
      </c>
      <c r="B113" s="37"/>
      <c r="C113" s="38"/>
      <c r="D113" s="39"/>
      <c r="E113" s="37"/>
      <c r="F113" s="39"/>
      <c r="G113" s="40" t="str">
        <f aca="false">IF(OR($E113="",$F113=""),"",$E113&amp;" - RT "&amp;$F113)</f>
        <v/>
      </c>
      <c r="H113" s="37"/>
      <c r="I113" s="38"/>
      <c r="J113" s="37"/>
      <c r="K113" s="39"/>
      <c r="L113" s="41"/>
      <c r="M113" s="36" t="str">
        <f aca="true">IF(OR($B113="",$L113=""),"",DATEDIF($L113,TODAY(),"Y"))</f>
        <v/>
      </c>
      <c r="N113" s="40" t="str">
        <f aca="false">IF($M113="","",INDEX(usia_label,MATCH($M113,usia_min,1)))</f>
        <v/>
      </c>
      <c r="O113" s="37"/>
      <c r="P113" s="41"/>
      <c r="Q113" s="37"/>
      <c r="R113" s="37"/>
      <c r="S113" s="40" t="str">
        <f aca="false">IF($G113="","",$G113&amp;"#"&amp;COUNTIF($G$4:$G113,$G113))</f>
        <v/>
      </c>
      <c r="T113" s="40" t="str">
        <f aca="false">IF($B113="","",IF($C113="","NIK kosong",IF(LEN($C113)&lt;&gt;16,"NIK bukan 16 digit",IF(COUNTIF($C$4:$C$2003,$C113&amp;"*")&gt;1,"NIK ganda",IF($E113="","Kadus kosong",IF($F113="","RT kosong",IF($H113="","Jabatan kosong",IF($I113="","No. HP kosong",IF($J113="","Alamat kosong",IF(AND($M113&lt;&gt;"",$M113&lt;17),"Usia di bawah 17",""))))))))))</f>
        <v/>
      </c>
      <c r="U113" s="40" t="str">
        <f aca="false">IF($B113="","",IF(AND(OR(CARI!$C$5="",ISNUMBER(SEARCH(CARI!$C$5,$B113&amp;" "&amp;$C113&amp;" "&amp;$I113&amp;" "&amp;$J113&amp;" "&amp;$Q113))),OR(CARI!$C$6="",$E113=CARI!$C$6),OR(CARI!$C$7="",$F113=CARI!$C$7),OR(CARI!$C$8="",$O113=CARI!$C$8)),MAX($U$3:U112)+1,""))</f>
        <v/>
      </c>
      <c r="V113" s="40" t="str">
        <f aca="false">IF($T113="","",MAX($V$3:V112)+1)</f>
        <v/>
      </c>
      <c r="W113" s="40" t="str">
        <f aca="false">IF($E113="","",$E113&amp;"#"&amp;COUNTIF($E$4:$E113,$E113))</f>
        <v/>
      </c>
      <c r="X113" s="40" t="str">
        <f aca="false">IF($B113="","",IF(AND(OR(CETAK!$J$10="",$E113=CETAK!$J$10),OR(CETAK!$J$11="",$F113=CETAK!$J$11),OR(CETAK!$J$12="",$K113=CETAK!$J$12),OR(CETAK!$J$13="",$H113=CETAK!$J$13),OR(CETAK!$J$14="",$O113=CETAK!$J$14)),MAX($X$3:X112)+1,""))</f>
        <v/>
      </c>
      <c r="Y113" s="40" t="str">
        <f aca="false">IF($B113="","",IF(AND(OR(ABSENSI!$H$10="",$E113=ABSENSI!$H$10),OR(ABSENSI!$H$11="",$F113=ABSENSI!$H$11),OR(ABSENSI!$H$12="",$K113=ABSENSI!$H$12)),MAX($Y$3:Y112)+1,""))</f>
        <v/>
      </c>
      <c r="Z113" s="40" t="str">
        <f aca="false">IF($B113="","",IF(AND(OR(KARTU!$K$6="",$E113=KARTU!$K$6),OR(KARTU!$K$7="",$F113=KARTU!$K$7),OR(KARTU!$K$8="",$K113=KARTU!$K$8)),MAX($Z$3:Z112)+1,""))</f>
        <v/>
      </c>
    </row>
    <row r="114" customFormat="false" ht="15" hidden="false" customHeight="false" outlineLevel="0" collapsed="false">
      <c r="A114" s="36" t="str">
        <f aca="false">IF($B114="","",COUNTA($B$4:$B114))</f>
        <v/>
      </c>
      <c r="B114" s="37"/>
      <c r="C114" s="38"/>
      <c r="D114" s="39"/>
      <c r="E114" s="37"/>
      <c r="F114" s="39"/>
      <c r="G114" s="40" t="str">
        <f aca="false">IF(OR($E114="",$F114=""),"",$E114&amp;" - RT "&amp;$F114)</f>
        <v/>
      </c>
      <c r="H114" s="37"/>
      <c r="I114" s="38"/>
      <c r="J114" s="37"/>
      <c r="K114" s="39"/>
      <c r="L114" s="41"/>
      <c r="M114" s="36" t="str">
        <f aca="true">IF(OR($B114="",$L114=""),"",DATEDIF($L114,TODAY(),"Y"))</f>
        <v/>
      </c>
      <c r="N114" s="40" t="str">
        <f aca="false">IF($M114="","",INDEX(usia_label,MATCH($M114,usia_min,1)))</f>
        <v/>
      </c>
      <c r="O114" s="37"/>
      <c r="P114" s="41"/>
      <c r="Q114" s="37"/>
      <c r="R114" s="37"/>
      <c r="S114" s="40" t="str">
        <f aca="false">IF($G114="","",$G114&amp;"#"&amp;COUNTIF($G$4:$G114,$G114))</f>
        <v/>
      </c>
      <c r="T114" s="40" t="str">
        <f aca="false">IF($B114="","",IF($C114="","NIK kosong",IF(LEN($C114)&lt;&gt;16,"NIK bukan 16 digit",IF(COUNTIF($C$4:$C$2003,$C114&amp;"*")&gt;1,"NIK ganda",IF($E114="","Kadus kosong",IF($F114="","RT kosong",IF($H114="","Jabatan kosong",IF($I114="","No. HP kosong",IF($J114="","Alamat kosong",IF(AND($M114&lt;&gt;"",$M114&lt;17),"Usia di bawah 17",""))))))))))</f>
        <v/>
      </c>
      <c r="U114" s="40" t="str">
        <f aca="false">IF($B114="","",IF(AND(OR(CARI!$C$5="",ISNUMBER(SEARCH(CARI!$C$5,$B114&amp;" "&amp;$C114&amp;" "&amp;$I114&amp;" "&amp;$J114&amp;" "&amp;$Q114))),OR(CARI!$C$6="",$E114=CARI!$C$6),OR(CARI!$C$7="",$F114=CARI!$C$7),OR(CARI!$C$8="",$O114=CARI!$C$8)),MAX($U$3:U113)+1,""))</f>
        <v/>
      </c>
      <c r="V114" s="40" t="str">
        <f aca="false">IF($T114="","",MAX($V$3:V113)+1)</f>
        <v/>
      </c>
      <c r="W114" s="40" t="str">
        <f aca="false">IF($E114="","",$E114&amp;"#"&amp;COUNTIF($E$4:$E114,$E114))</f>
        <v/>
      </c>
      <c r="X114" s="40" t="str">
        <f aca="false">IF($B114="","",IF(AND(OR(CETAK!$J$10="",$E114=CETAK!$J$10),OR(CETAK!$J$11="",$F114=CETAK!$J$11),OR(CETAK!$J$12="",$K114=CETAK!$J$12),OR(CETAK!$J$13="",$H114=CETAK!$J$13),OR(CETAK!$J$14="",$O114=CETAK!$J$14)),MAX($X$3:X113)+1,""))</f>
        <v/>
      </c>
      <c r="Y114" s="40" t="str">
        <f aca="false">IF($B114="","",IF(AND(OR(ABSENSI!$H$10="",$E114=ABSENSI!$H$10),OR(ABSENSI!$H$11="",$F114=ABSENSI!$H$11),OR(ABSENSI!$H$12="",$K114=ABSENSI!$H$12)),MAX($Y$3:Y113)+1,""))</f>
        <v/>
      </c>
      <c r="Z114" s="40" t="str">
        <f aca="false">IF($B114="","",IF(AND(OR(KARTU!$K$6="",$E114=KARTU!$K$6),OR(KARTU!$K$7="",$F114=KARTU!$K$7),OR(KARTU!$K$8="",$K114=KARTU!$K$8)),MAX($Z$3:Z113)+1,""))</f>
        <v/>
      </c>
    </row>
    <row r="115" customFormat="false" ht="15" hidden="false" customHeight="false" outlineLevel="0" collapsed="false">
      <c r="A115" s="36" t="str">
        <f aca="false">IF($B115="","",COUNTA($B$4:$B115))</f>
        <v/>
      </c>
      <c r="B115" s="37"/>
      <c r="C115" s="38"/>
      <c r="D115" s="39"/>
      <c r="E115" s="37"/>
      <c r="F115" s="39"/>
      <c r="G115" s="40" t="str">
        <f aca="false">IF(OR($E115="",$F115=""),"",$E115&amp;" - RT "&amp;$F115)</f>
        <v/>
      </c>
      <c r="H115" s="37"/>
      <c r="I115" s="38"/>
      <c r="J115" s="37"/>
      <c r="K115" s="39"/>
      <c r="L115" s="41"/>
      <c r="M115" s="36" t="str">
        <f aca="true">IF(OR($B115="",$L115=""),"",DATEDIF($L115,TODAY(),"Y"))</f>
        <v/>
      </c>
      <c r="N115" s="40" t="str">
        <f aca="false">IF($M115="","",INDEX(usia_label,MATCH($M115,usia_min,1)))</f>
        <v/>
      </c>
      <c r="O115" s="37"/>
      <c r="P115" s="41"/>
      <c r="Q115" s="37"/>
      <c r="R115" s="37"/>
      <c r="S115" s="40" t="str">
        <f aca="false">IF($G115="","",$G115&amp;"#"&amp;COUNTIF($G$4:$G115,$G115))</f>
        <v/>
      </c>
      <c r="T115" s="40" t="str">
        <f aca="false">IF($B115="","",IF($C115="","NIK kosong",IF(LEN($C115)&lt;&gt;16,"NIK bukan 16 digit",IF(COUNTIF($C$4:$C$2003,$C115&amp;"*")&gt;1,"NIK ganda",IF($E115="","Kadus kosong",IF($F115="","RT kosong",IF($H115="","Jabatan kosong",IF($I115="","No. HP kosong",IF($J115="","Alamat kosong",IF(AND($M115&lt;&gt;"",$M115&lt;17),"Usia di bawah 17",""))))))))))</f>
        <v/>
      </c>
      <c r="U115" s="40" t="str">
        <f aca="false">IF($B115="","",IF(AND(OR(CARI!$C$5="",ISNUMBER(SEARCH(CARI!$C$5,$B115&amp;" "&amp;$C115&amp;" "&amp;$I115&amp;" "&amp;$J115&amp;" "&amp;$Q115))),OR(CARI!$C$6="",$E115=CARI!$C$6),OR(CARI!$C$7="",$F115=CARI!$C$7),OR(CARI!$C$8="",$O115=CARI!$C$8)),MAX($U$3:U114)+1,""))</f>
        <v/>
      </c>
      <c r="V115" s="40" t="str">
        <f aca="false">IF($T115="","",MAX($V$3:V114)+1)</f>
        <v/>
      </c>
      <c r="W115" s="40" t="str">
        <f aca="false">IF($E115="","",$E115&amp;"#"&amp;COUNTIF($E$4:$E115,$E115))</f>
        <v/>
      </c>
      <c r="X115" s="40" t="str">
        <f aca="false">IF($B115="","",IF(AND(OR(CETAK!$J$10="",$E115=CETAK!$J$10),OR(CETAK!$J$11="",$F115=CETAK!$J$11),OR(CETAK!$J$12="",$K115=CETAK!$J$12),OR(CETAK!$J$13="",$H115=CETAK!$J$13),OR(CETAK!$J$14="",$O115=CETAK!$J$14)),MAX($X$3:X114)+1,""))</f>
        <v/>
      </c>
      <c r="Y115" s="40" t="str">
        <f aca="false">IF($B115="","",IF(AND(OR(ABSENSI!$H$10="",$E115=ABSENSI!$H$10),OR(ABSENSI!$H$11="",$F115=ABSENSI!$H$11),OR(ABSENSI!$H$12="",$K115=ABSENSI!$H$12)),MAX($Y$3:Y114)+1,""))</f>
        <v/>
      </c>
      <c r="Z115" s="40" t="str">
        <f aca="false">IF($B115="","",IF(AND(OR(KARTU!$K$6="",$E115=KARTU!$K$6),OR(KARTU!$K$7="",$F115=KARTU!$K$7),OR(KARTU!$K$8="",$K115=KARTU!$K$8)),MAX($Z$3:Z114)+1,""))</f>
        <v/>
      </c>
    </row>
    <row r="116" customFormat="false" ht="15" hidden="false" customHeight="false" outlineLevel="0" collapsed="false">
      <c r="A116" s="36" t="str">
        <f aca="false">IF($B116="","",COUNTA($B$4:$B116))</f>
        <v/>
      </c>
      <c r="B116" s="37"/>
      <c r="C116" s="38"/>
      <c r="D116" s="39"/>
      <c r="E116" s="37"/>
      <c r="F116" s="39"/>
      <c r="G116" s="40" t="str">
        <f aca="false">IF(OR($E116="",$F116=""),"",$E116&amp;" - RT "&amp;$F116)</f>
        <v/>
      </c>
      <c r="H116" s="37"/>
      <c r="I116" s="38"/>
      <c r="J116" s="37"/>
      <c r="K116" s="39"/>
      <c r="L116" s="41"/>
      <c r="M116" s="36" t="str">
        <f aca="true">IF(OR($B116="",$L116=""),"",DATEDIF($L116,TODAY(),"Y"))</f>
        <v/>
      </c>
      <c r="N116" s="40" t="str">
        <f aca="false">IF($M116="","",INDEX(usia_label,MATCH($M116,usia_min,1)))</f>
        <v/>
      </c>
      <c r="O116" s="37"/>
      <c r="P116" s="41"/>
      <c r="Q116" s="37"/>
      <c r="R116" s="37"/>
      <c r="S116" s="40" t="str">
        <f aca="false">IF($G116="","",$G116&amp;"#"&amp;COUNTIF($G$4:$G116,$G116))</f>
        <v/>
      </c>
      <c r="T116" s="40" t="str">
        <f aca="false">IF($B116="","",IF($C116="","NIK kosong",IF(LEN($C116)&lt;&gt;16,"NIK bukan 16 digit",IF(COUNTIF($C$4:$C$2003,$C116&amp;"*")&gt;1,"NIK ganda",IF($E116="","Kadus kosong",IF($F116="","RT kosong",IF($H116="","Jabatan kosong",IF($I116="","No. HP kosong",IF($J116="","Alamat kosong",IF(AND($M116&lt;&gt;"",$M116&lt;17),"Usia di bawah 17",""))))))))))</f>
        <v/>
      </c>
      <c r="U116" s="40" t="str">
        <f aca="false">IF($B116="","",IF(AND(OR(CARI!$C$5="",ISNUMBER(SEARCH(CARI!$C$5,$B116&amp;" "&amp;$C116&amp;" "&amp;$I116&amp;" "&amp;$J116&amp;" "&amp;$Q116))),OR(CARI!$C$6="",$E116=CARI!$C$6),OR(CARI!$C$7="",$F116=CARI!$C$7),OR(CARI!$C$8="",$O116=CARI!$C$8)),MAX($U$3:U115)+1,""))</f>
        <v/>
      </c>
      <c r="V116" s="40" t="str">
        <f aca="false">IF($T116="","",MAX($V$3:V115)+1)</f>
        <v/>
      </c>
      <c r="W116" s="40" t="str">
        <f aca="false">IF($E116="","",$E116&amp;"#"&amp;COUNTIF($E$4:$E116,$E116))</f>
        <v/>
      </c>
      <c r="X116" s="40" t="str">
        <f aca="false">IF($B116="","",IF(AND(OR(CETAK!$J$10="",$E116=CETAK!$J$10),OR(CETAK!$J$11="",$F116=CETAK!$J$11),OR(CETAK!$J$12="",$K116=CETAK!$J$12),OR(CETAK!$J$13="",$H116=CETAK!$J$13),OR(CETAK!$J$14="",$O116=CETAK!$J$14)),MAX($X$3:X115)+1,""))</f>
        <v/>
      </c>
      <c r="Y116" s="40" t="str">
        <f aca="false">IF($B116="","",IF(AND(OR(ABSENSI!$H$10="",$E116=ABSENSI!$H$10),OR(ABSENSI!$H$11="",$F116=ABSENSI!$H$11),OR(ABSENSI!$H$12="",$K116=ABSENSI!$H$12)),MAX($Y$3:Y115)+1,""))</f>
        <v/>
      </c>
      <c r="Z116" s="40" t="str">
        <f aca="false">IF($B116="","",IF(AND(OR(KARTU!$K$6="",$E116=KARTU!$K$6),OR(KARTU!$K$7="",$F116=KARTU!$K$7),OR(KARTU!$K$8="",$K116=KARTU!$K$8)),MAX($Z$3:Z115)+1,""))</f>
        <v/>
      </c>
    </row>
    <row r="117" customFormat="false" ht="15" hidden="false" customHeight="false" outlineLevel="0" collapsed="false">
      <c r="A117" s="36" t="str">
        <f aca="false">IF($B117="","",COUNTA($B$4:$B117))</f>
        <v/>
      </c>
      <c r="B117" s="37"/>
      <c r="C117" s="38"/>
      <c r="D117" s="39"/>
      <c r="E117" s="37"/>
      <c r="F117" s="39"/>
      <c r="G117" s="40" t="str">
        <f aca="false">IF(OR($E117="",$F117=""),"",$E117&amp;" - RT "&amp;$F117)</f>
        <v/>
      </c>
      <c r="H117" s="37"/>
      <c r="I117" s="38"/>
      <c r="J117" s="37"/>
      <c r="K117" s="39"/>
      <c r="L117" s="41"/>
      <c r="M117" s="36" t="str">
        <f aca="true">IF(OR($B117="",$L117=""),"",DATEDIF($L117,TODAY(),"Y"))</f>
        <v/>
      </c>
      <c r="N117" s="40" t="str">
        <f aca="false">IF($M117="","",INDEX(usia_label,MATCH($M117,usia_min,1)))</f>
        <v/>
      </c>
      <c r="O117" s="37"/>
      <c r="P117" s="41"/>
      <c r="Q117" s="37"/>
      <c r="R117" s="37"/>
      <c r="S117" s="40" t="str">
        <f aca="false">IF($G117="","",$G117&amp;"#"&amp;COUNTIF($G$4:$G117,$G117))</f>
        <v/>
      </c>
      <c r="T117" s="40" t="str">
        <f aca="false">IF($B117="","",IF($C117="","NIK kosong",IF(LEN($C117)&lt;&gt;16,"NIK bukan 16 digit",IF(COUNTIF($C$4:$C$2003,$C117&amp;"*")&gt;1,"NIK ganda",IF($E117="","Kadus kosong",IF($F117="","RT kosong",IF($H117="","Jabatan kosong",IF($I117="","No. HP kosong",IF($J117="","Alamat kosong",IF(AND($M117&lt;&gt;"",$M117&lt;17),"Usia di bawah 17",""))))))))))</f>
        <v/>
      </c>
      <c r="U117" s="40" t="str">
        <f aca="false">IF($B117="","",IF(AND(OR(CARI!$C$5="",ISNUMBER(SEARCH(CARI!$C$5,$B117&amp;" "&amp;$C117&amp;" "&amp;$I117&amp;" "&amp;$J117&amp;" "&amp;$Q117))),OR(CARI!$C$6="",$E117=CARI!$C$6),OR(CARI!$C$7="",$F117=CARI!$C$7),OR(CARI!$C$8="",$O117=CARI!$C$8)),MAX($U$3:U116)+1,""))</f>
        <v/>
      </c>
      <c r="V117" s="40" t="str">
        <f aca="false">IF($T117="","",MAX($V$3:V116)+1)</f>
        <v/>
      </c>
      <c r="W117" s="40" t="str">
        <f aca="false">IF($E117="","",$E117&amp;"#"&amp;COUNTIF($E$4:$E117,$E117))</f>
        <v/>
      </c>
      <c r="X117" s="40" t="str">
        <f aca="false">IF($B117="","",IF(AND(OR(CETAK!$J$10="",$E117=CETAK!$J$10),OR(CETAK!$J$11="",$F117=CETAK!$J$11),OR(CETAK!$J$12="",$K117=CETAK!$J$12),OR(CETAK!$J$13="",$H117=CETAK!$J$13),OR(CETAK!$J$14="",$O117=CETAK!$J$14)),MAX($X$3:X116)+1,""))</f>
        <v/>
      </c>
      <c r="Y117" s="40" t="str">
        <f aca="false">IF($B117="","",IF(AND(OR(ABSENSI!$H$10="",$E117=ABSENSI!$H$10),OR(ABSENSI!$H$11="",$F117=ABSENSI!$H$11),OR(ABSENSI!$H$12="",$K117=ABSENSI!$H$12)),MAX($Y$3:Y116)+1,""))</f>
        <v/>
      </c>
      <c r="Z117" s="40" t="str">
        <f aca="false">IF($B117="","",IF(AND(OR(KARTU!$K$6="",$E117=KARTU!$K$6),OR(KARTU!$K$7="",$F117=KARTU!$K$7),OR(KARTU!$K$8="",$K117=KARTU!$K$8)),MAX($Z$3:Z116)+1,""))</f>
        <v/>
      </c>
    </row>
    <row r="118" customFormat="false" ht="15" hidden="false" customHeight="false" outlineLevel="0" collapsed="false">
      <c r="A118" s="36" t="str">
        <f aca="false">IF($B118="","",COUNTA($B$4:$B118))</f>
        <v/>
      </c>
      <c r="B118" s="37"/>
      <c r="C118" s="38"/>
      <c r="D118" s="39"/>
      <c r="E118" s="37"/>
      <c r="F118" s="39"/>
      <c r="G118" s="40" t="str">
        <f aca="false">IF(OR($E118="",$F118=""),"",$E118&amp;" - RT "&amp;$F118)</f>
        <v/>
      </c>
      <c r="H118" s="37"/>
      <c r="I118" s="38"/>
      <c r="J118" s="37"/>
      <c r="K118" s="39"/>
      <c r="L118" s="41"/>
      <c r="M118" s="36" t="str">
        <f aca="true">IF(OR($B118="",$L118=""),"",DATEDIF($L118,TODAY(),"Y"))</f>
        <v/>
      </c>
      <c r="N118" s="40" t="str">
        <f aca="false">IF($M118="","",INDEX(usia_label,MATCH($M118,usia_min,1)))</f>
        <v/>
      </c>
      <c r="O118" s="37"/>
      <c r="P118" s="41"/>
      <c r="Q118" s="37"/>
      <c r="R118" s="37"/>
      <c r="S118" s="40" t="str">
        <f aca="false">IF($G118="","",$G118&amp;"#"&amp;COUNTIF($G$4:$G118,$G118))</f>
        <v/>
      </c>
      <c r="T118" s="40" t="str">
        <f aca="false">IF($B118="","",IF($C118="","NIK kosong",IF(LEN($C118)&lt;&gt;16,"NIK bukan 16 digit",IF(COUNTIF($C$4:$C$2003,$C118&amp;"*")&gt;1,"NIK ganda",IF($E118="","Kadus kosong",IF($F118="","RT kosong",IF($H118="","Jabatan kosong",IF($I118="","No. HP kosong",IF($J118="","Alamat kosong",IF(AND($M118&lt;&gt;"",$M118&lt;17),"Usia di bawah 17",""))))))))))</f>
        <v/>
      </c>
      <c r="U118" s="40" t="str">
        <f aca="false">IF($B118="","",IF(AND(OR(CARI!$C$5="",ISNUMBER(SEARCH(CARI!$C$5,$B118&amp;" "&amp;$C118&amp;" "&amp;$I118&amp;" "&amp;$J118&amp;" "&amp;$Q118))),OR(CARI!$C$6="",$E118=CARI!$C$6),OR(CARI!$C$7="",$F118=CARI!$C$7),OR(CARI!$C$8="",$O118=CARI!$C$8)),MAX($U$3:U117)+1,""))</f>
        <v/>
      </c>
      <c r="V118" s="40" t="str">
        <f aca="false">IF($T118="","",MAX($V$3:V117)+1)</f>
        <v/>
      </c>
      <c r="W118" s="40" t="str">
        <f aca="false">IF($E118="","",$E118&amp;"#"&amp;COUNTIF($E$4:$E118,$E118))</f>
        <v/>
      </c>
      <c r="X118" s="40" t="str">
        <f aca="false">IF($B118="","",IF(AND(OR(CETAK!$J$10="",$E118=CETAK!$J$10),OR(CETAK!$J$11="",$F118=CETAK!$J$11),OR(CETAK!$J$12="",$K118=CETAK!$J$12),OR(CETAK!$J$13="",$H118=CETAK!$J$13),OR(CETAK!$J$14="",$O118=CETAK!$J$14)),MAX($X$3:X117)+1,""))</f>
        <v/>
      </c>
      <c r="Y118" s="40" t="str">
        <f aca="false">IF($B118="","",IF(AND(OR(ABSENSI!$H$10="",$E118=ABSENSI!$H$10),OR(ABSENSI!$H$11="",$F118=ABSENSI!$H$11),OR(ABSENSI!$H$12="",$K118=ABSENSI!$H$12)),MAX($Y$3:Y117)+1,""))</f>
        <v/>
      </c>
      <c r="Z118" s="40" t="str">
        <f aca="false">IF($B118="","",IF(AND(OR(KARTU!$K$6="",$E118=KARTU!$K$6),OR(KARTU!$K$7="",$F118=KARTU!$K$7),OR(KARTU!$K$8="",$K118=KARTU!$K$8)),MAX($Z$3:Z117)+1,""))</f>
        <v/>
      </c>
    </row>
    <row r="119" customFormat="false" ht="15" hidden="false" customHeight="false" outlineLevel="0" collapsed="false">
      <c r="A119" s="36" t="str">
        <f aca="false">IF($B119="","",COUNTA($B$4:$B119))</f>
        <v/>
      </c>
      <c r="B119" s="37"/>
      <c r="C119" s="38"/>
      <c r="D119" s="39"/>
      <c r="E119" s="37"/>
      <c r="F119" s="39"/>
      <c r="G119" s="40" t="str">
        <f aca="false">IF(OR($E119="",$F119=""),"",$E119&amp;" - RT "&amp;$F119)</f>
        <v/>
      </c>
      <c r="H119" s="37"/>
      <c r="I119" s="38"/>
      <c r="J119" s="37"/>
      <c r="K119" s="39"/>
      <c r="L119" s="41"/>
      <c r="M119" s="36" t="str">
        <f aca="true">IF(OR($B119="",$L119=""),"",DATEDIF($L119,TODAY(),"Y"))</f>
        <v/>
      </c>
      <c r="N119" s="40" t="str">
        <f aca="false">IF($M119="","",INDEX(usia_label,MATCH($M119,usia_min,1)))</f>
        <v/>
      </c>
      <c r="O119" s="37"/>
      <c r="P119" s="41"/>
      <c r="Q119" s="37"/>
      <c r="R119" s="37"/>
      <c r="S119" s="40" t="str">
        <f aca="false">IF($G119="","",$G119&amp;"#"&amp;COUNTIF($G$4:$G119,$G119))</f>
        <v/>
      </c>
      <c r="T119" s="40" t="str">
        <f aca="false">IF($B119="","",IF($C119="","NIK kosong",IF(LEN($C119)&lt;&gt;16,"NIK bukan 16 digit",IF(COUNTIF($C$4:$C$2003,$C119&amp;"*")&gt;1,"NIK ganda",IF($E119="","Kadus kosong",IF($F119="","RT kosong",IF($H119="","Jabatan kosong",IF($I119="","No. HP kosong",IF($J119="","Alamat kosong",IF(AND($M119&lt;&gt;"",$M119&lt;17),"Usia di bawah 17",""))))))))))</f>
        <v/>
      </c>
      <c r="U119" s="40" t="str">
        <f aca="false">IF($B119="","",IF(AND(OR(CARI!$C$5="",ISNUMBER(SEARCH(CARI!$C$5,$B119&amp;" "&amp;$C119&amp;" "&amp;$I119&amp;" "&amp;$J119&amp;" "&amp;$Q119))),OR(CARI!$C$6="",$E119=CARI!$C$6),OR(CARI!$C$7="",$F119=CARI!$C$7),OR(CARI!$C$8="",$O119=CARI!$C$8)),MAX($U$3:U118)+1,""))</f>
        <v/>
      </c>
      <c r="V119" s="40" t="str">
        <f aca="false">IF($T119="","",MAX($V$3:V118)+1)</f>
        <v/>
      </c>
      <c r="W119" s="40" t="str">
        <f aca="false">IF($E119="","",$E119&amp;"#"&amp;COUNTIF($E$4:$E119,$E119))</f>
        <v/>
      </c>
      <c r="X119" s="40" t="str">
        <f aca="false">IF($B119="","",IF(AND(OR(CETAK!$J$10="",$E119=CETAK!$J$10),OR(CETAK!$J$11="",$F119=CETAK!$J$11),OR(CETAK!$J$12="",$K119=CETAK!$J$12),OR(CETAK!$J$13="",$H119=CETAK!$J$13),OR(CETAK!$J$14="",$O119=CETAK!$J$14)),MAX($X$3:X118)+1,""))</f>
        <v/>
      </c>
      <c r="Y119" s="40" t="str">
        <f aca="false">IF($B119="","",IF(AND(OR(ABSENSI!$H$10="",$E119=ABSENSI!$H$10),OR(ABSENSI!$H$11="",$F119=ABSENSI!$H$11),OR(ABSENSI!$H$12="",$K119=ABSENSI!$H$12)),MAX($Y$3:Y118)+1,""))</f>
        <v/>
      </c>
      <c r="Z119" s="40" t="str">
        <f aca="false">IF($B119="","",IF(AND(OR(KARTU!$K$6="",$E119=KARTU!$K$6),OR(KARTU!$K$7="",$F119=KARTU!$K$7),OR(KARTU!$K$8="",$K119=KARTU!$K$8)),MAX($Z$3:Z118)+1,""))</f>
        <v/>
      </c>
    </row>
    <row r="120" customFormat="false" ht="15" hidden="false" customHeight="false" outlineLevel="0" collapsed="false">
      <c r="A120" s="36" t="str">
        <f aca="false">IF($B120="","",COUNTA($B$4:$B120))</f>
        <v/>
      </c>
      <c r="B120" s="37"/>
      <c r="C120" s="38"/>
      <c r="D120" s="39"/>
      <c r="E120" s="37"/>
      <c r="F120" s="39"/>
      <c r="G120" s="40" t="str">
        <f aca="false">IF(OR($E120="",$F120=""),"",$E120&amp;" - RT "&amp;$F120)</f>
        <v/>
      </c>
      <c r="H120" s="37"/>
      <c r="I120" s="38"/>
      <c r="J120" s="37"/>
      <c r="K120" s="39"/>
      <c r="L120" s="41"/>
      <c r="M120" s="36" t="str">
        <f aca="true">IF(OR($B120="",$L120=""),"",DATEDIF($L120,TODAY(),"Y"))</f>
        <v/>
      </c>
      <c r="N120" s="40" t="str">
        <f aca="false">IF($M120="","",INDEX(usia_label,MATCH($M120,usia_min,1)))</f>
        <v/>
      </c>
      <c r="O120" s="37"/>
      <c r="P120" s="41"/>
      <c r="Q120" s="37"/>
      <c r="R120" s="37"/>
      <c r="S120" s="40" t="str">
        <f aca="false">IF($G120="","",$G120&amp;"#"&amp;COUNTIF($G$4:$G120,$G120))</f>
        <v/>
      </c>
      <c r="T120" s="40" t="str">
        <f aca="false">IF($B120="","",IF($C120="","NIK kosong",IF(LEN($C120)&lt;&gt;16,"NIK bukan 16 digit",IF(COUNTIF($C$4:$C$2003,$C120&amp;"*")&gt;1,"NIK ganda",IF($E120="","Kadus kosong",IF($F120="","RT kosong",IF($H120="","Jabatan kosong",IF($I120="","No. HP kosong",IF($J120="","Alamat kosong",IF(AND($M120&lt;&gt;"",$M120&lt;17),"Usia di bawah 17",""))))))))))</f>
        <v/>
      </c>
      <c r="U120" s="40" t="str">
        <f aca="false">IF($B120="","",IF(AND(OR(CARI!$C$5="",ISNUMBER(SEARCH(CARI!$C$5,$B120&amp;" "&amp;$C120&amp;" "&amp;$I120&amp;" "&amp;$J120&amp;" "&amp;$Q120))),OR(CARI!$C$6="",$E120=CARI!$C$6),OR(CARI!$C$7="",$F120=CARI!$C$7),OR(CARI!$C$8="",$O120=CARI!$C$8)),MAX($U$3:U119)+1,""))</f>
        <v/>
      </c>
      <c r="V120" s="40" t="str">
        <f aca="false">IF($T120="","",MAX($V$3:V119)+1)</f>
        <v/>
      </c>
      <c r="W120" s="40" t="str">
        <f aca="false">IF($E120="","",$E120&amp;"#"&amp;COUNTIF($E$4:$E120,$E120))</f>
        <v/>
      </c>
      <c r="X120" s="40" t="str">
        <f aca="false">IF($B120="","",IF(AND(OR(CETAK!$J$10="",$E120=CETAK!$J$10),OR(CETAK!$J$11="",$F120=CETAK!$J$11),OR(CETAK!$J$12="",$K120=CETAK!$J$12),OR(CETAK!$J$13="",$H120=CETAK!$J$13),OR(CETAK!$J$14="",$O120=CETAK!$J$14)),MAX($X$3:X119)+1,""))</f>
        <v/>
      </c>
      <c r="Y120" s="40" t="str">
        <f aca="false">IF($B120="","",IF(AND(OR(ABSENSI!$H$10="",$E120=ABSENSI!$H$10),OR(ABSENSI!$H$11="",$F120=ABSENSI!$H$11),OR(ABSENSI!$H$12="",$K120=ABSENSI!$H$12)),MAX($Y$3:Y119)+1,""))</f>
        <v/>
      </c>
      <c r="Z120" s="40" t="str">
        <f aca="false">IF($B120="","",IF(AND(OR(KARTU!$K$6="",$E120=KARTU!$K$6),OR(KARTU!$K$7="",$F120=KARTU!$K$7),OR(KARTU!$K$8="",$K120=KARTU!$K$8)),MAX($Z$3:Z119)+1,""))</f>
        <v/>
      </c>
    </row>
    <row r="121" customFormat="false" ht="15" hidden="false" customHeight="false" outlineLevel="0" collapsed="false">
      <c r="A121" s="36" t="str">
        <f aca="false">IF($B121="","",COUNTA($B$4:$B121))</f>
        <v/>
      </c>
      <c r="B121" s="37"/>
      <c r="C121" s="38"/>
      <c r="D121" s="39"/>
      <c r="E121" s="37"/>
      <c r="F121" s="39"/>
      <c r="G121" s="40" t="str">
        <f aca="false">IF(OR($E121="",$F121=""),"",$E121&amp;" - RT "&amp;$F121)</f>
        <v/>
      </c>
      <c r="H121" s="37"/>
      <c r="I121" s="38"/>
      <c r="J121" s="37"/>
      <c r="K121" s="39"/>
      <c r="L121" s="41"/>
      <c r="M121" s="36" t="str">
        <f aca="true">IF(OR($B121="",$L121=""),"",DATEDIF($L121,TODAY(),"Y"))</f>
        <v/>
      </c>
      <c r="N121" s="40" t="str">
        <f aca="false">IF($M121="","",INDEX(usia_label,MATCH($M121,usia_min,1)))</f>
        <v/>
      </c>
      <c r="O121" s="37"/>
      <c r="P121" s="41"/>
      <c r="Q121" s="37"/>
      <c r="R121" s="37"/>
      <c r="S121" s="40" t="str">
        <f aca="false">IF($G121="","",$G121&amp;"#"&amp;COUNTIF($G$4:$G121,$G121))</f>
        <v/>
      </c>
      <c r="T121" s="40" t="str">
        <f aca="false">IF($B121="","",IF($C121="","NIK kosong",IF(LEN($C121)&lt;&gt;16,"NIK bukan 16 digit",IF(COUNTIF($C$4:$C$2003,$C121&amp;"*")&gt;1,"NIK ganda",IF($E121="","Kadus kosong",IF($F121="","RT kosong",IF($H121="","Jabatan kosong",IF($I121="","No. HP kosong",IF($J121="","Alamat kosong",IF(AND($M121&lt;&gt;"",$M121&lt;17),"Usia di bawah 17",""))))))))))</f>
        <v/>
      </c>
      <c r="U121" s="40" t="str">
        <f aca="false">IF($B121="","",IF(AND(OR(CARI!$C$5="",ISNUMBER(SEARCH(CARI!$C$5,$B121&amp;" "&amp;$C121&amp;" "&amp;$I121&amp;" "&amp;$J121&amp;" "&amp;$Q121))),OR(CARI!$C$6="",$E121=CARI!$C$6),OR(CARI!$C$7="",$F121=CARI!$C$7),OR(CARI!$C$8="",$O121=CARI!$C$8)),MAX($U$3:U120)+1,""))</f>
        <v/>
      </c>
      <c r="V121" s="40" t="str">
        <f aca="false">IF($T121="","",MAX($V$3:V120)+1)</f>
        <v/>
      </c>
      <c r="W121" s="40" t="str">
        <f aca="false">IF($E121="","",$E121&amp;"#"&amp;COUNTIF($E$4:$E121,$E121))</f>
        <v/>
      </c>
      <c r="X121" s="40" t="str">
        <f aca="false">IF($B121="","",IF(AND(OR(CETAK!$J$10="",$E121=CETAK!$J$10),OR(CETAK!$J$11="",$F121=CETAK!$J$11),OR(CETAK!$J$12="",$K121=CETAK!$J$12),OR(CETAK!$J$13="",$H121=CETAK!$J$13),OR(CETAK!$J$14="",$O121=CETAK!$J$14)),MAX($X$3:X120)+1,""))</f>
        <v/>
      </c>
      <c r="Y121" s="40" t="str">
        <f aca="false">IF($B121="","",IF(AND(OR(ABSENSI!$H$10="",$E121=ABSENSI!$H$10),OR(ABSENSI!$H$11="",$F121=ABSENSI!$H$11),OR(ABSENSI!$H$12="",$K121=ABSENSI!$H$12)),MAX($Y$3:Y120)+1,""))</f>
        <v/>
      </c>
      <c r="Z121" s="40" t="str">
        <f aca="false">IF($B121="","",IF(AND(OR(KARTU!$K$6="",$E121=KARTU!$K$6),OR(KARTU!$K$7="",$F121=KARTU!$K$7),OR(KARTU!$K$8="",$K121=KARTU!$K$8)),MAX($Z$3:Z120)+1,""))</f>
        <v/>
      </c>
    </row>
    <row r="122" customFormat="false" ht="15" hidden="false" customHeight="false" outlineLevel="0" collapsed="false">
      <c r="A122" s="36" t="str">
        <f aca="false">IF($B122="","",COUNTA($B$4:$B122))</f>
        <v/>
      </c>
      <c r="B122" s="37"/>
      <c r="C122" s="38"/>
      <c r="D122" s="39"/>
      <c r="E122" s="37"/>
      <c r="F122" s="39"/>
      <c r="G122" s="40" t="str">
        <f aca="false">IF(OR($E122="",$F122=""),"",$E122&amp;" - RT "&amp;$F122)</f>
        <v/>
      </c>
      <c r="H122" s="37"/>
      <c r="I122" s="38"/>
      <c r="J122" s="37"/>
      <c r="K122" s="39"/>
      <c r="L122" s="41"/>
      <c r="M122" s="36" t="str">
        <f aca="true">IF(OR($B122="",$L122=""),"",DATEDIF($L122,TODAY(),"Y"))</f>
        <v/>
      </c>
      <c r="N122" s="40" t="str">
        <f aca="false">IF($M122="","",INDEX(usia_label,MATCH($M122,usia_min,1)))</f>
        <v/>
      </c>
      <c r="O122" s="37"/>
      <c r="P122" s="41"/>
      <c r="Q122" s="37"/>
      <c r="R122" s="37"/>
      <c r="S122" s="40" t="str">
        <f aca="false">IF($G122="","",$G122&amp;"#"&amp;COUNTIF($G$4:$G122,$G122))</f>
        <v/>
      </c>
      <c r="T122" s="40" t="str">
        <f aca="false">IF($B122="","",IF($C122="","NIK kosong",IF(LEN($C122)&lt;&gt;16,"NIK bukan 16 digit",IF(COUNTIF($C$4:$C$2003,$C122&amp;"*")&gt;1,"NIK ganda",IF($E122="","Kadus kosong",IF($F122="","RT kosong",IF($H122="","Jabatan kosong",IF($I122="","No. HP kosong",IF($J122="","Alamat kosong",IF(AND($M122&lt;&gt;"",$M122&lt;17),"Usia di bawah 17",""))))))))))</f>
        <v/>
      </c>
      <c r="U122" s="40" t="str">
        <f aca="false">IF($B122="","",IF(AND(OR(CARI!$C$5="",ISNUMBER(SEARCH(CARI!$C$5,$B122&amp;" "&amp;$C122&amp;" "&amp;$I122&amp;" "&amp;$J122&amp;" "&amp;$Q122))),OR(CARI!$C$6="",$E122=CARI!$C$6),OR(CARI!$C$7="",$F122=CARI!$C$7),OR(CARI!$C$8="",$O122=CARI!$C$8)),MAX($U$3:U121)+1,""))</f>
        <v/>
      </c>
      <c r="V122" s="40" t="str">
        <f aca="false">IF($T122="","",MAX($V$3:V121)+1)</f>
        <v/>
      </c>
      <c r="W122" s="40" t="str">
        <f aca="false">IF($E122="","",$E122&amp;"#"&amp;COUNTIF($E$4:$E122,$E122))</f>
        <v/>
      </c>
      <c r="X122" s="40" t="str">
        <f aca="false">IF($B122="","",IF(AND(OR(CETAK!$J$10="",$E122=CETAK!$J$10),OR(CETAK!$J$11="",$F122=CETAK!$J$11),OR(CETAK!$J$12="",$K122=CETAK!$J$12),OR(CETAK!$J$13="",$H122=CETAK!$J$13),OR(CETAK!$J$14="",$O122=CETAK!$J$14)),MAX($X$3:X121)+1,""))</f>
        <v/>
      </c>
      <c r="Y122" s="40" t="str">
        <f aca="false">IF($B122="","",IF(AND(OR(ABSENSI!$H$10="",$E122=ABSENSI!$H$10),OR(ABSENSI!$H$11="",$F122=ABSENSI!$H$11),OR(ABSENSI!$H$12="",$K122=ABSENSI!$H$12)),MAX($Y$3:Y121)+1,""))</f>
        <v/>
      </c>
      <c r="Z122" s="40" t="str">
        <f aca="false">IF($B122="","",IF(AND(OR(KARTU!$K$6="",$E122=KARTU!$K$6),OR(KARTU!$K$7="",$F122=KARTU!$K$7),OR(KARTU!$K$8="",$K122=KARTU!$K$8)),MAX($Z$3:Z121)+1,""))</f>
        <v/>
      </c>
    </row>
    <row r="123" customFormat="false" ht="15" hidden="false" customHeight="false" outlineLevel="0" collapsed="false">
      <c r="A123" s="36" t="str">
        <f aca="false">IF($B123="","",COUNTA($B$4:$B123))</f>
        <v/>
      </c>
      <c r="B123" s="37"/>
      <c r="C123" s="38"/>
      <c r="D123" s="39"/>
      <c r="E123" s="37"/>
      <c r="F123" s="39"/>
      <c r="G123" s="40" t="str">
        <f aca="false">IF(OR($E123="",$F123=""),"",$E123&amp;" - RT "&amp;$F123)</f>
        <v/>
      </c>
      <c r="H123" s="37"/>
      <c r="I123" s="38"/>
      <c r="J123" s="37"/>
      <c r="K123" s="39"/>
      <c r="L123" s="41"/>
      <c r="M123" s="36" t="str">
        <f aca="true">IF(OR($B123="",$L123=""),"",DATEDIF($L123,TODAY(),"Y"))</f>
        <v/>
      </c>
      <c r="N123" s="40" t="str">
        <f aca="false">IF($M123="","",INDEX(usia_label,MATCH($M123,usia_min,1)))</f>
        <v/>
      </c>
      <c r="O123" s="37"/>
      <c r="P123" s="41"/>
      <c r="Q123" s="37"/>
      <c r="R123" s="37"/>
      <c r="S123" s="40" t="str">
        <f aca="false">IF($G123="","",$G123&amp;"#"&amp;COUNTIF($G$4:$G123,$G123))</f>
        <v/>
      </c>
      <c r="T123" s="40" t="str">
        <f aca="false">IF($B123="","",IF($C123="","NIK kosong",IF(LEN($C123)&lt;&gt;16,"NIK bukan 16 digit",IF(COUNTIF($C$4:$C$2003,$C123&amp;"*")&gt;1,"NIK ganda",IF($E123="","Kadus kosong",IF($F123="","RT kosong",IF($H123="","Jabatan kosong",IF($I123="","No. HP kosong",IF($J123="","Alamat kosong",IF(AND($M123&lt;&gt;"",$M123&lt;17),"Usia di bawah 17",""))))))))))</f>
        <v/>
      </c>
      <c r="U123" s="40" t="str">
        <f aca="false">IF($B123="","",IF(AND(OR(CARI!$C$5="",ISNUMBER(SEARCH(CARI!$C$5,$B123&amp;" "&amp;$C123&amp;" "&amp;$I123&amp;" "&amp;$J123&amp;" "&amp;$Q123))),OR(CARI!$C$6="",$E123=CARI!$C$6),OR(CARI!$C$7="",$F123=CARI!$C$7),OR(CARI!$C$8="",$O123=CARI!$C$8)),MAX($U$3:U122)+1,""))</f>
        <v/>
      </c>
      <c r="V123" s="40" t="str">
        <f aca="false">IF($T123="","",MAX($V$3:V122)+1)</f>
        <v/>
      </c>
      <c r="W123" s="40" t="str">
        <f aca="false">IF($E123="","",$E123&amp;"#"&amp;COUNTIF($E$4:$E123,$E123))</f>
        <v/>
      </c>
      <c r="X123" s="40" t="str">
        <f aca="false">IF($B123="","",IF(AND(OR(CETAK!$J$10="",$E123=CETAK!$J$10),OR(CETAK!$J$11="",$F123=CETAK!$J$11),OR(CETAK!$J$12="",$K123=CETAK!$J$12),OR(CETAK!$J$13="",$H123=CETAK!$J$13),OR(CETAK!$J$14="",$O123=CETAK!$J$14)),MAX($X$3:X122)+1,""))</f>
        <v/>
      </c>
      <c r="Y123" s="40" t="str">
        <f aca="false">IF($B123="","",IF(AND(OR(ABSENSI!$H$10="",$E123=ABSENSI!$H$10),OR(ABSENSI!$H$11="",$F123=ABSENSI!$H$11),OR(ABSENSI!$H$12="",$K123=ABSENSI!$H$12)),MAX($Y$3:Y122)+1,""))</f>
        <v/>
      </c>
      <c r="Z123" s="40" t="str">
        <f aca="false">IF($B123="","",IF(AND(OR(KARTU!$K$6="",$E123=KARTU!$K$6),OR(KARTU!$K$7="",$F123=KARTU!$K$7),OR(KARTU!$K$8="",$K123=KARTU!$K$8)),MAX($Z$3:Z122)+1,""))</f>
        <v/>
      </c>
    </row>
    <row r="124" customFormat="false" ht="15" hidden="false" customHeight="false" outlineLevel="0" collapsed="false">
      <c r="A124" s="36" t="str">
        <f aca="false">IF($B124="","",COUNTA($B$4:$B124))</f>
        <v/>
      </c>
      <c r="B124" s="37"/>
      <c r="C124" s="38"/>
      <c r="D124" s="39"/>
      <c r="E124" s="37"/>
      <c r="F124" s="39"/>
      <c r="G124" s="40" t="str">
        <f aca="false">IF(OR($E124="",$F124=""),"",$E124&amp;" - RT "&amp;$F124)</f>
        <v/>
      </c>
      <c r="H124" s="37"/>
      <c r="I124" s="38"/>
      <c r="J124" s="37"/>
      <c r="K124" s="39"/>
      <c r="L124" s="41"/>
      <c r="M124" s="36" t="str">
        <f aca="true">IF(OR($B124="",$L124=""),"",DATEDIF($L124,TODAY(),"Y"))</f>
        <v/>
      </c>
      <c r="N124" s="40" t="str">
        <f aca="false">IF($M124="","",INDEX(usia_label,MATCH($M124,usia_min,1)))</f>
        <v/>
      </c>
      <c r="O124" s="37"/>
      <c r="P124" s="41"/>
      <c r="Q124" s="37"/>
      <c r="R124" s="37"/>
      <c r="S124" s="40" t="str">
        <f aca="false">IF($G124="","",$G124&amp;"#"&amp;COUNTIF($G$4:$G124,$G124))</f>
        <v/>
      </c>
      <c r="T124" s="40" t="str">
        <f aca="false">IF($B124="","",IF($C124="","NIK kosong",IF(LEN($C124)&lt;&gt;16,"NIK bukan 16 digit",IF(COUNTIF($C$4:$C$2003,$C124&amp;"*")&gt;1,"NIK ganda",IF($E124="","Kadus kosong",IF($F124="","RT kosong",IF($H124="","Jabatan kosong",IF($I124="","No. HP kosong",IF($J124="","Alamat kosong",IF(AND($M124&lt;&gt;"",$M124&lt;17),"Usia di bawah 17",""))))))))))</f>
        <v/>
      </c>
      <c r="U124" s="40" t="str">
        <f aca="false">IF($B124="","",IF(AND(OR(CARI!$C$5="",ISNUMBER(SEARCH(CARI!$C$5,$B124&amp;" "&amp;$C124&amp;" "&amp;$I124&amp;" "&amp;$J124&amp;" "&amp;$Q124))),OR(CARI!$C$6="",$E124=CARI!$C$6),OR(CARI!$C$7="",$F124=CARI!$C$7),OR(CARI!$C$8="",$O124=CARI!$C$8)),MAX($U$3:U123)+1,""))</f>
        <v/>
      </c>
      <c r="V124" s="40" t="str">
        <f aca="false">IF($T124="","",MAX($V$3:V123)+1)</f>
        <v/>
      </c>
      <c r="W124" s="40" t="str">
        <f aca="false">IF($E124="","",$E124&amp;"#"&amp;COUNTIF($E$4:$E124,$E124))</f>
        <v/>
      </c>
      <c r="X124" s="40" t="str">
        <f aca="false">IF($B124="","",IF(AND(OR(CETAK!$J$10="",$E124=CETAK!$J$10),OR(CETAK!$J$11="",$F124=CETAK!$J$11),OR(CETAK!$J$12="",$K124=CETAK!$J$12),OR(CETAK!$J$13="",$H124=CETAK!$J$13),OR(CETAK!$J$14="",$O124=CETAK!$J$14)),MAX($X$3:X123)+1,""))</f>
        <v/>
      </c>
      <c r="Y124" s="40" t="str">
        <f aca="false">IF($B124="","",IF(AND(OR(ABSENSI!$H$10="",$E124=ABSENSI!$H$10),OR(ABSENSI!$H$11="",$F124=ABSENSI!$H$11),OR(ABSENSI!$H$12="",$K124=ABSENSI!$H$12)),MAX($Y$3:Y123)+1,""))</f>
        <v/>
      </c>
      <c r="Z124" s="40" t="str">
        <f aca="false">IF($B124="","",IF(AND(OR(KARTU!$K$6="",$E124=KARTU!$K$6),OR(KARTU!$K$7="",$F124=KARTU!$K$7),OR(KARTU!$K$8="",$K124=KARTU!$K$8)),MAX($Z$3:Z123)+1,""))</f>
        <v/>
      </c>
    </row>
    <row r="125" customFormat="false" ht="15" hidden="false" customHeight="false" outlineLevel="0" collapsed="false">
      <c r="A125" s="36" t="str">
        <f aca="false">IF($B125="","",COUNTA($B$4:$B125))</f>
        <v/>
      </c>
      <c r="B125" s="37"/>
      <c r="C125" s="38"/>
      <c r="D125" s="39"/>
      <c r="E125" s="37"/>
      <c r="F125" s="39"/>
      <c r="G125" s="40" t="str">
        <f aca="false">IF(OR($E125="",$F125=""),"",$E125&amp;" - RT "&amp;$F125)</f>
        <v/>
      </c>
      <c r="H125" s="37"/>
      <c r="I125" s="38"/>
      <c r="J125" s="37"/>
      <c r="K125" s="39"/>
      <c r="L125" s="41"/>
      <c r="M125" s="36" t="str">
        <f aca="true">IF(OR($B125="",$L125=""),"",DATEDIF($L125,TODAY(),"Y"))</f>
        <v/>
      </c>
      <c r="N125" s="40" t="str">
        <f aca="false">IF($M125="","",INDEX(usia_label,MATCH($M125,usia_min,1)))</f>
        <v/>
      </c>
      <c r="O125" s="37"/>
      <c r="P125" s="41"/>
      <c r="Q125" s="37"/>
      <c r="R125" s="37"/>
      <c r="S125" s="40" t="str">
        <f aca="false">IF($G125="","",$G125&amp;"#"&amp;COUNTIF($G$4:$G125,$G125))</f>
        <v/>
      </c>
      <c r="T125" s="40" t="str">
        <f aca="false">IF($B125="","",IF($C125="","NIK kosong",IF(LEN($C125)&lt;&gt;16,"NIK bukan 16 digit",IF(COUNTIF($C$4:$C$2003,$C125&amp;"*")&gt;1,"NIK ganda",IF($E125="","Kadus kosong",IF($F125="","RT kosong",IF($H125="","Jabatan kosong",IF($I125="","No. HP kosong",IF($J125="","Alamat kosong",IF(AND($M125&lt;&gt;"",$M125&lt;17),"Usia di bawah 17",""))))))))))</f>
        <v/>
      </c>
      <c r="U125" s="40" t="str">
        <f aca="false">IF($B125="","",IF(AND(OR(CARI!$C$5="",ISNUMBER(SEARCH(CARI!$C$5,$B125&amp;" "&amp;$C125&amp;" "&amp;$I125&amp;" "&amp;$J125&amp;" "&amp;$Q125))),OR(CARI!$C$6="",$E125=CARI!$C$6),OR(CARI!$C$7="",$F125=CARI!$C$7),OR(CARI!$C$8="",$O125=CARI!$C$8)),MAX($U$3:U124)+1,""))</f>
        <v/>
      </c>
      <c r="V125" s="40" t="str">
        <f aca="false">IF($T125="","",MAX($V$3:V124)+1)</f>
        <v/>
      </c>
      <c r="W125" s="40" t="str">
        <f aca="false">IF($E125="","",$E125&amp;"#"&amp;COUNTIF($E$4:$E125,$E125))</f>
        <v/>
      </c>
      <c r="X125" s="40" t="str">
        <f aca="false">IF($B125="","",IF(AND(OR(CETAK!$J$10="",$E125=CETAK!$J$10),OR(CETAK!$J$11="",$F125=CETAK!$J$11),OR(CETAK!$J$12="",$K125=CETAK!$J$12),OR(CETAK!$J$13="",$H125=CETAK!$J$13),OR(CETAK!$J$14="",$O125=CETAK!$J$14)),MAX($X$3:X124)+1,""))</f>
        <v/>
      </c>
      <c r="Y125" s="40" t="str">
        <f aca="false">IF($B125="","",IF(AND(OR(ABSENSI!$H$10="",$E125=ABSENSI!$H$10),OR(ABSENSI!$H$11="",$F125=ABSENSI!$H$11),OR(ABSENSI!$H$12="",$K125=ABSENSI!$H$12)),MAX($Y$3:Y124)+1,""))</f>
        <v/>
      </c>
      <c r="Z125" s="40" t="str">
        <f aca="false">IF($B125="","",IF(AND(OR(KARTU!$K$6="",$E125=KARTU!$K$6),OR(KARTU!$K$7="",$F125=KARTU!$K$7),OR(KARTU!$K$8="",$K125=KARTU!$K$8)),MAX($Z$3:Z124)+1,""))</f>
        <v/>
      </c>
    </row>
    <row r="126" customFormat="false" ht="15" hidden="false" customHeight="false" outlineLevel="0" collapsed="false">
      <c r="A126" s="36" t="str">
        <f aca="false">IF($B126="","",COUNTA($B$4:$B126))</f>
        <v/>
      </c>
      <c r="B126" s="37"/>
      <c r="C126" s="38"/>
      <c r="D126" s="39"/>
      <c r="E126" s="37"/>
      <c r="F126" s="39"/>
      <c r="G126" s="40" t="str">
        <f aca="false">IF(OR($E126="",$F126=""),"",$E126&amp;" - RT "&amp;$F126)</f>
        <v/>
      </c>
      <c r="H126" s="37"/>
      <c r="I126" s="38"/>
      <c r="J126" s="37"/>
      <c r="K126" s="39"/>
      <c r="L126" s="41"/>
      <c r="M126" s="36" t="str">
        <f aca="true">IF(OR($B126="",$L126=""),"",DATEDIF($L126,TODAY(),"Y"))</f>
        <v/>
      </c>
      <c r="N126" s="40" t="str">
        <f aca="false">IF($M126="","",INDEX(usia_label,MATCH($M126,usia_min,1)))</f>
        <v/>
      </c>
      <c r="O126" s="37"/>
      <c r="P126" s="41"/>
      <c r="Q126" s="37"/>
      <c r="R126" s="37"/>
      <c r="S126" s="40" t="str">
        <f aca="false">IF($G126="","",$G126&amp;"#"&amp;COUNTIF($G$4:$G126,$G126))</f>
        <v/>
      </c>
      <c r="T126" s="40" t="str">
        <f aca="false">IF($B126="","",IF($C126="","NIK kosong",IF(LEN($C126)&lt;&gt;16,"NIK bukan 16 digit",IF(COUNTIF($C$4:$C$2003,$C126&amp;"*")&gt;1,"NIK ganda",IF($E126="","Kadus kosong",IF($F126="","RT kosong",IF($H126="","Jabatan kosong",IF($I126="","No. HP kosong",IF($J126="","Alamat kosong",IF(AND($M126&lt;&gt;"",$M126&lt;17),"Usia di bawah 17",""))))))))))</f>
        <v/>
      </c>
      <c r="U126" s="40" t="str">
        <f aca="false">IF($B126="","",IF(AND(OR(CARI!$C$5="",ISNUMBER(SEARCH(CARI!$C$5,$B126&amp;" "&amp;$C126&amp;" "&amp;$I126&amp;" "&amp;$J126&amp;" "&amp;$Q126))),OR(CARI!$C$6="",$E126=CARI!$C$6),OR(CARI!$C$7="",$F126=CARI!$C$7),OR(CARI!$C$8="",$O126=CARI!$C$8)),MAX($U$3:U125)+1,""))</f>
        <v/>
      </c>
      <c r="V126" s="40" t="str">
        <f aca="false">IF($T126="","",MAX($V$3:V125)+1)</f>
        <v/>
      </c>
      <c r="W126" s="40" t="str">
        <f aca="false">IF($E126="","",$E126&amp;"#"&amp;COUNTIF($E$4:$E126,$E126))</f>
        <v/>
      </c>
      <c r="X126" s="40" t="str">
        <f aca="false">IF($B126="","",IF(AND(OR(CETAK!$J$10="",$E126=CETAK!$J$10),OR(CETAK!$J$11="",$F126=CETAK!$J$11),OR(CETAK!$J$12="",$K126=CETAK!$J$12),OR(CETAK!$J$13="",$H126=CETAK!$J$13),OR(CETAK!$J$14="",$O126=CETAK!$J$14)),MAX($X$3:X125)+1,""))</f>
        <v/>
      </c>
      <c r="Y126" s="40" t="str">
        <f aca="false">IF($B126="","",IF(AND(OR(ABSENSI!$H$10="",$E126=ABSENSI!$H$10),OR(ABSENSI!$H$11="",$F126=ABSENSI!$H$11),OR(ABSENSI!$H$12="",$K126=ABSENSI!$H$12)),MAX($Y$3:Y125)+1,""))</f>
        <v/>
      </c>
      <c r="Z126" s="40" t="str">
        <f aca="false">IF($B126="","",IF(AND(OR(KARTU!$K$6="",$E126=KARTU!$K$6),OR(KARTU!$K$7="",$F126=KARTU!$K$7),OR(KARTU!$K$8="",$K126=KARTU!$K$8)),MAX($Z$3:Z125)+1,""))</f>
        <v/>
      </c>
    </row>
    <row r="127" customFormat="false" ht="15" hidden="false" customHeight="false" outlineLevel="0" collapsed="false">
      <c r="A127" s="36" t="str">
        <f aca="false">IF($B127="","",COUNTA($B$4:$B127))</f>
        <v/>
      </c>
      <c r="B127" s="37"/>
      <c r="C127" s="38"/>
      <c r="D127" s="39"/>
      <c r="E127" s="37"/>
      <c r="F127" s="39"/>
      <c r="G127" s="40" t="str">
        <f aca="false">IF(OR($E127="",$F127=""),"",$E127&amp;" - RT "&amp;$F127)</f>
        <v/>
      </c>
      <c r="H127" s="37"/>
      <c r="I127" s="38"/>
      <c r="J127" s="37"/>
      <c r="K127" s="39"/>
      <c r="L127" s="41"/>
      <c r="M127" s="36" t="str">
        <f aca="true">IF(OR($B127="",$L127=""),"",DATEDIF($L127,TODAY(),"Y"))</f>
        <v/>
      </c>
      <c r="N127" s="40" t="str">
        <f aca="false">IF($M127="","",INDEX(usia_label,MATCH($M127,usia_min,1)))</f>
        <v/>
      </c>
      <c r="O127" s="37"/>
      <c r="P127" s="41"/>
      <c r="Q127" s="37"/>
      <c r="R127" s="37"/>
      <c r="S127" s="40" t="str">
        <f aca="false">IF($G127="","",$G127&amp;"#"&amp;COUNTIF($G$4:$G127,$G127))</f>
        <v/>
      </c>
      <c r="T127" s="40" t="str">
        <f aca="false">IF($B127="","",IF($C127="","NIK kosong",IF(LEN($C127)&lt;&gt;16,"NIK bukan 16 digit",IF(COUNTIF($C$4:$C$2003,$C127&amp;"*")&gt;1,"NIK ganda",IF($E127="","Kadus kosong",IF($F127="","RT kosong",IF($H127="","Jabatan kosong",IF($I127="","No. HP kosong",IF($J127="","Alamat kosong",IF(AND($M127&lt;&gt;"",$M127&lt;17),"Usia di bawah 17",""))))))))))</f>
        <v/>
      </c>
      <c r="U127" s="40" t="str">
        <f aca="false">IF($B127="","",IF(AND(OR(CARI!$C$5="",ISNUMBER(SEARCH(CARI!$C$5,$B127&amp;" "&amp;$C127&amp;" "&amp;$I127&amp;" "&amp;$J127&amp;" "&amp;$Q127))),OR(CARI!$C$6="",$E127=CARI!$C$6),OR(CARI!$C$7="",$F127=CARI!$C$7),OR(CARI!$C$8="",$O127=CARI!$C$8)),MAX($U$3:U126)+1,""))</f>
        <v/>
      </c>
      <c r="V127" s="40" t="str">
        <f aca="false">IF($T127="","",MAX($V$3:V126)+1)</f>
        <v/>
      </c>
      <c r="W127" s="40" t="str">
        <f aca="false">IF($E127="","",$E127&amp;"#"&amp;COUNTIF($E$4:$E127,$E127))</f>
        <v/>
      </c>
      <c r="X127" s="40" t="str">
        <f aca="false">IF($B127="","",IF(AND(OR(CETAK!$J$10="",$E127=CETAK!$J$10),OR(CETAK!$J$11="",$F127=CETAK!$J$11),OR(CETAK!$J$12="",$K127=CETAK!$J$12),OR(CETAK!$J$13="",$H127=CETAK!$J$13),OR(CETAK!$J$14="",$O127=CETAK!$J$14)),MAX($X$3:X126)+1,""))</f>
        <v/>
      </c>
      <c r="Y127" s="40" t="str">
        <f aca="false">IF($B127="","",IF(AND(OR(ABSENSI!$H$10="",$E127=ABSENSI!$H$10),OR(ABSENSI!$H$11="",$F127=ABSENSI!$H$11),OR(ABSENSI!$H$12="",$K127=ABSENSI!$H$12)),MAX($Y$3:Y126)+1,""))</f>
        <v/>
      </c>
      <c r="Z127" s="40" t="str">
        <f aca="false">IF($B127="","",IF(AND(OR(KARTU!$K$6="",$E127=KARTU!$K$6),OR(KARTU!$K$7="",$F127=KARTU!$K$7),OR(KARTU!$K$8="",$K127=KARTU!$K$8)),MAX($Z$3:Z126)+1,""))</f>
        <v/>
      </c>
    </row>
    <row r="128" customFormat="false" ht="15" hidden="false" customHeight="false" outlineLevel="0" collapsed="false">
      <c r="A128" s="36" t="str">
        <f aca="false">IF($B128="","",COUNTA($B$4:$B128))</f>
        <v/>
      </c>
      <c r="B128" s="37"/>
      <c r="C128" s="38"/>
      <c r="D128" s="39"/>
      <c r="E128" s="37"/>
      <c r="F128" s="39"/>
      <c r="G128" s="40" t="str">
        <f aca="false">IF(OR($E128="",$F128=""),"",$E128&amp;" - RT "&amp;$F128)</f>
        <v/>
      </c>
      <c r="H128" s="37"/>
      <c r="I128" s="38"/>
      <c r="J128" s="37"/>
      <c r="K128" s="39"/>
      <c r="L128" s="41"/>
      <c r="M128" s="36" t="str">
        <f aca="true">IF(OR($B128="",$L128=""),"",DATEDIF($L128,TODAY(),"Y"))</f>
        <v/>
      </c>
      <c r="N128" s="40" t="str">
        <f aca="false">IF($M128="","",INDEX(usia_label,MATCH($M128,usia_min,1)))</f>
        <v/>
      </c>
      <c r="O128" s="37"/>
      <c r="P128" s="41"/>
      <c r="Q128" s="37"/>
      <c r="R128" s="37"/>
      <c r="S128" s="40" t="str">
        <f aca="false">IF($G128="","",$G128&amp;"#"&amp;COUNTIF($G$4:$G128,$G128))</f>
        <v/>
      </c>
      <c r="T128" s="40" t="str">
        <f aca="false">IF($B128="","",IF($C128="","NIK kosong",IF(LEN($C128)&lt;&gt;16,"NIK bukan 16 digit",IF(COUNTIF($C$4:$C$2003,$C128&amp;"*")&gt;1,"NIK ganda",IF($E128="","Kadus kosong",IF($F128="","RT kosong",IF($H128="","Jabatan kosong",IF($I128="","No. HP kosong",IF($J128="","Alamat kosong",IF(AND($M128&lt;&gt;"",$M128&lt;17),"Usia di bawah 17",""))))))))))</f>
        <v/>
      </c>
      <c r="U128" s="40" t="str">
        <f aca="false">IF($B128="","",IF(AND(OR(CARI!$C$5="",ISNUMBER(SEARCH(CARI!$C$5,$B128&amp;" "&amp;$C128&amp;" "&amp;$I128&amp;" "&amp;$J128&amp;" "&amp;$Q128))),OR(CARI!$C$6="",$E128=CARI!$C$6),OR(CARI!$C$7="",$F128=CARI!$C$7),OR(CARI!$C$8="",$O128=CARI!$C$8)),MAX($U$3:U127)+1,""))</f>
        <v/>
      </c>
      <c r="V128" s="40" t="str">
        <f aca="false">IF($T128="","",MAX($V$3:V127)+1)</f>
        <v/>
      </c>
      <c r="W128" s="40" t="str">
        <f aca="false">IF($E128="","",$E128&amp;"#"&amp;COUNTIF($E$4:$E128,$E128))</f>
        <v/>
      </c>
      <c r="X128" s="40" t="str">
        <f aca="false">IF($B128="","",IF(AND(OR(CETAK!$J$10="",$E128=CETAK!$J$10),OR(CETAK!$J$11="",$F128=CETAK!$J$11),OR(CETAK!$J$12="",$K128=CETAK!$J$12),OR(CETAK!$J$13="",$H128=CETAK!$J$13),OR(CETAK!$J$14="",$O128=CETAK!$J$14)),MAX($X$3:X127)+1,""))</f>
        <v/>
      </c>
      <c r="Y128" s="40" t="str">
        <f aca="false">IF($B128="","",IF(AND(OR(ABSENSI!$H$10="",$E128=ABSENSI!$H$10),OR(ABSENSI!$H$11="",$F128=ABSENSI!$H$11),OR(ABSENSI!$H$12="",$K128=ABSENSI!$H$12)),MAX($Y$3:Y127)+1,""))</f>
        <v/>
      </c>
      <c r="Z128" s="40" t="str">
        <f aca="false">IF($B128="","",IF(AND(OR(KARTU!$K$6="",$E128=KARTU!$K$6),OR(KARTU!$K$7="",$F128=KARTU!$K$7),OR(KARTU!$K$8="",$K128=KARTU!$K$8)),MAX($Z$3:Z127)+1,""))</f>
        <v/>
      </c>
    </row>
    <row r="129" customFormat="false" ht="15" hidden="false" customHeight="false" outlineLevel="0" collapsed="false">
      <c r="A129" s="36" t="str">
        <f aca="false">IF($B129="","",COUNTA($B$4:$B129))</f>
        <v/>
      </c>
      <c r="B129" s="37"/>
      <c r="C129" s="38"/>
      <c r="D129" s="39"/>
      <c r="E129" s="37"/>
      <c r="F129" s="39"/>
      <c r="G129" s="40" t="str">
        <f aca="false">IF(OR($E129="",$F129=""),"",$E129&amp;" - RT "&amp;$F129)</f>
        <v/>
      </c>
      <c r="H129" s="37"/>
      <c r="I129" s="38"/>
      <c r="J129" s="37"/>
      <c r="K129" s="39"/>
      <c r="L129" s="41"/>
      <c r="M129" s="36" t="str">
        <f aca="true">IF(OR($B129="",$L129=""),"",DATEDIF($L129,TODAY(),"Y"))</f>
        <v/>
      </c>
      <c r="N129" s="40" t="str">
        <f aca="false">IF($M129="","",INDEX(usia_label,MATCH($M129,usia_min,1)))</f>
        <v/>
      </c>
      <c r="O129" s="37"/>
      <c r="P129" s="41"/>
      <c r="Q129" s="37"/>
      <c r="R129" s="37"/>
      <c r="S129" s="40" t="str">
        <f aca="false">IF($G129="","",$G129&amp;"#"&amp;COUNTIF($G$4:$G129,$G129))</f>
        <v/>
      </c>
      <c r="T129" s="40" t="str">
        <f aca="false">IF($B129="","",IF($C129="","NIK kosong",IF(LEN($C129)&lt;&gt;16,"NIK bukan 16 digit",IF(COUNTIF($C$4:$C$2003,$C129&amp;"*")&gt;1,"NIK ganda",IF($E129="","Kadus kosong",IF($F129="","RT kosong",IF($H129="","Jabatan kosong",IF($I129="","No. HP kosong",IF($J129="","Alamat kosong",IF(AND($M129&lt;&gt;"",$M129&lt;17),"Usia di bawah 17",""))))))))))</f>
        <v/>
      </c>
      <c r="U129" s="40" t="str">
        <f aca="false">IF($B129="","",IF(AND(OR(CARI!$C$5="",ISNUMBER(SEARCH(CARI!$C$5,$B129&amp;" "&amp;$C129&amp;" "&amp;$I129&amp;" "&amp;$J129&amp;" "&amp;$Q129))),OR(CARI!$C$6="",$E129=CARI!$C$6),OR(CARI!$C$7="",$F129=CARI!$C$7),OR(CARI!$C$8="",$O129=CARI!$C$8)),MAX($U$3:U128)+1,""))</f>
        <v/>
      </c>
      <c r="V129" s="40" t="str">
        <f aca="false">IF($T129="","",MAX($V$3:V128)+1)</f>
        <v/>
      </c>
      <c r="W129" s="40" t="str">
        <f aca="false">IF($E129="","",$E129&amp;"#"&amp;COUNTIF($E$4:$E129,$E129))</f>
        <v/>
      </c>
      <c r="X129" s="40" t="str">
        <f aca="false">IF($B129="","",IF(AND(OR(CETAK!$J$10="",$E129=CETAK!$J$10),OR(CETAK!$J$11="",$F129=CETAK!$J$11),OR(CETAK!$J$12="",$K129=CETAK!$J$12),OR(CETAK!$J$13="",$H129=CETAK!$J$13),OR(CETAK!$J$14="",$O129=CETAK!$J$14)),MAX($X$3:X128)+1,""))</f>
        <v/>
      </c>
      <c r="Y129" s="40" t="str">
        <f aca="false">IF($B129="","",IF(AND(OR(ABSENSI!$H$10="",$E129=ABSENSI!$H$10),OR(ABSENSI!$H$11="",$F129=ABSENSI!$H$11),OR(ABSENSI!$H$12="",$K129=ABSENSI!$H$12)),MAX($Y$3:Y128)+1,""))</f>
        <v/>
      </c>
      <c r="Z129" s="40" t="str">
        <f aca="false">IF($B129="","",IF(AND(OR(KARTU!$K$6="",$E129=KARTU!$K$6),OR(KARTU!$K$7="",$F129=KARTU!$K$7),OR(KARTU!$K$8="",$K129=KARTU!$K$8)),MAX($Z$3:Z128)+1,""))</f>
        <v/>
      </c>
    </row>
    <row r="130" customFormat="false" ht="15" hidden="false" customHeight="false" outlineLevel="0" collapsed="false">
      <c r="A130" s="36" t="str">
        <f aca="false">IF($B130="","",COUNTA($B$4:$B130))</f>
        <v/>
      </c>
      <c r="B130" s="37"/>
      <c r="C130" s="38"/>
      <c r="D130" s="39"/>
      <c r="E130" s="37"/>
      <c r="F130" s="39"/>
      <c r="G130" s="40" t="str">
        <f aca="false">IF(OR($E130="",$F130=""),"",$E130&amp;" - RT "&amp;$F130)</f>
        <v/>
      </c>
      <c r="H130" s="37"/>
      <c r="I130" s="38"/>
      <c r="J130" s="37"/>
      <c r="K130" s="39"/>
      <c r="L130" s="41"/>
      <c r="M130" s="36" t="str">
        <f aca="true">IF(OR($B130="",$L130=""),"",DATEDIF($L130,TODAY(),"Y"))</f>
        <v/>
      </c>
      <c r="N130" s="40" t="str">
        <f aca="false">IF($M130="","",INDEX(usia_label,MATCH($M130,usia_min,1)))</f>
        <v/>
      </c>
      <c r="O130" s="37"/>
      <c r="P130" s="41"/>
      <c r="Q130" s="37"/>
      <c r="R130" s="37"/>
      <c r="S130" s="40" t="str">
        <f aca="false">IF($G130="","",$G130&amp;"#"&amp;COUNTIF($G$4:$G130,$G130))</f>
        <v/>
      </c>
      <c r="T130" s="40" t="str">
        <f aca="false">IF($B130="","",IF($C130="","NIK kosong",IF(LEN($C130)&lt;&gt;16,"NIK bukan 16 digit",IF(COUNTIF($C$4:$C$2003,$C130&amp;"*")&gt;1,"NIK ganda",IF($E130="","Kadus kosong",IF($F130="","RT kosong",IF($H130="","Jabatan kosong",IF($I130="","No. HP kosong",IF($J130="","Alamat kosong",IF(AND($M130&lt;&gt;"",$M130&lt;17),"Usia di bawah 17",""))))))))))</f>
        <v/>
      </c>
      <c r="U130" s="40" t="str">
        <f aca="false">IF($B130="","",IF(AND(OR(CARI!$C$5="",ISNUMBER(SEARCH(CARI!$C$5,$B130&amp;" "&amp;$C130&amp;" "&amp;$I130&amp;" "&amp;$J130&amp;" "&amp;$Q130))),OR(CARI!$C$6="",$E130=CARI!$C$6),OR(CARI!$C$7="",$F130=CARI!$C$7),OR(CARI!$C$8="",$O130=CARI!$C$8)),MAX($U$3:U129)+1,""))</f>
        <v/>
      </c>
      <c r="V130" s="40" t="str">
        <f aca="false">IF($T130="","",MAX($V$3:V129)+1)</f>
        <v/>
      </c>
      <c r="W130" s="40" t="str">
        <f aca="false">IF($E130="","",$E130&amp;"#"&amp;COUNTIF($E$4:$E130,$E130))</f>
        <v/>
      </c>
      <c r="X130" s="40" t="str">
        <f aca="false">IF($B130="","",IF(AND(OR(CETAK!$J$10="",$E130=CETAK!$J$10),OR(CETAK!$J$11="",$F130=CETAK!$J$11),OR(CETAK!$J$12="",$K130=CETAK!$J$12),OR(CETAK!$J$13="",$H130=CETAK!$J$13),OR(CETAK!$J$14="",$O130=CETAK!$J$14)),MAX($X$3:X129)+1,""))</f>
        <v/>
      </c>
      <c r="Y130" s="40" t="str">
        <f aca="false">IF($B130="","",IF(AND(OR(ABSENSI!$H$10="",$E130=ABSENSI!$H$10),OR(ABSENSI!$H$11="",$F130=ABSENSI!$H$11),OR(ABSENSI!$H$12="",$K130=ABSENSI!$H$12)),MAX($Y$3:Y129)+1,""))</f>
        <v/>
      </c>
      <c r="Z130" s="40" t="str">
        <f aca="false">IF($B130="","",IF(AND(OR(KARTU!$K$6="",$E130=KARTU!$K$6),OR(KARTU!$K$7="",$F130=KARTU!$K$7),OR(KARTU!$K$8="",$K130=KARTU!$K$8)),MAX($Z$3:Z129)+1,""))</f>
        <v/>
      </c>
    </row>
    <row r="131" customFormat="false" ht="15" hidden="false" customHeight="false" outlineLevel="0" collapsed="false">
      <c r="A131" s="36" t="str">
        <f aca="false">IF($B131="","",COUNTA($B$4:$B131))</f>
        <v/>
      </c>
      <c r="B131" s="37"/>
      <c r="C131" s="38"/>
      <c r="D131" s="39"/>
      <c r="E131" s="37"/>
      <c r="F131" s="39"/>
      <c r="G131" s="40" t="str">
        <f aca="false">IF(OR($E131="",$F131=""),"",$E131&amp;" - RT "&amp;$F131)</f>
        <v/>
      </c>
      <c r="H131" s="37"/>
      <c r="I131" s="38"/>
      <c r="J131" s="37"/>
      <c r="K131" s="39"/>
      <c r="L131" s="41"/>
      <c r="M131" s="36" t="str">
        <f aca="true">IF(OR($B131="",$L131=""),"",DATEDIF($L131,TODAY(),"Y"))</f>
        <v/>
      </c>
      <c r="N131" s="40" t="str">
        <f aca="false">IF($M131="","",INDEX(usia_label,MATCH($M131,usia_min,1)))</f>
        <v/>
      </c>
      <c r="O131" s="37"/>
      <c r="P131" s="41"/>
      <c r="Q131" s="37"/>
      <c r="R131" s="37"/>
      <c r="S131" s="40" t="str">
        <f aca="false">IF($G131="","",$G131&amp;"#"&amp;COUNTIF($G$4:$G131,$G131))</f>
        <v/>
      </c>
      <c r="T131" s="40" t="str">
        <f aca="false">IF($B131="","",IF($C131="","NIK kosong",IF(LEN($C131)&lt;&gt;16,"NIK bukan 16 digit",IF(COUNTIF($C$4:$C$2003,$C131&amp;"*")&gt;1,"NIK ganda",IF($E131="","Kadus kosong",IF($F131="","RT kosong",IF($H131="","Jabatan kosong",IF($I131="","No. HP kosong",IF($J131="","Alamat kosong",IF(AND($M131&lt;&gt;"",$M131&lt;17),"Usia di bawah 17",""))))))))))</f>
        <v/>
      </c>
      <c r="U131" s="40" t="str">
        <f aca="false">IF($B131="","",IF(AND(OR(CARI!$C$5="",ISNUMBER(SEARCH(CARI!$C$5,$B131&amp;" "&amp;$C131&amp;" "&amp;$I131&amp;" "&amp;$J131&amp;" "&amp;$Q131))),OR(CARI!$C$6="",$E131=CARI!$C$6),OR(CARI!$C$7="",$F131=CARI!$C$7),OR(CARI!$C$8="",$O131=CARI!$C$8)),MAX($U$3:U130)+1,""))</f>
        <v/>
      </c>
      <c r="V131" s="40" t="str">
        <f aca="false">IF($T131="","",MAX($V$3:V130)+1)</f>
        <v/>
      </c>
      <c r="W131" s="40" t="str">
        <f aca="false">IF($E131="","",$E131&amp;"#"&amp;COUNTIF($E$4:$E131,$E131))</f>
        <v/>
      </c>
      <c r="X131" s="40" t="str">
        <f aca="false">IF($B131="","",IF(AND(OR(CETAK!$J$10="",$E131=CETAK!$J$10),OR(CETAK!$J$11="",$F131=CETAK!$J$11),OR(CETAK!$J$12="",$K131=CETAK!$J$12),OR(CETAK!$J$13="",$H131=CETAK!$J$13),OR(CETAK!$J$14="",$O131=CETAK!$J$14)),MAX($X$3:X130)+1,""))</f>
        <v/>
      </c>
      <c r="Y131" s="40" t="str">
        <f aca="false">IF($B131="","",IF(AND(OR(ABSENSI!$H$10="",$E131=ABSENSI!$H$10),OR(ABSENSI!$H$11="",$F131=ABSENSI!$H$11),OR(ABSENSI!$H$12="",$K131=ABSENSI!$H$12)),MAX($Y$3:Y130)+1,""))</f>
        <v/>
      </c>
      <c r="Z131" s="40" t="str">
        <f aca="false">IF($B131="","",IF(AND(OR(KARTU!$K$6="",$E131=KARTU!$K$6),OR(KARTU!$K$7="",$F131=KARTU!$K$7),OR(KARTU!$K$8="",$K131=KARTU!$K$8)),MAX($Z$3:Z130)+1,""))</f>
        <v/>
      </c>
    </row>
    <row r="132" customFormat="false" ht="15" hidden="false" customHeight="false" outlineLevel="0" collapsed="false">
      <c r="A132" s="36" t="str">
        <f aca="false">IF($B132="","",COUNTA($B$4:$B132))</f>
        <v/>
      </c>
      <c r="B132" s="37"/>
      <c r="C132" s="38"/>
      <c r="D132" s="39"/>
      <c r="E132" s="37"/>
      <c r="F132" s="39"/>
      <c r="G132" s="40" t="str">
        <f aca="false">IF(OR($E132="",$F132=""),"",$E132&amp;" - RT "&amp;$F132)</f>
        <v/>
      </c>
      <c r="H132" s="37"/>
      <c r="I132" s="38"/>
      <c r="J132" s="37"/>
      <c r="K132" s="39"/>
      <c r="L132" s="41"/>
      <c r="M132" s="36" t="str">
        <f aca="true">IF(OR($B132="",$L132=""),"",DATEDIF($L132,TODAY(),"Y"))</f>
        <v/>
      </c>
      <c r="N132" s="40" t="str">
        <f aca="false">IF($M132="","",INDEX(usia_label,MATCH($M132,usia_min,1)))</f>
        <v/>
      </c>
      <c r="O132" s="37"/>
      <c r="P132" s="41"/>
      <c r="Q132" s="37"/>
      <c r="R132" s="37"/>
      <c r="S132" s="40" t="str">
        <f aca="false">IF($G132="","",$G132&amp;"#"&amp;COUNTIF($G$4:$G132,$G132))</f>
        <v/>
      </c>
      <c r="T132" s="40" t="str">
        <f aca="false">IF($B132="","",IF($C132="","NIK kosong",IF(LEN($C132)&lt;&gt;16,"NIK bukan 16 digit",IF(COUNTIF($C$4:$C$2003,$C132&amp;"*")&gt;1,"NIK ganda",IF($E132="","Kadus kosong",IF($F132="","RT kosong",IF($H132="","Jabatan kosong",IF($I132="","No. HP kosong",IF($J132="","Alamat kosong",IF(AND($M132&lt;&gt;"",$M132&lt;17),"Usia di bawah 17",""))))))))))</f>
        <v/>
      </c>
      <c r="U132" s="40" t="str">
        <f aca="false">IF($B132="","",IF(AND(OR(CARI!$C$5="",ISNUMBER(SEARCH(CARI!$C$5,$B132&amp;" "&amp;$C132&amp;" "&amp;$I132&amp;" "&amp;$J132&amp;" "&amp;$Q132))),OR(CARI!$C$6="",$E132=CARI!$C$6),OR(CARI!$C$7="",$F132=CARI!$C$7),OR(CARI!$C$8="",$O132=CARI!$C$8)),MAX($U$3:U131)+1,""))</f>
        <v/>
      </c>
      <c r="V132" s="40" t="str">
        <f aca="false">IF($T132="","",MAX($V$3:V131)+1)</f>
        <v/>
      </c>
      <c r="W132" s="40" t="str">
        <f aca="false">IF($E132="","",$E132&amp;"#"&amp;COUNTIF($E$4:$E132,$E132))</f>
        <v/>
      </c>
      <c r="X132" s="40" t="str">
        <f aca="false">IF($B132="","",IF(AND(OR(CETAK!$J$10="",$E132=CETAK!$J$10),OR(CETAK!$J$11="",$F132=CETAK!$J$11),OR(CETAK!$J$12="",$K132=CETAK!$J$12),OR(CETAK!$J$13="",$H132=CETAK!$J$13),OR(CETAK!$J$14="",$O132=CETAK!$J$14)),MAX($X$3:X131)+1,""))</f>
        <v/>
      </c>
      <c r="Y132" s="40" t="str">
        <f aca="false">IF($B132="","",IF(AND(OR(ABSENSI!$H$10="",$E132=ABSENSI!$H$10),OR(ABSENSI!$H$11="",$F132=ABSENSI!$H$11),OR(ABSENSI!$H$12="",$K132=ABSENSI!$H$12)),MAX($Y$3:Y131)+1,""))</f>
        <v/>
      </c>
      <c r="Z132" s="40" t="str">
        <f aca="false">IF($B132="","",IF(AND(OR(KARTU!$K$6="",$E132=KARTU!$K$6),OR(KARTU!$K$7="",$F132=KARTU!$K$7),OR(KARTU!$K$8="",$K132=KARTU!$K$8)),MAX($Z$3:Z131)+1,""))</f>
        <v/>
      </c>
    </row>
    <row r="133" customFormat="false" ht="15" hidden="false" customHeight="false" outlineLevel="0" collapsed="false">
      <c r="A133" s="36" t="str">
        <f aca="false">IF($B133="","",COUNTA($B$4:$B133))</f>
        <v/>
      </c>
      <c r="B133" s="37"/>
      <c r="C133" s="38"/>
      <c r="D133" s="39"/>
      <c r="E133" s="37"/>
      <c r="F133" s="39"/>
      <c r="G133" s="40" t="str">
        <f aca="false">IF(OR($E133="",$F133=""),"",$E133&amp;" - RT "&amp;$F133)</f>
        <v/>
      </c>
      <c r="H133" s="37"/>
      <c r="I133" s="38"/>
      <c r="J133" s="37"/>
      <c r="K133" s="39"/>
      <c r="L133" s="41"/>
      <c r="M133" s="36" t="str">
        <f aca="true">IF(OR($B133="",$L133=""),"",DATEDIF($L133,TODAY(),"Y"))</f>
        <v/>
      </c>
      <c r="N133" s="40" t="str">
        <f aca="false">IF($M133="","",INDEX(usia_label,MATCH($M133,usia_min,1)))</f>
        <v/>
      </c>
      <c r="O133" s="37"/>
      <c r="P133" s="41"/>
      <c r="Q133" s="37"/>
      <c r="R133" s="37"/>
      <c r="S133" s="40" t="str">
        <f aca="false">IF($G133="","",$G133&amp;"#"&amp;COUNTIF($G$4:$G133,$G133))</f>
        <v/>
      </c>
      <c r="T133" s="40" t="str">
        <f aca="false">IF($B133="","",IF($C133="","NIK kosong",IF(LEN($C133)&lt;&gt;16,"NIK bukan 16 digit",IF(COUNTIF($C$4:$C$2003,$C133&amp;"*")&gt;1,"NIK ganda",IF($E133="","Kadus kosong",IF($F133="","RT kosong",IF($H133="","Jabatan kosong",IF($I133="","No. HP kosong",IF($J133="","Alamat kosong",IF(AND($M133&lt;&gt;"",$M133&lt;17),"Usia di bawah 17",""))))))))))</f>
        <v/>
      </c>
      <c r="U133" s="40" t="str">
        <f aca="false">IF($B133="","",IF(AND(OR(CARI!$C$5="",ISNUMBER(SEARCH(CARI!$C$5,$B133&amp;" "&amp;$C133&amp;" "&amp;$I133&amp;" "&amp;$J133&amp;" "&amp;$Q133))),OR(CARI!$C$6="",$E133=CARI!$C$6),OR(CARI!$C$7="",$F133=CARI!$C$7),OR(CARI!$C$8="",$O133=CARI!$C$8)),MAX($U$3:U132)+1,""))</f>
        <v/>
      </c>
      <c r="V133" s="40" t="str">
        <f aca="false">IF($T133="","",MAX($V$3:V132)+1)</f>
        <v/>
      </c>
      <c r="W133" s="40" t="str">
        <f aca="false">IF($E133="","",$E133&amp;"#"&amp;COUNTIF($E$4:$E133,$E133))</f>
        <v/>
      </c>
      <c r="X133" s="40" t="str">
        <f aca="false">IF($B133="","",IF(AND(OR(CETAK!$J$10="",$E133=CETAK!$J$10),OR(CETAK!$J$11="",$F133=CETAK!$J$11),OR(CETAK!$J$12="",$K133=CETAK!$J$12),OR(CETAK!$J$13="",$H133=CETAK!$J$13),OR(CETAK!$J$14="",$O133=CETAK!$J$14)),MAX($X$3:X132)+1,""))</f>
        <v/>
      </c>
      <c r="Y133" s="40" t="str">
        <f aca="false">IF($B133="","",IF(AND(OR(ABSENSI!$H$10="",$E133=ABSENSI!$H$10),OR(ABSENSI!$H$11="",$F133=ABSENSI!$H$11),OR(ABSENSI!$H$12="",$K133=ABSENSI!$H$12)),MAX($Y$3:Y132)+1,""))</f>
        <v/>
      </c>
      <c r="Z133" s="40" t="str">
        <f aca="false">IF($B133="","",IF(AND(OR(KARTU!$K$6="",$E133=KARTU!$K$6),OR(KARTU!$K$7="",$F133=KARTU!$K$7),OR(KARTU!$K$8="",$K133=KARTU!$K$8)),MAX($Z$3:Z132)+1,""))</f>
        <v/>
      </c>
    </row>
    <row r="134" customFormat="false" ht="15" hidden="false" customHeight="false" outlineLevel="0" collapsed="false">
      <c r="A134" s="36" t="str">
        <f aca="false">IF($B134="","",COUNTA($B$4:$B134))</f>
        <v/>
      </c>
      <c r="B134" s="37"/>
      <c r="C134" s="38"/>
      <c r="D134" s="39"/>
      <c r="E134" s="37"/>
      <c r="F134" s="39"/>
      <c r="G134" s="40" t="str">
        <f aca="false">IF(OR($E134="",$F134=""),"",$E134&amp;" - RT "&amp;$F134)</f>
        <v/>
      </c>
      <c r="H134" s="37"/>
      <c r="I134" s="38"/>
      <c r="J134" s="37"/>
      <c r="K134" s="39"/>
      <c r="L134" s="41"/>
      <c r="M134" s="36" t="str">
        <f aca="true">IF(OR($B134="",$L134=""),"",DATEDIF($L134,TODAY(),"Y"))</f>
        <v/>
      </c>
      <c r="N134" s="40" t="str">
        <f aca="false">IF($M134="","",INDEX(usia_label,MATCH($M134,usia_min,1)))</f>
        <v/>
      </c>
      <c r="O134" s="37"/>
      <c r="P134" s="41"/>
      <c r="Q134" s="37"/>
      <c r="R134" s="37"/>
      <c r="S134" s="40" t="str">
        <f aca="false">IF($G134="","",$G134&amp;"#"&amp;COUNTIF($G$4:$G134,$G134))</f>
        <v/>
      </c>
      <c r="T134" s="40" t="str">
        <f aca="false">IF($B134="","",IF($C134="","NIK kosong",IF(LEN($C134)&lt;&gt;16,"NIK bukan 16 digit",IF(COUNTIF($C$4:$C$2003,$C134&amp;"*")&gt;1,"NIK ganda",IF($E134="","Kadus kosong",IF($F134="","RT kosong",IF($H134="","Jabatan kosong",IF($I134="","No. HP kosong",IF($J134="","Alamat kosong",IF(AND($M134&lt;&gt;"",$M134&lt;17),"Usia di bawah 17",""))))))))))</f>
        <v/>
      </c>
      <c r="U134" s="40" t="str">
        <f aca="false">IF($B134="","",IF(AND(OR(CARI!$C$5="",ISNUMBER(SEARCH(CARI!$C$5,$B134&amp;" "&amp;$C134&amp;" "&amp;$I134&amp;" "&amp;$J134&amp;" "&amp;$Q134))),OR(CARI!$C$6="",$E134=CARI!$C$6),OR(CARI!$C$7="",$F134=CARI!$C$7),OR(CARI!$C$8="",$O134=CARI!$C$8)),MAX($U$3:U133)+1,""))</f>
        <v/>
      </c>
      <c r="V134" s="40" t="str">
        <f aca="false">IF($T134="","",MAX($V$3:V133)+1)</f>
        <v/>
      </c>
      <c r="W134" s="40" t="str">
        <f aca="false">IF($E134="","",$E134&amp;"#"&amp;COUNTIF($E$4:$E134,$E134))</f>
        <v/>
      </c>
      <c r="X134" s="40" t="str">
        <f aca="false">IF($B134="","",IF(AND(OR(CETAK!$J$10="",$E134=CETAK!$J$10),OR(CETAK!$J$11="",$F134=CETAK!$J$11),OR(CETAK!$J$12="",$K134=CETAK!$J$12),OR(CETAK!$J$13="",$H134=CETAK!$J$13),OR(CETAK!$J$14="",$O134=CETAK!$J$14)),MAX($X$3:X133)+1,""))</f>
        <v/>
      </c>
      <c r="Y134" s="40" t="str">
        <f aca="false">IF($B134="","",IF(AND(OR(ABSENSI!$H$10="",$E134=ABSENSI!$H$10),OR(ABSENSI!$H$11="",$F134=ABSENSI!$H$11),OR(ABSENSI!$H$12="",$K134=ABSENSI!$H$12)),MAX($Y$3:Y133)+1,""))</f>
        <v/>
      </c>
      <c r="Z134" s="40" t="str">
        <f aca="false">IF($B134="","",IF(AND(OR(KARTU!$K$6="",$E134=KARTU!$K$6),OR(KARTU!$K$7="",$F134=KARTU!$K$7),OR(KARTU!$K$8="",$K134=KARTU!$K$8)),MAX($Z$3:Z133)+1,""))</f>
        <v/>
      </c>
    </row>
    <row r="135" customFormat="false" ht="15" hidden="false" customHeight="false" outlineLevel="0" collapsed="false">
      <c r="A135" s="36" t="str">
        <f aca="false">IF($B135="","",COUNTA($B$4:$B135))</f>
        <v/>
      </c>
      <c r="B135" s="37"/>
      <c r="C135" s="38"/>
      <c r="D135" s="39"/>
      <c r="E135" s="37"/>
      <c r="F135" s="39"/>
      <c r="G135" s="40" t="str">
        <f aca="false">IF(OR($E135="",$F135=""),"",$E135&amp;" - RT "&amp;$F135)</f>
        <v/>
      </c>
      <c r="H135" s="37"/>
      <c r="I135" s="38"/>
      <c r="J135" s="37"/>
      <c r="K135" s="39"/>
      <c r="L135" s="41"/>
      <c r="M135" s="36" t="str">
        <f aca="true">IF(OR($B135="",$L135=""),"",DATEDIF($L135,TODAY(),"Y"))</f>
        <v/>
      </c>
      <c r="N135" s="40" t="str">
        <f aca="false">IF($M135="","",INDEX(usia_label,MATCH($M135,usia_min,1)))</f>
        <v/>
      </c>
      <c r="O135" s="37"/>
      <c r="P135" s="41"/>
      <c r="Q135" s="37"/>
      <c r="R135" s="37"/>
      <c r="S135" s="40" t="str">
        <f aca="false">IF($G135="","",$G135&amp;"#"&amp;COUNTIF($G$4:$G135,$G135))</f>
        <v/>
      </c>
      <c r="T135" s="40" t="str">
        <f aca="false">IF($B135="","",IF($C135="","NIK kosong",IF(LEN($C135)&lt;&gt;16,"NIK bukan 16 digit",IF(COUNTIF($C$4:$C$2003,$C135&amp;"*")&gt;1,"NIK ganda",IF($E135="","Kadus kosong",IF($F135="","RT kosong",IF($H135="","Jabatan kosong",IF($I135="","No. HP kosong",IF($J135="","Alamat kosong",IF(AND($M135&lt;&gt;"",$M135&lt;17),"Usia di bawah 17",""))))))))))</f>
        <v/>
      </c>
      <c r="U135" s="40" t="str">
        <f aca="false">IF($B135="","",IF(AND(OR(CARI!$C$5="",ISNUMBER(SEARCH(CARI!$C$5,$B135&amp;" "&amp;$C135&amp;" "&amp;$I135&amp;" "&amp;$J135&amp;" "&amp;$Q135))),OR(CARI!$C$6="",$E135=CARI!$C$6),OR(CARI!$C$7="",$F135=CARI!$C$7),OR(CARI!$C$8="",$O135=CARI!$C$8)),MAX($U$3:U134)+1,""))</f>
        <v/>
      </c>
      <c r="V135" s="40" t="str">
        <f aca="false">IF($T135="","",MAX($V$3:V134)+1)</f>
        <v/>
      </c>
      <c r="W135" s="40" t="str">
        <f aca="false">IF($E135="","",$E135&amp;"#"&amp;COUNTIF($E$4:$E135,$E135))</f>
        <v/>
      </c>
      <c r="X135" s="40" t="str">
        <f aca="false">IF($B135="","",IF(AND(OR(CETAK!$J$10="",$E135=CETAK!$J$10),OR(CETAK!$J$11="",$F135=CETAK!$J$11),OR(CETAK!$J$12="",$K135=CETAK!$J$12),OR(CETAK!$J$13="",$H135=CETAK!$J$13),OR(CETAK!$J$14="",$O135=CETAK!$J$14)),MAX($X$3:X134)+1,""))</f>
        <v/>
      </c>
      <c r="Y135" s="40" t="str">
        <f aca="false">IF($B135="","",IF(AND(OR(ABSENSI!$H$10="",$E135=ABSENSI!$H$10),OR(ABSENSI!$H$11="",$F135=ABSENSI!$H$11),OR(ABSENSI!$H$12="",$K135=ABSENSI!$H$12)),MAX($Y$3:Y134)+1,""))</f>
        <v/>
      </c>
      <c r="Z135" s="40" t="str">
        <f aca="false">IF($B135="","",IF(AND(OR(KARTU!$K$6="",$E135=KARTU!$K$6),OR(KARTU!$K$7="",$F135=KARTU!$K$7),OR(KARTU!$K$8="",$K135=KARTU!$K$8)),MAX($Z$3:Z134)+1,""))</f>
        <v/>
      </c>
    </row>
    <row r="136" customFormat="false" ht="15" hidden="false" customHeight="false" outlineLevel="0" collapsed="false">
      <c r="A136" s="36" t="str">
        <f aca="false">IF($B136="","",COUNTA($B$4:$B136))</f>
        <v/>
      </c>
      <c r="B136" s="37"/>
      <c r="C136" s="38"/>
      <c r="D136" s="39"/>
      <c r="E136" s="37"/>
      <c r="F136" s="39"/>
      <c r="G136" s="40" t="str">
        <f aca="false">IF(OR($E136="",$F136=""),"",$E136&amp;" - RT "&amp;$F136)</f>
        <v/>
      </c>
      <c r="H136" s="37"/>
      <c r="I136" s="38"/>
      <c r="J136" s="37"/>
      <c r="K136" s="39"/>
      <c r="L136" s="41"/>
      <c r="M136" s="36" t="str">
        <f aca="true">IF(OR($B136="",$L136=""),"",DATEDIF($L136,TODAY(),"Y"))</f>
        <v/>
      </c>
      <c r="N136" s="40" t="str">
        <f aca="false">IF($M136="","",INDEX(usia_label,MATCH($M136,usia_min,1)))</f>
        <v/>
      </c>
      <c r="O136" s="37"/>
      <c r="P136" s="41"/>
      <c r="Q136" s="37"/>
      <c r="R136" s="37"/>
      <c r="S136" s="40" t="str">
        <f aca="false">IF($G136="","",$G136&amp;"#"&amp;COUNTIF($G$4:$G136,$G136))</f>
        <v/>
      </c>
      <c r="T136" s="40" t="str">
        <f aca="false">IF($B136="","",IF($C136="","NIK kosong",IF(LEN($C136)&lt;&gt;16,"NIK bukan 16 digit",IF(COUNTIF($C$4:$C$2003,$C136&amp;"*")&gt;1,"NIK ganda",IF($E136="","Kadus kosong",IF($F136="","RT kosong",IF($H136="","Jabatan kosong",IF($I136="","No. HP kosong",IF($J136="","Alamat kosong",IF(AND($M136&lt;&gt;"",$M136&lt;17),"Usia di bawah 17",""))))))))))</f>
        <v/>
      </c>
      <c r="U136" s="40" t="str">
        <f aca="false">IF($B136="","",IF(AND(OR(CARI!$C$5="",ISNUMBER(SEARCH(CARI!$C$5,$B136&amp;" "&amp;$C136&amp;" "&amp;$I136&amp;" "&amp;$J136&amp;" "&amp;$Q136))),OR(CARI!$C$6="",$E136=CARI!$C$6),OR(CARI!$C$7="",$F136=CARI!$C$7),OR(CARI!$C$8="",$O136=CARI!$C$8)),MAX($U$3:U135)+1,""))</f>
        <v/>
      </c>
      <c r="V136" s="40" t="str">
        <f aca="false">IF($T136="","",MAX($V$3:V135)+1)</f>
        <v/>
      </c>
      <c r="W136" s="40" t="str">
        <f aca="false">IF($E136="","",$E136&amp;"#"&amp;COUNTIF($E$4:$E136,$E136))</f>
        <v/>
      </c>
      <c r="X136" s="40" t="str">
        <f aca="false">IF($B136="","",IF(AND(OR(CETAK!$J$10="",$E136=CETAK!$J$10),OR(CETAK!$J$11="",$F136=CETAK!$J$11),OR(CETAK!$J$12="",$K136=CETAK!$J$12),OR(CETAK!$J$13="",$H136=CETAK!$J$13),OR(CETAK!$J$14="",$O136=CETAK!$J$14)),MAX($X$3:X135)+1,""))</f>
        <v/>
      </c>
      <c r="Y136" s="40" t="str">
        <f aca="false">IF($B136="","",IF(AND(OR(ABSENSI!$H$10="",$E136=ABSENSI!$H$10),OR(ABSENSI!$H$11="",$F136=ABSENSI!$H$11),OR(ABSENSI!$H$12="",$K136=ABSENSI!$H$12)),MAX($Y$3:Y135)+1,""))</f>
        <v/>
      </c>
      <c r="Z136" s="40" t="str">
        <f aca="false">IF($B136="","",IF(AND(OR(KARTU!$K$6="",$E136=KARTU!$K$6),OR(KARTU!$K$7="",$F136=KARTU!$K$7),OR(KARTU!$K$8="",$K136=KARTU!$K$8)),MAX($Z$3:Z135)+1,""))</f>
        <v/>
      </c>
    </row>
    <row r="137" customFormat="false" ht="15" hidden="false" customHeight="false" outlineLevel="0" collapsed="false">
      <c r="A137" s="36" t="str">
        <f aca="false">IF($B137="","",COUNTA($B$4:$B137))</f>
        <v/>
      </c>
      <c r="B137" s="37"/>
      <c r="C137" s="38"/>
      <c r="D137" s="39"/>
      <c r="E137" s="37"/>
      <c r="F137" s="39"/>
      <c r="G137" s="40" t="str">
        <f aca="false">IF(OR($E137="",$F137=""),"",$E137&amp;" - RT "&amp;$F137)</f>
        <v/>
      </c>
      <c r="H137" s="37"/>
      <c r="I137" s="38"/>
      <c r="J137" s="37"/>
      <c r="K137" s="39"/>
      <c r="L137" s="41"/>
      <c r="M137" s="36" t="str">
        <f aca="true">IF(OR($B137="",$L137=""),"",DATEDIF($L137,TODAY(),"Y"))</f>
        <v/>
      </c>
      <c r="N137" s="40" t="str">
        <f aca="false">IF($M137="","",INDEX(usia_label,MATCH($M137,usia_min,1)))</f>
        <v/>
      </c>
      <c r="O137" s="37"/>
      <c r="P137" s="41"/>
      <c r="Q137" s="37"/>
      <c r="R137" s="37"/>
      <c r="S137" s="40" t="str">
        <f aca="false">IF($G137="","",$G137&amp;"#"&amp;COUNTIF($G$4:$G137,$G137))</f>
        <v/>
      </c>
      <c r="T137" s="40" t="str">
        <f aca="false">IF($B137="","",IF($C137="","NIK kosong",IF(LEN($C137)&lt;&gt;16,"NIK bukan 16 digit",IF(COUNTIF($C$4:$C$2003,$C137&amp;"*")&gt;1,"NIK ganda",IF($E137="","Kadus kosong",IF($F137="","RT kosong",IF($H137="","Jabatan kosong",IF($I137="","No. HP kosong",IF($J137="","Alamat kosong",IF(AND($M137&lt;&gt;"",$M137&lt;17),"Usia di bawah 17",""))))))))))</f>
        <v/>
      </c>
      <c r="U137" s="40" t="str">
        <f aca="false">IF($B137="","",IF(AND(OR(CARI!$C$5="",ISNUMBER(SEARCH(CARI!$C$5,$B137&amp;" "&amp;$C137&amp;" "&amp;$I137&amp;" "&amp;$J137&amp;" "&amp;$Q137))),OR(CARI!$C$6="",$E137=CARI!$C$6),OR(CARI!$C$7="",$F137=CARI!$C$7),OR(CARI!$C$8="",$O137=CARI!$C$8)),MAX($U$3:U136)+1,""))</f>
        <v/>
      </c>
      <c r="V137" s="40" t="str">
        <f aca="false">IF($T137="","",MAX($V$3:V136)+1)</f>
        <v/>
      </c>
      <c r="W137" s="40" t="str">
        <f aca="false">IF($E137="","",$E137&amp;"#"&amp;COUNTIF($E$4:$E137,$E137))</f>
        <v/>
      </c>
      <c r="X137" s="40" t="str">
        <f aca="false">IF($B137="","",IF(AND(OR(CETAK!$J$10="",$E137=CETAK!$J$10),OR(CETAK!$J$11="",$F137=CETAK!$J$11),OR(CETAK!$J$12="",$K137=CETAK!$J$12),OR(CETAK!$J$13="",$H137=CETAK!$J$13),OR(CETAK!$J$14="",$O137=CETAK!$J$14)),MAX($X$3:X136)+1,""))</f>
        <v/>
      </c>
      <c r="Y137" s="40" t="str">
        <f aca="false">IF($B137="","",IF(AND(OR(ABSENSI!$H$10="",$E137=ABSENSI!$H$10),OR(ABSENSI!$H$11="",$F137=ABSENSI!$H$11),OR(ABSENSI!$H$12="",$K137=ABSENSI!$H$12)),MAX($Y$3:Y136)+1,""))</f>
        <v/>
      </c>
      <c r="Z137" s="40" t="str">
        <f aca="false">IF($B137="","",IF(AND(OR(KARTU!$K$6="",$E137=KARTU!$K$6),OR(KARTU!$K$7="",$F137=KARTU!$K$7),OR(KARTU!$K$8="",$K137=KARTU!$K$8)),MAX($Z$3:Z136)+1,""))</f>
        <v/>
      </c>
    </row>
    <row r="138" customFormat="false" ht="15" hidden="false" customHeight="false" outlineLevel="0" collapsed="false">
      <c r="A138" s="36" t="str">
        <f aca="false">IF($B138="","",COUNTA($B$4:$B138))</f>
        <v/>
      </c>
      <c r="B138" s="37"/>
      <c r="C138" s="38"/>
      <c r="D138" s="39"/>
      <c r="E138" s="37"/>
      <c r="F138" s="39"/>
      <c r="G138" s="40" t="str">
        <f aca="false">IF(OR($E138="",$F138=""),"",$E138&amp;" - RT "&amp;$F138)</f>
        <v/>
      </c>
      <c r="H138" s="37"/>
      <c r="I138" s="38"/>
      <c r="J138" s="37"/>
      <c r="K138" s="39"/>
      <c r="L138" s="41"/>
      <c r="M138" s="36" t="str">
        <f aca="true">IF(OR($B138="",$L138=""),"",DATEDIF($L138,TODAY(),"Y"))</f>
        <v/>
      </c>
      <c r="N138" s="40" t="str">
        <f aca="false">IF($M138="","",INDEX(usia_label,MATCH($M138,usia_min,1)))</f>
        <v/>
      </c>
      <c r="O138" s="37"/>
      <c r="P138" s="41"/>
      <c r="Q138" s="37"/>
      <c r="R138" s="37"/>
      <c r="S138" s="40" t="str">
        <f aca="false">IF($G138="","",$G138&amp;"#"&amp;COUNTIF($G$4:$G138,$G138))</f>
        <v/>
      </c>
      <c r="T138" s="40" t="str">
        <f aca="false">IF($B138="","",IF($C138="","NIK kosong",IF(LEN($C138)&lt;&gt;16,"NIK bukan 16 digit",IF(COUNTIF($C$4:$C$2003,$C138&amp;"*")&gt;1,"NIK ganda",IF($E138="","Kadus kosong",IF($F138="","RT kosong",IF($H138="","Jabatan kosong",IF($I138="","No. HP kosong",IF($J138="","Alamat kosong",IF(AND($M138&lt;&gt;"",$M138&lt;17),"Usia di bawah 17",""))))))))))</f>
        <v/>
      </c>
      <c r="U138" s="40" t="str">
        <f aca="false">IF($B138="","",IF(AND(OR(CARI!$C$5="",ISNUMBER(SEARCH(CARI!$C$5,$B138&amp;" "&amp;$C138&amp;" "&amp;$I138&amp;" "&amp;$J138&amp;" "&amp;$Q138))),OR(CARI!$C$6="",$E138=CARI!$C$6),OR(CARI!$C$7="",$F138=CARI!$C$7),OR(CARI!$C$8="",$O138=CARI!$C$8)),MAX($U$3:U137)+1,""))</f>
        <v/>
      </c>
      <c r="V138" s="40" t="str">
        <f aca="false">IF($T138="","",MAX($V$3:V137)+1)</f>
        <v/>
      </c>
      <c r="W138" s="40" t="str">
        <f aca="false">IF($E138="","",$E138&amp;"#"&amp;COUNTIF($E$4:$E138,$E138))</f>
        <v/>
      </c>
      <c r="X138" s="40" t="str">
        <f aca="false">IF($B138="","",IF(AND(OR(CETAK!$J$10="",$E138=CETAK!$J$10),OR(CETAK!$J$11="",$F138=CETAK!$J$11),OR(CETAK!$J$12="",$K138=CETAK!$J$12),OR(CETAK!$J$13="",$H138=CETAK!$J$13),OR(CETAK!$J$14="",$O138=CETAK!$J$14)),MAX($X$3:X137)+1,""))</f>
        <v/>
      </c>
      <c r="Y138" s="40" t="str">
        <f aca="false">IF($B138="","",IF(AND(OR(ABSENSI!$H$10="",$E138=ABSENSI!$H$10),OR(ABSENSI!$H$11="",$F138=ABSENSI!$H$11),OR(ABSENSI!$H$12="",$K138=ABSENSI!$H$12)),MAX($Y$3:Y137)+1,""))</f>
        <v/>
      </c>
      <c r="Z138" s="40" t="str">
        <f aca="false">IF($B138="","",IF(AND(OR(KARTU!$K$6="",$E138=KARTU!$K$6),OR(KARTU!$K$7="",$F138=KARTU!$K$7),OR(KARTU!$K$8="",$K138=KARTU!$K$8)),MAX($Z$3:Z137)+1,""))</f>
        <v/>
      </c>
    </row>
    <row r="139" customFormat="false" ht="15" hidden="false" customHeight="false" outlineLevel="0" collapsed="false">
      <c r="A139" s="36" t="str">
        <f aca="false">IF($B139="","",COUNTA($B$4:$B139))</f>
        <v/>
      </c>
      <c r="B139" s="37"/>
      <c r="C139" s="38"/>
      <c r="D139" s="39"/>
      <c r="E139" s="37"/>
      <c r="F139" s="39"/>
      <c r="G139" s="40" t="str">
        <f aca="false">IF(OR($E139="",$F139=""),"",$E139&amp;" - RT "&amp;$F139)</f>
        <v/>
      </c>
      <c r="H139" s="37"/>
      <c r="I139" s="38"/>
      <c r="J139" s="37"/>
      <c r="K139" s="39"/>
      <c r="L139" s="41"/>
      <c r="M139" s="36" t="str">
        <f aca="true">IF(OR($B139="",$L139=""),"",DATEDIF($L139,TODAY(),"Y"))</f>
        <v/>
      </c>
      <c r="N139" s="40" t="str">
        <f aca="false">IF($M139="","",INDEX(usia_label,MATCH($M139,usia_min,1)))</f>
        <v/>
      </c>
      <c r="O139" s="37"/>
      <c r="P139" s="41"/>
      <c r="Q139" s="37"/>
      <c r="R139" s="37"/>
      <c r="S139" s="40" t="str">
        <f aca="false">IF($G139="","",$G139&amp;"#"&amp;COUNTIF($G$4:$G139,$G139))</f>
        <v/>
      </c>
      <c r="T139" s="40" t="str">
        <f aca="false">IF($B139="","",IF($C139="","NIK kosong",IF(LEN($C139)&lt;&gt;16,"NIK bukan 16 digit",IF(COUNTIF($C$4:$C$2003,$C139&amp;"*")&gt;1,"NIK ganda",IF($E139="","Kadus kosong",IF($F139="","RT kosong",IF($H139="","Jabatan kosong",IF($I139="","No. HP kosong",IF($J139="","Alamat kosong",IF(AND($M139&lt;&gt;"",$M139&lt;17),"Usia di bawah 17",""))))))))))</f>
        <v/>
      </c>
      <c r="U139" s="40" t="str">
        <f aca="false">IF($B139="","",IF(AND(OR(CARI!$C$5="",ISNUMBER(SEARCH(CARI!$C$5,$B139&amp;" "&amp;$C139&amp;" "&amp;$I139&amp;" "&amp;$J139&amp;" "&amp;$Q139))),OR(CARI!$C$6="",$E139=CARI!$C$6),OR(CARI!$C$7="",$F139=CARI!$C$7),OR(CARI!$C$8="",$O139=CARI!$C$8)),MAX($U$3:U138)+1,""))</f>
        <v/>
      </c>
      <c r="V139" s="40" t="str">
        <f aca="false">IF($T139="","",MAX($V$3:V138)+1)</f>
        <v/>
      </c>
      <c r="W139" s="40" t="str">
        <f aca="false">IF($E139="","",$E139&amp;"#"&amp;COUNTIF($E$4:$E139,$E139))</f>
        <v/>
      </c>
      <c r="X139" s="40" t="str">
        <f aca="false">IF($B139="","",IF(AND(OR(CETAK!$J$10="",$E139=CETAK!$J$10),OR(CETAK!$J$11="",$F139=CETAK!$J$11),OR(CETAK!$J$12="",$K139=CETAK!$J$12),OR(CETAK!$J$13="",$H139=CETAK!$J$13),OR(CETAK!$J$14="",$O139=CETAK!$J$14)),MAX($X$3:X138)+1,""))</f>
        <v/>
      </c>
      <c r="Y139" s="40" t="str">
        <f aca="false">IF($B139="","",IF(AND(OR(ABSENSI!$H$10="",$E139=ABSENSI!$H$10),OR(ABSENSI!$H$11="",$F139=ABSENSI!$H$11),OR(ABSENSI!$H$12="",$K139=ABSENSI!$H$12)),MAX($Y$3:Y138)+1,""))</f>
        <v/>
      </c>
      <c r="Z139" s="40" t="str">
        <f aca="false">IF($B139="","",IF(AND(OR(KARTU!$K$6="",$E139=KARTU!$K$6),OR(KARTU!$K$7="",$F139=KARTU!$K$7),OR(KARTU!$K$8="",$K139=KARTU!$K$8)),MAX($Z$3:Z138)+1,""))</f>
        <v/>
      </c>
    </row>
    <row r="140" customFormat="false" ht="15" hidden="false" customHeight="false" outlineLevel="0" collapsed="false">
      <c r="A140" s="36" t="str">
        <f aca="false">IF($B140="","",COUNTA($B$4:$B140))</f>
        <v/>
      </c>
      <c r="B140" s="37"/>
      <c r="C140" s="38"/>
      <c r="D140" s="39"/>
      <c r="E140" s="37"/>
      <c r="F140" s="39"/>
      <c r="G140" s="40" t="str">
        <f aca="false">IF(OR($E140="",$F140=""),"",$E140&amp;" - RT "&amp;$F140)</f>
        <v/>
      </c>
      <c r="H140" s="37"/>
      <c r="I140" s="38"/>
      <c r="J140" s="37"/>
      <c r="K140" s="39"/>
      <c r="L140" s="41"/>
      <c r="M140" s="36" t="str">
        <f aca="true">IF(OR($B140="",$L140=""),"",DATEDIF($L140,TODAY(),"Y"))</f>
        <v/>
      </c>
      <c r="N140" s="40" t="str">
        <f aca="false">IF($M140="","",INDEX(usia_label,MATCH($M140,usia_min,1)))</f>
        <v/>
      </c>
      <c r="O140" s="37"/>
      <c r="P140" s="41"/>
      <c r="Q140" s="37"/>
      <c r="R140" s="37"/>
      <c r="S140" s="40" t="str">
        <f aca="false">IF($G140="","",$G140&amp;"#"&amp;COUNTIF($G$4:$G140,$G140))</f>
        <v/>
      </c>
      <c r="T140" s="40" t="str">
        <f aca="false">IF($B140="","",IF($C140="","NIK kosong",IF(LEN($C140)&lt;&gt;16,"NIK bukan 16 digit",IF(COUNTIF($C$4:$C$2003,$C140&amp;"*")&gt;1,"NIK ganda",IF($E140="","Kadus kosong",IF($F140="","RT kosong",IF($H140="","Jabatan kosong",IF($I140="","No. HP kosong",IF($J140="","Alamat kosong",IF(AND($M140&lt;&gt;"",$M140&lt;17),"Usia di bawah 17",""))))))))))</f>
        <v/>
      </c>
      <c r="U140" s="40" t="str">
        <f aca="false">IF($B140="","",IF(AND(OR(CARI!$C$5="",ISNUMBER(SEARCH(CARI!$C$5,$B140&amp;" "&amp;$C140&amp;" "&amp;$I140&amp;" "&amp;$J140&amp;" "&amp;$Q140))),OR(CARI!$C$6="",$E140=CARI!$C$6),OR(CARI!$C$7="",$F140=CARI!$C$7),OR(CARI!$C$8="",$O140=CARI!$C$8)),MAX($U$3:U139)+1,""))</f>
        <v/>
      </c>
      <c r="V140" s="40" t="str">
        <f aca="false">IF($T140="","",MAX($V$3:V139)+1)</f>
        <v/>
      </c>
      <c r="W140" s="40" t="str">
        <f aca="false">IF($E140="","",$E140&amp;"#"&amp;COUNTIF($E$4:$E140,$E140))</f>
        <v/>
      </c>
      <c r="X140" s="40" t="str">
        <f aca="false">IF($B140="","",IF(AND(OR(CETAK!$J$10="",$E140=CETAK!$J$10),OR(CETAK!$J$11="",$F140=CETAK!$J$11),OR(CETAK!$J$12="",$K140=CETAK!$J$12),OR(CETAK!$J$13="",$H140=CETAK!$J$13),OR(CETAK!$J$14="",$O140=CETAK!$J$14)),MAX($X$3:X139)+1,""))</f>
        <v/>
      </c>
      <c r="Y140" s="40" t="str">
        <f aca="false">IF($B140="","",IF(AND(OR(ABSENSI!$H$10="",$E140=ABSENSI!$H$10),OR(ABSENSI!$H$11="",$F140=ABSENSI!$H$11),OR(ABSENSI!$H$12="",$K140=ABSENSI!$H$12)),MAX($Y$3:Y139)+1,""))</f>
        <v/>
      </c>
      <c r="Z140" s="40" t="str">
        <f aca="false">IF($B140="","",IF(AND(OR(KARTU!$K$6="",$E140=KARTU!$K$6),OR(KARTU!$K$7="",$F140=KARTU!$K$7),OR(KARTU!$K$8="",$K140=KARTU!$K$8)),MAX($Z$3:Z139)+1,""))</f>
        <v/>
      </c>
    </row>
    <row r="141" customFormat="false" ht="15" hidden="false" customHeight="false" outlineLevel="0" collapsed="false">
      <c r="A141" s="36" t="str">
        <f aca="false">IF($B141="","",COUNTA($B$4:$B141))</f>
        <v/>
      </c>
      <c r="B141" s="37"/>
      <c r="C141" s="38"/>
      <c r="D141" s="39"/>
      <c r="E141" s="37"/>
      <c r="F141" s="39"/>
      <c r="G141" s="40" t="str">
        <f aca="false">IF(OR($E141="",$F141=""),"",$E141&amp;" - RT "&amp;$F141)</f>
        <v/>
      </c>
      <c r="H141" s="37"/>
      <c r="I141" s="38"/>
      <c r="J141" s="37"/>
      <c r="K141" s="39"/>
      <c r="L141" s="41"/>
      <c r="M141" s="36" t="str">
        <f aca="true">IF(OR($B141="",$L141=""),"",DATEDIF($L141,TODAY(),"Y"))</f>
        <v/>
      </c>
      <c r="N141" s="40" t="str">
        <f aca="false">IF($M141="","",INDEX(usia_label,MATCH($M141,usia_min,1)))</f>
        <v/>
      </c>
      <c r="O141" s="37"/>
      <c r="P141" s="41"/>
      <c r="Q141" s="37"/>
      <c r="R141" s="37"/>
      <c r="S141" s="40" t="str">
        <f aca="false">IF($G141="","",$G141&amp;"#"&amp;COUNTIF($G$4:$G141,$G141))</f>
        <v/>
      </c>
      <c r="T141" s="40" t="str">
        <f aca="false">IF($B141="","",IF($C141="","NIK kosong",IF(LEN($C141)&lt;&gt;16,"NIK bukan 16 digit",IF(COUNTIF($C$4:$C$2003,$C141&amp;"*")&gt;1,"NIK ganda",IF($E141="","Kadus kosong",IF($F141="","RT kosong",IF($H141="","Jabatan kosong",IF($I141="","No. HP kosong",IF($J141="","Alamat kosong",IF(AND($M141&lt;&gt;"",$M141&lt;17),"Usia di bawah 17",""))))))))))</f>
        <v/>
      </c>
      <c r="U141" s="40" t="str">
        <f aca="false">IF($B141="","",IF(AND(OR(CARI!$C$5="",ISNUMBER(SEARCH(CARI!$C$5,$B141&amp;" "&amp;$C141&amp;" "&amp;$I141&amp;" "&amp;$J141&amp;" "&amp;$Q141))),OR(CARI!$C$6="",$E141=CARI!$C$6),OR(CARI!$C$7="",$F141=CARI!$C$7),OR(CARI!$C$8="",$O141=CARI!$C$8)),MAX($U$3:U140)+1,""))</f>
        <v/>
      </c>
      <c r="V141" s="40" t="str">
        <f aca="false">IF($T141="","",MAX($V$3:V140)+1)</f>
        <v/>
      </c>
      <c r="W141" s="40" t="str">
        <f aca="false">IF($E141="","",$E141&amp;"#"&amp;COUNTIF($E$4:$E141,$E141))</f>
        <v/>
      </c>
      <c r="X141" s="40" t="str">
        <f aca="false">IF($B141="","",IF(AND(OR(CETAK!$J$10="",$E141=CETAK!$J$10),OR(CETAK!$J$11="",$F141=CETAK!$J$11),OR(CETAK!$J$12="",$K141=CETAK!$J$12),OR(CETAK!$J$13="",$H141=CETAK!$J$13),OR(CETAK!$J$14="",$O141=CETAK!$J$14)),MAX($X$3:X140)+1,""))</f>
        <v/>
      </c>
      <c r="Y141" s="40" t="str">
        <f aca="false">IF($B141="","",IF(AND(OR(ABSENSI!$H$10="",$E141=ABSENSI!$H$10),OR(ABSENSI!$H$11="",$F141=ABSENSI!$H$11),OR(ABSENSI!$H$12="",$K141=ABSENSI!$H$12)),MAX($Y$3:Y140)+1,""))</f>
        <v/>
      </c>
      <c r="Z141" s="40" t="str">
        <f aca="false">IF($B141="","",IF(AND(OR(KARTU!$K$6="",$E141=KARTU!$K$6),OR(KARTU!$K$7="",$F141=KARTU!$K$7),OR(KARTU!$K$8="",$K141=KARTU!$K$8)),MAX($Z$3:Z140)+1,""))</f>
        <v/>
      </c>
    </row>
    <row r="142" customFormat="false" ht="15" hidden="false" customHeight="false" outlineLevel="0" collapsed="false">
      <c r="A142" s="36" t="str">
        <f aca="false">IF($B142="","",COUNTA($B$4:$B142))</f>
        <v/>
      </c>
      <c r="B142" s="37"/>
      <c r="C142" s="38"/>
      <c r="D142" s="39"/>
      <c r="E142" s="37"/>
      <c r="F142" s="39"/>
      <c r="G142" s="40" t="str">
        <f aca="false">IF(OR($E142="",$F142=""),"",$E142&amp;" - RT "&amp;$F142)</f>
        <v/>
      </c>
      <c r="H142" s="37"/>
      <c r="I142" s="38"/>
      <c r="J142" s="37"/>
      <c r="K142" s="39"/>
      <c r="L142" s="41"/>
      <c r="M142" s="36" t="str">
        <f aca="true">IF(OR($B142="",$L142=""),"",DATEDIF($L142,TODAY(),"Y"))</f>
        <v/>
      </c>
      <c r="N142" s="40" t="str">
        <f aca="false">IF($M142="","",INDEX(usia_label,MATCH($M142,usia_min,1)))</f>
        <v/>
      </c>
      <c r="O142" s="37"/>
      <c r="P142" s="41"/>
      <c r="Q142" s="37"/>
      <c r="R142" s="37"/>
      <c r="S142" s="40" t="str">
        <f aca="false">IF($G142="","",$G142&amp;"#"&amp;COUNTIF($G$4:$G142,$G142))</f>
        <v/>
      </c>
      <c r="T142" s="40" t="str">
        <f aca="false">IF($B142="","",IF($C142="","NIK kosong",IF(LEN($C142)&lt;&gt;16,"NIK bukan 16 digit",IF(COUNTIF($C$4:$C$2003,$C142&amp;"*")&gt;1,"NIK ganda",IF($E142="","Kadus kosong",IF($F142="","RT kosong",IF($H142="","Jabatan kosong",IF($I142="","No. HP kosong",IF($J142="","Alamat kosong",IF(AND($M142&lt;&gt;"",$M142&lt;17),"Usia di bawah 17",""))))))))))</f>
        <v/>
      </c>
      <c r="U142" s="40" t="str">
        <f aca="false">IF($B142="","",IF(AND(OR(CARI!$C$5="",ISNUMBER(SEARCH(CARI!$C$5,$B142&amp;" "&amp;$C142&amp;" "&amp;$I142&amp;" "&amp;$J142&amp;" "&amp;$Q142))),OR(CARI!$C$6="",$E142=CARI!$C$6),OR(CARI!$C$7="",$F142=CARI!$C$7),OR(CARI!$C$8="",$O142=CARI!$C$8)),MAX($U$3:U141)+1,""))</f>
        <v/>
      </c>
      <c r="V142" s="40" t="str">
        <f aca="false">IF($T142="","",MAX($V$3:V141)+1)</f>
        <v/>
      </c>
      <c r="W142" s="40" t="str">
        <f aca="false">IF($E142="","",$E142&amp;"#"&amp;COUNTIF($E$4:$E142,$E142))</f>
        <v/>
      </c>
      <c r="X142" s="40" t="str">
        <f aca="false">IF($B142="","",IF(AND(OR(CETAK!$J$10="",$E142=CETAK!$J$10),OR(CETAK!$J$11="",$F142=CETAK!$J$11),OR(CETAK!$J$12="",$K142=CETAK!$J$12),OR(CETAK!$J$13="",$H142=CETAK!$J$13),OR(CETAK!$J$14="",$O142=CETAK!$J$14)),MAX($X$3:X141)+1,""))</f>
        <v/>
      </c>
      <c r="Y142" s="40" t="str">
        <f aca="false">IF($B142="","",IF(AND(OR(ABSENSI!$H$10="",$E142=ABSENSI!$H$10),OR(ABSENSI!$H$11="",$F142=ABSENSI!$H$11),OR(ABSENSI!$H$12="",$K142=ABSENSI!$H$12)),MAX($Y$3:Y141)+1,""))</f>
        <v/>
      </c>
      <c r="Z142" s="40" t="str">
        <f aca="false">IF($B142="","",IF(AND(OR(KARTU!$K$6="",$E142=KARTU!$K$6),OR(KARTU!$K$7="",$F142=KARTU!$K$7),OR(KARTU!$K$8="",$K142=KARTU!$K$8)),MAX($Z$3:Z141)+1,""))</f>
        <v/>
      </c>
    </row>
    <row r="143" customFormat="false" ht="15" hidden="false" customHeight="false" outlineLevel="0" collapsed="false">
      <c r="A143" s="36" t="str">
        <f aca="false">IF($B143="","",COUNTA($B$4:$B143))</f>
        <v/>
      </c>
      <c r="B143" s="37"/>
      <c r="C143" s="38"/>
      <c r="D143" s="39"/>
      <c r="E143" s="37"/>
      <c r="F143" s="39"/>
      <c r="G143" s="40" t="str">
        <f aca="false">IF(OR($E143="",$F143=""),"",$E143&amp;" - RT "&amp;$F143)</f>
        <v/>
      </c>
      <c r="H143" s="37"/>
      <c r="I143" s="38"/>
      <c r="J143" s="37"/>
      <c r="K143" s="39"/>
      <c r="L143" s="41"/>
      <c r="M143" s="36" t="str">
        <f aca="true">IF(OR($B143="",$L143=""),"",DATEDIF($L143,TODAY(),"Y"))</f>
        <v/>
      </c>
      <c r="N143" s="40" t="str">
        <f aca="false">IF($M143="","",INDEX(usia_label,MATCH($M143,usia_min,1)))</f>
        <v/>
      </c>
      <c r="O143" s="37"/>
      <c r="P143" s="41"/>
      <c r="Q143" s="37"/>
      <c r="R143" s="37"/>
      <c r="S143" s="40" t="str">
        <f aca="false">IF($G143="","",$G143&amp;"#"&amp;COUNTIF($G$4:$G143,$G143))</f>
        <v/>
      </c>
      <c r="T143" s="40" t="str">
        <f aca="false">IF($B143="","",IF($C143="","NIK kosong",IF(LEN($C143)&lt;&gt;16,"NIK bukan 16 digit",IF(COUNTIF($C$4:$C$2003,$C143&amp;"*")&gt;1,"NIK ganda",IF($E143="","Kadus kosong",IF($F143="","RT kosong",IF($H143="","Jabatan kosong",IF($I143="","No. HP kosong",IF($J143="","Alamat kosong",IF(AND($M143&lt;&gt;"",$M143&lt;17),"Usia di bawah 17",""))))))))))</f>
        <v/>
      </c>
      <c r="U143" s="40" t="str">
        <f aca="false">IF($B143="","",IF(AND(OR(CARI!$C$5="",ISNUMBER(SEARCH(CARI!$C$5,$B143&amp;" "&amp;$C143&amp;" "&amp;$I143&amp;" "&amp;$J143&amp;" "&amp;$Q143))),OR(CARI!$C$6="",$E143=CARI!$C$6),OR(CARI!$C$7="",$F143=CARI!$C$7),OR(CARI!$C$8="",$O143=CARI!$C$8)),MAX($U$3:U142)+1,""))</f>
        <v/>
      </c>
      <c r="V143" s="40" t="str">
        <f aca="false">IF($T143="","",MAX($V$3:V142)+1)</f>
        <v/>
      </c>
      <c r="W143" s="40" t="str">
        <f aca="false">IF($E143="","",$E143&amp;"#"&amp;COUNTIF($E$4:$E143,$E143))</f>
        <v/>
      </c>
      <c r="X143" s="40" t="str">
        <f aca="false">IF($B143="","",IF(AND(OR(CETAK!$J$10="",$E143=CETAK!$J$10),OR(CETAK!$J$11="",$F143=CETAK!$J$11),OR(CETAK!$J$12="",$K143=CETAK!$J$12),OR(CETAK!$J$13="",$H143=CETAK!$J$13),OR(CETAK!$J$14="",$O143=CETAK!$J$14)),MAX($X$3:X142)+1,""))</f>
        <v/>
      </c>
      <c r="Y143" s="40" t="str">
        <f aca="false">IF($B143="","",IF(AND(OR(ABSENSI!$H$10="",$E143=ABSENSI!$H$10),OR(ABSENSI!$H$11="",$F143=ABSENSI!$H$11),OR(ABSENSI!$H$12="",$K143=ABSENSI!$H$12)),MAX($Y$3:Y142)+1,""))</f>
        <v/>
      </c>
      <c r="Z143" s="40" t="str">
        <f aca="false">IF($B143="","",IF(AND(OR(KARTU!$K$6="",$E143=KARTU!$K$6),OR(KARTU!$K$7="",$F143=KARTU!$K$7),OR(KARTU!$K$8="",$K143=KARTU!$K$8)),MAX($Z$3:Z142)+1,""))</f>
        <v/>
      </c>
    </row>
    <row r="144" customFormat="false" ht="15" hidden="false" customHeight="false" outlineLevel="0" collapsed="false">
      <c r="A144" s="36" t="str">
        <f aca="false">IF($B144="","",COUNTA($B$4:$B144))</f>
        <v/>
      </c>
      <c r="B144" s="37"/>
      <c r="C144" s="38"/>
      <c r="D144" s="39"/>
      <c r="E144" s="37"/>
      <c r="F144" s="39"/>
      <c r="G144" s="40" t="str">
        <f aca="false">IF(OR($E144="",$F144=""),"",$E144&amp;" - RT "&amp;$F144)</f>
        <v/>
      </c>
      <c r="H144" s="37"/>
      <c r="I144" s="38"/>
      <c r="J144" s="37"/>
      <c r="K144" s="39"/>
      <c r="L144" s="41"/>
      <c r="M144" s="36" t="str">
        <f aca="true">IF(OR($B144="",$L144=""),"",DATEDIF($L144,TODAY(),"Y"))</f>
        <v/>
      </c>
      <c r="N144" s="40" t="str">
        <f aca="false">IF($M144="","",INDEX(usia_label,MATCH($M144,usia_min,1)))</f>
        <v/>
      </c>
      <c r="O144" s="37"/>
      <c r="P144" s="41"/>
      <c r="Q144" s="37"/>
      <c r="R144" s="37"/>
      <c r="S144" s="40" t="str">
        <f aca="false">IF($G144="","",$G144&amp;"#"&amp;COUNTIF($G$4:$G144,$G144))</f>
        <v/>
      </c>
      <c r="T144" s="40" t="str">
        <f aca="false">IF($B144="","",IF($C144="","NIK kosong",IF(LEN($C144)&lt;&gt;16,"NIK bukan 16 digit",IF(COUNTIF($C$4:$C$2003,$C144&amp;"*")&gt;1,"NIK ganda",IF($E144="","Kadus kosong",IF($F144="","RT kosong",IF($H144="","Jabatan kosong",IF($I144="","No. HP kosong",IF($J144="","Alamat kosong",IF(AND($M144&lt;&gt;"",$M144&lt;17),"Usia di bawah 17",""))))))))))</f>
        <v/>
      </c>
      <c r="U144" s="40" t="str">
        <f aca="false">IF($B144="","",IF(AND(OR(CARI!$C$5="",ISNUMBER(SEARCH(CARI!$C$5,$B144&amp;" "&amp;$C144&amp;" "&amp;$I144&amp;" "&amp;$J144&amp;" "&amp;$Q144))),OR(CARI!$C$6="",$E144=CARI!$C$6),OR(CARI!$C$7="",$F144=CARI!$C$7),OR(CARI!$C$8="",$O144=CARI!$C$8)),MAX($U$3:U143)+1,""))</f>
        <v/>
      </c>
      <c r="V144" s="40" t="str">
        <f aca="false">IF($T144="","",MAX($V$3:V143)+1)</f>
        <v/>
      </c>
      <c r="W144" s="40" t="str">
        <f aca="false">IF($E144="","",$E144&amp;"#"&amp;COUNTIF($E$4:$E144,$E144))</f>
        <v/>
      </c>
      <c r="X144" s="40" t="str">
        <f aca="false">IF($B144="","",IF(AND(OR(CETAK!$J$10="",$E144=CETAK!$J$10),OR(CETAK!$J$11="",$F144=CETAK!$J$11),OR(CETAK!$J$12="",$K144=CETAK!$J$12),OR(CETAK!$J$13="",$H144=CETAK!$J$13),OR(CETAK!$J$14="",$O144=CETAK!$J$14)),MAX($X$3:X143)+1,""))</f>
        <v/>
      </c>
      <c r="Y144" s="40" t="str">
        <f aca="false">IF($B144="","",IF(AND(OR(ABSENSI!$H$10="",$E144=ABSENSI!$H$10),OR(ABSENSI!$H$11="",$F144=ABSENSI!$H$11),OR(ABSENSI!$H$12="",$K144=ABSENSI!$H$12)),MAX($Y$3:Y143)+1,""))</f>
        <v/>
      </c>
      <c r="Z144" s="40" t="str">
        <f aca="false">IF($B144="","",IF(AND(OR(KARTU!$K$6="",$E144=KARTU!$K$6),OR(KARTU!$K$7="",$F144=KARTU!$K$7),OR(KARTU!$K$8="",$K144=KARTU!$K$8)),MAX($Z$3:Z143)+1,""))</f>
        <v/>
      </c>
    </row>
    <row r="145" customFormat="false" ht="15" hidden="false" customHeight="false" outlineLevel="0" collapsed="false">
      <c r="A145" s="36" t="str">
        <f aca="false">IF($B145="","",COUNTA($B$4:$B145))</f>
        <v/>
      </c>
      <c r="B145" s="37"/>
      <c r="C145" s="38"/>
      <c r="D145" s="39"/>
      <c r="E145" s="37"/>
      <c r="F145" s="39"/>
      <c r="G145" s="40" t="str">
        <f aca="false">IF(OR($E145="",$F145=""),"",$E145&amp;" - RT "&amp;$F145)</f>
        <v/>
      </c>
      <c r="H145" s="37"/>
      <c r="I145" s="38"/>
      <c r="J145" s="37"/>
      <c r="K145" s="39"/>
      <c r="L145" s="41"/>
      <c r="M145" s="36" t="str">
        <f aca="true">IF(OR($B145="",$L145=""),"",DATEDIF($L145,TODAY(),"Y"))</f>
        <v/>
      </c>
      <c r="N145" s="40" t="str">
        <f aca="false">IF($M145="","",INDEX(usia_label,MATCH($M145,usia_min,1)))</f>
        <v/>
      </c>
      <c r="O145" s="37"/>
      <c r="P145" s="41"/>
      <c r="Q145" s="37"/>
      <c r="R145" s="37"/>
      <c r="S145" s="40" t="str">
        <f aca="false">IF($G145="","",$G145&amp;"#"&amp;COUNTIF($G$4:$G145,$G145))</f>
        <v/>
      </c>
      <c r="T145" s="40" t="str">
        <f aca="false">IF($B145="","",IF($C145="","NIK kosong",IF(LEN($C145)&lt;&gt;16,"NIK bukan 16 digit",IF(COUNTIF($C$4:$C$2003,$C145&amp;"*")&gt;1,"NIK ganda",IF($E145="","Kadus kosong",IF($F145="","RT kosong",IF($H145="","Jabatan kosong",IF($I145="","No. HP kosong",IF($J145="","Alamat kosong",IF(AND($M145&lt;&gt;"",$M145&lt;17),"Usia di bawah 17",""))))))))))</f>
        <v/>
      </c>
      <c r="U145" s="40" t="str">
        <f aca="false">IF($B145="","",IF(AND(OR(CARI!$C$5="",ISNUMBER(SEARCH(CARI!$C$5,$B145&amp;" "&amp;$C145&amp;" "&amp;$I145&amp;" "&amp;$J145&amp;" "&amp;$Q145))),OR(CARI!$C$6="",$E145=CARI!$C$6),OR(CARI!$C$7="",$F145=CARI!$C$7),OR(CARI!$C$8="",$O145=CARI!$C$8)),MAX($U$3:U144)+1,""))</f>
        <v/>
      </c>
      <c r="V145" s="40" t="str">
        <f aca="false">IF($T145="","",MAX($V$3:V144)+1)</f>
        <v/>
      </c>
      <c r="W145" s="40" t="str">
        <f aca="false">IF($E145="","",$E145&amp;"#"&amp;COUNTIF($E$4:$E145,$E145))</f>
        <v/>
      </c>
      <c r="X145" s="40" t="str">
        <f aca="false">IF($B145="","",IF(AND(OR(CETAK!$J$10="",$E145=CETAK!$J$10),OR(CETAK!$J$11="",$F145=CETAK!$J$11),OR(CETAK!$J$12="",$K145=CETAK!$J$12),OR(CETAK!$J$13="",$H145=CETAK!$J$13),OR(CETAK!$J$14="",$O145=CETAK!$J$14)),MAX($X$3:X144)+1,""))</f>
        <v/>
      </c>
      <c r="Y145" s="40" t="str">
        <f aca="false">IF($B145="","",IF(AND(OR(ABSENSI!$H$10="",$E145=ABSENSI!$H$10),OR(ABSENSI!$H$11="",$F145=ABSENSI!$H$11),OR(ABSENSI!$H$12="",$K145=ABSENSI!$H$12)),MAX($Y$3:Y144)+1,""))</f>
        <v/>
      </c>
      <c r="Z145" s="40" t="str">
        <f aca="false">IF($B145="","",IF(AND(OR(KARTU!$K$6="",$E145=KARTU!$K$6),OR(KARTU!$K$7="",$F145=KARTU!$K$7),OR(KARTU!$K$8="",$K145=KARTU!$K$8)),MAX($Z$3:Z144)+1,""))</f>
        <v/>
      </c>
    </row>
    <row r="146" customFormat="false" ht="15" hidden="false" customHeight="false" outlineLevel="0" collapsed="false">
      <c r="A146" s="36" t="str">
        <f aca="false">IF($B146="","",COUNTA($B$4:$B146))</f>
        <v/>
      </c>
      <c r="B146" s="37"/>
      <c r="C146" s="38"/>
      <c r="D146" s="39"/>
      <c r="E146" s="37"/>
      <c r="F146" s="39"/>
      <c r="G146" s="40" t="str">
        <f aca="false">IF(OR($E146="",$F146=""),"",$E146&amp;" - RT "&amp;$F146)</f>
        <v/>
      </c>
      <c r="H146" s="37"/>
      <c r="I146" s="38"/>
      <c r="J146" s="37"/>
      <c r="K146" s="39"/>
      <c r="L146" s="41"/>
      <c r="M146" s="36" t="str">
        <f aca="true">IF(OR($B146="",$L146=""),"",DATEDIF($L146,TODAY(),"Y"))</f>
        <v/>
      </c>
      <c r="N146" s="40" t="str">
        <f aca="false">IF($M146="","",INDEX(usia_label,MATCH($M146,usia_min,1)))</f>
        <v/>
      </c>
      <c r="O146" s="37"/>
      <c r="P146" s="41"/>
      <c r="Q146" s="37"/>
      <c r="R146" s="37"/>
      <c r="S146" s="40" t="str">
        <f aca="false">IF($G146="","",$G146&amp;"#"&amp;COUNTIF($G$4:$G146,$G146))</f>
        <v/>
      </c>
      <c r="T146" s="40" t="str">
        <f aca="false">IF($B146="","",IF($C146="","NIK kosong",IF(LEN($C146)&lt;&gt;16,"NIK bukan 16 digit",IF(COUNTIF($C$4:$C$2003,$C146&amp;"*")&gt;1,"NIK ganda",IF($E146="","Kadus kosong",IF($F146="","RT kosong",IF($H146="","Jabatan kosong",IF($I146="","No. HP kosong",IF($J146="","Alamat kosong",IF(AND($M146&lt;&gt;"",$M146&lt;17),"Usia di bawah 17",""))))))))))</f>
        <v/>
      </c>
      <c r="U146" s="40" t="str">
        <f aca="false">IF($B146="","",IF(AND(OR(CARI!$C$5="",ISNUMBER(SEARCH(CARI!$C$5,$B146&amp;" "&amp;$C146&amp;" "&amp;$I146&amp;" "&amp;$J146&amp;" "&amp;$Q146))),OR(CARI!$C$6="",$E146=CARI!$C$6),OR(CARI!$C$7="",$F146=CARI!$C$7),OR(CARI!$C$8="",$O146=CARI!$C$8)),MAX($U$3:U145)+1,""))</f>
        <v/>
      </c>
      <c r="V146" s="40" t="str">
        <f aca="false">IF($T146="","",MAX($V$3:V145)+1)</f>
        <v/>
      </c>
      <c r="W146" s="40" t="str">
        <f aca="false">IF($E146="","",$E146&amp;"#"&amp;COUNTIF($E$4:$E146,$E146))</f>
        <v/>
      </c>
      <c r="X146" s="40" t="str">
        <f aca="false">IF($B146="","",IF(AND(OR(CETAK!$J$10="",$E146=CETAK!$J$10),OR(CETAK!$J$11="",$F146=CETAK!$J$11),OR(CETAK!$J$12="",$K146=CETAK!$J$12),OR(CETAK!$J$13="",$H146=CETAK!$J$13),OR(CETAK!$J$14="",$O146=CETAK!$J$14)),MAX($X$3:X145)+1,""))</f>
        <v/>
      </c>
      <c r="Y146" s="40" t="str">
        <f aca="false">IF($B146="","",IF(AND(OR(ABSENSI!$H$10="",$E146=ABSENSI!$H$10),OR(ABSENSI!$H$11="",$F146=ABSENSI!$H$11),OR(ABSENSI!$H$12="",$K146=ABSENSI!$H$12)),MAX($Y$3:Y145)+1,""))</f>
        <v/>
      </c>
      <c r="Z146" s="40" t="str">
        <f aca="false">IF($B146="","",IF(AND(OR(KARTU!$K$6="",$E146=KARTU!$K$6),OR(KARTU!$K$7="",$F146=KARTU!$K$7),OR(KARTU!$K$8="",$K146=KARTU!$K$8)),MAX($Z$3:Z145)+1,""))</f>
        <v/>
      </c>
    </row>
    <row r="147" customFormat="false" ht="15" hidden="false" customHeight="false" outlineLevel="0" collapsed="false">
      <c r="A147" s="36" t="str">
        <f aca="false">IF($B147="","",COUNTA($B$4:$B147))</f>
        <v/>
      </c>
      <c r="B147" s="37"/>
      <c r="C147" s="38"/>
      <c r="D147" s="39"/>
      <c r="E147" s="37"/>
      <c r="F147" s="39"/>
      <c r="G147" s="40" t="str">
        <f aca="false">IF(OR($E147="",$F147=""),"",$E147&amp;" - RT "&amp;$F147)</f>
        <v/>
      </c>
      <c r="H147" s="37"/>
      <c r="I147" s="38"/>
      <c r="J147" s="37"/>
      <c r="K147" s="39"/>
      <c r="L147" s="41"/>
      <c r="M147" s="36" t="str">
        <f aca="true">IF(OR($B147="",$L147=""),"",DATEDIF($L147,TODAY(),"Y"))</f>
        <v/>
      </c>
      <c r="N147" s="40" t="str">
        <f aca="false">IF($M147="","",INDEX(usia_label,MATCH($M147,usia_min,1)))</f>
        <v/>
      </c>
      <c r="O147" s="37"/>
      <c r="P147" s="41"/>
      <c r="Q147" s="37"/>
      <c r="R147" s="37"/>
      <c r="S147" s="40" t="str">
        <f aca="false">IF($G147="","",$G147&amp;"#"&amp;COUNTIF($G$4:$G147,$G147))</f>
        <v/>
      </c>
      <c r="T147" s="40" t="str">
        <f aca="false">IF($B147="","",IF($C147="","NIK kosong",IF(LEN($C147)&lt;&gt;16,"NIK bukan 16 digit",IF(COUNTIF($C$4:$C$2003,$C147&amp;"*")&gt;1,"NIK ganda",IF($E147="","Kadus kosong",IF($F147="","RT kosong",IF($H147="","Jabatan kosong",IF($I147="","No. HP kosong",IF($J147="","Alamat kosong",IF(AND($M147&lt;&gt;"",$M147&lt;17),"Usia di bawah 17",""))))))))))</f>
        <v/>
      </c>
      <c r="U147" s="40" t="str">
        <f aca="false">IF($B147="","",IF(AND(OR(CARI!$C$5="",ISNUMBER(SEARCH(CARI!$C$5,$B147&amp;" "&amp;$C147&amp;" "&amp;$I147&amp;" "&amp;$J147&amp;" "&amp;$Q147))),OR(CARI!$C$6="",$E147=CARI!$C$6),OR(CARI!$C$7="",$F147=CARI!$C$7),OR(CARI!$C$8="",$O147=CARI!$C$8)),MAX($U$3:U146)+1,""))</f>
        <v/>
      </c>
      <c r="V147" s="40" t="str">
        <f aca="false">IF($T147="","",MAX($V$3:V146)+1)</f>
        <v/>
      </c>
      <c r="W147" s="40" t="str">
        <f aca="false">IF($E147="","",$E147&amp;"#"&amp;COUNTIF($E$4:$E147,$E147))</f>
        <v/>
      </c>
      <c r="X147" s="40" t="str">
        <f aca="false">IF($B147="","",IF(AND(OR(CETAK!$J$10="",$E147=CETAK!$J$10),OR(CETAK!$J$11="",$F147=CETAK!$J$11),OR(CETAK!$J$12="",$K147=CETAK!$J$12),OR(CETAK!$J$13="",$H147=CETAK!$J$13),OR(CETAK!$J$14="",$O147=CETAK!$J$14)),MAX($X$3:X146)+1,""))</f>
        <v/>
      </c>
      <c r="Y147" s="40" t="str">
        <f aca="false">IF($B147="","",IF(AND(OR(ABSENSI!$H$10="",$E147=ABSENSI!$H$10),OR(ABSENSI!$H$11="",$F147=ABSENSI!$H$11),OR(ABSENSI!$H$12="",$K147=ABSENSI!$H$12)),MAX($Y$3:Y146)+1,""))</f>
        <v/>
      </c>
      <c r="Z147" s="40" t="str">
        <f aca="false">IF($B147="","",IF(AND(OR(KARTU!$K$6="",$E147=KARTU!$K$6),OR(KARTU!$K$7="",$F147=KARTU!$K$7),OR(KARTU!$K$8="",$K147=KARTU!$K$8)),MAX($Z$3:Z146)+1,""))</f>
        <v/>
      </c>
    </row>
    <row r="148" customFormat="false" ht="15" hidden="false" customHeight="false" outlineLevel="0" collapsed="false">
      <c r="A148" s="36" t="str">
        <f aca="false">IF($B148="","",COUNTA($B$4:$B148))</f>
        <v/>
      </c>
      <c r="B148" s="37"/>
      <c r="C148" s="38"/>
      <c r="D148" s="39"/>
      <c r="E148" s="37"/>
      <c r="F148" s="39"/>
      <c r="G148" s="40" t="str">
        <f aca="false">IF(OR($E148="",$F148=""),"",$E148&amp;" - RT "&amp;$F148)</f>
        <v/>
      </c>
      <c r="H148" s="37"/>
      <c r="I148" s="38"/>
      <c r="J148" s="37"/>
      <c r="K148" s="39"/>
      <c r="L148" s="41"/>
      <c r="M148" s="36" t="str">
        <f aca="true">IF(OR($B148="",$L148=""),"",DATEDIF($L148,TODAY(),"Y"))</f>
        <v/>
      </c>
      <c r="N148" s="40" t="str">
        <f aca="false">IF($M148="","",INDEX(usia_label,MATCH($M148,usia_min,1)))</f>
        <v/>
      </c>
      <c r="O148" s="37"/>
      <c r="P148" s="41"/>
      <c r="Q148" s="37"/>
      <c r="R148" s="37"/>
      <c r="S148" s="40" t="str">
        <f aca="false">IF($G148="","",$G148&amp;"#"&amp;COUNTIF($G$4:$G148,$G148))</f>
        <v/>
      </c>
      <c r="T148" s="40" t="str">
        <f aca="false">IF($B148="","",IF($C148="","NIK kosong",IF(LEN($C148)&lt;&gt;16,"NIK bukan 16 digit",IF(COUNTIF($C$4:$C$2003,$C148&amp;"*")&gt;1,"NIK ganda",IF($E148="","Kadus kosong",IF($F148="","RT kosong",IF($H148="","Jabatan kosong",IF($I148="","No. HP kosong",IF($J148="","Alamat kosong",IF(AND($M148&lt;&gt;"",$M148&lt;17),"Usia di bawah 17",""))))))))))</f>
        <v/>
      </c>
      <c r="U148" s="40" t="str">
        <f aca="false">IF($B148="","",IF(AND(OR(CARI!$C$5="",ISNUMBER(SEARCH(CARI!$C$5,$B148&amp;" "&amp;$C148&amp;" "&amp;$I148&amp;" "&amp;$J148&amp;" "&amp;$Q148))),OR(CARI!$C$6="",$E148=CARI!$C$6),OR(CARI!$C$7="",$F148=CARI!$C$7),OR(CARI!$C$8="",$O148=CARI!$C$8)),MAX($U$3:U147)+1,""))</f>
        <v/>
      </c>
      <c r="V148" s="40" t="str">
        <f aca="false">IF($T148="","",MAX($V$3:V147)+1)</f>
        <v/>
      </c>
      <c r="W148" s="40" t="str">
        <f aca="false">IF($E148="","",$E148&amp;"#"&amp;COUNTIF($E$4:$E148,$E148))</f>
        <v/>
      </c>
      <c r="X148" s="40" t="str">
        <f aca="false">IF($B148="","",IF(AND(OR(CETAK!$J$10="",$E148=CETAK!$J$10),OR(CETAK!$J$11="",$F148=CETAK!$J$11),OR(CETAK!$J$12="",$K148=CETAK!$J$12),OR(CETAK!$J$13="",$H148=CETAK!$J$13),OR(CETAK!$J$14="",$O148=CETAK!$J$14)),MAX($X$3:X147)+1,""))</f>
        <v/>
      </c>
      <c r="Y148" s="40" t="str">
        <f aca="false">IF($B148="","",IF(AND(OR(ABSENSI!$H$10="",$E148=ABSENSI!$H$10),OR(ABSENSI!$H$11="",$F148=ABSENSI!$H$11),OR(ABSENSI!$H$12="",$K148=ABSENSI!$H$12)),MAX($Y$3:Y147)+1,""))</f>
        <v/>
      </c>
      <c r="Z148" s="40" t="str">
        <f aca="false">IF($B148="","",IF(AND(OR(KARTU!$K$6="",$E148=KARTU!$K$6),OR(KARTU!$K$7="",$F148=KARTU!$K$7),OR(KARTU!$K$8="",$K148=KARTU!$K$8)),MAX($Z$3:Z147)+1,""))</f>
        <v/>
      </c>
    </row>
    <row r="149" customFormat="false" ht="15" hidden="false" customHeight="false" outlineLevel="0" collapsed="false">
      <c r="A149" s="36" t="str">
        <f aca="false">IF($B149="","",COUNTA($B$4:$B149))</f>
        <v/>
      </c>
      <c r="B149" s="37"/>
      <c r="C149" s="38"/>
      <c r="D149" s="39"/>
      <c r="E149" s="37"/>
      <c r="F149" s="39"/>
      <c r="G149" s="40" t="str">
        <f aca="false">IF(OR($E149="",$F149=""),"",$E149&amp;" - RT "&amp;$F149)</f>
        <v/>
      </c>
      <c r="H149" s="37"/>
      <c r="I149" s="38"/>
      <c r="J149" s="37"/>
      <c r="K149" s="39"/>
      <c r="L149" s="41"/>
      <c r="M149" s="36" t="str">
        <f aca="true">IF(OR($B149="",$L149=""),"",DATEDIF($L149,TODAY(),"Y"))</f>
        <v/>
      </c>
      <c r="N149" s="40" t="str">
        <f aca="false">IF($M149="","",INDEX(usia_label,MATCH($M149,usia_min,1)))</f>
        <v/>
      </c>
      <c r="O149" s="37"/>
      <c r="P149" s="41"/>
      <c r="Q149" s="37"/>
      <c r="R149" s="37"/>
      <c r="S149" s="40" t="str">
        <f aca="false">IF($G149="","",$G149&amp;"#"&amp;COUNTIF($G$4:$G149,$G149))</f>
        <v/>
      </c>
      <c r="T149" s="40" t="str">
        <f aca="false">IF($B149="","",IF($C149="","NIK kosong",IF(LEN($C149)&lt;&gt;16,"NIK bukan 16 digit",IF(COUNTIF($C$4:$C$2003,$C149&amp;"*")&gt;1,"NIK ganda",IF($E149="","Kadus kosong",IF($F149="","RT kosong",IF($H149="","Jabatan kosong",IF($I149="","No. HP kosong",IF($J149="","Alamat kosong",IF(AND($M149&lt;&gt;"",$M149&lt;17),"Usia di bawah 17",""))))))))))</f>
        <v/>
      </c>
      <c r="U149" s="40" t="str">
        <f aca="false">IF($B149="","",IF(AND(OR(CARI!$C$5="",ISNUMBER(SEARCH(CARI!$C$5,$B149&amp;" "&amp;$C149&amp;" "&amp;$I149&amp;" "&amp;$J149&amp;" "&amp;$Q149))),OR(CARI!$C$6="",$E149=CARI!$C$6),OR(CARI!$C$7="",$F149=CARI!$C$7),OR(CARI!$C$8="",$O149=CARI!$C$8)),MAX($U$3:U148)+1,""))</f>
        <v/>
      </c>
      <c r="V149" s="40" t="str">
        <f aca="false">IF($T149="","",MAX($V$3:V148)+1)</f>
        <v/>
      </c>
      <c r="W149" s="40" t="str">
        <f aca="false">IF($E149="","",$E149&amp;"#"&amp;COUNTIF($E$4:$E149,$E149))</f>
        <v/>
      </c>
      <c r="X149" s="40" t="str">
        <f aca="false">IF($B149="","",IF(AND(OR(CETAK!$J$10="",$E149=CETAK!$J$10),OR(CETAK!$J$11="",$F149=CETAK!$J$11),OR(CETAK!$J$12="",$K149=CETAK!$J$12),OR(CETAK!$J$13="",$H149=CETAK!$J$13),OR(CETAK!$J$14="",$O149=CETAK!$J$14)),MAX($X$3:X148)+1,""))</f>
        <v/>
      </c>
      <c r="Y149" s="40" t="str">
        <f aca="false">IF($B149="","",IF(AND(OR(ABSENSI!$H$10="",$E149=ABSENSI!$H$10),OR(ABSENSI!$H$11="",$F149=ABSENSI!$H$11),OR(ABSENSI!$H$12="",$K149=ABSENSI!$H$12)),MAX($Y$3:Y148)+1,""))</f>
        <v/>
      </c>
      <c r="Z149" s="40" t="str">
        <f aca="false">IF($B149="","",IF(AND(OR(KARTU!$K$6="",$E149=KARTU!$K$6),OR(KARTU!$K$7="",$F149=KARTU!$K$7),OR(KARTU!$K$8="",$K149=KARTU!$K$8)),MAX($Z$3:Z148)+1,""))</f>
        <v/>
      </c>
    </row>
    <row r="150" customFormat="false" ht="15" hidden="false" customHeight="false" outlineLevel="0" collapsed="false">
      <c r="A150" s="36" t="str">
        <f aca="false">IF($B150="","",COUNTA($B$4:$B150))</f>
        <v/>
      </c>
      <c r="B150" s="37"/>
      <c r="C150" s="38"/>
      <c r="D150" s="39"/>
      <c r="E150" s="37"/>
      <c r="F150" s="39"/>
      <c r="G150" s="40" t="str">
        <f aca="false">IF(OR($E150="",$F150=""),"",$E150&amp;" - RT "&amp;$F150)</f>
        <v/>
      </c>
      <c r="H150" s="37"/>
      <c r="I150" s="38"/>
      <c r="J150" s="37"/>
      <c r="K150" s="39"/>
      <c r="L150" s="41"/>
      <c r="M150" s="36" t="str">
        <f aca="true">IF(OR($B150="",$L150=""),"",DATEDIF($L150,TODAY(),"Y"))</f>
        <v/>
      </c>
      <c r="N150" s="40" t="str">
        <f aca="false">IF($M150="","",INDEX(usia_label,MATCH($M150,usia_min,1)))</f>
        <v/>
      </c>
      <c r="O150" s="37"/>
      <c r="P150" s="41"/>
      <c r="Q150" s="37"/>
      <c r="R150" s="37"/>
      <c r="S150" s="40" t="str">
        <f aca="false">IF($G150="","",$G150&amp;"#"&amp;COUNTIF($G$4:$G150,$G150))</f>
        <v/>
      </c>
      <c r="T150" s="40" t="str">
        <f aca="false">IF($B150="","",IF($C150="","NIK kosong",IF(LEN($C150)&lt;&gt;16,"NIK bukan 16 digit",IF(COUNTIF($C$4:$C$2003,$C150&amp;"*")&gt;1,"NIK ganda",IF($E150="","Kadus kosong",IF($F150="","RT kosong",IF($H150="","Jabatan kosong",IF($I150="","No. HP kosong",IF($J150="","Alamat kosong",IF(AND($M150&lt;&gt;"",$M150&lt;17),"Usia di bawah 17",""))))))))))</f>
        <v/>
      </c>
      <c r="U150" s="40" t="str">
        <f aca="false">IF($B150="","",IF(AND(OR(CARI!$C$5="",ISNUMBER(SEARCH(CARI!$C$5,$B150&amp;" "&amp;$C150&amp;" "&amp;$I150&amp;" "&amp;$J150&amp;" "&amp;$Q150))),OR(CARI!$C$6="",$E150=CARI!$C$6),OR(CARI!$C$7="",$F150=CARI!$C$7),OR(CARI!$C$8="",$O150=CARI!$C$8)),MAX($U$3:U149)+1,""))</f>
        <v/>
      </c>
      <c r="V150" s="40" t="str">
        <f aca="false">IF($T150="","",MAX($V$3:V149)+1)</f>
        <v/>
      </c>
      <c r="W150" s="40" t="str">
        <f aca="false">IF($E150="","",$E150&amp;"#"&amp;COUNTIF($E$4:$E150,$E150))</f>
        <v/>
      </c>
      <c r="X150" s="40" t="str">
        <f aca="false">IF($B150="","",IF(AND(OR(CETAK!$J$10="",$E150=CETAK!$J$10),OR(CETAK!$J$11="",$F150=CETAK!$J$11),OR(CETAK!$J$12="",$K150=CETAK!$J$12),OR(CETAK!$J$13="",$H150=CETAK!$J$13),OR(CETAK!$J$14="",$O150=CETAK!$J$14)),MAX($X$3:X149)+1,""))</f>
        <v/>
      </c>
      <c r="Y150" s="40" t="str">
        <f aca="false">IF($B150="","",IF(AND(OR(ABSENSI!$H$10="",$E150=ABSENSI!$H$10),OR(ABSENSI!$H$11="",$F150=ABSENSI!$H$11),OR(ABSENSI!$H$12="",$K150=ABSENSI!$H$12)),MAX($Y$3:Y149)+1,""))</f>
        <v/>
      </c>
      <c r="Z150" s="40" t="str">
        <f aca="false">IF($B150="","",IF(AND(OR(KARTU!$K$6="",$E150=KARTU!$K$6),OR(KARTU!$K$7="",$F150=KARTU!$K$7),OR(KARTU!$K$8="",$K150=KARTU!$K$8)),MAX($Z$3:Z149)+1,""))</f>
        <v/>
      </c>
    </row>
    <row r="151" customFormat="false" ht="15" hidden="false" customHeight="false" outlineLevel="0" collapsed="false">
      <c r="A151" s="36" t="str">
        <f aca="false">IF($B151="","",COUNTA($B$4:$B151))</f>
        <v/>
      </c>
      <c r="B151" s="37"/>
      <c r="C151" s="38"/>
      <c r="D151" s="39"/>
      <c r="E151" s="37"/>
      <c r="F151" s="39"/>
      <c r="G151" s="40" t="str">
        <f aca="false">IF(OR($E151="",$F151=""),"",$E151&amp;" - RT "&amp;$F151)</f>
        <v/>
      </c>
      <c r="H151" s="37"/>
      <c r="I151" s="38"/>
      <c r="J151" s="37"/>
      <c r="K151" s="39"/>
      <c r="L151" s="41"/>
      <c r="M151" s="36" t="str">
        <f aca="true">IF(OR($B151="",$L151=""),"",DATEDIF($L151,TODAY(),"Y"))</f>
        <v/>
      </c>
      <c r="N151" s="40" t="str">
        <f aca="false">IF($M151="","",INDEX(usia_label,MATCH($M151,usia_min,1)))</f>
        <v/>
      </c>
      <c r="O151" s="37"/>
      <c r="P151" s="41"/>
      <c r="Q151" s="37"/>
      <c r="R151" s="37"/>
      <c r="S151" s="40" t="str">
        <f aca="false">IF($G151="","",$G151&amp;"#"&amp;COUNTIF($G$4:$G151,$G151))</f>
        <v/>
      </c>
      <c r="T151" s="40" t="str">
        <f aca="false">IF($B151="","",IF($C151="","NIK kosong",IF(LEN($C151)&lt;&gt;16,"NIK bukan 16 digit",IF(COUNTIF($C$4:$C$2003,$C151&amp;"*")&gt;1,"NIK ganda",IF($E151="","Kadus kosong",IF($F151="","RT kosong",IF($H151="","Jabatan kosong",IF($I151="","No. HP kosong",IF($J151="","Alamat kosong",IF(AND($M151&lt;&gt;"",$M151&lt;17),"Usia di bawah 17",""))))))))))</f>
        <v/>
      </c>
      <c r="U151" s="40" t="str">
        <f aca="false">IF($B151="","",IF(AND(OR(CARI!$C$5="",ISNUMBER(SEARCH(CARI!$C$5,$B151&amp;" "&amp;$C151&amp;" "&amp;$I151&amp;" "&amp;$J151&amp;" "&amp;$Q151))),OR(CARI!$C$6="",$E151=CARI!$C$6),OR(CARI!$C$7="",$F151=CARI!$C$7),OR(CARI!$C$8="",$O151=CARI!$C$8)),MAX($U$3:U150)+1,""))</f>
        <v/>
      </c>
      <c r="V151" s="40" t="str">
        <f aca="false">IF($T151="","",MAX($V$3:V150)+1)</f>
        <v/>
      </c>
      <c r="W151" s="40" t="str">
        <f aca="false">IF($E151="","",$E151&amp;"#"&amp;COUNTIF($E$4:$E151,$E151))</f>
        <v/>
      </c>
      <c r="X151" s="40" t="str">
        <f aca="false">IF($B151="","",IF(AND(OR(CETAK!$J$10="",$E151=CETAK!$J$10),OR(CETAK!$J$11="",$F151=CETAK!$J$11),OR(CETAK!$J$12="",$K151=CETAK!$J$12),OR(CETAK!$J$13="",$H151=CETAK!$J$13),OR(CETAK!$J$14="",$O151=CETAK!$J$14)),MAX($X$3:X150)+1,""))</f>
        <v/>
      </c>
      <c r="Y151" s="40" t="str">
        <f aca="false">IF($B151="","",IF(AND(OR(ABSENSI!$H$10="",$E151=ABSENSI!$H$10),OR(ABSENSI!$H$11="",$F151=ABSENSI!$H$11),OR(ABSENSI!$H$12="",$K151=ABSENSI!$H$12)),MAX($Y$3:Y150)+1,""))</f>
        <v/>
      </c>
      <c r="Z151" s="40" t="str">
        <f aca="false">IF($B151="","",IF(AND(OR(KARTU!$K$6="",$E151=KARTU!$K$6),OR(KARTU!$K$7="",$F151=KARTU!$K$7),OR(KARTU!$K$8="",$K151=KARTU!$K$8)),MAX($Z$3:Z150)+1,""))</f>
        <v/>
      </c>
    </row>
    <row r="152" customFormat="false" ht="15" hidden="false" customHeight="false" outlineLevel="0" collapsed="false">
      <c r="A152" s="36" t="str">
        <f aca="false">IF($B152="","",COUNTA($B$4:$B152))</f>
        <v/>
      </c>
      <c r="B152" s="37"/>
      <c r="C152" s="38"/>
      <c r="D152" s="39"/>
      <c r="E152" s="37"/>
      <c r="F152" s="39"/>
      <c r="G152" s="40" t="str">
        <f aca="false">IF(OR($E152="",$F152=""),"",$E152&amp;" - RT "&amp;$F152)</f>
        <v/>
      </c>
      <c r="H152" s="37"/>
      <c r="I152" s="38"/>
      <c r="J152" s="37"/>
      <c r="K152" s="39"/>
      <c r="L152" s="41"/>
      <c r="M152" s="36" t="str">
        <f aca="true">IF(OR($B152="",$L152=""),"",DATEDIF($L152,TODAY(),"Y"))</f>
        <v/>
      </c>
      <c r="N152" s="40" t="str">
        <f aca="false">IF($M152="","",INDEX(usia_label,MATCH($M152,usia_min,1)))</f>
        <v/>
      </c>
      <c r="O152" s="37"/>
      <c r="P152" s="41"/>
      <c r="Q152" s="37"/>
      <c r="R152" s="37"/>
      <c r="S152" s="40" t="str">
        <f aca="false">IF($G152="","",$G152&amp;"#"&amp;COUNTIF($G$4:$G152,$G152))</f>
        <v/>
      </c>
      <c r="T152" s="40" t="str">
        <f aca="false">IF($B152="","",IF($C152="","NIK kosong",IF(LEN($C152)&lt;&gt;16,"NIK bukan 16 digit",IF(COUNTIF($C$4:$C$2003,$C152&amp;"*")&gt;1,"NIK ganda",IF($E152="","Kadus kosong",IF($F152="","RT kosong",IF($H152="","Jabatan kosong",IF($I152="","No. HP kosong",IF($J152="","Alamat kosong",IF(AND($M152&lt;&gt;"",$M152&lt;17),"Usia di bawah 17",""))))))))))</f>
        <v/>
      </c>
      <c r="U152" s="40" t="str">
        <f aca="false">IF($B152="","",IF(AND(OR(CARI!$C$5="",ISNUMBER(SEARCH(CARI!$C$5,$B152&amp;" "&amp;$C152&amp;" "&amp;$I152&amp;" "&amp;$J152&amp;" "&amp;$Q152))),OR(CARI!$C$6="",$E152=CARI!$C$6),OR(CARI!$C$7="",$F152=CARI!$C$7),OR(CARI!$C$8="",$O152=CARI!$C$8)),MAX($U$3:U151)+1,""))</f>
        <v/>
      </c>
      <c r="V152" s="40" t="str">
        <f aca="false">IF($T152="","",MAX($V$3:V151)+1)</f>
        <v/>
      </c>
      <c r="W152" s="40" t="str">
        <f aca="false">IF($E152="","",$E152&amp;"#"&amp;COUNTIF($E$4:$E152,$E152))</f>
        <v/>
      </c>
      <c r="X152" s="40" t="str">
        <f aca="false">IF($B152="","",IF(AND(OR(CETAK!$J$10="",$E152=CETAK!$J$10),OR(CETAK!$J$11="",$F152=CETAK!$J$11),OR(CETAK!$J$12="",$K152=CETAK!$J$12),OR(CETAK!$J$13="",$H152=CETAK!$J$13),OR(CETAK!$J$14="",$O152=CETAK!$J$14)),MAX($X$3:X151)+1,""))</f>
        <v/>
      </c>
      <c r="Y152" s="40" t="str">
        <f aca="false">IF($B152="","",IF(AND(OR(ABSENSI!$H$10="",$E152=ABSENSI!$H$10),OR(ABSENSI!$H$11="",$F152=ABSENSI!$H$11),OR(ABSENSI!$H$12="",$K152=ABSENSI!$H$12)),MAX($Y$3:Y151)+1,""))</f>
        <v/>
      </c>
      <c r="Z152" s="40" t="str">
        <f aca="false">IF($B152="","",IF(AND(OR(KARTU!$K$6="",$E152=KARTU!$K$6),OR(KARTU!$K$7="",$F152=KARTU!$K$7),OR(KARTU!$K$8="",$K152=KARTU!$K$8)),MAX($Z$3:Z151)+1,""))</f>
        <v/>
      </c>
    </row>
    <row r="153" customFormat="false" ht="15" hidden="false" customHeight="false" outlineLevel="0" collapsed="false">
      <c r="A153" s="36" t="str">
        <f aca="false">IF($B153="","",COUNTA($B$4:$B153))</f>
        <v/>
      </c>
      <c r="B153" s="37"/>
      <c r="C153" s="38"/>
      <c r="D153" s="39"/>
      <c r="E153" s="37"/>
      <c r="F153" s="39"/>
      <c r="G153" s="40" t="str">
        <f aca="false">IF(OR($E153="",$F153=""),"",$E153&amp;" - RT "&amp;$F153)</f>
        <v/>
      </c>
      <c r="H153" s="37"/>
      <c r="I153" s="38"/>
      <c r="J153" s="37"/>
      <c r="K153" s="39"/>
      <c r="L153" s="41"/>
      <c r="M153" s="36" t="str">
        <f aca="true">IF(OR($B153="",$L153=""),"",DATEDIF($L153,TODAY(),"Y"))</f>
        <v/>
      </c>
      <c r="N153" s="40" t="str">
        <f aca="false">IF($M153="","",INDEX(usia_label,MATCH($M153,usia_min,1)))</f>
        <v/>
      </c>
      <c r="O153" s="37"/>
      <c r="P153" s="41"/>
      <c r="Q153" s="37"/>
      <c r="R153" s="37"/>
      <c r="S153" s="40" t="str">
        <f aca="false">IF($G153="","",$G153&amp;"#"&amp;COUNTIF($G$4:$G153,$G153))</f>
        <v/>
      </c>
      <c r="T153" s="40" t="str">
        <f aca="false">IF($B153="","",IF($C153="","NIK kosong",IF(LEN($C153)&lt;&gt;16,"NIK bukan 16 digit",IF(COUNTIF($C$4:$C$2003,$C153&amp;"*")&gt;1,"NIK ganda",IF($E153="","Kadus kosong",IF($F153="","RT kosong",IF($H153="","Jabatan kosong",IF($I153="","No. HP kosong",IF($J153="","Alamat kosong",IF(AND($M153&lt;&gt;"",$M153&lt;17),"Usia di bawah 17",""))))))))))</f>
        <v/>
      </c>
      <c r="U153" s="40" t="str">
        <f aca="false">IF($B153="","",IF(AND(OR(CARI!$C$5="",ISNUMBER(SEARCH(CARI!$C$5,$B153&amp;" "&amp;$C153&amp;" "&amp;$I153&amp;" "&amp;$J153&amp;" "&amp;$Q153))),OR(CARI!$C$6="",$E153=CARI!$C$6),OR(CARI!$C$7="",$F153=CARI!$C$7),OR(CARI!$C$8="",$O153=CARI!$C$8)),MAX($U$3:U152)+1,""))</f>
        <v/>
      </c>
      <c r="V153" s="40" t="str">
        <f aca="false">IF($T153="","",MAX($V$3:V152)+1)</f>
        <v/>
      </c>
      <c r="W153" s="40" t="str">
        <f aca="false">IF($E153="","",$E153&amp;"#"&amp;COUNTIF($E$4:$E153,$E153))</f>
        <v/>
      </c>
      <c r="X153" s="40" t="str">
        <f aca="false">IF($B153="","",IF(AND(OR(CETAK!$J$10="",$E153=CETAK!$J$10),OR(CETAK!$J$11="",$F153=CETAK!$J$11),OR(CETAK!$J$12="",$K153=CETAK!$J$12),OR(CETAK!$J$13="",$H153=CETAK!$J$13),OR(CETAK!$J$14="",$O153=CETAK!$J$14)),MAX($X$3:X152)+1,""))</f>
        <v/>
      </c>
      <c r="Y153" s="40" t="str">
        <f aca="false">IF($B153="","",IF(AND(OR(ABSENSI!$H$10="",$E153=ABSENSI!$H$10),OR(ABSENSI!$H$11="",$F153=ABSENSI!$H$11),OR(ABSENSI!$H$12="",$K153=ABSENSI!$H$12)),MAX($Y$3:Y152)+1,""))</f>
        <v/>
      </c>
      <c r="Z153" s="40" t="str">
        <f aca="false">IF($B153="","",IF(AND(OR(KARTU!$K$6="",$E153=KARTU!$K$6),OR(KARTU!$K$7="",$F153=KARTU!$K$7),OR(KARTU!$K$8="",$K153=KARTU!$K$8)),MAX($Z$3:Z152)+1,""))</f>
        <v/>
      </c>
    </row>
    <row r="154" customFormat="false" ht="15" hidden="false" customHeight="false" outlineLevel="0" collapsed="false">
      <c r="A154" s="36" t="str">
        <f aca="false">IF($B154="","",COUNTA($B$4:$B154))</f>
        <v/>
      </c>
      <c r="B154" s="37"/>
      <c r="C154" s="38"/>
      <c r="D154" s="39"/>
      <c r="E154" s="37"/>
      <c r="F154" s="39"/>
      <c r="G154" s="40" t="str">
        <f aca="false">IF(OR($E154="",$F154=""),"",$E154&amp;" - RT "&amp;$F154)</f>
        <v/>
      </c>
      <c r="H154" s="37"/>
      <c r="I154" s="38"/>
      <c r="J154" s="37"/>
      <c r="K154" s="39"/>
      <c r="L154" s="41"/>
      <c r="M154" s="36" t="str">
        <f aca="true">IF(OR($B154="",$L154=""),"",DATEDIF($L154,TODAY(),"Y"))</f>
        <v/>
      </c>
      <c r="N154" s="40" t="str">
        <f aca="false">IF($M154="","",INDEX(usia_label,MATCH($M154,usia_min,1)))</f>
        <v/>
      </c>
      <c r="O154" s="37"/>
      <c r="P154" s="41"/>
      <c r="Q154" s="37"/>
      <c r="R154" s="37"/>
      <c r="S154" s="40" t="str">
        <f aca="false">IF($G154="","",$G154&amp;"#"&amp;COUNTIF($G$4:$G154,$G154))</f>
        <v/>
      </c>
      <c r="T154" s="40" t="str">
        <f aca="false">IF($B154="","",IF($C154="","NIK kosong",IF(LEN($C154)&lt;&gt;16,"NIK bukan 16 digit",IF(COUNTIF($C$4:$C$2003,$C154&amp;"*")&gt;1,"NIK ganda",IF($E154="","Kadus kosong",IF($F154="","RT kosong",IF($H154="","Jabatan kosong",IF($I154="","No. HP kosong",IF($J154="","Alamat kosong",IF(AND($M154&lt;&gt;"",$M154&lt;17),"Usia di bawah 17",""))))))))))</f>
        <v/>
      </c>
      <c r="U154" s="40" t="str">
        <f aca="false">IF($B154="","",IF(AND(OR(CARI!$C$5="",ISNUMBER(SEARCH(CARI!$C$5,$B154&amp;" "&amp;$C154&amp;" "&amp;$I154&amp;" "&amp;$J154&amp;" "&amp;$Q154))),OR(CARI!$C$6="",$E154=CARI!$C$6),OR(CARI!$C$7="",$F154=CARI!$C$7),OR(CARI!$C$8="",$O154=CARI!$C$8)),MAX($U$3:U153)+1,""))</f>
        <v/>
      </c>
      <c r="V154" s="40" t="str">
        <f aca="false">IF($T154="","",MAX($V$3:V153)+1)</f>
        <v/>
      </c>
      <c r="W154" s="40" t="str">
        <f aca="false">IF($E154="","",$E154&amp;"#"&amp;COUNTIF($E$4:$E154,$E154))</f>
        <v/>
      </c>
      <c r="X154" s="40" t="str">
        <f aca="false">IF($B154="","",IF(AND(OR(CETAK!$J$10="",$E154=CETAK!$J$10),OR(CETAK!$J$11="",$F154=CETAK!$J$11),OR(CETAK!$J$12="",$K154=CETAK!$J$12),OR(CETAK!$J$13="",$H154=CETAK!$J$13),OR(CETAK!$J$14="",$O154=CETAK!$J$14)),MAX($X$3:X153)+1,""))</f>
        <v/>
      </c>
      <c r="Y154" s="40" t="str">
        <f aca="false">IF($B154="","",IF(AND(OR(ABSENSI!$H$10="",$E154=ABSENSI!$H$10),OR(ABSENSI!$H$11="",$F154=ABSENSI!$H$11),OR(ABSENSI!$H$12="",$K154=ABSENSI!$H$12)),MAX($Y$3:Y153)+1,""))</f>
        <v/>
      </c>
      <c r="Z154" s="40" t="str">
        <f aca="false">IF($B154="","",IF(AND(OR(KARTU!$K$6="",$E154=KARTU!$K$6),OR(KARTU!$K$7="",$F154=KARTU!$K$7),OR(KARTU!$K$8="",$K154=KARTU!$K$8)),MAX($Z$3:Z153)+1,""))</f>
        <v/>
      </c>
    </row>
    <row r="155" customFormat="false" ht="15" hidden="false" customHeight="false" outlineLevel="0" collapsed="false">
      <c r="A155" s="36" t="str">
        <f aca="false">IF($B155="","",COUNTA($B$4:$B155))</f>
        <v/>
      </c>
      <c r="B155" s="37"/>
      <c r="C155" s="38"/>
      <c r="D155" s="39"/>
      <c r="E155" s="37"/>
      <c r="F155" s="39"/>
      <c r="G155" s="40" t="str">
        <f aca="false">IF(OR($E155="",$F155=""),"",$E155&amp;" - RT "&amp;$F155)</f>
        <v/>
      </c>
      <c r="H155" s="37"/>
      <c r="I155" s="38"/>
      <c r="J155" s="37"/>
      <c r="K155" s="39"/>
      <c r="L155" s="41"/>
      <c r="M155" s="36" t="str">
        <f aca="true">IF(OR($B155="",$L155=""),"",DATEDIF($L155,TODAY(),"Y"))</f>
        <v/>
      </c>
      <c r="N155" s="40" t="str">
        <f aca="false">IF($M155="","",INDEX(usia_label,MATCH($M155,usia_min,1)))</f>
        <v/>
      </c>
      <c r="O155" s="37"/>
      <c r="P155" s="41"/>
      <c r="Q155" s="37"/>
      <c r="R155" s="37"/>
      <c r="S155" s="40" t="str">
        <f aca="false">IF($G155="","",$G155&amp;"#"&amp;COUNTIF($G$4:$G155,$G155))</f>
        <v/>
      </c>
      <c r="T155" s="40" t="str">
        <f aca="false">IF($B155="","",IF($C155="","NIK kosong",IF(LEN($C155)&lt;&gt;16,"NIK bukan 16 digit",IF(COUNTIF($C$4:$C$2003,$C155&amp;"*")&gt;1,"NIK ganda",IF($E155="","Kadus kosong",IF($F155="","RT kosong",IF($H155="","Jabatan kosong",IF($I155="","No. HP kosong",IF($J155="","Alamat kosong",IF(AND($M155&lt;&gt;"",$M155&lt;17),"Usia di bawah 17",""))))))))))</f>
        <v/>
      </c>
      <c r="U155" s="40" t="str">
        <f aca="false">IF($B155="","",IF(AND(OR(CARI!$C$5="",ISNUMBER(SEARCH(CARI!$C$5,$B155&amp;" "&amp;$C155&amp;" "&amp;$I155&amp;" "&amp;$J155&amp;" "&amp;$Q155))),OR(CARI!$C$6="",$E155=CARI!$C$6),OR(CARI!$C$7="",$F155=CARI!$C$7),OR(CARI!$C$8="",$O155=CARI!$C$8)),MAX($U$3:U154)+1,""))</f>
        <v/>
      </c>
      <c r="V155" s="40" t="str">
        <f aca="false">IF($T155="","",MAX($V$3:V154)+1)</f>
        <v/>
      </c>
      <c r="W155" s="40" t="str">
        <f aca="false">IF($E155="","",$E155&amp;"#"&amp;COUNTIF($E$4:$E155,$E155))</f>
        <v/>
      </c>
      <c r="X155" s="40" t="str">
        <f aca="false">IF($B155="","",IF(AND(OR(CETAK!$J$10="",$E155=CETAK!$J$10),OR(CETAK!$J$11="",$F155=CETAK!$J$11),OR(CETAK!$J$12="",$K155=CETAK!$J$12),OR(CETAK!$J$13="",$H155=CETAK!$J$13),OR(CETAK!$J$14="",$O155=CETAK!$J$14)),MAX($X$3:X154)+1,""))</f>
        <v/>
      </c>
      <c r="Y155" s="40" t="str">
        <f aca="false">IF($B155="","",IF(AND(OR(ABSENSI!$H$10="",$E155=ABSENSI!$H$10),OR(ABSENSI!$H$11="",$F155=ABSENSI!$H$11),OR(ABSENSI!$H$12="",$K155=ABSENSI!$H$12)),MAX($Y$3:Y154)+1,""))</f>
        <v/>
      </c>
      <c r="Z155" s="40" t="str">
        <f aca="false">IF($B155="","",IF(AND(OR(KARTU!$K$6="",$E155=KARTU!$K$6),OR(KARTU!$K$7="",$F155=KARTU!$K$7),OR(KARTU!$K$8="",$K155=KARTU!$K$8)),MAX($Z$3:Z154)+1,""))</f>
        <v/>
      </c>
    </row>
    <row r="156" customFormat="false" ht="15" hidden="false" customHeight="false" outlineLevel="0" collapsed="false">
      <c r="A156" s="36" t="str">
        <f aca="false">IF($B156="","",COUNTA($B$4:$B156))</f>
        <v/>
      </c>
      <c r="B156" s="37"/>
      <c r="C156" s="38"/>
      <c r="D156" s="39"/>
      <c r="E156" s="37"/>
      <c r="F156" s="39"/>
      <c r="G156" s="40" t="str">
        <f aca="false">IF(OR($E156="",$F156=""),"",$E156&amp;" - RT "&amp;$F156)</f>
        <v/>
      </c>
      <c r="H156" s="37"/>
      <c r="I156" s="38"/>
      <c r="J156" s="37"/>
      <c r="K156" s="39"/>
      <c r="L156" s="41"/>
      <c r="M156" s="36" t="str">
        <f aca="true">IF(OR($B156="",$L156=""),"",DATEDIF($L156,TODAY(),"Y"))</f>
        <v/>
      </c>
      <c r="N156" s="40" t="str">
        <f aca="false">IF($M156="","",INDEX(usia_label,MATCH($M156,usia_min,1)))</f>
        <v/>
      </c>
      <c r="O156" s="37"/>
      <c r="P156" s="41"/>
      <c r="Q156" s="37"/>
      <c r="R156" s="37"/>
      <c r="S156" s="40" t="str">
        <f aca="false">IF($G156="","",$G156&amp;"#"&amp;COUNTIF($G$4:$G156,$G156))</f>
        <v/>
      </c>
      <c r="T156" s="40" t="str">
        <f aca="false">IF($B156="","",IF($C156="","NIK kosong",IF(LEN($C156)&lt;&gt;16,"NIK bukan 16 digit",IF(COUNTIF($C$4:$C$2003,$C156&amp;"*")&gt;1,"NIK ganda",IF($E156="","Kadus kosong",IF($F156="","RT kosong",IF($H156="","Jabatan kosong",IF($I156="","No. HP kosong",IF($J156="","Alamat kosong",IF(AND($M156&lt;&gt;"",$M156&lt;17),"Usia di bawah 17",""))))))))))</f>
        <v/>
      </c>
      <c r="U156" s="40" t="str">
        <f aca="false">IF($B156="","",IF(AND(OR(CARI!$C$5="",ISNUMBER(SEARCH(CARI!$C$5,$B156&amp;" "&amp;$C156&amp;" "&amp;$I156&amp;" "&amp;$J156&amp;" "&amp;$Q156))),OR(CARI!$C$6="",$E156=CARI!$C$6),OR(CARI!$C$7="",$F156=CARI!$C$7),OR(CARI!$C$8="",$O156=CARI!$C$8)),MAX($U$3:U155)+1,""))</f>
        <v/>
      </c>
      <c r="V156" s="40" t="str">
        <f aca="false">IF($T156="","",MAX($V$3:V155)+1)</f>
        <v/>
      </c>
      <c r="W156" s="40" t="str">
        <f aca="false">IF($E156="","",$E156&amp;"#"&amp;COUNTIF($E$4:$E156,$E156))</f>
        <v/>
      </c>
      <c r="X156" s="40" t="str">
        <f aca="false">IF($B156="","",IF(AND(OR(CETAK!$J$10="",$E156=CETAK!$J$10),OR(CETAK!$J$11="",$F156=CETAK!$J$11),OR(CETAK!$J$12="",$K156=CETAK!$J$12),OR(CETAK!$J$13="",$H156=CETAK!$J$13),OR(CETAK!$J$14="",$O156=CETAK!$J$14)),MAX($X$3:X155)+1,""))</f>
        <v/>
      </c>
      <c r="Y156" s="40" t="str">
        <f aca="false">IF($B156="","",IF(AND(OR(ABSENSI!$H$10="",$E156=ABSENSI!$H$10),OR(ABSENSI!$H$11="",$F156=ABSENSI!$H$11),OR(ABSENSI!$H$12="",$K156=ABSENSI!$H$12)),MAX($Y$3:Y155)+1,""))</f>
        <v/>
      </c>
      <c r="Z156" s="40" t="str">
        <f aca="false">IF($B156="","",IF(AND(OR(KARTU!$K$6="",$E156=KARTU!$K$6),OR(KARTU!$K$7="",$F156=KARTU!$K$7),OR(KARTU!$K$8="",$K156=KARTU!$K$8)),MAX($Z$3:Z155)+1,""))</f>
        <v/>
      </c>
    </row>
    <row r="157" customFormat="false" ht="15" hidden="false" customHeight="false" outlineLevel="0" collapsed="false">
      <c r="A157" s="36" t="str">
        <f aca="false">IF($B157="","",COUNTA($B$4:$B157))</f>
        <v/>
      </c>
      <c r="B157" s="37"/>
      <c r="C157" s="38"/>
      <c r="D157" s="39"/>
      <c r="E157" s="37"/>
      <c r="F157" s="39"/>
      <c r="G157" s="40" t="str">
        <f aca="false">IF(OR($E157="",$F157=""),"",$E157&amp;" - RT "&amp;$F157)</f>
        <v/>
      </c>
      <c r="H157" s="37"/>
      <c r="I157" s="38"/>
      <c r="J157" s="37"/>
      <c r="K157" s="39"/>
      <c r="L157" s="41"/>
      <c r="M157" s="36" t="str">
        <f aca="true">IF(OR($B157="",$L157=""),"",DATEDIF($L157,TODAY(),"Y"))</f>
        <v/>
      </c>
      <c r="N157" s="40" t="str">
        <f aca="false">IF($M157="","",INDEX(usia_label,MATCH($M157,usia_min,1)))</f>
        <v/>
      </c>
      <c r="O157" s="37"/>
      <c r="P157" s="41"/>
      <c r="Q157" s="37"/>
      <c r="R157" s="37"/>
      <c r="S157" s="40" t="str">
        <f aca="false">IF($G157="","",$G157&amp;"#"&amp;COUNTIF($G$4:$G157,$G157))</f>
        <v/>
      </c>
      <c r="T157" s="40" t="str">
        <f aca="false">IF($B157="","",IF($C157="","NIK kosong",IF(LEN($C157)&lt;&gt;16,"NIK bukan 16 digit",IF(COUNTIF($C$4:$C$2003,$C157&amp;"*")&gt;1,"NIK ganda",IF($E157="","Kadus kosong",IF($F157="","RT kosong",IF($H157="","Jabatan kosong",IF($I157="","No. HP kosong",IF($J157="","Alamat kosong",IF(AND($M157&lt;&gt;"",$M157&lt;17),"Usia di bawah 17",""))))))))))</f>
        <v/>
      </c>
      <c r="U157" s="40" t="str">
        <f aca="false">IF($B157="","",IF(AND(OR(CARI!$C$5="",ISNUMBER(SEARCH(CARI!$C$5,$B157&amp;" "&amp;$C157&amp;" "&amp;$I157&amp;" "&amp;$J157&amp;" "&amp;$Q157))),OR(CARI!$C$6="",$E157=CARI!$C$6),OR(CARI!$C$7="",$F157=CARI!$C$7),OR(CARI!$C$8="",$O157=CARI!$C$8)),MAX($U$3:U156)+1,""))</f>
        <v/>
      </c>
      <c r="V157" s="40" t="str">
        <f aca="false">IF($T157="","",MAX($V$3:V156)+1)</f>
        <v/>
      </c>
      <c r="W157" s="40" t="str">
        <f aca="false">IF($E157="","",$E157&amp;"#"&amp;COUNTIF($E$4:$E157,$E157))</f>
        <v/>
      </c>
      <c r="X157" s="40" t="str">
        <f aca="false">IF($B157="","",IF(AND(OR(CETAK!$J$10="",$E157=CETAK!$J$10),OR(CETAK!$J$11="",$F157=CETAK!$J$11),OR(CETAK!$J$12="",$K157=CETAK!$J$12),OR(CETAK!$J$13="",$H157=CETAK!$J$13),OR(CETAK!$J$14="",$O157=CETAK!$J$14)),MAX($X$3:X156)+1,""))</f>
        <v/>
      </c>
      <c r="Y157" s="40" t="str">
        <f aca="false">IF($B157="","",IF(AND(OR(ABSENSI!$H$10="",$E157=ABSENSI!$H$10),OR(ABSENSI!$H$11="",$F157=ABSENSI!$H$11),OR(ABSENSI!$H$12="",$K157=ABSENSI!$H$12)),MAX($Y$3:Y156)+1,""))</f>
        <v/>
      </c>
      <c r="Z157" s="40" t="str">
        <f aca="false">IF($B157="","",IF(AND(OR(KARTU!$K$6="",$E157=KARTU!$K$6),OR(KARTU!$K$7="",$F157=KARTU!$K$7),OR(KARTU!$K$8="",$K157=KARTU!$K$8)),MAX($Z$3:Z156)+1,""))</f>
        <v/>
      </c>
    </row>
    <row r="158" customFormat="false" ht="15" hidden="false" customHeight="false" outlineLevel="0" collapsed="false">
      <c r="A158" s="36" t="str">
        <f aca="false">IF($B158="","",COUNTA($B$4:$B158))</f>
        <v/>
      </c>
      <c r="B158" s="37"/>
      <c r="C158" s="38"/>
      <c r="D158" s="39"/>
      <c r="E158" s="37"/>
      <c r="F158" s="39"/>
      <c r="G158" s="40" t="str">
        <f aca="false">IF(OR($E158="",$F158=""),"",$E158&amp;" - RT "&amp;$F158)</f>
        <v/>
      </c>
      <c r="H158" s="37"/>
      <c r="I158" s="38"/>
      <c r="J158" s="37"/>
      <c r="K158" s="39"/>
      <c r="L158" s="41"/>
      <c r="M158" s="36" t="str">
        <f aca="true">IF(OR($B158="",$L158=""),"",DATEDIF($L158,TODAY(),"Y"))</f>
        <v/>
      </c>
      <c r="N158" s="40" t="str">
        <f aca="false">IF($M158="","",INDEX(usia_label,MATCH($M158,usia_min,1)))</f>
        <v/>
      </c>
      <c r="O158" s="37"/>
      <c r="P158" s="41"/>
      <c r="Q158" s="37"/>
      <c r="R158" s="37"/>
      <c r="S158" s="40" t="str">
        <f aca="false">IF($G158="","",$G158&amp;"#"&amp;COUNTIF($G$4:$G158,$G158))</f>
        <v/>
      </c>
      <c r="T158" s="40" t="str">
        <f aca="false">IF($B158="","",IF($C158="","NIK kosong",IF(LEN($C158)&lt;&gt;16,"NIK bukan 16 digit",IF(COUNTIF($C$4:$C$2003,$C158&amp;"*")&gt;1,"NIK ganda",IF($E158="","Kadus kosong",IF($F158="","RT kosong",IF($H158="","Jabatan kosong",IF($I158="","No. HP kosong",IF($J158="","Alamat kosong",IF(AND($M158&lt;&gt;"",$M158&lt;17),"Usia di bawah 17",""))))))))))</f>
        <v/>
      </c>
      <c r="U158" s="40" t="str">
        <f aca="false">IF($B158="","",IF(AND(OR(CARI!$C$5="",ISNUMBER(SEARCH(CARI!$C$5,$B158&amp;" "&amp;$C158&amp;" "&amp;$I158&amp;" "&amp;$J158&amp;" "&amp;$Q158))),OR(CARI!$C$6="",$E158=CARI!$C$6),OR(CARI!$C$7="",$F158=CARI!$C$7),OR(CARI!$C$8="",$O158=CARI!$C$8)),MAX($U$3:U157)+1,""))</f>
        <v/>
      </c>
      <c r="V158" s="40" t="str">
        <f aca="false">IF($T158="","",MAX($V$3:V157)+1)</f>
        <v/>
      </c>
      <c r="W158" s="40" t="str">
        <f aca="false">IF($E158="","",$E158&amp;"#"&amp;COUNTIF($E$4:$E158,$E158))</f>
        <v/>
      </c>
      <c r="X158" s="40" t="str">
        <f aca="false">IF($B158="","",IF(AND(OR(CETAK!$J$10="",$E158=CETAK!$J$10),OR(CETAK!$J$11="",$F158=CETAK!$J$11),OR(CETAK!$J$12="",$K158=CETAK!$J$12),OR(CETAK!$J$13="",$H158=CETAK!$J$13),OR(CETAK!$J$14="",$O158=CETAK!$J$14)),MAX($X$3:X157)+1,""))</f>
        <v/>
      </c>
      <c r="Y158" s="40" t="str">
        <f aca="false">IF($B158="","",IF(AND(OR(ABSENSI!$H$10="",$E158=ABSENSI!$H$10),OR(ABSENSI!$H$11="",$F158=ABSENSI!$H$11),OR(ABSENSI!$H$12="",$K158=ABSENSI!$H$12)),MAX($Y$3:Y157)+1,""))</f>
        <v/>
      </c>
      <c r="Z158" s="40" t="str">
        <f aca="false">IF($B158="","",IF(AND(OR(KARTU!$K$6="",$E158=KARTU!$K$6),OR(KARTU!$K$7="",$F158=KARTU!$K$7),OR(KARTU!$K$8="",$K158=KARTU!$K$8)),MAX($Z$3:Z157)+1,""))</f>
        <v/>
      </c>
    </row>
    <row r="159" customFormat="false" ht="15" hidden="false" customHeight="false" outlineLevel="0" collapsed="false">
      <c r="A159" s="36" t="str">
        <f aca="false">IF($B159="","",COUNTA($B$4:$B159))</f>
        <v/>
      </c>
      <c r="B159" s="37"/>
      <c r="C159" s="38"/>
      <c r="D159" s="39"/>
      <c r="E159" s="37"/>
      <c r="F159" s="39"/>
      <c r="G159" s="40" t="str">
        <f aca="false">IF(OR($E159="",$F159=""),"",$E159&amp;" - RT "&amp;$F159)</f>
        <v/>
      </c>
      <c r="H159" s="37"/>
      <c r="I159" s="38"/>
      <c r="J159" s="37"/>
      <c r="K159" s="39"/>
      <c r="L159" s="41"/>
      <c r="M159" s="36" t="str">
        <f aca="true">IF(OR($B159="",$L159=""),"",DATEDIF($L159,TODAY(),"Y"))</f>
        <v/>
      </c>
      <c r="N159" s="40" t="str">
        <f aca="false">IF($M159="","",INDEX(usia_label,MATCH($M159,usia_min,1)))</f>
        <v/>
      </c>
      <c r="O159" s="37"/>
      <c r="P159" s="41"/>
      <c r="Q159" s="37"/>
      <c r="R159" s="37"/>
      <c r="S159" s="40" t="str">
        <f aca="false">IF($G159="","",$G159&amp;"#"&amp;COUNTIF($G$4:$G159,$G159))</f>
        <v/>
      </c>
      <c r="T159" s="40" t="str">
        <f aca="false">IF($B159="","",IF($C159="","NIK kosong",IF(LEN($C159)&lt;&gt;16,"NIK bukan 16 digit",IF(COUNTIF($C$4:$C$2003,$C159&amp;"*")&gt;1,"NIK ganda",IF($E159="","Kadus kosong",IF($F159="","RT kosong",IF($H159="","Jabatan kosong",IF($I159="","No. HP kosong",IF($J159="","Alamat kosong",IF(AND($M159&lt;&gt;"",$M159&lt;17),"Usia di bawah 17",""))))))))))</f>
        <v/>
      </c>
      <c r="U159" s="40" t="str">
        <f aca="false">IF($B159="","",IF(AND(OR(CARI!$C$5="",ISNUMBER(SEARCH(CARI!$C$5,$B159&amp;" "&amp;$C159&amp;" "&amp;$I159&amp;" "&amp;$J159&amp;" "&amp;$Q159))),OR(CARI!$C$6="",$E159=CARI!$C$6),OR(CARI!$C$7="",$F159=CARI!$C$7),OR(CARI!$C$8="",$O159=CARI!$C$8)),MAX($U$3:U158)+1,""))</f>
        <v/>
      </c>
      <c r="V159" s="40" t="str">
        <f aca="false">IF($T159="","",MAX($V$3:V158)+1)</f>
        <v/>
      </c>
      <c r="W159" s="40" t="str">
        <f aca="false">IF($E159="","",$E159&amp;"#"&amp;COUNTIF($E$4:$E159,$E159))</f>
        <v/>
      </c>
      <c r="X159" s="40" t="str">
        <f aca="false">IF($B159="","",IF(AND(OR(CETAK!$J$10="",$E159=CETAK!$J$10),OR(CETAK!$J$11="",$F159=CETAK!$J$11),OR(CETAK!$J$12="",$K159=CETAK!$J$12),OR(CETAK!$J$13="",$H159=CETAK!$J$13),OR(CETAK!$J$14="",$O159=CETAK!$J$14)),MAX($X$3:X158)+1,""))</f>
        <v/>
      </c>
      <c r="Y159" s="40" t="str">
        <f aca="false">IF($B159="","",IF(AND(OR(ABSENSI!$H$10="",$E159=ABSENSI!$H$10),OR(ABSENSI!$H$11="",$F159=ABSENSI!$H$11),OR(ABSENSI!$H$12="",$K159=ABSENSI!$H$12)),MAX($Y$3:Y158)+1,""))</f>
        <v/>
      </c>
      <c r="Z159" s="40" t="str">
        <f aca="false">IF($B159="","",IF(AND(OR(KARTU!$K$6="",$E159=KARTU!$K$6),OR(KARTU!$K$7="",$F159=KARTU!$K$7),OR(KARTU!$K$8="",$K159=KARTU!$K$8)),MAX($Z$3:Z158)+1,""))</f>
        <v/>
      </c>
    </row>
    <row r="160" customFormat="false" ht="15" hidden="false" customHeight="false" outlineLevel="0" collapsed="false">
      <c r="A160" s="36" t="str">
        <f aca="false">IF($B160="","",COUNTA($B$4:$B160))</f>
        <v/>
      </c>
      <c r="B160" s="37"/>
      <c r="C160" s="38"/>
      <c r="D160" s="39"/>
      <c r="E160" s="37"/>
      <c r="F160" s="39"/>
      <c r="G160" s="40" t="str">
        <f aca="false">IF(OR($E160="",$F160=""),"",$E160&amp;" - RT "&amp;$F160)</f>
        <v/>
      </c>
      <c r="H160" s="37"/>
      <c r="I160" s="38"/>
      <c r="J160" s="37"/>
      <c r="K160" s="39"/>
      <c r="L160" s="41"/>
      <c r="M160" s="36" t="str">
        <f aca="true">IF(OR($B160="",$L160=""),"",DATEDIF($L160,TODAY(),"Y"))</f>
        <v/>
      </c>
      <c r="N160" s="40" t="str">
        <f aca="false">IF($M160="","",INDEX(usia_label,MATCH($M160,usia_min,1)))</f>
        <v/>
      </c>
      <c r="O160" s="37"/>
      <c r="P160" s="41"/>
      <c r="Q160" s="37"/>
      <c r="R160" s="37"/>
      <c r="S160" s="40" t="str">
        <f aca="false">IF($G160="","",$G160&amp;"#"&amp;COUNTIF($G$4:$G160,$G160))</f>
        <v/>
      </c>
      <c r="T160" s="40" t="str">
        <f aca="false">IF($B160="","",IF($C160="","NIK kosong",IF(LEN($C160)&lt;&gt;16,"NIK bukan 16 digit",IF(COUNTIF($C$4:$C$2003,$C160&amp;"*")&gt;1,"NIK ganda",IF($E160="","Kadus kosong",IF($F160="","RT kosong",IF($H160="","Jabatan kosong",IF($I160="","No. HP kosong",IF($J160="","Alamat kosong",IF(AND($M160&lt;&gt;"",$M160&lt;17),"Usia di bawah 17",""))))))))))</f>
        <v/>
      </c>
      <c r="U160" s="40" t="str">
        <f aca="false">IF($B160="","",IF(AND(OR(CARI!$C$5="",ISNUMBER(SEARCH(CARI!$C$5,$B160&amp;" "&amp;$C160&amp;" "&amp;$I160&amp;" "&amp;$J160&amp;" "&amp;$Q160))),OR(CARI!$C$6="",$E160=CARI!$C$6),OR(CARI!$C$7="",$F160=CARI!$C$7),OR(CARI!$C$8="",$O160=CARI!$C$8)),MAX($U$3:U159)+1,""))</f>
        <v/>
      </c>
      <c r="V160" s="40" t="str">
        <f aca="false">IF($T160="","",MAX($V$3:V159)+1)</f>
        <v/>
      </c>
      <c r="W160" s="40" t="str">
        <f aca="false">IF($E160="","",$E160&amp;"#"&amp;COUNTIF($E$4:$E160,$E160))</f>
        <v/>
      </c>
      <c r="X160" s="40" t="str">
        <f aca="false">IF($B160="","",IF(AND(OR(CETAK!$J$10="",$E160=CETAK!$J$10),OR(CETAK!$J$11="",$F160=CETAK!$J$11),OR(CETAK!$J$12="",$K160=CETAK!$J$12),OR(CETAK!$J$13="",$H160=CETAK!$J$13),OR(CETAK!$J$14="",$O160=CETAK!$J$14)),MAX($X$3:X159)+1,""))</f>
        <v/>
      </c>
      <c r="Y160" s="40" t="str">
        <f aca="false">IF($B160="","",IF(AND(OR(ABSENSI!$H$10="",$E160=ABSENSI!$H$10),OR(ABSENSI!$H$11="",$F160=ABSENSI!$H$11),OR(ABSENSI!$H$12="",$K160=ABSENSI!$H$12)),MAX($Y$3:Y159)+1,""))</f>
        <v/>
      </c>
      <c r="Z160" s="40" t="str">
        <f aca="false">IF($B160="","",IF(AND(OR(KARTU!$K$6="",$E160=KARTU!$K$6),OR(KARTU!$K$7="",$F160=KARTU!$K$7),OR(KARTU!$K$8="",$K160=KARTU!$K$8)),MAX($Z$3:Z159)+1,""))</f>
        <v/>
      </c>
    </row>
    <row r="161" customFormat="false" ht="15" hidden="false" customHeight="false" outlineLevel="0" collapsed="false">
      <c r="A161" s="36" t="str">
        <f aca="false">IF($B161="","",COUNTA($B$4:$B161))</f>
        <v/>
      </c>
      <c r="B161" s="37"/>
      <c r="C161" s="38"/>
      <c r="D161" s="39"/>
      <c r="E161" s="37"/>
      <c r="F161" s="39"/>
      <c r="G161" s="40" t="str">
        <f aca="false">IF(OR($E161="",$F161=""),"",$E161&amp;" - RT "&amp;$F161)</f>
        <v/>
      </c>
      <c r="H161" s="37"/>
      <c r="I161" s="38"/>
      <c r="J161" s="37"/>
      <c r="K161" s="39"/>
      <c r="L161" s="41"/>
      <c r="M161" s="36" t="str">
        <f aca="true">IF(OR($B161="",$L161=""),"",DATEDIF($L161,TODAY(),"Y"))</f>
        <v/>
      </c>
      <c r="N161" s="40" t="str">
        <f aca="false">IF($M161="","",INDEX(usia_label,MATCH($M161,usia_min,1)))</f>
        <v/>
      </c>
      <c r="O161" s="37"/>
      <c r="P161" s="41"/>
      <c r="Q161" s="37"/>
      <c r="R161" s="37"/>
      <c r="S161" s="40" t="str">
        <f aca="false">IF($G161="","",$G161&amp;"#"&amp;COUNTIF($G$4:$G161,$G161))</f>
        <v/>
      </c>
      <c r="T161" s="40" t="str">
        <f aca="false">IF($B161="","",IF($C161="","NIK kosong",IF(LEN($C161)&lt;&gt;16,"NIK bukan 16 digit",IF(COUNTIF($C$4:$C$2003,$C161&amp;"*")&gt;1,"NIK ganda",IF($E161="","Kadus kosong",IF($F161="","RT kosong",IF($H161="","Jabatan kosong",IF($I161="","No. HP kosong",IF($J161="","Alamat kosong",IF(AND($M161&lt;&gt;"",$M161&lt;17),"Usia di bawah 17",""))))))))))</f>
        <v/>
      </c>
      <c r="U161" s="40" t="str">
        <f aca="false">IF($B161="","",IF(AND(OR(CARI!$C$5="",ISNUMBER(SEARCH(CARI!$C$5,$B161&amp;" "&amp;$C161&amp;" "&amp;$I161&amp;" "&amp;$J161&amp;" "&amp;$Q161))),OR(CARI!$C$6="",$E161=CARI!$C$6),OR(CARI!$C$7="",$F161=CARI!$C$7),OR(CARI!$C$8="",$O161=CARI!$C$8)),MAX($U$3:U160)+1,""))</f>
        <v/>
      </c>
      <c r="V161" s="40" t="str">
        <f aca="false">IF($T161="","",MAX($V$3:V160)+1)</f>
        <v/>
      </c>
      <c r="W161" s="40" t="str">
        <f aca="false">IF($E161="","",$E161&amp;"#"&amp;COUNTIF($E$4:$E161,$E161))</f>
        <v/>
      </c>
      <c r="X161" s="40" t="str">
        <f aca="false">IF($B161="","",IF(AND(OR(CETAK!$J$10="",$E161=CETAK!$J$10),OR(CETAK!$J$11="",$F161=CETAK!$J$11),OR(CETAK!$J$12="",$K161=CETAK!$J$12),OR(CETAK!$J$13="",$H161=CETAK!$J$13),OR(CETAK!$J$14="",$O161=CETAK!$J$14)),MAX($X$3:X160)+1,""))</f>
        <v/>
      </c>
      <c r="Y161" s="40" t="str">
        <f aca="false">IF($B161="","",IF(AND(OR(ABSENSI!$H$10="",$E161=ABSENSI!$H$10),OR(ABSENSI!$H$11="",$F161=ABSENSI!$H$11),OR(ABSENSI!$H$12="",$K161=ABSENSI!$H$12)),MAX($Y$3:Y160)+1,""))</f>
        <v/>
      </c>
      <c r="Z161" s="40" t="str">
        <f aca="false">IF($B161="","",IF(AND(OR(KARTU!$K$6="",$E161=KARTU!$K$6),OR(KARTU!$K$7="",$F161=KARTU!$K$7),OR(KARTU!$K$8="",$K161=KARTU!$K$8)),MAX($Z$3:Z160)+1,""))</f>
        <v/>
      </c>
    </row>
    <row r="162" customFormat="false" ht="15" hidden="false" customHeight="false" outlineLevel="0" collapsed="false">
      <c r="A162" s="36" t="str">
        <f aca="false">IF($B162="","",COUNTA($B$4:$B162))</f>
        <v/>
      </c>
      <c r="B162" s="37"/>
      <c r="C162" s="38"/>
      <c r="D162" s="39"/>
      <c r="E162" s="37"/>
      <c r="F162" s="39"/>
      <c r="G162" s="40" t="str">
        <f aca="false">IF(OR($E162="",$F162=""),"",$E162&amp;" - RT "&amp;$F162)</f>
        <v/>
      </c>
      <c r="H162" s="37"/>
      <c r="I162" s="38"/>
      <c r="J162" s="37"/>
      <c r="K162" s="39"/>
      <c r="L162" s="41"/>
      <c r="M162" s="36" t="str">
        <f aca="true">IF(OR($B162="",$L162=""),"",DATEDIF($L162,TODAY(),"Y"))</f>
        <v/>
      </c>
      <c r="N162" s="40" t="str">
        <f aca="false">IF($M162="","",INDEX(usia_label,MATCH($M162,usia_min,1)))</f>
        <v/>
      </c>
      <c r="O162" s="37"/>
      <c r="P162" s="41"/>
      <c r="Q162" s="37"/>
      <c r="R162" s="37"/>
      <c r="S162" s="40" t="str">
        <f aca="false">IF($G162="","",$G162&amp;"#"&amp;COUNTIF($G$4:$G162,$G162))</f>
        <v/>
      </c>
      <c r="T162" s="40" t="str">
        <f aca="false">IF($B162="","",IF($C162="","NIK kosong",IF(LEN($C162)&lt;&gt;16,"NIK bukan 16 digit",IF(COUNTIF($C$4:$C$2003,$C162&amp;"*")&gt;1,"NIK ganda",IF($E162="","Kadus kosong",IF($F162="","RT kosong",IF($H162="","Jabatan kosong",IF($I162="","No. HP kosong",IF($J162="","Alamat kosong",IF(AND($M162&lt;&gt;"",$M162&lt;17),"Usia di bawah 17",""))))))))))</f>
        <v/>
      </c>
      <c r="U162" s="40" t="str">
        <f aca="false">IF($B162="","",IF(AND(OR(CARI!$C$5="",ISNUMBER(SEARCH(CARI!$C$5,$B162&amp;" "&amp;$C162&amp;" "&amp;$I162&amp;" "&amp;$J162&amp;" "&amp;$Q162))),OR(CARI!$C$6="",$E162=CARI!$C$6),OR(CARI!$C$7="",$F162=CARI!$C$7),OR(CARI!$C$8="",$O162=CARI!$C$8)),MAX($U$3:U161)+1,""))</f>
        <v/>
      </c>
      <c r="V162" s="40" t="str">
        <f aca="false">IF($T162="","",MAX($V$3:V161)+1)</f>
        <v/>
      </c>
      <c r="W162" s="40" t="str">
        <f aca="false">IF($E162="","",$E162&amp;"#"&amp;COUNTIF($E$4:$E162,$E162))</f>
        <v/>
      </c>
      <c r="X162" s="40" t="str">
        <f aca="false">IF($B162="","",IF(AND(OR(CETAK!$J$10="",$E162=CETAK!$J$10),OR(CETAK!$J$11="",$F162=CETAK!$J$11),OR(CETAK!$J$12="",$K162=CETAK!$J$12),OR(CETAK!$J$13="",$H162=CETAK!$J$13),OR(CETAK!$J$14="",$O162=CETAK!$J$14)),MAX($X$3:X161)+1,""))</f>
        <v/>
      </c>
      <c r="Y162" s="40" t="str">
        <f aca="false">IF($B162="","",IF(AND(OR(ABSENSI!$H$10="",$E162=ABSENSI!$H$10),OR(ABSENSI!$H$11="",$F162=ABSENSI!$H$11),OR(ABSENSI!$H$12="",$K162=ABSENSI!$H$12)),MAX($Y$3:Y161)+1,""))</f>
        <v/>
      </c>
      <c r="Z162" s="40" t="str">
        <f aca="false">IF($B162="","",IF(AND(OR(KARTU!$K$6="",$E162=KARTU!$K$6),OR(KARTU!$K$7="",$F162=KARTU!$K$7),OR(KARTU!$K$8="",$K162=KARTU!$K$8)),MAX($Z$3:Z161)+1,""))</f>
        <v/>
      </c>
    </row>
    <row r="163" customFormat="false" ht="15" hidden="false" customHeight="false" outlineLevel="0" collapsed="false">
      <c r="A163" s="36" t="str">
        <f aca="false">IF($B163="","",COUNTA($B$4:$B163))</f>
        <v/>
      </c>
      <c r="B163" s="37"/>
      <c r="C163" s="38"/>
      <c r="D163" s="39"/>
      <c r="E163" s="37"/>
      <c r="F163" s="39"/>
      <c r="G163" s="40" t="str">
        <f aca="false">IF(OR($E163="",$F163=""),"",$E163&amp;" - RT "&amp;$F163)</f>
        <v/>
      </c>
      <c r="H163" s="37"/>
      <c r="I163" s="38"/>
      <c r="J163" s="37"/>
      <c r="K163" s="39"/>
      <c r="L163" s="41"/>
      <c r="M163" s="36" t="str">
        <f aca="true">IF(OR($B163="",$L163=""),"",DATEDIF($L163,TODAY(),"Y"))</f>
        <v/>
      </c>
      <c r="N163" s="40" t="str">
        <f aca="false">IF($M163="","",INDEX(usia_label,MATCH($M163,usia_min,1)))</f>
        <v/>
      </c>
      <c r="O163" s="37"/>
      <c r="P163" s="41"/>
      <c r="Q163" s="37"/>
      <c r="R163" s="37"/>
      <c r="S163" s="40" t="str">
        <f aca="false">IF($G163="","",$G163&amp;"#"&amp;COUNTIF($G$4:$G163,$G163))</f>
        <v/>
      </c>
      <c r="T163" s="40" t="str">
        <f aca="false">IF($B163="","",IF($C163="","NIK kosong",IF(LEN($C163)&lt;&gt;16,"NIK bukan 16 digit",IF(COUNTIF($C$4:$C$2003,$C163&amp;"*")&gt;1,"NIK ganda",IF($E163="","Kadus kosong",IF($F163="","RT kosong",IF($H163="","Jabatan kosong",IF($I163="","No. HP kosong",IF($J163="","Alamat kosong",IF(AND($M163&lt;&gt;"",$M163&lt;17),"Usia di bawah 17",""))))))))))</f>
        <v/>
      </c>
      <c r="U163" s="40" t="str">
        <f aca="false">IF($B163="","",IF(AND(OR(CARI!$C$5="",ISNUMBER(SEARCH(CARI!$C$5,$B163&amp;" "&amp;$C163&amp;" "&amp;$I163&amp;" "&amp;$J163&amp;" "&amp;$Q163))),OR(CARI!$C$6="",$E163=CARI!$C$6),OR(CARI!$C$7="",$F163=CARI!$C$7),OR(CARI!$C$8="",$O163=CARI!$C$8)),MAX($U$3:U162)+1,""))</f>
        <v/>
      </c>
      <c r="V163" s="40" t="str">
        <f aca="false">IF($T163="","",MAX($V$3:V162)+1)</f>
        <v/>
      </c>
      <c r="W163" s="40" t="str">
        <f aca="false">IF($E163="","",$E163&amp;"#"&amp;COUNTIF($E$4:$E163,$E163))</f>
        <v/>
      </c>
      <c r="X163" s="40" t="str">
        <f aca="false">IF($B163="","",IF(AND(OR(CETAK!$J$10="",$E163=CETAK!$J$10),OR(CETAK!$J$11="",$F163=CETAK!$J$11),OR(CETAK!$J$12="",$K163=CETAK!$J$12),OR(CETAK!$J$13="",$H163=CETAK!$J$13),OR(CETAK!$J$14="",$O163=CETAK!$J$14)),MAX($X$3:X162)+1,""))</f>
        <v/>
      </c>
      <c r="Y163" s="40" t="str">
        <f aca="false">IF($B163="","",IF(AND(OR(ABSENSI!$H$10="",$E163=ABSENSI!$H$10),OR(ABSENSI!$H$11="",$F163=ABSENSI!$H$11),OR(ABSENSI!$H$12="",$K163=ABSENSI!$H$12)),MAX($Y$3:Y162)+1,""))</f>
        <v/>
      </c>
      <c r="Z163" s="40" t="str">
        <f aca="false">IF($B163="","",IF(AND(OR(KARTU!$K$6="",$E163=KARTU!$K$6),OR(KARTU!$K$7="",$F163=KARTU!$K$7),OR(KARTU!$K$8="",$K163=KARTU!$K$8)),MAX($Z$3:Z162)+1,""))</f>
        <v/>
      </c>
    </row>
    <row r="164" customFormat="false" ht="15" hidden="false" customHeight="false" outlineLevel="0" collapsed="false">
      <c r="A164" s="36" t="str">
        <f aca="false">IF($B164="","",COUNTA($B$4:$B164))</f>
        <v/>
      </c>
      <c r="B164" s="37"/>
      <c r="C164" s="38"/>
      <c r="D164" s="39"/>
      <c r="E164" s="37"/>
      <c r="F164" s="39"/>
      <c r="G164" s="40" t="str">
        <f aca="false">IF(OR($E164="",$F164=""),"",$E164&amp;" - RT "&amp;$F164)</f>
        <v/>
      </c>
      <c r="H164" s="37"/>
      <c r="I164" s="38"/>
      <c r="J164" s="37"/>
      <c r="K164" s="39"/>
      <c r="L164" s="41"/>
      <c r="M164" s="36" t="str">
        <f aca="true">IF(OR($B164="",$L164=""),"",DATEDIF($L164,TODAY(),"Y"))</f>
        <v/>
      </c>
      <c r="N164" s="40" t="str">
        <f aca="false">IF($M164="","",INDEX(usia_label,MATCH($M164,usia_min,1)))</f>
        <v/>
      </c>
      <c r="O164" s="37"/>
      <c r="P164" s="41"/>
      <c r="Q164" s="37"/>
      <c r="R164" s="37"/>
      <c r="S164" s="40" t="str">
        <f aca="false">IF($G164="","",$G164&amp;"#"&amp;COUNTIF($G$4:$G164,$G164))</f>
        <v/>
      </c>
      <c r="T164" s="40" t="str">
        <f aca="false">IF($B164="","",IF($C164="","NIK kosong",IF(LEN($C164)&lt;&gt;16,"NIK bukan 16 digit",IF(COUNTIF($C$4:$C$2003,$C164&amp;"*")&gt;1,"NIK ganda",IF($E164="","Kadus kosong",IF($F164="","RT kosong",IF($H164="","Jabatan kosong",IF($I164="","No. HP kosong",IF($J164="","Alamat kosong",IF(AND($M164&lt;&gt;"",$M164&lt;17),"Usia di bawah 17",""))))))))))</f>
        <v/>
      </c>
      <c r="U164" s="40" t="str">
        <f aca="false">IF($B164="","",IF(AND(OR(CARI!$C$5="",ISNUMBER(SEARCH(CARI!$C$5,$B164&amp;" "&amp;$C164&amp;" "&amp;$I164&amp;" "&amp;$J164&amp;" "&amp;$Q164))),OR(CARI!$C$6="",$E164=CARI!$C$6),OR(CARI!$C$7="",$F164=CARI!$C$7),OR(CARI!$C$8="",$O164=CARI!$C$8)),MAX($U$3:U163)+1,""))</f>
        <v/>
      </c>
      <c r="V164" s="40" t="str">
        <f aca="false">IF($T164="","",MAX($V$3:V163)+1)</f>
        <v/>
      </c>
      <c r="W164" s="40" t="str">
        <f aca="false">IF($E164="","",$E164&amp;"#"&amp;COUNTIF($E$4:$E164,$E164))</f>
        <v/>
      </c>
      <c r="X164" s="40" t="str">
        <f aca="false">IF($B164="","",IF(AND(OR(CETAK!$J$10="",$E164=CETAK!$J$10),OR(CETAK!$J$11="",$F164=CETAK!$J$11),OR(CETAK!$J$12="",$K164=CETAK!$J$12),OR(CETAK!$J$13="",$H164=CETAK!$J$13),OR(CETAK!$J$14="",$O164=CETAK!$J$14)),MAX($X$3:X163)+1,""))</f>
        <v/>
      </c>
      <c r="Y164" s="40" t="str">
        <f aca="false">IF($B164="","",IF(AND(OR(ABSENSI!$H$10="",$E164=ABSENSI!$H$10),OR(ABSENSI!$H$11="",$F164=ABSENSI!$H$11),OR(ABSENSI!$H$12="",$K164=ABSENSI!$H$12)),MAX($Y$3:Y163)+1,""))</f>
        <v/>
      </c>
      <c r="Z164" s="40" t="str">
        <f aca="false">IF($B164="","",IF(AND(OR(KARTU!$K$6="",$E164=KARTU!$K$6),OR(KARTU!$K$7="",$F164=KARTU!$K$7),OR(KARTU!$K$8="",$K164=KARTU!$K$8)),MAX($Z$3:Z163)+1,""))</f>
        <v/>
      </c>
    </row>
    <row r="165" customFormat="false" ht="15" hidden="false" customHeight="false" outlineLevel="0" collapsed="false">
      <c r="A165" s="36" t="str">
        <f aca="false">IF($B165="","",COUNTA($B$4:$B165))</f>
        <v/>
      </c>
      <c r="B165" s="37"/>
      <c r="C165" s="38"/>
      <c r="D165" s="39"/>
      <c r="E165" s="37"/>
      <c r="F165" s="39"/>
      <c r="G165" s="40" t="str">
        <f aca="false">IF(OR($E165="",$F165=""),"",$E165&amp;" - RT "&amp;$F165)</f>
        <v/>
      </c>
      <c r="H165" s="37"/>
      <c r="I165" s="38"/>
      <c r="J165" s="37"/>
      <c r="K165" s="39"/>
      <c r="L165" s="41"/>
      <c r="M165" s="36" t="str">
        <f aca="true">IF(OR($B165="",$L165=""),"",DATEDIF($L165,TODAY(),"Y"))</f>
        <v/>
      </c>
      <c r="N165" s="40" t="str">
        <f aca="false">IF($M165="","",INDEX(usia_label,MATCH($M165,usia_min,1)))</f>
        <v/>
      </c>
      <c r="O165" s="37"/>
      <c r="P165" s="41"/>
      <c r="Q165" s="37"/>
      <c r="R165" s="37"/>
      <c r="S165" s="40" t="str">
        <f aca="false">IF($G165="","",$G165&amp;"#"&amp;COUNTIF($G$4:$G165,$G165))</f>
        <v/>
      </c>
      <c r="T165" s="40" t="str">
        <f aca="false">IF($B165="","",IF($C165="","NIK kosong",IF(LEN($C165)&lt;&gt;16,"NIK bukan 16 digit",IF(COUNTIF($C$4:$C$2003,$C165&amp;"*")&gt;1,"NIK ganda",IF($E165="","Kadus kosong",IF($F165="","RT kosong",IF($H165="","Jabatan kosong",IF($I165="","No. HP kosong",IF($J165="","Alamat kosong",IF(AND($M165&lt;&gt;"",$M165&lt;17),"Usia di bawah 17",""))))))))))</f>
        <v/>
      </c>
      <c r="U165" s="40" t="str">
        <f aca="false">IF($B165="","",IF(AND(OR(CARI!$C$5="",ISNUMBER(SEARCH(CARI!$C$5,$B165&amp;" "&amp;$C165&amp;" "&amp;$I165&amp;" "&amp;$J165&amp;" "&amp;$Q165))),OR(CARI!$C$6="",$E165=CARI!$C$6),OR(CARI!$C$7="",$F165=CARI!$C$7),OR(CARI!$C$8="",$O165=CARI!$C$8)),MAX($U$3:U164)+1,""))</f>
        <v/>
      </c>
      <c r="V165" s="40" t="str">
        <f aca="false">IF($T165="","",MAX($V$3:V164)+1)</f>
        <v/>
      </c>
      <c r="W165" s="40" t="str">
        <f aca="false">IF($E165="","",$E165&amp;"#"&amp;COUNTIF($E$4:$E165,$E165))</f>
        <v/>
      </c>
      <c r="X165" s="40" t="str">
        <f aca="false">IF($B165="","",IF(AND(OR(CETAK!$J$10="",$E165=CETAK!$J$10),OR(CETAK!$J$11="",$F165=CETAK!$J$11),OR(CETAK!$J$12="",$K165=CETAK!$J$12),OR(CETAK!$J$13="",$H165=CETAK!$J$13),OR(CETAK!$J$14="",$O165=CETAK!$J$14)),MAX($X$3:X164)+1,""))</f>
        <v/>
      </c>
      <c r="Y165" s="40" t="str">
        <f aca="false">IF($B165="","",IF(AND(OR(ABSENSI!$H$10="",$E165=ABSENSI!$H$10),OR(ABSENSI!$H$11="",$F165=ABSENSI!$H$11),OR(ABSENSI!$H$12="",$K165=ABSENSI!$H$12)),MAX($Y$3:Y164)+1,""))</f>
        <v/>
      </c>
      <c r="Z165" s="40" t="str">
        <f aca="false">IF($B165="","",IF(AND(OR(KARTU!$K$6="",$E165=KARTU!$K$6),OR(KARTU!$K$7="",$F165=KARTU!$K$7),OR(KARTU!$K$8="",$K165=KARTU!$K$8)),MAX($Z$3:Z164)+1,""))</f>
        <v/>
      </c>
    </row>
    <row r="166" customFormat="false" ht="15" hidden="false" customHeight="false" outlineLevel="0" collapsed="false">
      <c r="A166" s="36" t="str">
        <f aca="false">IF($B166="","",COUNTA($B$4:$B166))</f>
        <v/>
      </c>
      <c r="B166" s="37"/>
      <c r="C166" s="38"/>
      <c r="D166" s="39"/>
      <c r="E166" s="37"/>
      <c r="F166" s="39"/>
      <c r="G166" s="40" t="str">
        <f aca="false">IF(OR($E166="",$F166=""),"",$E166&amp;" - RT "&amp;$F166)</f>
        <v/>
      </c>
      <c r="H166" s="37"/>
      <c r="I166" s="38"/>
      <c r="J166" s="37"/>
      <c r="K166" s="39"/>
      <c r="L166" s="41"/>
      <c r="M166" s="36" t="str">
        <f aca="true">IF(OR($B166="",$L166=""),"",DATEDIF($L166,TODAY(),"Y"))</f>
        <v/>
      </c>
      <c r="N166" s="40" t="str">
        <f aca="false">IF($M166="","",INDEX(usia_label,MATCH($M166,usia_min,1)))</f>
        <v/>
      </c>
      <c r="O166" s="37"/>
      <c r="P166" s="41"/>
      <c r="Q166" s="37"/>
      <c r="R166" s="37"/>
      <c r="S166" s="40" t="str">
        <f aca="false">IF($G166="","",$G166&amp;"#"&amp;COUNTIF($G$4:$G166,$G166))</f>
        <v/>
      </c>
      <c r="T166" s="40" t="str">
        <f aca="false">IF($B166="","",IF($C166="","NIK kosong",IF(LEN($C166)&lt;&gt;16,"NIK bukan 16 digit",IF(COUNTIF($C$4:$C$2003,$C166&amp;"*")&gt;1,"NIK ganda",IF($E166="","Kadus kosong",IF($F166="","RT kosong",IF($H166="","Jabatan kosong",IF($I166="","No. HP kosong",IF($J166="","Alamat kosong",IF(AND($M166&lt;&gt;"",$M166&lt;17),"Usia di bawah 17",""))))))))))</f>
        <v/>
      </c>
      <c r="U166" s="40" t="str">
        <f aca="false">IF($B166="","",IF(AND(OR(CARI!$C$5="",ISNUMBER(SEARCH(CARI!$C$5,$B166&amp;" "&amp;$C166&amp;" "&amp;$I166&amp;" "&amp;$J166&amp;" "&amp;$Q166))),OR(CARI!$C$6="",$E166=CARI!$C$6),OR(CARI!$C$7="",$F166=CARI!$C$7),OR(CARI!$C$8="",$O166=CARI!$C$8)),MAX($U$3:U165)+1,""))</f>
        <v/>
      </c>
      <c r="V166" s="40" t="str">
        <f aca="false">IF($T166="","",MAX($V$3:V165)+1)</f>
        <v/>
      </c>
      <c r="W166" s="40" t="str">
        <f aca="false">IF($E166="","",$E166&amp;"#"&amp;COUNTIF($E$4:$E166,$E166))</f>
        <v/>
      </c>
      <c r="X166" s="40" t="str">
        <f aca="false">IF($B166="","",IF(AND(OR(CETAK!$J$10="",$E166=CETAK!$J$10),OR(CETAK!$J$11="",$F166=CETAK!$J$11),OR(CETAK!$J$12="",$K166=CETAK!$J$12),OR(CETAK!$J$13="",$H166=CETAK!$J$13),OR(CETAK!$J$14="",$O166=CETAK!$J$14)),MAX($X$3:X165)+1,""))</f>
        <v/>
      </c>
      <c r="Y166" s="40" t="str">
        <f aca="false">IF($B166="","",IF(AND(OR(ABSENSI!$H$10="",$E166=ABSENSI!$H$10),OR(ABSENSI!$H$11="",$F166=ABSENSI!$H$11),OR(ABSENSI!$H$12="",$K166=ABSENSI!$H$12)),MAX($Y$3:Y165)+1,""))</f>
        <v/>
      </c>
      <c r="Z166" s="40" t="str">
        <f aca="false">IF($B166="","",IF(AND(OR(KARTU!$K$6="",$E166=KARTU!$K$6),OR(KARTU!$K$7="",$F166=KARTU!$K$7),OR(KARTU!$K$8="",$K166=KARTU!$K$8)),MAX($Z$3:Z165)+1,""))</f>
        <v/>
      </c>
    </row>
    <row r="167" customFormat="false" ht="15" hidden="false" customHeight="false" outlineLevel="0" collapsed="false">
      <c r="A167" s="36" t="str">
        <f aca="false">IF($B167="","",COUNTA($B$4:$B167))</f>
        <v/>
      </c>
      <c r="B167" s="37"/>
      <c r="C167" s="38"/>
      <c r="D167" s="39"/>
      <c r="E167" s="37"/>
      <c r="F167" s="39"/>
      <c r="G167" s="40" t="str">
        <f aca="false">IF(OR($E167="",$F167=""),"",$E167&amp;" - RT "&amp;$F167)</f>
        <v/>
      </c>
      <c r="H167" s="37"/>
      <c r="I167" s="38"/>
      <c r="J167" s="37"/>
      <c r="K167" s="39"/>
      <c r="L167" s="41"/>
      <c r="M167" s="36" t="str">
        <f aca="true">IF(OR($B167="",$L167=""),"",DATEDIF($L167,TODAY(),"Y"))</f>
        <v/>
      </c>
      <c r="N167" s="40" t="str">
        <f aca="false">IF($M167="","",INDEX(usia_label,MATCH($M167,usia_min,1)))</f>
        <v/>
      </c>
      <c r="O167" s="37"/>
      <c r="P167" s="41"/>
      <c r="Q167" s="37"/>
      <c r="R167" s="37"/>
      <c r="S167" s="40" t="str">
        <f aca="false">IF($G167="","",$G167&amp;"#"&amp;COUNTIF($G$4:$G167,$G167))</f>
        <v/>
      </c>
      <c r="T167" s="40" t="str">
        <f aca="false">IF($B167="","",IF($C167="","NIK kosong",IF(LEN($C167)&lt;&gt;16,"NIK bukan 16 digit",IF(COUNTIF($C$4:$C$2003,$C167&amp;"*")&gt;1,"NIK ganda",IF($E167="","Kadus kosong",IF($F167="","RT kosong",IF($H167="","Jabatan kosong",IF($I167="","No. HP kosong",IF($J167="","Alamat kosong",IF(AND($M167&lt;&gt;"",$M167&lt;17),"Usia di bawah 17",""))))))))))</f>
        <v/>
      </c>
      <c r="U167" s="40" t="str">
        <f aca="false">IF($B167="","",IF(AND(OR(CARI!$C$5="",ISNUMBER(SEARCH(CARI!$C$5,$B167&amp;" "&amp;$C167&amp;" "&amp;$I167&amp;" "&amp;$J167&amp;" "&amp;$Q167))),OR(CARI!$C$6="",$E167=CARI!$C$6),OR(CARI!$C$7="",$F167=CARI!$C$7),OR(CARI!$C$8="",$O167=CARI!$C$8)),MAX($U$3:U166)+1,""))</f>
        <v/>
      </c>
      <c r="V167" s="40" t="str">
        <f aca="false">IF($T167="","",MAX($V$3:V166)+1)</f>
        <v/>
      </c>
      <c r="W167" s="40" t="str">
        <f aca="false">IF($E167="","",$E167&amp;"#"&amp;COUNTIF($E$4:$E167,$E167))</f>
        <v/>
      </c>
      <c r="X167" s="40" t="str">
        <f aca="false">IF($B167="","",IF(AND(OR(CETAK!$J$10="",$E167=CETAK!$J$10),OR(CETAK!$J$11="",$F167=CETAK!$J$11),OR(CETAK!$J$12="",$K167=CETAK!$J$12),OR(CETAK!$J$13="",$H167=CETAK!$J$13),OR(CETAK!$J$14="",$O167=CETAK!$J$14)),MAX($X$3:X166)+1,""))</f>
        <v/>
      </c>
      <c r="Y167" s="40" t="str">
        <f aca="false">IF($B167="","",IF(AND(OR(ABSENSI!$H$10="",$E167=ABSENSI!$H$10),OR(ABSENSI!$H$11="",$F167=ABSENSI!$H$11),OR(ABSENSI!$H$12="",$K167=ABSENSI!$H$12)),MAX($Y$3:Y166)+1,""))</f>
        <v/>
      </c>
      <c r="Z167" s="40" t="str">
        <f aca="false">IF($B167="","",IF(AND(OR(KARTU!$K$6="",$E167=KARTU!$K$6),OR(KARTU!$K$7="",$F167=KARTU!$K$7),OR(KARTU!$K$8="",$K167=KARTU!$K$8)),MAX($Z$3:Z166)+1,""))</f>
        <v/>
      </c>
    </row>
    <row r="168" customFormat="false" ht="15" hidden="false" customHeight="false" outlineLevel="0" collapsed="false">
      <c r="A168" s="36" t="str">
        <f aca="false">IF($B168="","",COUNTA($B$4:$B168))</f>
        <v/>
      </c>
      <c r="B168" s="37"/>
      <c r="C168" s="38"/>
      <c r="D168" s="39"/>
      <c r="E168" s="37"/>
      <c r="F168" s="39"/>
      <c r="G168" s="40" t="str">
        <f aca="false">IF(OR($E168="",$F168=""),"",$E168&amp;" - RT "&amp;$F168)</f>
        <v/>
      </c>
      <c r="H168" s="37"/>
      <c r="I168" s="38"/>
      <c r="J168" s="37"/>
      <c r="K168" s="39"/>
      <c r="L168" s="41"/>
      <c r="M168" s="36" t="str">
        <f aca="true">IF(OR($B168="",$L168=""),"",DATEDIF($L168,TODAY(),"Y"))</f>
        <v/>
      </c>
      <c r="N168" s="40" t="str">
        <f aca="false">IF($M168="","",INDEX(usia_label,MATCH($M168,usia_min,1)))</f>
        <v/>
      </c>
      <c r="O168" s="37"/>
      <c r="P168" s="41"/>
      <c r="Q168" s="37"/>
      <c r="R168" s="37"/>
      <c r="S168" s="40" t="str">
        <f aca="false">IF($G168="","",$G168&amp;"#"&amp;COUNTIF($G$4:$G168,$G168))</f>
        <v/>
      </c>
      <c r="T168" s="40" t="str">
        <f aca="false">IF($B168="","",IF($C168="","NIK kosong",IF(LEN($C168)&lt;&gt;16,"NIK bukan 16 digit",IF(COUNTIF($C$4:$C$2003,$C168&amp;"*")&gt;1,"NIK ganda",IF($E168="","Kadus kosong",IF($F168="","RT kosong",IF($H168="","Jabatan kosong",IF($I168="","No. HP kosong",IF($J168="","Alamat kosong",IF(AND($M168&lt;&gt;"",$M168&lt;17),"Usia di bawah 17",""))))))))))</f>
        <v/>
      </c>
      <c r="U168" s="40" t="str">
        <f aca="false">IF($B168="","",IF(AND(OR(CARI!$C$5="",ISNUMBER(SEARCH(CARI!$C$5,$B168&amp;" "&amp;$C168&amp;" "&amp;$I168&amp;" "&amp;$J168&amp;" "&amp;$Q168))),OR(CARI!$C$6="",$E168=CARI!$C$6),OR(CARI!$C$7="",$F168=CARI!$C$7),OR(CARI!$C$8="",$O168=CARI!$C$8)),MAX($U$3:U167)+1,""))</f>
        <v/>
      </c>
      <c r="V168" s="40" t="str">
        <f aca="false">IF($T168="","",MAX($V$3:V167)+1)</f>
        <v/>
      </c>
      <c r="W168" s="40" t="str">
        <f aca="false">IF($E168="","",$E168&amp;"#"&amp;COUNTIF($E$4:$E168,$E168))</f>
        <v/>
      </c>
      <c r="X168" s="40" t="str">
        <f aca="false">IF($B168="","",IF(AND(OR(CETAK!$J$10="",$E168=CETAK!$J$10),OR(CETAK!$J$11="",$F168=CETAK!$J$11),OR(CETAK!$J$12="",$K168=CETAK!$J$12),OR(CETAK!$J$13="",$H168=CETAK!$J$13),OR(CETAK!$J$14="",$O168=CETAK!$J$14)),MAX($X$3:X167)+1,""))</f>
        <v/>
      </c>
      <c r="Y168" s="40" t="str">
        <f aca="false">IF($B168="","",IF(AND(OR(ABSENSI!$H$10="",$E168=ABSENSI!$H$10),OR(ABSENSI!$H$11="",$F168=ABSENSI!$H$11),OR(ABSENSI!$H$12="",$K168=ABSENSI!$H$12)),MAX($Y$3:Y167)+1,""))</f>
        <v/>
      </c>
      <c r="Z168" s="40" t="str">
        <f aca="false">IF($B168="","",IF(AND(OR(KARTU!$K$6="",$E168=KARTU!$K$6),OR(KARTU!$K$7="",$F168=KARTU!$K$7),OR(KARTU!$K$8="",$K168=KARTU!$K$8)),MAX($Z$3:Z167)+1,""))</f>
        <v/>
      </c>
    </row>
    <row r="169" customFormat="false" ht="15" hidden="false" customHeight="false" outlineLevel="0" collapsed="false">
      <c r="A169" s="36" t="str">
        <f aca="false">IF($B169="","",COUNTA($B$4:$B169))</f>
        <v/>
      </c>
      <c r="B169" s="37"/>
      <c r="C169" s="38"/>
      <c r="D169" s="39"/>
      <c r="E169" s="37"/>
      <c r="F169" s="39"/>
      <c r="G169" s="40" t="str">
        <f aca="false">IF(OR($E169="",$F169=""),"",$E169&amp;" - RT "&amp;$F169)</f>
        <v/>
      </c>
      <c r="H169" s="37"/>
      <c r="I169" s="38"/>
      <c r="J169" s="37"/>
      <c r="K169" s="39"/>
      <c r="L169" s="41"/>
      <c r="M169" s="36" t="str">
        <f aca="true">IF(OR($B169="",$L169=""),"",DATEDIF($L169,TODAY(),"Y"))</f>
        <v/>
      </c>
      <c r="N169" s="40" t="str">
        <f aca="false">IF($M169="","",INDEX(usia_label,MATCH($M169,usia_min,1)))</f>
        <v/>
      </c>
      <c r="O169" s="37"/>
      <c r="P169" s="41"/>
      <c r="Q169" s="37"/>
      <c r="R169" s="37"/>
      <c r="S169" s="40" t="str">
        <f aca="false">IF($G169="","",$G169&amp;"#"&amp;COUNTIF($G$4:$G169,$G169))</f>
        <v/>
      </c>
      <c r="T169" s="40" t="str">
        <f aca="false">IF($B169="","",IF($C169="","NIK kosong",IF(LEN($C169)&lt;&gt;16,"NIK bukan 16 digit",IF(COUNTIF($C$4:$C$2003,$C169&amp;"*")&gt;1,"NIK ganda",IF($E169="","Kadus kosong",IF($F169="","RT kosong",IF($H169="","Jabatan kosong",IF($I169="","No. HP kosong",IF($J169="","Alamat kosong",IF(AND($M169&lt;&gt;"",$M169&lt;17),"Usia di bawah 17",""))))))))))</f>
        <v/>
      </c>
      <c r="U169" s="40" t="str">
        <f aca="false">IF($B169="","",IF(AND(OR(CARI!$C$5="",ISNUMBER(SEARCH(CARI!$C$5,$B169&amp;" "&amp;$C169&amp;" "&amp;$I169&amp;" "&amp;$J169&amp;" "&amp;$Q169))),OR(CARI!$C$6="",$E169=CARI!$C$6),OR(CARI!$C$7="",$F169=CARI!$C$7),OR(CARI!$C$8="",$O169=CARI!$C$8)),MAX($U$3:U168)+1,""))</f>
        <v/>
      </c>
      <c r="V169" s="40" t="str">
        <f aca="false">IF($T169="","",MAX($V$3:V168)+1)</f>
        <v/>
      </c>
      <c r="W169" s="40" t="str">
        <f aca="false">IF($E169="","",$E169&amp;"#"&amp;COUNTIF($E$4:$E169,$E169))</f>
        <v/>
      </c>
      <c r="X169" s="40" t="str">
        <f aca="false">IF($B169="","",IF(AND(OR(CETAK!$J$10="",$E169=CETAK!$J$10),OR(CETAK!$J$11="",$F169=CETAK!$J$11),OR(CETAK!$J$12="",$K169=CETAK!$J$12),OR(CETAK!$J$13="",$H169=CETAK!$J$13),OR(CETAK!$J$14="",$O169=CETAK!$J$14)),MAX($X$3:X168)+1,""))</f>
        <v/>
      </c>
      <c r="Y169" s="40" t="str">
        <f aca="false">IF($B169="","",IF(AND(OR(ABSENSI!$H$10="",$E169=ABSENSI!$H$10),OR(ABSENSI!$H$11="",$F169=ABSENSI!$H$11),OR(ABSENSI!$H$12="",$K169=ABSENSI!$H$12)),MAX($Y$3:Y168)+1,""))</f>
        <v/>
      </c>
      <c r="Z169" s="40" t="str">
        <f aca="false">IF($B169="","",IF(AND(OR(KARTU!$K$6="",$E169=KARTU!$K$6),OR(KARTU!$K$7="",$F169=KARTU!$K$7),OR(KARTU!$K$8="",$K169=KARTU!$K$8)),MAX($Z$3:Z168)+1,""))</f>
        <v/>
      </c>
    </row>
    <row r="170" customFormat="false" ht="15" hidden="false" customHeight="false" outlineLevel="0" collapsed="false">
      <c r="A170" s="36" t="str">
        <f aca="false">IF($B170="","",COUNTA($B$4:$B170))</f>
        <v/>
      </c>
      <c r="B170" s="37"/>
      <c r="C170" s="38"/>
      <c r="D170" s="39"/>
      <c r="E170" s="37"/>
      <c r="F170" s="39"/>
      <c r="G170" s="40" t="str">
        <f aca="false">IF(OR($E170="",$F170=""),"",$E170&amp;" - RT "&amp;$F170)</f>
        <v/>
      </c>
      <c r="H170" s="37"/>
      <c r="I170" s="38"/>
      <c r="J170" s="37"/>
      <c r="K170" s="39"/>
      <c r="L170" s="41"/>
      <c r="M170" s="36" t="str">
        <f aca="true">IF(OR($B170="",$L170=""),"",DATEDIF($L170,TODAY(),"Y"))</f>
        <v/>
      </c>
      <c r="N170" s="40" t="str">
        <f aca="false">IF($M170="","",INDEX(usia_label,MATCH($M170,usia_min,1)))</f>
        <v/>
      </c>
      <c r="O170" s="37"/>
      <c r="P170" s="41"/>
      <c r="Q170" s="37"/>
      <c r="R170" s="37"/>
      <c r="S170" s="40" t="str">
        <f aca="false">IF($G170="","",$G170&amp;"#"&amp;COUNTIF($G$4:$G170,$G170))</f>
        <v/>
      </c>
      <c r="T170" s="40" t="str">
        <f aca="false">IF($B170="","",IF($C170="","NIK kosong",IF(LEN($C170)&lt;&gt;16,"NIK bukan 16 digit",IF(COUNTIF($C$4:$C$2003,$C170&amp;"*")&gt;1,"NIK ganda",IF($E170="","Kadus kosong",IF($F170="","RT kosong",IF($H170="","Jabatan kosong",IF($I170="","No. HP kosong",IF($J170="","Alamat kosong",IF(AND($M170&lt;&gt;"",$M170&lt;17),"Usia di bawah 17",""))))))))))</f>
        <v/>
      </c>
      <c r="U170" s="40" t="str">
        <f aca="false">IF($B170="","",IF(AND(OR(CARI!$C$5="",ISNUMBER(SEARCH(CARI!$C$5,$B170&amp;" "&amp;$C170&amp;" "&amp;$I170&amp;" "&amp;$J170&amp;" "&amp;$Q170))),OR(CARI!$C$6="",$E170=CARI!$C$6),OR(CARI!$C$7="",$F170=CARI!$C$7),OR(CARI!$C$8="",$O170=CARI!$C$8)),MAX($U$3:U169)+1,""))</f>
        <v/>
      </c>
      <c r="V170" s="40" t="str">
        <f aca="false">IF($T170="","",MAX($V$3:V169)+1)</f>
        <v/>
      </c>
      <c r="W170" s="40" t="str">
        <f aca="false">IF($E170="","",$E170&amp;"#"&amp;COUNTIF($E$4:$E170,$E170))</f>
        <v/>
      </c>
      <c r="X170" s="40" t="str">
        <f aca="false">IF($B170="","",IF(AND(OR(CETAK!$J$10="",$E170=CETAK!$J$10),OR(CETAK!$J$11="",$F170=CETAK!$J$11),OR(CETAK!$J$12="",$K170=CETAK!$J$12),OR(CETAK!$J$13="",$H170=CETAK!$J$13),OR(CETAK!$J$14="",$O170=CETAK!$J$14)),MAX($X$3:X169)+1,""))</f>
        <v/>
      </c>
      <c r="Y170" s="40" t="str">
        <f aca="false">IF($B170="","",IF(AND(OR(ABSENSI!$H$10="",$E170=ABSENSI!$H$10),OR(ABSENSI!$H$11="",$F170=ABSENSI!$H$11),OR(ABSENSI!$H$12="",$K170=ABSENSI!$H$12)),MAX($Y$3:Y169)+1,""))</f>
        <v/>
      </c>
      <c r="Z170" s="40" t="str">
        <f aca="false">IF($B170="","",IF(AND(OR(KARTU!$K$6="",$E170=KARTU!$K$6),OR(KARTU!$K$7="",$F170=KARTU!$K$7),OR(KARTU!$K$8="",$K170=KARTU!$K$8)),MAX($Z$3:Z169)+1,""))</f>
        <v/>
      </c>
    </row>
    <row r="171" customFormat="false" ht="15" hidden="false" customHeight="false" outlineLevel="0" collapsed="false">
      <c r="A171" s="36" t="str">
        <f aca="false">IF($B171="","",COUNTA($B$4:$B171))</f>
        <v/>
      </c>
      <c r="B171" s="37"/>
      <c r="C171" s="38"/>
      <c r="D171" s="39"/>
      <c r="E171" s="37"/>
      <c r="F171" s="39"/>
      <c r="G171" s="40" t="str">
        <f aca="false">IF(OR($E171="",$F171=""),"",$E171&amp;" - RT "&amp;$F171)</f>
        <v/>
      </c>
      <c r="H171" s="37"/>
      <c r="I171" s="38"/>
      <c r="J171" s="37"/>
      <c r="K171" s="39"/>
      <c r="L171" s="41"/>
      <c r="M171" s="36" t="str">
        <f aca="true">IF(OR($B171="",$L171=""),"",DATEDIF($L171,TODAY(),"Y"))</f>
        <v/>
      </c>
      <c r="N171" s="40" t="str">
        <f aca="false">IF($M171="","",INDEX(usia_label,MATCH($M171,usia_min,1)))</f>
        <v/>
      </c>
      <c r="O171" s="37"/>
      <c r="P171" s="41"/>
      <c r="Q171" s="37"/>
      <c r="R171" s="37"/>
      <c r="S171" s="40" t="str">
        <f aca="false">IF($G171="","",$G171&amp;"#"&amp;COUNTIF($G$4:$G171,$G171))</f>
        <v/>
      </c>
      <c r="T171" s="40" t="str">
        <f aca="false">IF($B171="","",IF($C171="","NIK kosong",IF(LEN($C171)&lt;&gt;16,"NIK bukan 16 digit",IF(COUNTIF($C$4:$C$2003,$C171&amp;"*")&gt;1,"NIK ganda",IF($E171="","Kadus kosong",IF($F171="","RT kosong",IF($H171="","Jabatan kosong",IF($I171="","No. HP kosong",IF($J171="","Alamat kosong",IF(AND($M171&lt;&gt;"",$M171&lt;17),"Usia di bawah 17",""))))))))))</f>
        <v/>
      </c>
      <c r="U171" s="40" t="str">
        <f aca="false">IF($B171="","",IF(AND(OR(CARI!$C$5="",ISNUMBER(SEARCH(CARI!$C$5,$B171&amp;" "&amp;$C171&amp;" "&amp;$I171&amp;" "&amp;$J171&amp;" "&amp;$Q171))),OR(CARI!$C$6="",$E171=CARI!$C$6),OR(CARI!$C$7="",$F171=CARI!$C$7),OR(CARI!$C$8="",$O171=CARI!$C$8)),MAX($U$3:U170)+1,""))</f>
        <v/>
      </c>
      <c r="V171" s="40" t="str">
        <f aca="false">IF($T171="","",MAX($V$3:V170)+1)</f>
        <v/>
      </c>
      <c r="W171" s="40" t="str">
        <f aca="false">IF($E171="","",$E171&amp;"#"&amp;COUNTIF($E$4:$E171,$E171))</f>
        <v/>
      </c>
      <c r="X171" s="40" t="str">
        <f aca="false">IF($B171="","",IF(AND(OR(CETAK!$J$10="",$E171=CETAK!$J$10),OR(CETAK!$J$11="",$F171=CETAK!$J$11),OR(CETAK!$J$12="",$K171=CETAK!$J$12),OR(CETAK!$J$13="",$H171=CETAK!$J$13),OR(CETAK!$J$14="",$O171=CETAK!$J$14)),MAX($X$3:X170)+1,""))</f>
        <v/>
      </c>
      <c r="Y171" s="40" t="str">
        <f aca="false">IF($B171="","",IF(AND(OR(ABSENSI!$H$10="",$E171=ABSENSI!$H$10),OR(ABSENSI!$H$11="",$F171=ABSENSI!$H$11),OR(ABSENSI!$H$12="",$K171=ABSENSI!$H$12)),MAX($Y$3:Y170)+1,""))</f>
        <v/>
      </c>
      <c r="Z171" s="40" t="str">
        <f aca="false">IF($B171="","",IF(AND(OR(KARTU!$K$6="",$E171=KARTU!$K$6),OR(KARTU!$K$7="",$F171=KARTU!$K$7),OR(KARTU!$K$8="",$K171=KARTU!$K$8)),MAX($Z$3:Z170)+1,""))</f>
        <v/>
      </c>
    </row>
    <row r="172" customFormat="false" ht="15" hidden="false" customHeight="false" outlineLevel="0" collapsed="false">
      <c r="A172" s="36" t="str">
        <f aca="false">IF($B172="","",COUNTA($B$4:$B172))</f>
        <v/>
      </c>
      <c r="B172" s="37"/>
      <c r="C172" s="38"/>
      <c r="D172" s="39"/>
      <c r="E172" s="37"/>
      <c r="F172" s="39"/>
      <c r="G172" s="40" t="str">
        <f aca="false">IF(OR($E172="",$F172=""),"",$E172&amp;" - RT "&amp;$F172)</f>
        <v/>
      </c>
      <c r="H172" s="37"/>
      <c r="I172" s="38"/>
      <c r="J172" s="37"/>
      <c r="K172" s="39"/>
      <c r="L172" s="41"/>
      <c r="M172" s="36" t="str">
        <f aca="true">IF(OR($B172="",$L172=""),"",DATEDIF($L172,TODAY(),"Y"))</f>
        <v/>
      </c>
      <c r="N172" s="40" t="str">
        <f aca="false">IF($M172="","",INDEX(usia_label,MATCH($M172,usia_min,1)))</f>
        <v/>
      </c>
      <c r="O172" s="37"/>
      <c r="P172" s="41"/>
      <c r="Q172" s="37"/>
      <c r="R172" s="37"/>
      <c r="S172" s="40" t="str">
        <f aca="false">IF($G172="","",$G172&amp;"#"&amp;COUNTIF($G$4:$G172,$G172))</f>
        <v/>
      </c>
      <c r="T172" s="40" t="str">
        <f aca="false">IF($B172="","",IF($C172="","NIK kosong",IF(LEN($C172)&lt;&gt;16,"NIK bukan 16 digit",IF(COUNTIF($C$4:$C$2003,$C172&amp;"*")&gt;1,"NIK ganda",IF($E172="","Kadus kosong",IF($F172="","RT kosong",IF($H172="","Jabatan kosong",IF($I172="","No. HP kosong",IF($J172="","Alamat kosong",IF(AND($M172&lt;&gt;"",$M172&lt;17),"Usia di bawah 17",""))))))))))</f>
        <v/>
      </c>
      <c r="U172" s="40" t="str">
        <f aca="false">IF($B172="","",IF(AND(OR(CARI!$C$5="",ISNUMBER(SEARCH(CARI!$C$5,$B172&amp;" "&amp;$C172&amp;" "&amp;$I172&amp;" "&amp;$J172&amp;" "&amp;$Q172))),OR(CARI!$C$6="",$E172=CARI!$C$6),OR(CARI!$C$7="",$F172=CARI!$C$7),OR(CARI!$C$8="",$O172=CARI!$C$8)),MAX($U$3:U171)+1,""))</f>
        <v/>
      </c>
      <c r="V172" s="40" t="str">
        <f aca="false">IF($T172="","",MAX($V$3:V171)+1)</f>
        <v/>
      </c>
      <c r="W172" s="40" t="str">
        <f aca="false">IF($E172="","",$E172&amp;"#"&amp;COUNTIF($E$4:$E172,$E172))</f>
        <v/>
      </c>
      <c r="X172" s="40" t="str">
        <f aca="false">IF($B172="","",IF(AND(OR(CETAK!$J$10="",$E172=CETAK!$J$10),OR(CETAK!$J$11="",$F172=CETAK!$J$11),OR(CETAK!$J$12="",$K172=CETAK!$J$12),OR(CETAK!$J$13="",$H172=CETAK!$J$13),OR(CETAK!$J$14="",$O172=CETAK!$J$14)),MAX($X$3:X171)+1,""))</f>
        <v/>
      </c>
      <c r="Y172" s="40" t="str">
        <f aca="false">IF($B172="","",IF(AND(OR(ABSENSI!$H$10="",$E172=ABSENSI!$H$10),OR(ABSENSI!$H$11="",$F172=ABSENSI!$H$11),OR(ABSENSI!$H$12="",$K172=ABSENSI!$H$12)),MAX($Y$3:Y171)+1,""))</f>
        <v/>
      </c>
      <c r="Z172" s="40" t="str">
        <f aca="false">IF($B172="","",IF(AND(OR(KARTU!$K$6="",$E172=KARTU!$K$6),OR(KARTU!$K$7="",$F172=KARTU!$K$7),OR(KARTU!$K$8="",$K172=KARTU!$K$8)),MAX($Z$3:Z171)+1,""))</f>
        <v/>
      </c>
    </row>
    <row r="173" customFormat="false" ht="15" hidden="false" customHeight="false" outlineLevel="0" collapsed="false">
      <c r="A173" s="36" t="str">
        <f aca="false">IF($B173="","",COUNTA($B$4:$B173))</f>
        <v/>
      </c>
      <c r="B173" s="37"/>
      <c r="C173" s="38"/>
      <c r="D173" s="39"/>
      <c r="E173" s="37"/>
      <c r="F173" s="39"/>
      <c r="G173" s="40" t="str">
        <f aca="false">IF(OR($E173="",$F173=""),"",$E173&amp;" - RT "&amp;$F173)</f>
        <v/>
      </c>
      <c r="H173" s="37"/>
      <c r="I173" s="38"/>
      <c r="J173" s="37"/>
      <c r="K173" s="39"/>
      <c r="L173" s="41"/>
      <c r="M173" s="36" t="str">
        <f aca="true">IF(OR($B173="",$L173=""),"",DATEDIF($L173,TODAY(),"Y"))</f>
        <v/>
      </c>
      <c r="N173" s="40" t="str">
        <f aca="false">IF($M173="","",INDEX(usia_label,MATCH($M173,usia_min,1)))</f>
        <v/>
      </c>
      <c r="O173" s="37"/>
      <c r="P173" s="41"/>
      <c r="Q173" s="37"/>
      <c r="R173" s="37"/>
      <c r="S173" s="40" t="str">
        <f aca="false">IF($G173="","",$G173&amp;"#"&amp;COUNTIF($G$4:$G173,$G173))</f>
        <v/>
      </c>
      <c r="T173" s="40" t="str">
        <f aca="false">IF($B173="","",IF($C173="","NIK kosong",IF(LEN($C173)&lt;&gt;16,"NIK bukan 16 digit",IF(COUNTIF($C$4:$C$2003,$C173&amp;"*")&gt;1,"NIK ganda",IF($E173="","Kadus kosong",IF($F173="","RT kosong",IF($H173="","Jabatan kosong",IF($I173="","No. HP kosong",IF($J173="","Alamat kosong",IF(AND($M173&lt;&gt;"",$M173&lt;17),"Usia di bawah 17",""))))))))))</f>
        <v/>
      </c>
      <c r="U173" s="40" t="str">
        <f aca="false">IF($B173="","",IF(AND(OR(CARI!$C$5="",ISNUMBER(SEARCH(CARI!$C$5,$B173&amp;" "&amp;$C173&amp;" "&amp;$I173&amp;" "&amp;$J173&amp;" "&amp;$Q173))),OR(CARI!$C$6="",$E173=CARI!$C$6),OR(CARI!$C$7="",$F173=CARI!$C$7),OR(CARI!$C$8="",$O173=CARI!$C$8)),MAX($U$3:U172)+1,""))</f>
        <v/>
      </c>
      <c r="V173" s="40" t="str">
        <f aca="false">IF($T173="","",MAX($V$3:V172)+1)</f>
        <v/>
      </c>
      <c r="W173" s="40" t="str">
        <f aca="false">IF($E173="","",$E173&amp;"#"&amp;COUNTIF($E$4:$E173,$E173))</f>
        <v/>
      </c>
      <c r="X173" s="40" t="str">
        <f aca="false">IF($B173="","",IF(AND(OR(CETAK!$J$10="",$E173=CETAK!$J$10),OR(CETAK!$J$11="",$F173=CETAK!$J$11),OR(CETAK!$J$12="",$K173=CETAK!$J$12),OR(CETAK!$J$13="",$H173=CETAK!$J$13),OR(CETAK!$J$14="",$O173=CETAK!$J$14)),MAX($X$3:X172)+1,""))</f>
        <v/>
      </c>
      <c r="Y173" s="40" t="str">
        <f aca="false">IF($B173="","",IF(AND(OR(ABSENSI!$H$10="",$E173=ABSENSI!$H$10),OR(ABSENSI!$H$11="",$F173=ABSENSI!$H$11),OR(ABSENSI!$H$12="",$K173=ABSENSI!$H$12)),MAX($Y$3:Y172)+1,""))</f>
        <v/>
      </c>
      <c r="Z173" s="40" t="str">
        <f aca="false">IF($B173="","",IF(AND(OR(KARTU!$K$6="",$E173=KARTU!$K$6),OR(KARTU!$K$7="",$F173=KARTU!$K$7),OR(KARTU!$K$8="",$K173=KARTU!$K$8)),MAX($Z$3:Z172)+1,""))</f>
        <v/>
      </c>
    </row>
    <row r="174" customFormat="false" ht="15" hidden="false" customHeight="false" outlineLevel="0" collapsed="false">
      <c r="A174" s="36" t="str">
        <f aca="false">IF($B174="","",COUNTA($B$4:$B174))</f>
        <v/>
      </c>
      <c r="B174" s="37"/>
      <c r="C174" s="38"/>
      <c r="D174" s="39"/>
      <c r="E174" s="37"/>
      <c r="F174" s="39"/>
      <c r="G174" s="40" t="str">
        <f aca="false">IF(OR($E174="",$F174=""),"",$E174&amp;" - RT "&amp;$F174)</f>
        <v/>
      </c>
      <c r="H174" s="37"/>
      <c r="I174" s="38"/>
      <c r="J174" s="37"/>
      <c r="K174" s="39"/>
      <c r="L174" s="41"/>
      <c r="M174" s="36" t="str">
        <f aca="true">IF(OR($B174="",$L174=""),"",DATEDIF($L174,TODAY(),"Y"))</f>
        <v/>
      </c>
      <c r="N174" s="40" t="str">
        <f aca="false">IF($M174="","",INDEX(usia_label,MATCH($M174,usia_min,1)))</f>
        <v/>
      </c>
      <c r="O174" s="37"/>
      <c r="P174" s="41"/>
      <c r="Q174" s="37"/>
      <c r="R174" s="37"/>
      <c r="S174" s="40" t="str">
        <f aca="false">IF($G174="","",$G174&amp;"#"&amp;COUNTIF($G$4:$G174,$G174))</f>
        <v/>
      </c>
      <c r="T174" s="40" t="str">
        <f aca="false">IF($B174="","",IF($C174="","NIK kosong",IF(LEN($C174)&lt;&gt;16,"NIK bukan 16 digit",IF(COUNTIF($C$4:$C$2003,$C174&amp;"*")&gt;1,"NIK ganda",IF($E174="","Kadus kosong",IF($F174="","RT kosong",IF($H174="","Jabatan kosong",IF($I174="","No. HP kosong",IF($J174="","Alamat kosong",IF(AND($M174&lt;&gt;"",$M174&lt;17),"Usia di bawah 17",""))))))))))</f>
        <v/>
      </c>
      <c r="U174" s="40" t="str">
        <f aca="false">IF($B174="","",IF(AND(OR(CARI!$C$5="",ISNUMBER(SEARCH(CARI!$C$5,$B174&amp;" "&amp;$C174&amp;" "&amp;$I174&amp;" "&amp;$J174&amp;" "&amp;$Q174))),OR(CARI!$C$6="",$E174=CARI!$C$6),OR(CARI!$C$7="",$F174=CARI!$C$7),OR(CARI!$C$8="",$O174=CARI!$C$8)),MAX($U$3:U173)+1,""))</f>
        <v/>
      </c>
      <c r="V174" s="40" t="str">
        <f aca="false">IF($T174="","",MAX($V$3:V173)+1)</f>
        <v/>
      </c>
      <c r="W174" s="40" t="str">
        <f aca="false">IF($E174="","",$E174&amp;"#"&amp;COUNTIF($E$4:$E174,$E174))</f>
        <v/>
      </c>
      <c r="X174" s="40" t="str">
        <f aca="false">IF($B174="","",IF(AND(OR(CETAK!$J$10="",$E174=CETAK!$J$10),OR(CETAK!$J$11="",$F174=CETAK!$J$11),OR(CETAK!$J$12="",$K174=CETAK!$J$12),OR(CETAK!$J$13="",$H174=CETAK!$J$13),OR(CETAK!$J$14="",$O174=CETAK!$J$14)),MAX($X$3:X173)+1,""))</f>
        <v/>
      </c>
      <c r="Y174" s="40" t="str">
        <f aca="false">IF($B174="","",IF(AND(OR(ABSENSI!$H$10="",$E174=ABSENSI!$H$10),OR(ABSENSI!$H$11="",$F174=ABSENSI!$H$11),OR(ABSENSI!$H$12="",$K174=ABSENSI!$H$12)),MAX($Y$3:Y173)+1,""))</f>
        <v/>
      </c>
      <c r="Z174" s="40" t="str">
        <f aca="false">IF($B174="","",IF(AND(OR(KARTU!$K$6="",$E174=KARTU!$K$6),OR(KARTU!$K$7="",$F174=KARTU!$K$7),OR(KARTU!$K$8="",$K174=KARTU!$K$8)),MAX($Z$3:Z173)+1,""))</f>
        <v/>
      </c>
    </row>
    <row r="175" customFormat="false" ht="15" hidden="false" customHeight="false" outlineLevel="0" collapsed="false">
      <c r="A175" s="36" t="str">
        <f aca="false">IF($B175="","",COUNTA($B$4:$B175))</f>
        <v/>
      </c>
      <c r="B175" s="37"/>
      <c r="C175" s="38"/>
      <c r="D175" s="39"/>
      <c r="E175" s="37"/>
      <c r="F175" s="39"/>
      <c r="G175" s="40" t="str">
        <f aca="false">IF(OR($E175="",$F175=""),"",$E175&amp;" - RT "&amp;$F175)</f>
        <v/>
      </c>
      <c r="H175" s="37"/>
      <c r="I175" s="38"/>
      <c r="J175" s="37"/>
      <c r="K175" s="39"/>
      <c r="L175" s="41"/>
      <c r="M175" s="36" t="str">
        <f aca="true">IF(OR($B175="",$L175=""),"",DATEDIF($L175,TODAY(),"Y"))</f>
        <v/>
      </c>
      <c r="N175" s="40" t="str">
        <f aca="false">IF($M175="","",INDEX(usia_label,MATCH($M175,usia_min,1)))</f>
        <v/>
      </c>
      <c r="O175" s="37"/>
      <c r="P175" s="41"/>
      <c r="Q175" s="37"/>
      <c r="R175" s="37"/>
      <c r="S175" s="40" t="str">
        <f aca="false">IF($G175="","",$G175&amp;"#"&amp;COUNTIF($G$4:$G175,$G175))</f>
        <v/>
      </c>
      <c r="T175" s="40" t="str">
        <f aca="false">IF($B175="","",IF($C175="","NIK kosong",IF(LEN($C175)&lt;&gt;16,"NIK bukan 16 digit",IF(COUNTIF($C$4:$C$2003,$C175&amp;"*")&gt;1,"NIK ganda",IF($E175="","Kadus kosong",IF($F175="","RT kosong",IF($H175="","Jabatan kosong",IF($I175="","No. HP kosong",IF($J175="","Alamat kosong",IF(AND($M175&lt;&gt;"",$M175&lt;17),"Usia di bawah 17",""))))))))))</f>
        <v/>
      </c>
      <c r="U175" s="40" t="str">
        <f aca="false">IF($B175="","",IF(AND(OR(CARI!$C$5="",ISNUMBER(SEARCH(CARI!$C$5,$B175&amp;" "&amp;$C175&amp;" "&amp;$I175&amp;" "&amp;$J175&amp;" "&amp;$Q175))),OR(CARI!$C$6="",$E175=CARI!$C$6),OR(CARI!$C$7="",$F175=CARI!$C$7),OR(CARI!$C$8="",$O175=CARI!$C$8)),MAX($U$3:U174)+1,""))</f>
        <v/>
      </c>
      <c r="V175" s="40" t="str">
        <f aca="false">IF($T175="","",MAX($V$3:V174)+1)</f>
        <v/>
      </c>
      <c r="W175" s="40" t="str">
        <f aca="false">IF($E175="","",$E175&amp;"#"&amp;COUNTIF($E$4:$E175,$E175))</f>
        <v/>
      </c>
      <c r="X175" s="40" t="str">
        <f aca="false">IF($B175="","",IF(AND(OR(CETAK!$J$10="",$E175=CETAK!$J$10),OR(CETAK!$J$11="",$F175=CETAK!$J$11),OR(CETAK!$J$12="",$K175=CETAK!$J$12),OR(CETAK!$J$13="",$H175=CETAK!$J$13),OR(CETAK!$J$14="",$O175=CETAK!$J$14)),MAX($X$3:X174)+1,""))</f>
        <v/>
      </c>
      <c r="Y175" s="40" t="str">
        <f aca="false">IF($B175="","",IF(AND(OR(ABSENSI!$H$10="",$E175=ABSENSI!$H$10),OR(ABSENSI!$H$11="",$F175=ABSENSI!$H$11),OR(ABSENSI!$H$12="",$K175=ABSENSI!$H$12)),MAX($Y$3:Y174)+1,""))</f>
        <v/>
      </c>
      <c r="Z175" s="40" t="str">
        <f aca="false">IF($B175="","",IF(AND(OR(KARTU!$K$6="",$E175=KARTU!$K$6),OR(KARTU!$K$7="",$F175=KARTU!$K$7),OR(KARTU!$K$8="",$K175=KARTU!$K$8)),MAX($Z$3:Z174)+1,""))</f>
        <v/>
      </c>
    </row>
    <row r="176" customFormat="false" ht="15" hidden="false" customHeight="false" outlineLevel="0" collapsed="false">
      <c r="A176" s="36" t="str">
        <f aca="false">IF($B176="","",COUNTA($B$4:$B176))</f>
        <v/>
      </c>
      <c r="B176" s="37"/>
      <c r="C176" s="38"/>
      <c r="D176" s="39"/>
      <c r="E176" s="37"/>
      <c r="F176" s="39"/>
      <c r="G176" s="40" t="str">
        <f aca="false">IF(OR($E176="",$F176=""),"",$E176&amp;" - RT "&amp;$F176)</f>
        <v/>
      </c>
      <c r="H176" s="37"/>
      <c r="I176" s="38"/>
      <c r="J176" s="37"/>
      <c r="K176" s="39"/>
      <c r="L176" s="41"/>
      <c r="M176" s="36" t="str">
        <f aca="true">IF(OR($B176="",$L176=""),"",DATEDIF($L176,TODAY(),"Y"))</f>
        <v/>
      </c>
      <c r="N176" s="40" t="str">
        <f aca="false">IF($M176="","",INDEX(usia_label,MATCH($M176,usia_min,1)))</f>
        <v/>
      </c>
      <c r="O176" s="37"/>
      <c r="P176" s="41"/>
      <c r="Q176" s="37"/>
      <c r="R176" s="37"/>
      <c r="S176" s="40" t="str">
        <f aca="false">IF($G176="","",$G176&amp;"#"&amp;COUNTIF($G$4:$G176,$G176))</f>
        <v/>
      </c>
      <c r="T176" s="40" t="str">
        <f aca="false">IF($B176="","",IF($C176="","NIK kosong",IF(LEN($C176)&lt;&gt;16,"NIK bukan 16 digit",IF(COUNTIF($C$4:$C$2003,$C176&amp;"*")&gt;1,"NIK ganda",IF($E176="","Kadus kosong",IF($F176="","RT kosong",IF($H176="","Jabatan kosong",IF($I176="","No. HP kosong",IF($J176="","Alamat kosong",IF(AND($M176&lt;&gt;"",$M176&lt;17),"Usia di bawah 17",""))))))))))</f>
        <v/>
      </c>
      <c r="U176" s="40" t="str">
        <f aca="false">IF($B176="","",IF(AND(OR(CARI!$C$5="",ISNUMBER(SEARCH(CARI!$C$5,$B176&amp;" "&amp;$C176&amp;" "&amp;$I176&amp;" "&amp;$J176&amp;" "&amp;$Q176))),OR(CARI!$C$6="",$E176=CARI!$C$6),OR(CARI!$C$7="",$F176=CARI!$C$7),OR(CARI!$C$8="",$O176=CARI!$C$8)),MAX($U$3:U175)+1,""))</f>
        <v/>
      </c>
      <c r="V176" s="40" t="str">
        <f aca="false">IF($T176="","",MAX($V$3:V175)+1)</f>
        <v/>
      </c>
      <c r="W176" s="40" t="str">
        <f aca="false">IF($E176="","",$E176&amp;"#"&amp;COUNTIF($E$4:$E176,$E176))</f>
        <v/>
      </c>
      <c r="X176" s="40" t="str">
        <f aca="false">IF($B176="","",IF(AND(OR(CETAK!$J$10="",$E176=CETAK!$J$10),OR(CETAK!$J$11="",$F176=CETAK!$J$11),OR(CETAK!$J$12="",$K176=CETAK!$J$12),OR(CETAK!$J$13="",$H176=CETAK!$J$13),OR(CETAK!$J$14="",$O176=CETAK!$J$14)),MAX($X$3:X175)+1,""))</f>
        <v/>
      </c>
      <c r="Y176" s="40" t="str">
        <f aca="false">IF($B176="","",IF(AND(OR(ABSENSI!$H$10="",$E176=ABSENSI!$H$10),OR(ABSENSI!$H$11="",$F176=ABSENSI!$H$11),OR(ABSENSI!$H$12="",$K176=ABSENSI!$H$12)),MAX($Y$3:Y175)+1,""))</f>
        <v/>
      </c>
      <c r="Z176" s="40" t="str">
        <f aca="false">IF($B176="","",IF(AND(OR(KARTU!$K$6="",$E176=KARTU!$K$6),OR(KARTU!$K$7="",$F176=KARTU!$K$7),OR(KARTU!$K$8="",$K176=KARTU!$K$8)),MAX($Z$3:Z175)+1,""))</f>
        <v/>
      </c>
    </row>
    <row r="177" customFormat="false" ht="15" hidden="false" customHeight="false" outlineLevel="0" collapsed="false">
      <c r="A177" s="36" t="str">
        <f aca="false">IF($B177="","",COUNTA($B$4:$B177))</f>
        <v/>
      </c>
      <c r="B177" s="37"/>
      <c r="C177" s="38"/>
      <c r="D177" s="39"/>
      <c r="E177" s="37"/>
      <c r="F177" s="39"/>
      <c r="G177" s="40" t="str">
        <f aca="false">IF(OR($E177="",$F177=""),"",$E177&amp;" - RT "&amp;$F177)</f>
        <v/>
      </c>
      <c r="H177" s="37"/>
      <c r="I177" s="38"/>
      <c r="J177" s="37"/>
      <c r="K177" s="39"/>
      <c r="L177" s="41"/>
      <c r="M177" s="36" t="str">
        <f aca="true">IF(OR($B177="",$L177=""),"",DATEDIF($L177,TODAY(),"Y"))</f>
        <v/>
      </c>
      <c r="N177" s="40" t="str">
        <f aca="false">IF($M177="","",INDEX(usia_label,MATCH($M177,usia_min,1)))</f>
        <v/>
      </c>
      <c r="O177" s="37"/>
      <c r="P177" s="41"/>
      <c r="Q177" s="37"/>
      <c r="R177" s="37"/>
      <c r="S177" s="40" t="str">
        <f aca="false">IF($G177="","",$G177&amp;"#"&amp;COUNTIF($G$4:$G177,$G177))</f>
        <v/>
      </c>
      <c r="T177" s="40" t="str">
        <f aca="false">IF($B177="","",IF($C177="","NIK kosong",IF(LEN($C177)&lt;&gt;16,"NIK bukan 16 digit",IF(COUNTIF($C$4:$C$2003,$C177&amp;"*")&gt;1,"NIK ganda",IF($E177="","Kadus kosong",IF($F177="","RT kosong",IF($H177="","Jabatan kosong",IF($I177="","No. HP kosong",IF($J177="","Alamat kosong",IF(AND($M177&lt;&gt;"",$M177&lt;17),"Usia di bawah 17",""))))))))))</f>
        <v/>
      </c>
      <c r="U177" s="40" t="str">
        <f aca="false">IF($B177="","",IF(AND(OR(CARI!$C$5="",ISNUMBER(SEARCH(CARI!$C$5,$B177&amp;" "&amp;$C177&amp;" "&amp;$I177&amp;" "&amp;$J177&amp;" "&amp;$Q177))),OR(CARI!$C$6="",$E177=CARI!$C$6),OR(CARI!$C$7="",$F177=CARI!$C$7),OR(CARI!$C$8="",$O177=CARI!$C$8)),MAX($U$3:U176)+1,""))</f>
        <v/>
      </c>
      <c r="V177" s="40" t="str">
        <f aca="false">IF($T177="","",MAX($V$3:V176)+1)</f>
        <v/>
      </c>
      <c r="W177" s="40" t="str">
        <f aca="false">IF($E177="","",$E177&amp;"#"&amp;COUNTIF($E$4:$E177,$E177))</f>
        <v/>
      </c>
      <c r="X177" s="40" t="str">
        <f aca="false">IF($B177="","",IF(AND(OR(CETAK!$J$10="",$E177=CETAK!$J$10),OR(CETAK!$J$11="",$F177=CETAK!$J$11),OR(CETAK!$J$12="",$K177=CETAK!$J$12),OR(CETAK!$J$13="",$H177=CETAK!$J$13),OR(CETAK!$J$14="",$O177=CETAK!$J$14)),MAX($X$3:X176)+1,""))</f>
        <v/>
      </c>
      <c r="Y177" s="40" t="str">
        <f aca="false">IF($B177="","",IF(AND(OR(ABSENSI!$H$10="",$E177=ABSENSI!$H$10),OR(ABSENSI!$H$11="",$F177=ABSENSI!$H$11),OR(ABSENSI!$H$12="",$K177=ABSENSI!$H$12)),MAX($Y$3:Y176)+1,""))</f>
        <v/>
      </c>
      <c r="Z177" s="40" t="str">
        <f aca="false">IF($B177="","",IF(AND(OR(KARTU!$K$6="",$E177=KARTU!$K$6),OR(KARTU!$K$7="",$F177=KARTU!$K$7),OR(KARTU!$K$8="",$K177=KARTU!$K$8)),MAX($Z$3:Z176)+1,""))</f>
        <v/>
      </c>
    </row>
    <row r="178" customFormat="false" ht="15" hidden="false" customHeight="false" outlineLevel="0" collapsed="false">
      <c r="A178" s="36" t="str">
        <f aca="false">IF($B178="","",COUNTA($B$4:$B178))</f>
        <v/>
      </c>
      <c r="B178" s="37"/>
      <c r="C178" s="38"/>
      <c r="D178" s="39"/>
      <c r="E178" s="37"/>
      <c r="F178" s="39"/>
      <c r="G178" s="40" t="str">
        <f aca="false">IF(OR($E178="",$F178=""),"",$E178&amp;" - RT "&amp;$F178)</f>
        <v/>
      </c>
      <c r="H178" s="37"/>
      <c r="I178" s="38"/>
      <c r="J178" s="37"/>
      <c r="K178" s="39"/>
      <c r="L178" s="41"/>
      <c r="M178" s="36" t="str">
        <f aca="true">IF(OR($B178="",$L178=""),"",DATEDIF($L178,TODAY(),"Y"))</f>
        <v/>
      </c>
      <c r="N178" s="40" t="str">
        <f aca="false">IF($M178="","",INDEX(usia_label,MATCH($M178,usia_min,1)))</f>
        <v/>
      </c>
      <c r="O178" s="37"/>
      <c r="P178" s="41"/>
      <c r="Q178" s="37"/>
      <c r="R178" s="37"/>
      <c r="S178" s="40" t="str">
        <f aca="false">IF($G178="","",$G178&amp;"#"&amp;COUNTIF($G$4:$G178,$G178))</f>
        <v/>
      </c>
      <c r="T178" s="40" t="str">
        <f aca="false">IF($B178="","",IF($C178="","NIK kosong",IF(LEN($C178)&lt;&gt;16,"NIK bukan 16 digit",IF(COUNTIF($C$4:$C$2003,$C178&amp;"*")&gt;1,"NIK ganda",IF($E178="","Kadus kosong",IF($F178="","RT kosong",IF($H178="","Jabatan kosong",IF($I178="","No. HP kosong",IF($J178="","Alamat kosong",IF(AND($M178&lt;&gt;"",$M178&lt;17),"Usia di bawah 17",""))))))))))</f>
        <v/>
      </c>
      <c r="U178" s="40" t="str">
        <f aca="false">IF($B178="","",IF(AND(OR(CARI!$C$5="",ISNUMBER(SEARCH(CARI!$C$5,$B178&amp;" "&amp;$C178&amp;" "&amp;$I178&amp;" "&amp;$J178&amp;" "&amp;$Q178))),OR(CARI!$C$6="",$E178=CARI!$C$6),OR(CARI!$C$7="",$F178=CARI!$C$7),OR(CARI!$C$8="",$O178=CARI!$C$8)),MAX($U$3:U177)+1,""))</f>
        <v/>
      </c>
      <c r="V178" s="40" t="str">
        <f aca="false">IF($T178="","",MAX($V$3:V177)+1)</f>
        <v/>
      </c>
      <c r="W178" s="40" t="str">
        <f aca="false">IF($E178="","",$E178&amp;"#"&amp;COUNTIF($E$4:$E178,$E178))</f>
        <v/>
      </c>
      <c r="X178" s="40" t="str">
        <f aca="false">IF($B178="","",IF(AND(OR(CETAK!$J$10="",$E178=CETAK!$J$10),OR(CETAK!$J$11="",$F178=CETAK!$J$11),OR(CETAK!$J$12="",$K178=CETAK!$J$12),OR(CETAK!$J$13="",$H178=CETAK!$J$13),OR(CETAK!$J$14="",$O178=CETAK!$J$14)),MAX($X$3:X177)+1,""))</f>
        <v/>
      </c>
      <c r="Y178" s="40" t="str">
        <f aca="false">IF($B178="","",IF(AND(OR(ABSENSI!$H$10="",$E178=ABSENSI!$H$10),OR(ABSENSI!$H$11="",$F178=ABSENSI!$H$11),OR(ABSENSI!$H$12="",$K178=ABSENSI!$H$12)),MAX($Y$3:Y177)+1,""))</f>
        <v/>
      </c>
      <c r="Z178" s="40" t="str">
        <f aca="false">IF($B178="","",IF(AND(OR(KARTU!$K$6="",$E178=KARTU!$K$6),OR(KARTU!$K$7="",$F178=KARTU!$K$7),OR(KARTU!$K$8="",$K178=KARTU!$K$8)),MAX($Z$3:Z177)+1,""))</f>
        <v/>
      </c>
    </row>
    <row r="179" customFormat="false" ht="15" hidden="false" customHeight="false" outlineLevel="0" collapsed="false">
      <c r="A179" s="36" t="str">
        <f aca="false">IF($B179="","",COUNTA($B$4:$B179))</f>
        <v/>
      </c>
      <c r="B179" s="37"/>
      <c r="C179" s="38"/>
      <c r="D179" s="39"/>
      <c r="E179" s="37"/>
      <c r="F179" s="39"/>
      <c r="G179" s="40" t="str">
        <f aca="false">IF(OR($E179="",$F179=""),"",$E179&amp;" - RT "&amp;$F179)</f>
        <v/>
      </c>
      <c r="H179" s="37"/>
      <c r="I179" s="38"/>
      <c r="J179" s="37"/>
      <c r="K179" s="39"/>
      <c r="L179" s="41"/>
      <c r="M179" s="36" t="str">
        <f aca="true">IF(OR($B179="",$L179=""),"",DATEDIF($L179,TODAY(),"Y"))</f>
        <v/>
      </c>
      <c r="N179" s="40" t="str">
        <f aca="false">IF($M179="","",INDEX(usia_label,MATCH($M179,usia_min,1)))</f>
        <v/>
      </c>
      <c r="O179" s="37"/>
      <c r="P179" s="41"/>
      <c r="Q179" s="37"/>
      <c r="R179" s="37"/>
      <c r="S179" s="40" t="str">
        <f aca="false">IF($G179="","",$G179&amp;"#"&amp;COUNTIF($G$4:$G179,$G179))</f>
        <v/>
      </c>
      <c r="T179" s="40" t="str">
        <f aca="false">IF($B179="","",IF($C179="","NIK kosong",IF(LEN($C179)&lt;&gt;16,"NIK bukan 16 digit",IF(COUNTIF($C$4:$C$2003,$C179&amp;"*")&gt;1,"NIK ganda",IF($E179="","Kadus kosong",IF($F179="","RT kosong",IF($H179="","Jabatan kosong",IF($I179="","No. HP kosong",IF($J179="","Alamat kosong",IF(AND($M179&lt;&gt;"",$M179&lt;17),"Usia di bawah 17",""))))))))))</f>
        <v/>
      </c>
      <c r="U179" s="40" t="str">
        <f aca="false">IF($B179="","",IF(AND(OR(CARI!$C$5="",ISNUMBER(SEARCH(CARI!$C$5,$B179&amp;" "&amp;$C179&amp;" "&amp;$I179&amp;" "&amp;$J179&amp;" "&amp;$Q179))),OR(CARI!$C$6="",$E179=CARI!$C$6),OR(CARI!$C$7="",$F179=CARI!$C$7),OR(CARI!$C$8="",$O179=CARI!$C$8)),MAX($U$3:U178)+1,""))</f>
        <v/>
      </c>
      <c r="V179" s="40" t="str">
        <f aca="false">IF($T179="","",MAX($V$3:V178)+1)</f>
        <v/>
      </c>
      <c r="W179" s="40" t="str">
        <f aca="false">IF($E179="","",$E179&amp;"#"&amp;COUNTIF($E$4:$E179,$E179))</f>
        <v/>
      </c>
      <c r="X179" s="40" t="str">
        <f aca="false">IF($B179="","",IF(AND(OR(CETAK!$J$10="",$E179=CETAK!$J$10),OR(CETAK!$J$11="",$F179=CETAK!$J$11),OR(CETAK!$J$12="",$K179=CETAK!$J$12),OR(CETAK!$J$13="",$H179=CETAK!$J$13),OR(CETAK!$J$14="",$O179=CETAK!$J$14)),MAX($X$3:X178)+1,""))</f>
        <v/>
      </c>
      <c r="Y179" s="40" t="str">
        <f aca="false">IF($B179="","",IF(AND(OR(ABSENSI!$H$10="",$E179=ABSENSI!$H$10),OR(ABSENSI!$H$11="",$F179=ABSENSI!$H$11),OR(ABSENSI!$H$12="",$K179=ABSENSI!$H$12)),MAX($Y$3:Y178)+1,""))</f>
        <v/>
      </c>
      <c r="Z179" s="40" t="str">
        <f aca="false">IF($B179="","",IF(AND(OR(KARTU!$K$6="",$E179=KARTU!$K$6),OR(KARTU!$K$7="",$F179=KARTU!$K$7),OR(KARTU!$K$8="",$K179=KARTU!$K$8)),MAX($Z$3:Z178)+1,""))</f>
        <v/>
      </c>
    </row>
    <row r="180" customFormat="false" ht="15" hidden="false" customHeight="false" outlineLevel="0" collapsed="false">
      <c r="A180" s="36" t="str">
        <f aca="false">IF($B180="","",COUNTA($B$4:$B180))</f>
        <v/>
      </c>
      <c r="B180" s="37"/>
      <c r="C180" s="38"/>
      <c r="D180" s="39"/>
      <c r="E180" s="37"/>
      <c r="F180" s="39"/>
      <c r="G180" s="40" t="str">
        <f aca="false">IF(OR($E180="",$F180=""),"",$E180&amp;" - RT "&amp;$F180)</f>
        <v/>
      </c>
      <c r="H180" s="37"/>
      <c r="I180" s="38"/>
      <c r="J180" s="37"/>
      <c r="K180" s="39"/>
      <c r="L180" s="41"/>
      <c r="M180" s="36" t="str">
        <f aca="true">IF(OR($B180="",$L180=""),"",DATEDIF($L180,TODAY(),"Y"))</f>
        <v/>
      </c>
      <c r="N180" s="40" t="str">
        <f aca="false">IF($M180="","",INDEX(usia_label,MATCH($M180,usia_min,1)))</f>
        <v/>
      </c>
      <c r="O180" s="37"/>
      <c r="P180" s="41"/>
      <c r="Q180" s="37"/>
      <c r="R180" s="37"/>
      <c r="S180" s="40" t="str">
        <f aca="false">IF($G180="","",$G180&amp;"#"&amp;COUNTIF($G$4:$G180,$G180))</f>
        <v/>
      </c>
      <c r="T180" s="40" t="str">
        <f aca="false">IF($B180="","",IF($C180="","NIK kosong",IF(LEN($C180)&lt;&gt;16,"NIK bukan 16 digit",IF(COUNTIF($C$4:$C$2003,$C180&amp;"*")&gt;1,"NIK ganda",IF($E180="","Kadus kosong",IF($F180="","RT kosong",IF($H180="","Jabatan kosong",IF($I180="","No. HP kosong",IF($J180="","Alamat kosong",IF(AND($M180&lt;&gt;"",$M180&lt;17),"Usia di bawah 17",""))))))))))</f>
        <v/>
      </c>
      <c r="U180" s="40" t="str">
        <f aca="false">IF($B180="","",IF(AND(OR(CARI!$C$5="",ISNUMBER(SEARCH(CARI!$C$5,$B180&amp;" "&amp;$C180&amp;" "&amp;$I180&amp;" "&amp;$J180&amp;" "&amp;$Q180))),OR(CARI!$C$6="",$E180=CARI!$C$6),OR(CARI!$C$7="",$F180=CARI!$C$7),OR(CARI!$C$8="",$O180=CARI!$C$8)),MAX($U$3:U179)+1,""))</f>
        <v/>
      </c>
      <c r="V180" s="40" t="str">
        <f aca="false">IF($T180="","",MAX($V$3:V179)+1)</f>
        <v/>
      </c>
      <c r="W180" s="40" t="str">
        <f aca="false">IF($E180="","",$E180&amp;"#"&amp;COUNTIF($E$4:$E180,$E180))</f>
        <v/>
      </c>
      <c r="X180" s="40" t="str">
        <f aca="false">IF($B180="","",IF(AND(OR(CETAK!$J$10="",$E180=CETAK!$J$10),OR(CETAK!$J$11="",$F180=CETAK!$J$11),OR(CETAK!$J$12="",$K180=CETAK!$J$12),OR(CETAK!$J$13="",$H180=CETAK!$J$13),OR(CETAK!$J$14="",$O180=CETAK!$J$14)),MAX($X$3:X179)+1,""))</f>
        <v/>
      </c>
      <c r="Y180" s="40" t="str">
        <f aca="false">IF($B180="","",IF(AND(OR(ABSENSI!$H$10="",$E180=ABSENSI!$H$10),OR(ABSENSI!$H$11="",$F180=ABSENSI!$H$11),OR(ABSENSI!$H$12="",$K180=ABSENSI!$H$12)),MAX($Y$3:Y179)+1,""))</f>
        <v/>
      </c>
      <c r="Z180" s="40" t="str">
        <f aca="false">IF($B180="","",IF(AND(OR(KARTU!$K$6="",$E180=KARTU!$K$6),OR(KARTU!$K$7="",$F180=KARTU!$K$7),OR(KARTU!$K$8="",$K180=KARTU!$K$8)),MAX($Z$3:Z179)+1,""))</f>
        <v/>
      </c>
    </row>
    <row r="181" customFormat="false" ht="15" hidden="false" customHeight="false" outlineLevel="0" collapsed="false">
      <c r="A181" s="36" t="str">
        <f aca="false">IF($B181="","",COUNTA($B$4:$B181))</f>
        <v/>
      </c>
      <c r="B181" s="37"/>
      <c r="C181" s="38"/>
      <c r="D181" s="39"/>
      <c r="E181" s="37"/>
      <c r="F181" s="39"/>
      <c r="G181" s="40" t="str">
        <f aca="false">IF(OR($E181="",$F181=""),"",$E181&amp;" - RT "&amp;$F181)</f>
        <v/>
      </c>
      <c r="H181" s="37"/>
      <c r="I181" s="38"/>
      <c r="J181" s="37"/>
      <c r="K181" s="39"/>
      <c r="L181" s="41"/>
      <c r="M181" s="36" t="str">
        <f aca="true">IF(OR($B181="",$L181=""),"",DATEDIF($L181,TODAY(),"Y"))</f>
        <v/>
      </c>
      <c r="N181" s="40" t="str">
        <f aca="false">IF($M181="","",INDEX(usia_label,MATCH($M181,usia_min,1)))</f>
        <v/>
      </c>
      <c r="O181" s="37"/>
      <c r="P181" s="41"/>
      <c r="Q181" s="37"/>
      <c r="R181" s="37"/>
      <c r="S181" s="40" t="str">
        <f aca="false">IF($G181="","",$G181&amp;"#"&amp;COUNTIF($G$4:$G181,$G181))</f>
        <v/>
      </c>
      <c r="T181" s="40" t="str">
        <f aca="false">IF($B181="","",IF($C181="","NIK kosong",IF(LEN($C181)&lt;&gt;16,"NIK bukan 16 digit",IF(COUNTIF($C$4:$C$2003,$C181&amp;"*")&gt;1,"NIK ganda",IF($E181="","Kadus kosong",IF($F181="","RT kosong",IF($H181="","Jabatan kosong",IF($I181="","No. HP kosong",IF($J181="","Alamat kosong",IF(AND($M181&lt;&gt;"",$M181&lt;17),"Usia di bawah 17",""))))))))))</f>
        <v/>
      </c>
      <c r="U181" s="40" t="str">
        <f aca="false">IF($B181="","",IF(AND(OR(CARI!$C$5="",ISNUMBER(SEARCH(CARI!$C$5,$B181&amp;" "&amp;$C181&amp;" "&amp;$I181&amp;" "&amp;$J181&amp;" "&amp;$Q181))),OR(CARI!$C$6="",$E181=CARI!$C$6),OR(CARI!$C$7="",$F181=CARI!$C$7),OR(CARI!$C$8="",$O181=CARI!$C$8)),MAX($U$3:U180)+1,""))</f>
        <v/>
      </c>
      <c r="V181" s="40" t="str">
        <f aca="false">IF($T181="","",MAX($V$3:V180)+1)</f>
        <v/>
      </c>
      <c r="W181" s="40" t="str">
        <f aca="false">IF($E181="","",$E181&amp;"#"&amp;COUNTIF($E$4:$E181,$E181))</f>
        <v/>
      </c>
      <c r="X181" s="40" t="str">
        <f aca="false">IF($B181="","",IF(AND(OR(CETAK!$J$10="",$E181=CETAK!$J$10),OR(CETAK!$J$11="",$F181=CETAK!$J$11),OR(CETAK!$J$12="",$K181=CETAK!$J$12),OR(CETAK!$J$13="",$H181=CETAK!$J$13),OR(CETAK!$J$14="",$O181=CETAK!$J$14)),MAX($X$3:X180)+1,""))</f>
        <v/>
      </c>
      <c r="Y181" s="40" t="str">
        <f aca="false">IF($B181="","",IF(AND(OR(ABSENSI!$H$10="",$E181=ABSENSI!$H$10),OR(ABSENSI!$H$11="",$F181=ABSENSI!$H$11),OR(ABSENSI!$H$12="",$K181=ABSENSI!$H$12)),MAX($Y$3:Y180)+1,""))</f>
        <v/>
      </c>
      <c r="Z181" s="40" t="str">
        <f aca="false">IF($B181="","",IF(AND(OR(KARTU!$K$6="",$E181=KARTU!$K$6),OR(KARTU!$K$7="",$F181=KARTU!$K$7),OR(KARTU!$K$8="",$K181=KARTU!$K$8)),MAX($Z$3:Z180)+1,""))</f>
        <v/>
      </c>
    </row>
    <row r="182" customFormat="false" ht="15" hidden="false" customHeight="false" outlineLevel="0" collapsed="false">
      <c r="A182" s="36" t="str">
        <f aca="false">IF($B182="","",COUNTA($B$4:$B182))</f>
        <v/>
      </c>
      <c r="B182" s="37"/>
      <c r="C182" s="38"/>
      <c r="D182" s="39"/>
      <c r="E182" s="37"/>
      <c r="F182" s="39"/>
      <c r="G182" s="40" t="str">
        <f aca="false">IF(OR($E182="",$F182=""),"",$E182&amp;" - RT "&amp;$F182)</f>
        <v/>
      </c>
      <c r="H182" s="37"/>
      <c r="I182" s="38"/>
      <c r="J182" s="37"/>
      <c r="K182" s="39"/>
      <c r="L182" s="41"/>
      <c r="M182" s="36" t="str">
        <f aca="true">IF(OR($B182="",$L182=""),"",DATEDIF($L182,TODAY(),"Y"))</f>
        <v/>
      </c>
      <c r="N182" s="40" t="str">
        <f aca="false">IF($M182="","",INDEX(usia_label,MATCH($M182,usia_min,1)))</f>
        <v/>
      </c>
      <c r="O182" s="37"/>
      <c r="P182" s="41"/>
      <c r="Q182" s="37"/>
      <c r="R182" s="37"/>
      <c r="S182" s="40" t="str">
        <f aca="false">IF($G182="","",$G182&amp;"#"&amp;COUNTIF($G$4:$G182,$G182))</f>
        <v/>
      </c>
      <c r="T182" s="40" t="str">
        <f aca="false">IF($B182="","",IF($C182="","NIK kosong",IF(LEN($C182)&lt;&gt;16,"NIK bukan 16 digit",IF(COUNTIF($C$4:$C$2003,$C182&amp;"*")&gt;1,"NIK ganda",IF($E182="","Kadus kosong",IF($F182="","RT kosong",IF($H182="","Jabatan kosong",IF($I182="","No. HP kosong",IF($J182="","Alamat kosong",IF(AND($M182&lt;&gt;"",$M182&lt;17),"Usia di bawah 17",""))))))))))</f>
        <v/>
      </c>
      <c r="U182" s="40" t="str">
        <f aca="false">IF($B182="","",IF(AND(OR(CARI!$C$5="",ISNUMBER(SEARCH(CARI!$C$5,$B182&amp;" "&amp;$C182&amp;" "&amp;$I182&amp;" "&amp;$J182&amp;" "&amp;$Q182))),OR(CARI!$C$6="",$E182=CARI!$C$6),OR(CARI!$C$7="",$F182=CARI!$C$7),OR(CARI!$C$8="",$O182=CARI!$C$8)),MAX($U$3:U181)+1,""))</f>
        <v/>
      </c>
      <c r="V182" s="40" t="str">
        <f aca="false">IF($T182="","",MAX($V$3:V181)+1)</f>
        <v/>
      </c>
      <c r="W182" s="40" t="str">
        <f aca="false">IF($E182="","",$E182&amp;"#"&amp;COUNTIF($E$4:$E182,$E182))</f>
        <v/>
      </c>
      <c r="X182" s="40" t="str">
        <f aca="false">IF($B182="","",IF(AND(OR(CETAK!$J$10="",$E182=CETAK!$J$10),OR(CETAK!$J$11="",$F182=CETAK!$J$11),OR(CETAK!$J$12="",$K182=CETAK!$J$12),OR(CETAK!$J$13="",$H182=CETAK!$J$13),OR(CETAK!$J$14="",$O182=CETAK!$J$14)),MAX($X$3:X181)+1,""))</f>
        <v/>
      </c>
      <c r="Y182" s="40" t="str">
        <f aca="false">IF($B182="","",IF(AND(OR(ABSENSI!$H$10="",$E182=ABSENSI!$H$10),OR(ABSENSI!$H$11="",$F182=ABSENSI!$H$11),OR(ABSENSI!$H$12="",$K182=ABSENSI!$H$12)),MAX($Y$3:Y181)+1,""))</f>
        <v/>
      </c>
      <c r="Z182" s="40" t="str">
        <f aca="false">IF($B182="","",IF(AND(OR(KARTU!$K$6="",$E182=KARTU!$K$6),OR(KARTU!$K$7="",$F182=KARTU!$K$7),OR(KARTU!$K$8="",$K182=KARTU!$K$8)),MAX($Z$3:Z181)+1,""))</f>
        <v/>
      </c>
    </row>
    <row r="183" customFormat="false" ht="15" hidden="false" customHeight="false" outlineLevel="0" collapsed="false">
      <c r="A183" s="36" t="str">
        <f aca="false">IF($B183="","",COUNTA($B$4:$B183))</f>
        <v/>
      </c>
      <c r="B183" s="37"/>
      <c r="C183" s="38"/>
      <c r="D183" s="39"/>
      <c r="E183" s="37"/>
      <c r="F183" s="39"/>
      <c r="G183" s="40" t="str">
        <f aca="false">IF(OR($E183="",$F183=""),"",$E183&amp;" - RT "&amp;$F183)</f>
        <v/>
      </c>
      <c r="H183" s="37"/>
      <c r="I183" s="38"/>
      <c r="J183" s="37"/>
      <c r="K183" s="39"/>
      <c r="L183" s="41"/>
      <c r="M183" s="36" t="str">
        <f aca="true">IF(OR($B183="",$L183=""),"",DATEDIF($L183,TODAY(),"Y"))</f>
        <v/>
      </c>
      <c r="N183" s="40" t="str">
        <f aca="false">IF($M183="","",INDEX(usia_label,MATCH($M183,usia_min,1)))</f>
        <v/>
      </c>
      <c r="O183" s="37"/>
      <c r="P183" s="41"/>
      <c r="Q183" s="37"/>
      <c r="R183" s="37"/>
      <c r="S183" s="40" t="str">
        <f aca="false">IF($G183="","",$G183&amp;"#"&amp;COUNTIF($G$4:$G183,$G183))</f>
        <v/>
      </c>
      <c r="T183" s="40" t="str">
        <f aca="false">IF($B183="","",IF($C183="","NIK kosong",IF(LEN($C183)&lt;&gt;16,"NIK bukan 16 digit",IF(COUNTIF($C$4:$C$2003,$C183&amp;"*")&gt;1,"NIK ganda",IF($E183="","Kadus kosong",IF($F183="","RT kosong",IF($H183="","Jabatan kosong",IF($I183="","No. HP kosong",IF($J183="","Alamat kosong",IF(AND($M183&lt;&gt;"",$M183&lt;17),"Usia di bawah 17",""))))))))))</f>
        <v/>
      </c>
      <c r="U183" s="40" t="str">
        <f aca="false">IF($B183="","",IF(AND(OR(CARI!$C$5="",ISNUMBER(SEARCH(CARI!$C$5,$B183&amp;" "&amp;$C183&amp;" "&amp;$I183&amp;" "&amp;$J183&amp;" "&amp;$Q183))),OR(CARI!$C$6="",$E183=CARI!$C$6),OR(CARI!$C$7="",$F183=CARI!$C$7),OR(CARI!$C$8="",$O183=CARI!$C$8)),MAX($U$3:U182)+1,""))</f>
        <v/>
      </c>
      <c r="V183" s="40" t="str">
        <f aca="false">IF($T183="","",MAX($V$3:V182)+1)</f>
        <v/>
      </c>
      <c r="W183" s="40" t="str">
        <f aca="false">IF($E183="","",$E183&amp;"#"&amp;COUNTIF($E$4:$E183,$E183))</f>
        <v/>
      </c>
      <c r="X183" s="40" t="str">
        <f aca="false">IF($B183="","",IF(AND(OR(CETAK!$J$10="",$E183=CETAK!$J$10),OR(CETAK!$J$11="",$F183=CETAK!$J$11),OR(CETAK!$J$12="",$K183=CETAK!$J$12),OR(CETAK!$J$13="",$H183=CETAK!$J$13),OR(CETAK!$J$14="",$O183=CETAK!$J$14)),MAX($X$3:X182)+1,""))</f>
        <v/>
      </c>
      <c r="Y183" s="40" t="str">
        <f aca="false">IF($B183="","",IF(AND(OR(ABSENSI!$H$10="",$E183=ABSENSI!$H$10),OR(ABSENSI!$H$11="",$F183=ABSENSI!$H$11),OR(ABSENSI!$H$12="",$K183=ABSENSI!$H$12)),MAX($Y$3:Y182)+1,""))</f>
        <v/>
      </c>
      <c r="Z183" s="40" t="str">
        <f aca="false">IF($B183="","",IF(AND(OR(KARTU!$K$6="",$E183=KARTU!$K$6),OR(KARTU!$K$7="",$F183=KARTU!$K$7),OR(KARTU!$K$8="",$K183=KARTU!$K$8)),MAX($Z$3:Z182)+1,""))</f>
        <v/>
      </c>
    </row>
    <row r="184" customFormat="false" ht="15" hidden="false" customHeight="false" outlineLevel="0" collapsed="false">
      <c r="A184" s="36" t="str">
        <f aca="false">IF($B184="","",COUNTA($B$4:$B184))</f>
        <v/>
      </c>
      <c r="B184" s="37"/>
      <c r="C184" s="38"/>
      <c r="D184" s="39"/>
      <c r="E184" s="37"/>
      <c r="F184" s="39"/>
      <c r="G184" s="40" t="str">
        <f aca="false">IF(OR($E184="",$F184=""),"",$E184&amp;" - RT "&amp;$F184)</f>
        <v/>
      </c>
      <c r="H184" s="37"/>
      <c r="I184" s="38"/>
      <c r="J184" s="37"/>
      <c r="K184" s="39"/>
      <c r="L184" s="41"/>
      <c r="M184" s="36" t="str">
        <f aca="true">IF(OR($B184="",$L184=""),"",DATEDIF($L184,TODAY(),"Y"))</f>
        <v/>
      </c>
      <c r="N184" s="40" t="str">
        <f aca="false">IF($M184="","",INDEX(usia_label,MATCH($M184,usia_min,1)))</f>
        <v/>
      </c>
      <c r="O184" s="37"/>
      <c r="P184" s="41"/>
      <c r="Q184" s="37"/>
      <c r="R184" s="37"/>
      <c r="S184" s="40" t="str">
        <f aca="false">IF($G184="","",$G184&amp;"#"&amp;COUNTIF($G$4:$G184,$G184))</f>
        <v/>
      </c>
      <c r="T184" s="40" t="str">
        <f aca="false">IF($B184="","",IF($C184="","NIK kosong",IF(LEN($C184)&lt;&gt;16,"NIK bukan 16 digit",IF(COUNTIF($C$4:$C$2003,$C184&amp;"*")&gt;1,"NIK ganda",IF($E184="","Kadus kosong",IF($F184="","RT kosong",IF($H184="","Jabatan kosong",IF($I184="","No. HP kosong",IF($J184="","Alamat kosong",IF(AND($M184&lt;&gt;"",$M184&lt;17),"Usia di bawah 17",""))))))))))</f>
        <v/>
      </c>
      <c r="U184" s="40" t="str">
        <f aca="false">IF($B184="","",IF(AND(OR(CARI!$C$5="",ISNUMBER(SEARCH(CARI!$C$5,$B184&amp;" "&amp;$C184&amp;" "&amp;$I184&amp;" "&amp;$J184&amp;" "&amp;$Q184))),OR(CARI!$C$6="",$E184=CARI!$C$6),OR(CARI!$C$7="",$F184=CARI!$C$7),OR(CARI!$C$8="",$O184=CARI!$C$8)),MAX($U$3:U183)+1,""))</f>
        <v/>
      </c>
      <c r="V184" s="40" t="str">
        <f aca="false">IF($T184="","",MAX($V$3:V183)+1)</f>
        <v/>
      </c>
      <c r="W184" s="40" t="str">
        <f aca="false">IF($E184="","",$E184&amp;"#"&amp;COUNTIF($E$4:$E184,$E184))</f>
        <v/>
      </c>
      <c r="X184" s="40" t="str">
        <f aca="false">IF($B184="","",IF(AND(OR(CETAK!$J$10="",$E184=CETAK!$J$10),OR(CETAK!$J$11="",$F184=CETAK!$J$11),OR(CETAK!$J$12="",$K184=CETAK!$J$12),OR(CETAK!$J$13="",$H184=CETAK!$J$13),OR(CETAK!$J$14="",$O184=CETAK!$J$14)),MAX($X$3:X183)+1,""))</f>
        <v/>
      </c>
      <c r="Y184" s="40" t="str">
        <f aca="false">IF($B184="","",IF(AND(OR(ABSENSI!$H$10="",$E184=ABSENSI!$H$10),OR(ABSENSI!$H$11="",$F184=ABSENSI!$H$11),OR(ABSENSI!$H$12="",$K184=ABSENSI!$H$12)),MAX($Y$3:Y183)+1,""))</f>
        <v/>
      </c>
      <c r="Z184" s="40" t="str">
        <f aca="false">IF($B184="","",IF(AND(OR(KARTU!$K$6="",$E184=KARTU!$K$6),OR(KARTU!$K$7="",$F184=KARTU!$K$7),OR(KARTU!$K$8="",$K184=KARTU!$K$8)),MAX($Z$3:Z183)+1,""))</f>
        <v/>
      </c>
    </row>
    <row r="185" customFormat="false" ht="15" hidden="false" customHeight="false" outlineLevel="0" collapsed="false">
      <c r="A185" s="36" t="str">
        <f aca="false">IF($B185="","",COUNTA($B$4:$B185))</f>
        <v/>
      </c>
      <c r="B185" s="37"/>
      <c r="C185" s="38"/>
      <c r="D185" s="39"/>
      <c r="E185" s="37"/>
      <c r="F185" s="39"/>
      <c r="G185" s="40" t="str">
        <f aca="false">IF(OR($E185="",$F185=""),"",$E185&amp;" - RT "&amp;$F185)</f>
        <v/>
      </c>
      <c r="H185" s="37"/>
      <c r="I185" s="38"/>
      <c r="J185" s="37"/>
      <c r="K185" s="39"/>
      <c r="L185" s="41"/>
      <c r="M185" s="36" t="str">
        <f aca="true">IF(OR($B185="",$L185=""),"",DATEDIF($L185,TODAY(),"Y"))</f>
        <v/>
      </c>
      <c r="N185" s="40" t="str">
        <f aca="false">IF($M185="","",INDEX(usia_label,MATCH($M185,usia_min,1)))</f>
        <v/>
      </c>
      <c r="O185" s="37"/>
      <c r="P185" s="41"/>
      <c r="Q185" s="37"/>
      <c r="R185" s="37"/>
      <c r="S185" s="40" t="str">
        <f aca="false">IF($G185="","",$G185&amp;"#"&amp;COUNTIF($G$4:$G185,$G185))</f>
        <v/>
      </c>
      <c r="T185" s="40" t="str">
        <f aca="false">IF($B185="","",IF($C185="","NIK kosong",IF(LEN($C185)&lt;&gt;16,"NIK bukan 16 digit",IF(COUNTIF($C$4:$C$2003,$C185&amp;"*")&gt;1,"NIK ganda",IF($E185="","Kadus kosong",IF($F185="","RT kosong",IF($H185="","Jabatan kosong",IF($I185="","No. HP kosong",IF($J185="","Alamat kosong",IF(AND($M185&lt;&gt;"",$M185&lt;17),"Usia di bawah 17",""))))))))))</f>
        <v/>
      </c>
      <c r="U185" s="40" t="str">
        <f aca="false">IF($B185="","",IF(AND(OR(CARI!$C$5="",ISNUMBER(SEARCH(CARI!$C$5,$B185&amp;" "&amp;$C185&amp;" "&amp;$I185&amp;" "&amp;$J185&amp;" "&amp;$Q185))),OR(CARI!$C$6="",$E185=CARI!$C$6),OR(CARI!$C$7="",$F185=CARI!$C$7),OR(CARI!$C$8="",$O185=CARI!$C$8)),MAX($U$3:U184)+1,""))</f>
        <v/>
      </c>
      <c r="V185" s="40" t="str">
        <f aca="false">IF($T185="","",MAX($V$3:V184)+1)</f>
        <v/>
      </c>
      <c r="W185" s="40" t="str">
        <f aca="false">IF($E185="","",$E185&amp;"#"&amp;COUNTIF($E$4:$E185,$E185))</f>
        <v/>
      </c>
      <c r="X185" s="40" t="str">
        <f aca="false">IF($B185="","",IF(AND(OR(CETAK!$J$10="",$E185=CETAK!$J$10),OR(CETAK!$J$11="",$F185=CETAK!$J$11),OR(CETAK!$J$12="",$K185=CETAK!$J$12),OR(CETAK!$J$13="",$H185=CETAK!$J$13),OR(CETAK!$J$14="",$O185=CETAK!$J$14)),MAX($X$3:X184)+1,""))</f>
        <v/>
      </c>
      <c r="Y185" s="40" t="str">
        <f aca="false">IF($B185="","",IF(AND(OR(ABSENSI!$H$10="",$E185=ABSENSI!$H$10),OR(ABSENSI!$H$11="",$F185=ABSENSI!$H$11),OR(ABSENSI!$H$12="",$K185=ABSENSI!$H$12)),MAX($Y$3:Y184)+1,""))</f>
        <v/>
      </c>
      <c r="Z185" s="40" t="str">
        <f aca="false">IF($B185="","",IF(AND(OR(KARTU!$K$6="",$E185=KARTU!$K$6),OR(KARTU!$K$7="",$F185=KARTU!$K$7),OR(KARTU!$K$8="",$K185=KARTU!$K$8)),MAX($Z$3:Z184)+1,""))</f>
        <v/>
      </c>
    </row>
    <row r="186" customFormat="false" ht="15" hidden="false" customHeight="false" outlineLevel="0" collapsed="false">
      <c r="A186" s="36" t="str">
        <f aca="false">IF($B186="","",COUNTA($B$4:$B186))</f>
        <v/>
      </c>
      <c r="B186" s="37"/>
      <c r="C186" s="38"/>
      <c r="D186" s="39"/>
      <c r="E186" s="37"/>
      <c r="F186" s="39"/>
      <c r="G186" s="40" t="str">
        <f aca="false">IF(OR($E186="",$F186=""),"",$E186&amp;" - RT "&amp;$F186)</f>
        <v/>
      </c>
      <c r="H186" s="37"/>
      <c r="I186" s="38"/>
      <c r="J186" s="37"/>
      <c r="K186" s="39"/>
      <c r="L186" s="41"/>
      <c r="M186" s="36" t="str">
        <f aca="true">IF(OR($B186="",$L186=""),"",DATEDIF($L186,TODAY(),"Y"))</f>
        <v/>
      </c>
      <c r="N186" s="40" t="str">
        <f aca="false">IF($M186="","",INDEX(usia_label,MATCH($M186,usia_min,1)))</f>
        <v/>
      </c>
      <c r="O186" s="37"/>
      <c r="P186" s="41"/>
      <c r="Q186" s="37"/>
      <c r="R186" s="37"/>
      <c r="S186" s="40" t="str">
        <f aca="false">IF($G186="","",$G186&amp;"#"&amp;COUNTIF($G$4:$G186,$G186))</f>
        <v/>
      </c>
      <c r="T186" s="40" t="str">
        <f aca="false">IF($B186="","",IF($C186="","NIK kosong",IF(LEN($C186)&lt;&gt;16,"NIK bukan 16 digit",IF(COUNTIF($C$4:$C$2003,$C186&amp;"*")&gt;1,"NIK ganda",IF($E186="","Kadus kosong",IF($F186="","RT kosong",IF($H186="","Jabatan kosong",IF($I186="","No. HP kosong",IF($J186="","Alamat kosong",IF(AND($M186&lt;&gt;"",$M186&lt;17),"Usia di bawah 17",""))))))))))</f>
        <v/>
      </c>
      <c r="U186" s="40" t="str">
        <f aca="false">IF($B186="","",IF(AND(OR(CARI!$C$5="",ISNUMBER(SEARCH(CARI!$C$5,$B186&amp;" "&amp;$C186&amp;" "&amp;$I186&amp;" "&amp;$J186&amp;" "&amp;$Q186))),OR(CARI!$C$6="",$E186=CARI!$C$6),OR(CARI!$C$7="",$F186=CARI!$C$7),OR(CARI!$C$8="",$O186=CARI!$C$8)),MAX($U$3:U185)+1,""))</f>
        <v/>
      </c>
      <c r="V186" s="40" t="str">
        <f aca="false">IF($T186="","",MAX($V$3:V185)+1)</f>
        <v/>
      </c>
      <c r="W186" s="40" t="str">
        <f aca="false">IF($E186="","",$E186&amp;"#"&amp;COUNTIF($E$4:$E186,$E186))</f>
        <v/>
      </c>
      <c r="X186" s="40" t="str">
        <f aca="false">IF($B186="","",IF(AND(OR(CETAK!$J$10="",$E186=CETAK!$J$10),OR(CETAK!$J$11="",$F186=CETAK!$J$11),OR(CETAK!$J$12="",$K186=CETAK!$J$12),OR(CETAK!$J$13="",$H186=CETAK!$J$13),OR(CETAK!$J$14="",$O186=CETAK!$J$14)),MAX($X$3:X185)+1,""))</f>
        <v/>
      </c>
      <c r="Y186" s="40" t="str">
        <f aca="false">IF($B186="","",IF(AND(OR(ABSENSI!$H$10="",$E186=ABSENSI!$H$10),OR(ABSENSI!$H$11="",$F186=ABSENSI!$H$11),OR(ABSENSI!$H$12="",$K186=ABSENSI!$H$12)),MAX($Y$3:Y185)+1,""))</f>
        <v/>
      </c>
      <c r="Z186" s="40" t="str">
        <f aca="false">IF($B186="","",IF(AND(OR(KARTU!$K$6="",$E186=KARTU!$K$6),OR(KARTU!$K$7="",$F186=KARTU!$K$7),OR(KARTU!$K$8="",$K186=KARTU!$K$8)),MAX($Z$3:Z185)+1,""))</f>
        <v/>
      </c>
    </row>
    <row r="187" customFormat="false" ht="15" hidden="false" customHeight="false" outlineLevel="0" collapsed="false">
      <c r="A187" s="36" t="str">
        <f aca="false">IF($B187="","",COUNTA($B$4:$B187))</f>
        <v/>
      </c>
      <c r="B187" s="37"/>
      <c r="C187" s="38"/>
      <c r="D187" s="39"/>
      <c r="E187" s="37"/>
      <c r="F187" s="39"/>
      <c r="G187" s="40" t="str">
        <f aca="false">IF(OR($E187="",$F187=""),"",$E187&amp;" - RT "&amp;$F187)</f>
        <v/>
      </c>
      <c r="H187" s="37"/>
      <c r="I187" s="38"/>
      <c r="J187" s="37"/>
      <c r="K187" s="39"/>
      <c r="L187" s="41"/>
      <c r="M187" s="36" t="str">
        <f aca="true">IF(OR($B187="",$L187=""),"",DATEDIF($L187,TODAY(),"Y"))</f>
        <v/>
      </c>
      <c r="N187" s="40" t="str">
        <f aca="false">IF($M187="","",INDEX(usia_label,MATCH($M187,usia_min,1)))</f>
        <v/>
      </c>
      <c r="O187" s="37"/>
      <c r="P187" s="41"/>
      <c r="Q187" s="37"/>
      <c r="R187" s="37"/>
      <c r="S187" s="40" t="str">
        <f aca="false">IF($G187="","",$G187&amp;"#"&amp;COUNTIF($G$4:$G187,$G187))</f>
        <v/>
      </c>
      <c r="T187" s="40" t="str">
        <f aca="false">IF($B187="","",IF($C187="","NIK kosong",IF(LEN($C187)&lt;&gt;16,"NIK bukan 16 digit",IF(COUNTIF($C$4:$C$2003,$C187&amp;"*")&gt;1,"NIK ganda",IF($E187="","Kadus kosong",IF($F187="","RT kosong",IF($H187="","Jabatan kosong",IF($I187="","No. HP kosong",IF($J187="","Alamat kosong",IF(AND($M187&lt;&gt;"",$M187&lt;17),"Usia di bawah 17",""))))))))))</f>
        <v/>
      </c>
      <c r="U187" s="40" t="str">
        <f aca="false">IF($B187="","",IF(AND(OR(CARI!$C$5="",ISNUMBER(SEARCH(CARI!$C$5,$B187&amp;" "&amp;$C187&amp;" "&amp;$I187&amp;" "&amp;$J187&amp;" "&amp;$Q187))),OR(CARI!$C$6="",$E187=CARI!$C$6),OR(CARI!$C$7="",$F187=CARI!$C$7),OR(CARI!$C$8="",$O187=CARI!$C$8)),MAX($U$3:U186)+1,""))</f>
        <v/>
      </c>
      <c r="V187" s="40" t="str">
        <f aca="false">IF($T187="","",MAX($V$3:V186)+1)</f>
        <v/>
      </c>
      <c r="W187" s="40" t="str">
        <f aca="false">IF($E187="","",$E187&amp;"#"&amp;COUNTIF($E$4:$E187,$E187))</f>
        <v/>
      </c>
      <c r="X187" s="40" t="str">
        <f aca="false">IF($B187="","",IF(AND(OR(CETAK!$J$10="",$E187=CETAK!$J$10),OR(CETAK!$J$11="",$F187=CETAK!$J$11),OR(CETAK!$J$12="",$K187=CETAK!$J$12),OR(CETAK!$J$13="",$H187=CETAK!$J$13),OR(CETAK!$J$14="",$O187=CETAK!$J$14)),MAX($X$3:X186)+1,""))</f>
        <v/>
      </c>
      <c r="Y187" s="40" t="str">
        <f aca="false">IF($B187="","",IF(AND(OR(ABSENSI!$H$10="",$E187=ABSENSI!$H$10),OR(ABSENSI!$H$11="",$F187=ABSENSI!$H$11),OR(ABSENSI!$H$12="",$K187=ABSENSI!$H$12)),MAX($Y$3:Y186)+1,""))</f>
        <v/>
      </c>
      <c r="Z187" s="40" t="str">
        <f aca="false">IF($B187="","",IF(AND(OR(KARTU!$K$6="",$E187=KARTU!$K$6),OR(KARTU!$K$7="",$F187=KARTU!$K$7),OR(KARTU!$K$8="",$K187=KARTU!$K$8)),MAX($Z$3:Z186)+1,""))</f>
        <v/>
      </c>
    </row>
    <row r="188" customFormat="false" ht="15" hidden="false" customHeight="false" outlineLevel="0" collapsed="false">
      <c r="A188" s="36" t="str">
        <f aca="false">IF($B188="","",COUNTA($B$4:$B188))</f>
        <v/>
      </c>
      <c r="B188" s="37"/>
      <c r="C188" s="38"/>
      <c r="D188" s="39"/>
      <c r="E188" s="37"/>
      <c r="F188" s="39"/>
      <c r="G188" s="40" t="str">
        <f aca="false">IF(OR($E188="",$F188=""),"",$E188&amp;" - RT "&amp;$F188)</f>
        <v/>
      </c>
      <c r="H188" s="37"/>
      <c r="I188" s="38"/>
      <c r="J188" s="37"/>
      <c r="K188" s="39"/>
      <c r="L188" s="41"/>
      <c r="M188" s="36" t="str">
        <f aca="true">IF(OR($B188="",$L188=""),"",DATEDIF($L188,TODAY(),"Y"))</f>
        <v/>
      </c>
      <c r="N188" s="40" t="str">
        <f aca="false">IF($M188="","",INDEX(usia_label,MATCH($M188,usia_min,1)))</f>
        <v/>
      </c>
      <c r="O188" s="37"/>
      <c r="P188" s="41"/>
      <c r="Q188" s="37"/>
      <c r="R188" s="37"/>
      <c r="S188" s="40" t="str">
        <f aca="false">IF($G188="","",$G188&amp;"#"&amp;COUNTIF($G$4:$G188,$G188))</f>
        <v/>
      </c>
      <c r="T188" s="40" t="str">
        <f aca="false">IF($B188="","",IF($C188="","NIK kosong",IF(LEN($C188)&lt;&gt;16,"NIK bukan 16 digit",IF(COUNTIF($C$4:$C$2003,$C188&amp;"*")&gt;1,"NIK ganda",IF($E188="","Kadus kosong",IF($F188="","RT kosong",IF($H188="","Jabatan kosong",IF($I188="","No. HP kosong",IF($J188="","Alamat kosong",IF(AND($M188&lt;&gt;"",$M188&lt;17),"Usia di bawah 17",""))))))))))</f>
        <v/>
      </c>
      <c r="U188" s="40" t="str">
        <f aca="false">IF($B188="","",IF(AND(OR(CARI!$C$5="",ISNUMBER(SEARCH(CARI!$C$5,$B188&amp;" "&amp;$C188&amp;" "&amp;$I188&amp;" "&amp;$J188&amp;" "&amp;$Q188))),OR(CARI!$C$6="",$E188=CARI!$C$6),OR(CARI!$C$7="",$F188=CARI!$C$7),OR(CARI!$C$8="",$O188=CARI!$C$8)),MAX($U$3:U187)+1,""))</f>
        <v/>
      </c>
      <c r="V188" s="40" t="str">
        <f aca="false">IF($T188="","",MAX($V$3:V187)+1)</f>
        <v/>
      </c>
      <c r="W188" s="40" t="str">
        <f aca="false">IF($E188="","",$E188&amp;"#"&amp;COUNTIF($E$4:$E188,$E188))</f>
        <v/>
      </c>
      <c r="X188" s="40" t="str">
        <f aca="false">IF($B188="","",IF(AND(OR(CETAK!$J$10="",$E188=CETAK!$J$10),OR(CETAK!$J$11="",$F188=CETAK!$J$11),OR(CETAK!$J$12="",$K188=CETAK!$J$12),OR(CETAK!$J$13="",$H188=CETAK!$J$13),OR(CETAK!$J$14="",$O188=CETAK!$J$14)),MAX($X$3:X187)+1,""))</f>
        <v/>
      </c>
      <c r="Y188" s="40" t="str">
        <f aca="false">IF($B188="","",IF(AND(OR(ABSENSI!$H$10="",$E188=ABSENSI!$H$10),OR(ABSENSI!$H$11="",$F188=ABSENSI!$H$11),OR(ABSENSI!$H$12="",$K188=ABSENSI!$H$12)),MAX($Y$3:Y187)+1,""))</f>
        <v/>
      </c>
      <c r="Z188" s="40" t="str">
        <f aca="false">IF($B188="","",IF(AND(OR(KARTU!$K$6="",$E188=KARTU!$K$6),OR(KARTU!$K$7="",$F188=KARTU!$K$7),OR(KARTU!$K$8="",$K188=KARTU!$K$8)),MAX($Z$3:Z187)+1,""))</f>
        <v/>
      </c>
    </row>
    <row r="189" customFormat="false" ht="15" hidden="false" customHeight="false" outlineLevel="0" collapsed="false">
      <c r="A189" s="36" t="str">
        <f aca="false">IF($B189="","",COUNTA($B$4:$B189))</f>
        <v/>
      </c>
      <c r="B189" s="37"/>
      <c r="C189" s="38"/>
      <c r="D189" s="39"/>
      <c r="E189" s="37"/>
      <c r="F189" s="39"/>
      <c r="G189" s="40" t="str">
        <f aca="false">IF(OR($E189="",$F189=""),"",$E189&amp;" - RT "&amp;$F189)</f>
        <v/>
      </c>
      <c r="H189" s="37"/>
      <c r="I189" s="38"/>
      <c r="J189" s="37"/>
      <c r="K189" s="39"/>
      <c r="L189" s="41"/>
      <c r="M189" s="36" t="str">
        <f aca="true">IF(OR($B189="",$L189=""),"",DATEDIF($L189,TODAY(),"Y"))</f>
        <v/>
      </c>
      <c r="N189" s="40" t="str">
        <f aca="false">IF($M189="","",INDEX(usia_label,MATCH($M189,usia_min,1)))</f>
        <v/>
      </c>
      <c r="O189" s="37"/>
      <c r="P189" s="41"/>
      <c r="Q189" s="37"/>
      <c r="R189" s="37"/>
      <c r="S189" s="40" t="str">
        <f aca="false">IF($G189="","",$G189&amp;"#"&amp;COUNTIF($G$4:$G189,$G189))</f>
        <v/>
      </c>
      <c r="T189" s="40" t="str">
        <f aca="false">IF($B189="","",IF($C189="","NIK kosong",IF(LEN($C189)&lt;&gt;16,"NIK bukan 16 digit",IF(COUNTIF($C$4:$C$2003,$C189&amp;"*")&gt;1,"NIK ganda",IF($E189="","Kadus kosong",IF($F189="","RT kosong",IF($H189="","Jabatan kosong",IF($I189="","No. HP kosong",IF($J189="","Alamat kosong",IF(AND($M189&lt;&gt;"",$M189&lt;17),"Usia di bawah 17",""))))))))))</f>
        <v/>
      </c>
      <c r="U189" s="40" t="str">
        <f aca="false">IF($B189="","",IF(AND(OR(CARI!$C$5="",ISNUMBER(SEARCH(CARI!$C$5,$B189&amp;" "&amp;$C189&amp;" "&amp;$I189&amp;" "&amp;$J189&amp;" "&amp;$Q189))),OR(CARI!$C$6="",$E189=CARI!$C$6),OR(CARI!$C$7="",$F189=CARI!$C$7),OR(CARI!$C$8="",$O189=CARI!$C$8)),MAX($U$3:U188)+1,""))</f>
        <v/>
      </c>
      <c r="V189" s="40" t="str">
        <f aca="false">IF($T189="","",MAX($V$3:V188)+1)</f>
        <v/>
      </c>
      <c r="W189" s="40" t="str">
        <f aca="false">IF($E189="","",$E189&amp;"#"&amp;COUNTIF($E$4:$E189,$E189))</f>
        <v/>
      </c>
      <c r="X189" s="40" t="str">
        <f aca="false">IF($B189="","",IF(AND(OR(CETAK!$J$10="",$E189=CETAK!$J$10),OR(CETAK!$J$11="",$F189=CETAK!$J$11),OR(CETAK!$J$12="",$K189=CETAK!$J$12),OR(CETAK!$J$13="",$H189=CETAK!$J$13),OR(CETAK!$J$14="",$O189=CETAK!$J$14)),MAX($X$3:X188)+1,""))</f>
        <v/>
      </c>
      <c r="Y189" s="40" t="str">
        <f aca="false">IF($B189="","",IF(AND(OR(ABSENSI!$H$10="",$E189=ABSENSI!$H$10),OR(ABSENSI!$H$11="",$F189=ABSENSI!$H$11),OR(ABSENSI!$H$12="",$K189=ABSENSI!$H$12)),MAX($Y$3:Y188)+1,""))</f>
        <v/>
      </c>
      <c r="Z189" s="40" t="str">
        <f aca="false">IF($B189="","",IF(AND(OR(KARTU!$K$6="",$E189=KARTU!$K$6),OR(KARTU!$K$7="",$F189=KARTU!$K$7),OR(KARTU!$K$8="",$K189=KARTU!$K$8)),MAX($Z$3:Z188)+1,""))</f>
        <v/>
      </c>
    </row>
    <row r="190" customFormat="false" ht="15" hidden="false" customHeight="false" outlineLevel="0" collapsed="false">
      <c r="A190" s="36" t="str">
        <f aca="false">IF($B190="","",COUNTA($B$4:$B190))</f>
        <v/>
      </c>
      <c r="B190" s="37"/>
      <c r="C190" s="38"/>
      <c r="D190" s="39"/>
      <c r="E190" s="37"/>
      <c r="F190" s="39"/>
      <c r="G190" s="40" t="str">
        <f aca="false">IF(OR($E190="",$F190=""),"",$E190&amp;" - RT "&amp;$F190)</f>
        <v/>
      </c>
      <c r="H190" s="37"/>
      <c r="I190" s="38"/>
      <c r="J190" s="37"/>
      <c r="K190" s="39"/>
      <c r="L190" s="41"/>
      <c r="M190" s="36" t="str">
        <f aca="true">IF(OR($B190="",$L190=""),"",DATEDIF($L190,TODAY(),"Y"))</f>
        <v/>
      </c>
      <c r="N190" s="40" t="str">
        <f aca="false">IF($M190="","",INDEX(usia_label,MATCH($M190,usia_min,1)))</f>
        <v/>
      </c>
      <c r="O190" s="37"/>
      <c r="P190" s="41"/>
      <c r="Q190" s="37"/>
      <c r="R190" s="37"/>
      <c r="S190" s="40" t="str">
        <f aca="false">IF($G190="","",$G190&amp;"#"&amp;COUNTIF($G$4:$G190,$G190))</f>
        <v/>
      </c>
      <c r="T190" s="40" t="str">
        <f aca="false">IF($B190="","",IF($C190="","NIK kosong",IF(LEN($C190)&lt;&gt;16,"NIK bukan 16 digit",IF(COUNTIF($C$4:$C$2003,$C190&amp;"*")&gt;1,"NIK ganda",IF($E190="","Kadus kosong",IF($F190="","RT kosong",IF($H190="","Jabatan kosong",IF($I190="","No. HP kosong",IF($J190="","Alamat kosong",IF(AND($M190&lt;&gt;"",$M190&lt;17),"Usia di bawah 17",""))))))))))</f>
        <v/>
      </c>
      <c r="U190" s="40" t="str">
        <f aca="false">IF($B190="","",IF(AND(OR(CARI!$C$5="",ISNUMBER(SEARCH(CARI!$C$5,$B190&amp;" "&amp;$C190&amp;" "&amp;$I190&amp;" "&amp;$J190&amp;" "&amp;$Q190))),OR(CARI!$C$6="",$E190=CARI!$C$6),OR(CARI!$C$7="",$F190=CARI!$C$7),OR(CARI!$C$8="",$O190=CARI!$C$8)),MAX($U$3:U189)+1,""))</f>
        <v/>
      </c>
      <c r="V190" s="40" t="str">
        <f aca="false">IF($T190="","",MAX($V$3:V189)+1)</f>
        <v/>
      </c>
      <c r="W190" s="40" t="str">
        <f aca="false">IF($E190="","",$E190&amp;"#"&amp;COUNTIF($E$4:$E190,$E190))</f>
        <v/>
      </c>
      <c r="X190" s="40" t="str">
        <f aca="false">IF($B190="","",IF(AND(OR(CETAK!$J$10="",$E190=CETAK!$J$10),OR(CETAK!$J$11="",$F190=CETAK!$J$11),OR(CETAK!$J$12="",$K190=CETAK!$J$12),OR(CETAK!$J$13="",$H190=CETAK!$J$13),OR(CETAK!$J$14="",$O190=CETAK!$J$14)),MAX($X$3:X189)+1,""))</f>
        <v/>
      </c>
      <c r="Y190" s="40" t="str">
        <f aca="false">IF($B190="","",IF(AND(OR(ABSENSI!$H$10="",$E190=ABSENSI!$H$10),OR(ABSENSI!$H$11="",$F190=ABSENSI!$H$11),OR(ABSENSI!$H$12="",$K190=ABSENSI!$H$12)),MAX($Y$3:Y189)+1,""))</f>
        <v/>
      </c>
      <c r="Z190" s="40" t="str">
        <f aca="false">IF($B190="","",IF(AND(OR(KARTU!$K$6="",$E190=KARTU!$K$6),OR(KARTU!$K$7="",$F190=KARTU!$K$7),OR(KARTU!$K$8="",$K190=KARTU!$K$8)),MAX($Z$3:Z189)+1,""))</f>
        <v/>
      </c>
    </row>
    <row r="191" customFormat="false" ht="15" hidden="false" customHeight="false" outlineLevel="0" collapsed="false">
      <c r="A191" s="36" t="str">
        <f aca="false">IF($B191="","",COUNTA($B$4:$B191))</f>
        <v/>
      </c>
      <c r="B191" s="37"/>
      <c r="C191" s="38"/>
      <c r="D191" s="39"/>
      <c r="E191" s="37"/>
      <c r="F191" s="39"/>
      <c r="G191" s="40" t="str">
        <f aca="false">IF(OR($E191="",$F191=""),"",$E191&amp;" - RT "&amp;$F191)</f>
        <v/>
      </c>
      <c r="H191" s="37"/>
      <c r="I191" s="38"/>
      <c r="J191" s="37"/>
      <c r="K191" s="39"/>
      <c r="L191" s="41"/>
      <c r="M191" s="36" t="str">
        <f aca="true">IF(OR($B191="",$L191=""),"",DATEDIF($L191,TODAY(),"Y"))</f>
        <v/>
      </c>
      <c r="N191" s="40" t="str">
        <f aca="false">IF($M191="","",INDEX(usia_label,MATCH($M191,usia_min,1)))</f>
        <v/>
      </c>
      <c r="O191" s="37"/>
      <c r="P191" s="41"/>
      <c r="Q191" s="37"/>
      <c r="R191" s="37"/>
      <c r="S191" s="40" t="str">
        <f aca="false">IF($G191="","",$G191&amp;"#"&amp;COUNTIF($G$4:$G191,$G191))</f>
        <v/>
      </c>
      <c r="T191" s="40" t="str">
        <f aca="false">IF($B191="","",IF($C191="","NIK kosong",IF(LEN($C191)&lt;&gt;16,"NIK bukan 16 digit",IF(COUNTIF($C$4:$C$2003,$C191&amp;"*")&gt;1,"NIK ganda",IF($E191="","Kadus kosong",IF($F191="","RT kosong",IF($H191="","Jabatan kosong",IF($I191="","No. HP kosong",IF($J191="","Alamat kosong",IF(AND($M191&lt;&gt;"",$M191&lt;17),"Usia di bawah 17",""))))))))))</f>
        <v/>
      </c>
      <c r="U191" s="40" t="str">
        <f aca="false">IF($B191="","",IF(AND(OR(CARI!$C$5="",ISNUMBER(SEARCH(CARI!$C$5,$B191&amp;" "&amp;$C191&amp;" "&amp;$I191&amp;" "&amp;$J191&amp;" "&amp;$Q191))),OR(CARI!$C$6="",$E191=CARI!$C$6),OR(CARI!$C$7="",$F191=CARI!$C$7),OR(CARI!$C$8="",$O191=CARI!$C$8)),MAX($U$3:U190)+1,""))</f>
        <v/>
      </c>
      <c r="V191" s="40" t="str">
        <f aca="false">IF($T191="","",MAX($V$3:V190)+1)</f>
        <v/>
      </c>
      <c r="W191" s="40" t="str">
        <f aca="false">IF($E191="","",$E191&amp;"#"&amp;COUNTIF($E$4:$E191,$E191))</f>
        <v/>
      </c>
      <c r="X191" s="40" t="str">
        <f aca="false">IF($B191="","",IF(AND(OR(CETAK!$J$10="",$E191=CETAK!$J$10),OR(CETAK!$J$11="",$F191=CETAK!$J$11),OR(CETAK!$J$12="",$K191=CETAK!$J$12),OR(CETAK!$J$13="",$H191=CETAK!$J$13),OR(CETAK!$J$14="",$O191=CETAK!$J$14)),MAX($X$3:X190)+1,""))</f>
        <v/>
      </c>
      <c r="Y191" s="40" t="str">
        <f aca="false">IF($B191="","",IF(AND(OR(ABSENSI!$H$10="",$E191=ABSENSI!$H$10),OR(ABSENSI!$H$11="",$F191=ABSENSI!$H$11),OR(ABSENSI!$H$12="",$K191=ABSENSI!$H$12)),MAX($Y$3:Y190)+1,""))</f>
        <v/>
      </c>
      <c r="Z191" s="40" t="str">
        <f aca="false">IF($B191="","",IF(AND(OR(KARTU!$K$6="",$E191=KARTU!$K$6),OR(KARTU!$K$7="",$F191=KARTU!$K$7),OR(KARTU!$K$8="",$K191=KARTU!$K$8)),MAX($Z$3:Z190)+1,""))</f>
        <v/>
      </c>
    </row>
    <row r="192" customFormat="false" ht="15" hidden="false" customHeight="false" outlineLevel="0" collapsed="false">
      <c r="A192" s="36" t="str">
        <f aca="false">IF($B192="","",COUNTA($B$4:$B192))</f>
        <v/>
      </c>
      <c r="B192" s="37"/>
      <c r="C192" s="38"/>
      <c r="D192" s="39"/>
      <c r="E192" s="37"/>
      <c r="F192" s="39"/>
      <c r="G192" s="40" t="str">
        <f aca="false">IF(OR($E192="",$F192=""),"",$E192&amp;" - RT "&amp;$F192)</f>
        <v/>
      </c>
      <c r="H192" s="37"/>
      <c r="I192" s="38"/>
      <c r="J192" s="37"/>
      <c r="K192" s="39"/>
      <c r="L192" s="41"/>
      <c r="M192" s="36" t="str">
        <f aca="true">IF(OR($B192="",$L192=""),"",DATEDIF($L192,TODAY(),"Y"))</f>
        <v/>
      </c>
      <c r="N192" s="40" t="str">
        <f aca="false">IF($M192="","",INDEX(usia_label,MATCH($M192,usia_min,1)))</f>
        <v/>
      </c>
      <c r="O192" s="37"/>
      <c r="P192" s="41"/>
      <c r="Q192" s="37"/>
      <c r="R192" s="37"/>
      <c r="S192" s="40" t="str">
        <f aca="false">IF($G192="","",$G192&amp;"#"&amp;COUNTIF($G$4:$G192,$G192))</f>
        <v/>
      </c>
      <c r="T192" s="40" t="str">
        <f aca="false">IF($B192="","",IF($C192="","NIK kosong",IF(LEN($C192)&lt;&gt;16,"NIK bukan 16 digit",IF(COUNTIF($C$4:$C$2003,$C192&amp;"*")&gt;1,"NIK ganda",IF($E192="","Kadus kosong",IF($F192="","RT kosong",IF($H192="","Jabatan kosong",IF($I192="","No. HP kosong",IF($J192="","Alamat kosong",IF(AND($M192&lt;&gt;"",$M192&lt;17),"Usia di bawah 17",""))))))))))</f>
        <v/>
      </c>
      <c r="U192" s="40" t="str">
        <f aca="false">IF($B192="","",IF(AND(OR(CARI!$C$5="",ISNUMBER(SEARCH(CARI!$C$5,$B192&amp;" "&amp;$C192&amp;" "&amp;$I192&amp;" "&amp;$J192&amp;" "&amp;$Q192))),OR(CARI!$C$6="",$E192=CARI!$C$6),OR(CARI!$C$7="",$F192=CARI!$C$7),OR(CARI!$C$8="",$O192=CARI!$C$8)),MAX($U$3:U191)+1,""))</f>
        <v/>
      </c>
      <c r="V192" s="40" t="str">
        <f aca="false">IF($T192="","",MAX($V$3:V191)+1)</f>
        <v/>
      </c>
      <c r="W192" s="40" t="str">
        <f aca="false">IF($E192="","",$E192&amp;"#"&amp;COUNTIF($E$4:$E192,$E192))</f>
        <v/>
      </c>
      <c r="X192" s="40" t="str">
        <f aca="false">IF($B192="","",IF(AND(OR(CETAK!$J$10="",$E192=CETAK!$J$10),OR(CETAK!$J$11="",$F192=CETAK!$J$11),OR(CETAK!$J$12="",$K192=CETAK!$J$12),OR(CETAK!$J$13="",$H192=CETAK!$J$13),OR(CETAK!$J$14="",$O192=CETAK!$J$14)),MAX($X$3:X191)+1,""))</f>
        <v/>
      </c>
      <c r="Y192" s="40" t="str">
        <f aca="false">IF($B192="","",IF(AND(OR(ABSENSI!$H$10="",$E192=ABSENSI!$H$10),OR(ABSENSI!$H$11="",$F192=ABSENSI!$H$11),OR(ABSENSI!$H$12="",$K192=ABSENSI!$H$12)),MAX($Y$3:Y191)+1,""))</f>
        <v/>
      </c>
      <c r="Z192" s="40" t="str">
        <f aca="false">IF($B192="","",IF(AND(OR(KARTU!$K$6="",$E192=KARTU!$K$6),OR(KARTU!$K$7="",$F192=KARTU!$K$7),OR(KARTU!$K$8="",$K192=KARTU!$K$8)),MAX($Z$3:Z191)+1,""))</f>
        <v/>
      </c>
    </row>
    <row r="193" customFormat="false" ht="15" hidden="false" customHeight="false" outlineLevel="0" collapsed="false">
      <c r="A193" s="36" t="str">
        <f aca="false">IF($B193="","",COUNTA($B$4:$B193))</f>
        <v/>
      </c>
      <c r="B193" s="37"/>
      <c r="C193" s="38"/>
      <c r="D193" s="39"/>
      <c r="E193" s="37"/>
      <c r="F193" s="39"/>
      <c r="G193" s="40" t="str">
        <f aca="false">IF(OR($E193="",$F193=""),"",$E193&amp;" - RT "&amp;$F193)</f>
        <v/>
      </c>
      <c r="H193" s="37"/>
      <c r="I193" s="38"/>
      <c r="J193" s="37"/>
      <c r="K193" s="39"/>
      <c r="L193" s="41"/>
      <c r="M193" s="36" t="str">
        <f aca="true">IF(OR($B193="",$L193=""),"",DATEDIF($L193,TODAY(),"Y"))</f>
        <v/>
      </c>
      <c r="N193" s="40" t="str">
        <f aca="false">IF($M193="","",INDEX(usia_label,MATCH($M193,usia_min,1)))</f>
        <v/>
      </c>
      <c r="O193" s="37"/>
      <c r="P193" s="41"/>
      <c r="Q193" s="37"/>
      <c r="R193" s="37"/>
      <c r="S193" s="40" t="str">
        <f aca="false">IF($G193="","",$G193&amp;"#"&amp;COUNTIF($G$4:$G193,$G193))</f>
        <v/>
      </c>
      <c r="T193" s="40" t="str">
        <f aca="false">IF($B193="","",IF($C193="","NIK kosong",IF(LEN($C193)&lt;&gt;16,"NIK bukan 16 digit",IF(COUNTIF($C$4:$C$2003,$C193&amp;"*")&gt;1,"NIK ganda",IF($E193="","Kadus kosong",IF($F193="","RT kosong",IF($H193="","Jabatan kosong",IF($I193="","No. HP kosong",IF($J193="","Alamat kosong",IF(AND($M193&lt;&gt;"",$M193&lt;17),"Usia di bawah 17",""))))))))))</f>
        <v/>
      </c>
      <c r="U193" s="40" t="str">
        <f aca="false">IF($B193="","",IF(AND(OR(CARI!$C$5="",ISNUMBER(SEARCH(CARI!$C$5,$B193&amp;" "&amp;$C193&amp;" "&amp;$I193&amp;" "&amp;$J193&amp;" "&amp;$Q193))),OR(CARI!$C$6="",$E193=CARI!$C$6),OR(CARI!$C$7="",$F193=CARI!$C$7),OR(CARI!$C$8="",$O193=CARI!$C$8)),MAX($U$3:U192)+1,""))</f>
        <v/>
      </c>
      <c r="V193" s="40" t="str">
        <f aca="false">IF($T193="","",MAX($V$3:V192)+1)</f>
        <v/>
      </c>
      <c r="W193" s="40" t="str">
        <f aca="false">IF($E193="","",$E193&amp;"#"&amp;COUNTIF($E$4:$E193,$E193))</f>
        <v/>
      </c>
      <c r="X193" s="40" t="str">
        <f aca="false">IF($B193="","",IF(AND(OR(CETAK!$J$10="",$E193=CETAK!$J$10),OR(CETAK!$J$11="",$F193=CETAK!$J$11),OR(CETAK!$J$12="",$K193=CETAK!$J$12),OR(CETAK!$J$13="",$H193=CETAK!$J$13),OR(CETAK!$J$14="",$O193=CETAK!$J$14)),MAX($X$3:X192)+1,""))</f>
        <v/>
      </c>
      <c r="Y193" s="40" t="str">
        <f aca="false">IF($B193="","",IF(AND(OR(ABSENSI!$H$10="",$E193=ABSENSI!$H$10),OR(ABSENSI!$H$11="",$F193=ABSENSI!$H$11),OR(ABSENSI!$H$12="",$K193=ABSENSI!$H$12)),MAX($Y$3:Y192)+1,""))</f>
        <v/>
      </c>
      <c r="Z193" s="40" t="str">
        <f aca="false">IF($B193="","",IF(AND(OR(KARTU!$K$6="",$E193=KARTU!$K$6),OR(KARTU!$K$7="",$F193=KARTU!$K$7),OR(KARTU!$K$8="",$K193=KARTU!$K$8)),MAX($Z$3:Z192)+1,""))</f>
        <v/>
      </c>
    </row>
    <row r="194" customFormat="false" ht="15" hidden="false" customHeight="false" outlineLevel="0" collapsed="false">
      <c r="A194" s="36" t="str">
        <f aca="false">IF($B194="","",COUNTA($B$4:$B194))</f>
        <v/>
      </c>
      <c r="B194" s="37"/>
      <c r="C194" s="38"/>
      <c r="D194" s="39"/>
      <c r="E194" s="37"/>
      <c r="F194" s="39"/>
      <c r="G194" s="40" t="str">
        <f aca="false">IF(OR($E194="",$F194=""),"",$E194&amp;" - RT "&amp;$F194)</f>
        <v/>
      </c>
      <c r="H194" s="37"/>
      <c r="I194" s="38"/>
      <c r="J194" s="37"/>
      <c r="K194" s="39"/>
      <c r="L194" s="41"/>
      <c r="M194" s="36" t="str">
        <f aca="true">IF(OR($B194="",$L194=""),"",DATEDIF($L194,TODAY(),"Y"))</f>
        <v/>
      </c>
      <c r="N194" s="40" t="str">
        <f aca="false">IF($M194="","",INDEX(usia_label,MATCH($M194,usia_min,1)))</f>
        <v/>
      </c>
      <c r="O194" s="37"/>
      <c r="P194" s="41"/>
      <c r="Q194" s="37"/>
      <c r="R194" s="37"/>
      <c r="S194" s="40" t="str">
        <f aca="false">IF($G194="","",$G194&amp;"#"&amp;COUNTIF($G$4:$G194,$G194))</f>
        <v/>
      </c>
      <c r="T194" s="40" t="str">
        <f aca="false">IF($B194="","",IF($C194="","NIK kosong",IF(LEN($C194)&lt;&gt;16,"NIK bukan 16 digit",IF(COUNTIF($C$4:$C$2003,$C194&amp;"*")&gt;1,"NIK ganda",IF($E194="","Kadus kosong",IF($F194="","RT kosong",IF($H194="","Jabatan kosong",IF($I194="","No. HP kosong",IF($J194="","Alamat kosong",IF(AND($M194&lt;&gt;"",$M194&lt;17),"Usia di bawah 17",""))))))))))</f>
        <v/>
      </c>
      <c r="U194" s="40" t="str">
        <f aca="false">IF($B194="","",IF(AND(OR(CARI!$C$5="",ISNUMBER(SEARCH(CARI!$C$5,$B194&amp;" "&amp;$C194&amp;" "&amp;$I194&amp;" "&amp;$J194&amp;" "&amp;$Q194))),OR(CARI!$C$6="",$E194=CARI!$C$6),OR(CARI!$C$7="",$F194=CARI!$C$7),OR(CARI!$C$8="",$O194=CARI!$C$8)),MAX($U$3:U193)+1,""))</f>
        <v/>
      </c>
      <c r="V194" s="40" t="str">
        <f aca="false">IF($T194="","",MAX($V$3:V193)+1)</f>
        <v/>
      </c>
      <c r="W194" s="40" t="str">
        <f aca="false">IF($E194="","",$E194&amp;"#"&amp;COUNTIF($E$4:$E194,$E194))</f>
        <v/>
      </c>
      <c r="X194" s="40" t="str">
        <f aca="false">IF($B194="","",IF(AND(OR(CETAK!$J$10="",$E194=CETAK!$J$10),OR(CETAK!$J$11="",$F194=CETAK!$J$11),OR(CETAK!$J$12="",$K194=CETAK!$J$12),OR(CETAK!$J$13="",$H194=CETAK!$J$13),OR(CETAK!$J$14="",$O194=CETAK!$J$14)),MAX($X$3:X193)+1,""))</f>
        <v/>
      </c>
      <c r="Y194" s="40" t="str">
        <f aca="false">IF($B194="","",IF(AND(OR(ABSENSI!$H$10="",$E194=ABSENSI!$H$10),OR(ABSENSI!$H$11="",$F194=ABSENSI!$H$11),OR(ABSENSI!$H$12="",$K194=ABSENSI!$H$12)),MAX($Y$3:Y193)+1,""))</f>
        <v/>
      </c>
      <c r="Z194" s="40" t="str">
        <f aca="false">IF($B194="","",IF(AND(OR(KARTU!$K$6="",$E194=KARTU!$K$6),OR(KARTU!$K$7="",$F194=KARTU!$K$7),OR(KARTU!$K$8="",$K194=KARTU!$K$8)),MAX($Z$3:Z193)+1,""))</f>
        <v/>
      </c>
    </row>
    <row r="195" customFormat="false" ht="15" hidden="false" customHeight="false" outlineLevel="0" collapsed="false">
      <c r="A195" s="36" t="str">
        <f aca="false">IF($B195="","",COUNTA($B$4:$B195))</f>
        <v/>
      </c>
      <c r="B195" s="37"/>
      <c r="C195" s="38"/>
      <c r="D195" s="39"/>
      <c r="E195" s="37"/>
      <c r="F195" s="39"/>
      <c r="G195" s="40" t="str">
        <f aca="false">IF(OR($E195="",$F195=""),"",$E195&amp;" - RT "&amp;$F195)</f>
        <v/>
      </c>
      <c r="H195" s="37"/>
      <c r="I195" s="38"/>
      <c r="J195" s="37"/>
      <c r="K195" s="39"/>
      <c r="L195" s="41"/>
      <c r="M195" s="36" t="str">
        <f aca="true">IF(OR($B195="",$L195=""),"",DATEDIF($L195,TODAY(),"Y"))</f>
        <v/>
      </c>
      <c r="N195" s="40" t="str">
        <f aca="false">IF($M195="","",INDEX(usia_label,MATCH($M195,usia_min,1)))</f>
        <v/>
      </c>
      <c r="O195" s="37"/>
      <c r="P195" s="41"/>
      <c r="Q195" s="37"/>
      <c r="R195" s="37"/>
      <c r="S195" s="40" t="str">
        <f aca="false">IF($G195="","",$G195&amp;"#"&amp;COUNTIF($G$4:$G195,$G195))</f>
        <v/>
      </c>
      <c r="T195" s="40" t="str">
        <f aca="false">IF($B195="","",IF($C195="","NIK kosong",IF(LEN($C195)&lt;&gt;16,"NIK bukan 16 digit",IF(COUNTIF($C$4:$C$2003,$C195&amp;"*")&gt;1,"NIK ganda",IF($E195="","Kadus kosong",IF($F195="","RT kosong",IF($H195="","Jabatan kosong",IF($I195="","No. HP kosong",IF($J195="","Alamat kosong",IF(AND($M195&lt;&gt;"",$M195&lt;17),"Usia di bawah 17",""))))))))))</f>
        <v/>
      </c>
      <c r="U195" s="40" t="str">
        <f aca="false">IF($B195="","",IF(AND(OR(CARI!$C$5="",ISNUMBER(SEARCH(CARI!$C$5,$B195&amp;" "&amp;$C195&amp;" "&amp;$I195&amp;" "&amp;$J195&amp;" "&amp;$Q195))),OR(CARI!$C$6="",$E195=CARI!$C$6),OR(CARI!$C$7="",$F195=CARI!$C$7),OR(CARI!$C$8="",$O195=CARI!$C$8)),MAX($U$3:U194)+1,""))</f>
        <v/>
      </c>
      <c r="V195" s="40" t="str">
        <f aca="false">IF($T195="","",MAX($V$3:V194)+1)</f>
        <v/>
      </c>
      <c r="W195" s="40" t="str">
        <f aca="false">IF($E195="","",$E195&amp;"#"&amp;COUNTIF($E$4:$E195,$E195))</f>
        <v/>
      </c>
      <c r="X195" s="40" t="str">
        <f aca="false">IF($B195="","",IF(AND(OR(CETAK!$J$10="",$E195=CETAK!$J$10),OR(CETAK!$J$11="",$F195=CETAK!$J$11),OR(CETAK!$J$12="",$K195=CETAK!$J$12),OR(CETAK!$J$13="",$H195=CETAK!$J$13),OR(CETAK!$J$14="",$O195=CETAK!$J$14)),MAX($X$3:X194)+1,""))</f>
        <v/>
      </c>
      <c r="Y195" s="40" t="str">
        <f aca="false">IF($B195="","",IF(AND(OR(ABSENSI!$H$10="",$E195=ABSENSI!$H$10),OR(ABSENSI!$H$11="",$F195=ABSENSI!$H$11),OR(ABSENSI!$H$12="",$K195=ABSENSI!$H$12)),MAX($Y$3:Y194)+1,""))</f>
        <v/>
      </c>
      <c r="Z195" s="40" t="str">
        <f aca="false">IF($B195="","",IF(AND(OR(KARTU!$K$6="",$E195=KARTU!$K$6),OR(KARTU!$K$7="",$F195=KARTU!$K$7),OR(KARTU!$K$8="",$K195=KARTU!$K$8)),MAX($Z$3:Z194)+1,""))</f>
        <v/>
      </c>
    </row>
    <row r="196" customFormat="false" ht="15" hidden="false" customHeight="false" outlineLevel="0" collapsed="false">
      <c r="A196" s="36" t="str">
        <f aca="false">IF($B196="","",COUNTA($B$4:$B196))</f>
        <v/>
      </c>
      <c r="B196" s="37"/>
      <c r="C196" s="38"/>
      <c r="D196" s="39"/>
      <c r="E196" s="37"/>
      <c r="F196" s="39"/>
      <c r="G196" s="40" t="str">
        <f aca="false">IF(OR($E196="",$F196=""),"",$E196&amp;" - RT "&amp;$F196)</f>
        <v/>
      </c>
      <c r="H196" s="37"/>
      <c r="I196" s="38"/>
      <c r="J196" s="37"/>
      <c r="K196" s="39"/>
      <c r="L196" s="41"/>
      <c r="M196" s="36" t="str">
        <f aca="true">IF(OR($B196="",$L196=""),"",DATEDIF($L196,TODAY(),"Y"))</f>
        <v/>
      </c>
      <c r="N196" s="40" t="str">
        <f aca="false">IF($M196="","",INDEX(usia_label,MATCH($M196,usia_min,1)))</f>
        <v/>
      </c>
      <c r="O196" s="37"/>
      <c r="P196" s="41"/>
      <c r="Q196" s="37"/>
      <c r="R196" s="37"/>
      <c r="S196" s="40" t="str">
        <f aca="false">IF($G196="","",$G196&amp;"#"&amp;COUNTIF($G$4:$G196,$G196))</f>
        <v/>
      </c>
      <c r="T196" s="40" t="str">
        <f aca="false">IF($B196="","",IF($C196="","NIK kosong",IF(LEN($C196)&lt;&gt;16,"NIK bukan 16 digit",IF(COUNTIF($C$4:$C$2003,$C196&amp;"*")&gt;1,"NIK ganda",IF($E196="","Kadus kosong",IF($F196="","RT kosong",IF($H196="","Jabatan kosong",IF($I196="","No. HP kosong",IF($J196="","Alamat kosong",IF(AND($M196&lt;&gt;"",$M196&lt;17),"Usia di bawah 17",""))))))))))</f>
        <v/>
      </c>
      <c r="U196" s="40" t="str">
        <f aca="false">IF($B196="","",IF(AND(OR(CARI!$C$5="",ISNUMBER(SEARCH(CARI!$C$5,$B196&amp;" "&amp;$C196&amp;" "&amp;$I196&amp;" "&amp;$J196&amp;" "&amp;$Q196))),OR(CARI!$C$6="",$E196=CARI!$C$6),OR(CARI!$C$7="",$F196=CARI!$C$7),OR(CARI!$C$8="",$O196=CARI!$C$8)),MAX($U$3:U195)+1,""))</f>
        <v/>
      </c>
      <c r="V196" s="40" t="str">
        <f aca="false">IF($T196="","",MAX($V$3:V195)+1)</f>
        <v/>
      </c>
      <c r="W196" s="40" t="str">
        <f aca="false">IF($E196="","",$E196&amp;"#"&amp;COUNTIF($E$4:$E196,$E196))</f>
        <v/>
      </c>
      <c r="X196" s="40" t="str">
        <f aca="false">IF($B196="","",IF(AND(OR(CETAK!$J$10="",$E196=CETAK!$J$10),OR(CETAK!$J$11="",$F196=CETAK!$J$11),OR(CETAK!$J$12="",$K196=CETAK!$J$12),OR(CETAK!$J$13="",$H196=CETAK!$J$13),OR(CETAK!$J$14="",$O196=CETAK!$J$14)),MAX($X$3:X195)+1,""))</f>
        <v/>
      </c>
      <c r="Y196" s="40" t="str">
        <f aca="false">IF($B196="","",IF(AND(OR(ABSENSI!$H$10="",$E196=ABSENSI!$H$10),OR(ABSENSI!$H$11="",$F196=ABSENSI!$H$11),OR(ABSENSI!$H$12="",$K196=ABSENSI!$H$12)),MAX($Y$3:Y195)+1,""))</f>
        <v/>
      </c>
      <c r="Z196" s="40" t="str">
        <f aca="false">IF($B196="","",IF(AND(OR(KARTU!$K$6="",$E196=KARTU!$K$6),OR(KARTU!$K$7="",$F196=KARTU!$K$7),OR(KARTU!$K$8="",$K196=KARTU!$K$8)),MAX($Z$3:Z195)+1,""))</f>
        <v/>
      </c>
    </row>
    <row r="197" customFormat="false" ht="15" hidden="false" customHeight="false" outlineLevel="0" collapsed="false">
      <c r="A197" s="36" t="str">
        <f aca="false">IF($B197="","",COUNTA($B$4:$B197))</f>
        <v/>
      </c>
      <c r="B197" s="37"/>
      <c r="C197" s="38"/>
      <c r="D197" s="39"/>
      <c r="E197" s="37"/>
      <c r="F197" s="39"/>
      <c r="G197" s="40" t="str">
        <f aca="false">IF(OR($E197="",$F197=""),"",$E197&amp;" - RT "&amp;$F197)</f>
        <v/>
      </c>
      <c r="H197" s="37"/>
      <c r="I197" s="38"/>
      <c r="J197" s="37"/>
      <c r="K197" s="39"/>
      <c r="L197" s="41"/>
      <c r="M197" s="36" t="str">
        <f aca="true">IF(OR($B197="",$L197=""),"",DATEDIF($L197,TODAY(),"Y"))</f>
        <v/>
      </c>
      <c r="N197" s="40" t="str">
        <f aca="false">IF($M197="","",INDEX(usia_label,MATCH($M197,usia_min,1)))</f>
        <v/>
      </c>
      <c r="O197" s="37"/>
      <c r="P197" s="41"/>
      <c r="Q197" s="37"/>
      <c r="R197" s="37"/>
      <c r="S197" s="40" t="str">
        <f aca="false">IF($G197="","",$G197&amp;"#"&amp;COUNTIF($G$4:$G197,$G197))</f>
        <v/>
      </c>
      <c r="T197" s="40" t="str">
        <f aca="false">IF($B197="","",IF($C197="","NIK kosong",IF(LEN($C197)&lt;&gt;16,"NIK bukan 16 digit",IF(COUNTIF($C$4:$C$2003,$C197&amp;"*")&gt;1,"NIK ganda",IF($E197="","Kadus kosong",IF($F197="","RT kosong",IF($H197="","Jabatan kosong",IF($I197="","No. HP kosong",IF($J197="","Alamat kosong",IF(AND($M197&lt;&gt;"",$M197&lt;17),"Usia di bawah 17",""))))))))))</f>
        <v/>
      </c>
      <c r="U197" s="40" t="str">
        <f aca="false">IF($B197="","",IF(AND(OR(CARI!$C$5="",ISNUMBER(SEARCH(CARI!$C$5,$B197&amp;" "&amp;$C197&amp;" "&amp;$I197&amp;" "&amp;$J197&amp;" "&amp;$Q197))),OR(CARI!$C$6="",$E197=CARI!$C$6),OR(CARI!$C$7="",$F197=CARI!$C$7),OR(CARI!$C$8="",$O197=CARI!$C$8)),MAX($U$3:U196)+1,""))</f>
        <v/>
      </c>
      <c r="V197" s="40" t="str">
        <f aca="false">IF($T197="","",MAX($V$3:V196)+1)</f>
        <v/>
      </c>
      <c r="W197" s="40" t="str">
        <f aca="false">IF($E197="","",$E197&amp;"#"&amp;COUNTIF($E$4:$E197,$E197))</f>
        <v/>
      </c>
      <c r="X197" s="40" t="str">
        <f aca="false">IF($B197="","",IF(AND(OR(CETAK!$J$10="",$E197=CETAK!$J$10),OR(CETAK!$J$11="",$F197=CETAK!$J$11),OR(CETAK!$J$12="",$K197=CETAK!$J$12),OR(CETAK!$J$13="",$H197=CETAK!$J$13),OR(CETAK!$J$14="",$O197=CETAK!$J$14)),MAX($X$3:X196)+1,""))</f>
        <v/>
      </c>
      <c r="Y197" s="40" t="str">
        <f aca="false">IF($B197="","",IF(AND(OR(ABSENSI!$H$10="",$E197=ABSENSI!$H$10),OR(ABSENSI!$H$11="",$F197=ABSENSI!$H$11),OR(ABSENSI!$H$12="",$K197=ABSENSI!$H$12)),MAX($Y$3:Y196)+1,""))</f>
        <v/>
      </c>
      <c r="Z197" s="40" t="str">
        <f aca="false">IF($B197="","",IF(AND(OR(KARTU!$K$6="",$E197=KARTU!$K$6),OR(KARTU!$K$7="",$F197=KARTU!$K$7),OR(KARTU!$K$8="",$K197=KARTU!$K$8)),MAX($Z$3:Z196)+1,""))</f>
        <v/>
      </c>
    </row>
    <row r="198" customFormat="false" ht="15" hidden="false" customHeight="false" outlineLevel="0" collapsed="false">
      <c r="A198" s="36" t="str">
        <f aca="false">IF($B198="","",COUNTA($B$4:$B198))</f>
        <v/>
      </c>
      <c r="B198" s="37"/>
      <c r="C198" s="38"/>
      <c r="D198" s="39"/>
      <c r="E198" s="37"/>
      <c r="F198" s="39"/>
      <c r="G198" s="40" t="str">
        <f aca="false">IF(OR($E198="",$F198=""),"",$E198&amp;" - RT "&amp;$F198)</f>
        <v/>
      </c>
      <c r="H198" s="37"/>
      <c r="I198" s="38"/>
      <c r="J198" s="37"/>
      <c r="K198" s="39"/>
      <c r="L198" s="41"/>
      <c r="M198" s="36" t="str">
        <f aca="true">IF(OR($B198="",$L198=""),"",DATEDIF($L198,TODAY(),"Y"))</f>
        <v/>
      </c>
      <c r="N198" s="40" t="str">
        <f aca="false">IF($M198="","",INDEX(usia_label,MATCH($M198,usia_min,1)))</f>
        <v/>
      </c>
      <c r="O198" s="37"/>
      <c r="P198" s="41"/>
      <c r="Q198" s="37"/>
      <c r="R198" s="37"/>
      <c r="S198" s="40" t="str">
        <f aca="false">IF($G198="","",$G198&amp;"#"&amp;COUNTIF($G$4:$G198,$G198))</f>
        <v/>
      </c>
      <c r="T198" s="40" t="str">
        <f aca="false">IF($B198="","",IF($C198="","NIK kosong",IF(LEN($C198)&lt;&gt;16,"NIK bukan 16 digit",IF(COUNTIF($C$4:$C$2003,$C198&amp;"*")&gt;1,"NIK ganda",IF($E198="","Kadus kosong",IF($F198="","RT kosong",IF($H198="","Jabatan kosong",IF($I198="","No. HP kosong",IF($J198="","Alamat kosong",IF(AND($M198&lt;&gt;"",$M198&lt;17),"Usia di bawah 17",""))))))))))</f>
        <v/>
      </c>
      <c r="U198" s="40" t="str">
        <f aca="false">IF($B198="","",IF(AND(OR(CARI!$C$5="",ISNUMBER(SEARCH(CARI!$C$5,$B198&amp;" "&amp;$C198&amp;" "&amp;$I198&amp;" "&amp;$J198&amp;" "&amp;$Q198))),OR(CARI!$C$6="",$E198=CARI!$C$6),OR(CARI!$C$7="",$F198=CARI!$C$7),OR(CARI!$C$8="",$O198=CARI!$C$8)),MAX($U$3:U197)+1,""))</f>
        <v/>
      </c>
      <c r="V198" s="40" t="str">
        <f aca="false">IF($T198="","",MAX($V$3:V197)+1)</f>
        <v/>
      </c>
      <c r="W198" s="40" t="str">
        <f aca="false">IF($E198="","",$E198&amp;"#"&amp;COUNTIF($E$4:$E198,$E198))</f>
        <v/>
      </c>
      <c r="X198" s="40" t="str">
        <f aca="false">IF($B198="","",IF(AND(OR(CETAK!$J$10="",$E198=CETAK!$J$10),OR(CETAK!$J$11="",$F198=CETAK!$J$11),OR(CETAK!$J$12="",$K198=CETAK!$J$12),OR(CETAK!$J$13="",$H198=CETAK!$J$13),OR(CETAK!$J$14="",$O198=CETAK!$J$14)),MAX($X$3:X197)+1,""))</f>
        <v/>
      </c>
      <c r="Y198" s="40" t="str">
        <f aca="false">IF($B198="","",IF(AND(OR(ABSENSI!$H$10="",$E198=ABSENSI!$H$10),OR(ABSENSI!$H$11="",$F198=ABSENSI!$H$11),OR(ABSENSI!$H$12="",$K198=ABSENSI!$H$12)),MAX($Y$3:Y197)+1,""))</f>
        <v/>
      </c>
      <c r="Z198" s="40" t="str">
        <f aca="false">IF($B198="","",IF(AND(OR(KARTU!$K$6="",$E198=KARTU!$K$6),OR(KARTU!$K$7="",$F198=KARTU!$K$7),OR(KARTU!$K$8="",$K198=KARTU!$K$8)),MAX($Z$3:Z197)+1,""))</f>
        <v/>
      </c>
    </row>
    <row r="199" customFormat="false" ht="15" hidden="false" customHeight="false" outlineLevel="0" collapsed="false">
      <c r="A199" s="36" t="str">
        <f aca="false">IF($B199="","",COUNTA($B$4:$B199))</f>
        <v/>
      </c>
      <c r="B199" s="37"/>
      <c r="C199" s="38"/>
      <c r="D199" s="39"/>
      <c r="E199" s="37"/>
      <c r="F199" s="39"/>
      <c r="G199" s="40" t="str">
        <f aca="false">IF(OR($E199="",$F199=""),"",$E199&amp;" - RT "&amp;$F199)</f>
        <v/>
      </c>
      <c r="H199" s="37"/>
      <c r="I199" s="38"/>
      <c r="J199" s="37"/>
      <c r="K199" s="39"/>
      <c r="L199" s="41"/>
      <c r="M199" s="36" t="str">
        <f aca="true">IF(OR($B199="",$L199=""),"",DATEDIF($L199,TODAY(),"Y"))</f>
        <v/>
      </c>
      <c r="N199" s="40" t="str">
        <f aca="false">IF($M199="","",INDEX(usia_label,MATCH($M199,usia_min,1)))</f>
        <v/>
      </c>
      <c r="O199" s="37"/>
      <c r="P199" s="41"/>
      <c r="Q199" s="37"/>
      <c r="R199" s="37"/>
      <c r="S199" s="40" t="str">
        <f aca="false">IF($G199="","",$G199&amp;"#"&amp;COUNTIF($G$4:$G199,$G199))</f>
        <v/>
      </c>
      <c r="T199" s="40" t="str">
        <f aca="false">IF($B199="","",IF($C199="","NIK kosong",IF(LEN($C199)&lt;&gt;16,"NIK bukan 16 digit",IF(COUNTIF($C$4:$C$2003,$C199&amp;"*")&gt;1,"NIK ganda",IF($E199="","Kadus kosong",IF($F199="","RT kosong",IF($H199="","Jabatan kosong",IF($I199="","No. HP kosong",IF($J199="","Alamat kosong",IF(AND($M199&lt;&gt;"",$M199&lt;17),"Usia di bawah 17",""))))))))))</f>
        <v/>
      </c>
      <c r="U199" s="40" t="str">
        <f aca="false">IF($B199="","",IF(AND(OR(CARI!$C$5="",ISNUMBER(SEARCH(CARI!$C$5,$B199&amp;" "&amp;$C199&amp;" "&amp;$I199&amp;" "&amp;$J199&amp;" "&amp;$Q199))),OR(CARI!$C$6="",$E199=CARI!$C$6),OR(CARI!$C$7="",$F199=CARI!$C$7),OR(CARI!$C$8="",$O199=CARI!$C$8)),MAX($U$3:U198)+1,""))</f>
        <v/>
      </c>
      <c r="V199" s="40" t="str">
        <f aca="false">IF($T199="","",MAX($V$3:V198)+1)</f>
        <v/>
      </c>
      <c r="W199" s="40" t="str">
        <f aca="false">IF($E199="","",$E199&amp;"#"&amp;COUNTIF($E$4:$E199,$E199))</f>
        <v/>
      </c>
      <c r="X199" s="40" t="str">
        <f aca="false">IF($B199="","",IF(AND(OR(CETAK!$J$10="",$E199=CETAK!$J$10),OR(CETAK!$J$11="",$F199=CETAK!$J$11),OR(CETAK!$J$12="",$K199=CETAK!$J$12),OR(CETAK!$J$13="",$H199=CETAK!$J$13),OR(CETAK!$J$14="",$O199=CETAK!$J$14)),MAX($X$3:X198)+1,""))</f>
        <v/>
      </c>
      <c r="Y199" s="40" t="str">
        <f aca="false">IF($B199="","",IF(AND(OR(ABSENSI!$H$10="",$E199=ABSENSI!$H$10),OR(ABSENSI!$H$11="",$F199=ABSENSI!$H$11),OR(ABSENSI!$H$12="",$K199=ABSENSI!$H$12)),MAX($Y$3:Y198)+1,""))</f>
        <v/>
      </c>
      <c r="Z199" s="40" t="str">
        <f aca="false">IF($B199="","",IF(AND(OR(KARTU!$K$6="",$E199=KARTU!$K$6),OR(KARTU!$K$7="",$F199=KARTU!$K$7),OR(KARTU!$K$8="",$K199=KARTU!$K$8)),MAX($Z$3:Z198)+1,""))</f>
        <v/>
      </c>
    </row>
    <row r="200" customFormat="false" ht="15" hidden="false" customHeight="false" outlineLevel="0" collapsed="false">
      <c r="A200" s="36" t="str">
        <f aca="false">IF($B200="","",COUNTA($B$4:$B200))</f>
        <v/>
      </c>
      <c r="B200" s="37"/>
      <c r="C200" s="38"/>
      <c r="D200" s="39"/>
      <c r="E200" s="37"/>
      <c r="F200" s="39"/>
      <c r="G200" s="40" t="str">
        <f aca="false">IF(OR($E200="",$F200=""),"",$E200&amp;" - RT "&amp;$F200)</f>
        <v/>
      </c>
      <c r="H200" s="37"/>
      <c r="I200" s="38"/>
      <c r="J200" s="37"/>
      <c r="K200" s="39"/>
      <c r="L200" s="41"/>
      <c r="M200" s="36" t="str">
        <f aca="true">IF(OR($B200="",$L200=""),"",DATEDIF($L200,TODAY(),"Y"))</f>
        <v/>
      </c>
      <c r="N200" s="40" t="str">
        <f aca="false">IF($M200="","",INDEX(usia_label,MATCH($M200,usia_min,1)))</f>
        <v/>
      </c>
      <c r="O200" s="37"/>
      <c r="P200" s="41"/>
      <c r="Q200" s="37"/>
      <c r="R200" s="37"/>
      <c r="S200" s="40" t="str">
        <f aca="false">IF($G200="","",$G200&amp;"#"&amp;COUNTIF($G$4:$G200,$G200))</f>
        <v/>
      </c>
      <c r="T200" s="40" t="str">
        <f aca="false">IF($B200="","",IF($C200="","NIK kosong",IF(LEN($C200)&lt;&gt;16,"NIK bukan 16 digit",IF(COUNTIF($C$4:$C$2003,$C200&amp;"*")&gt;1,"NIK ganda",IF($E200="","Kadus kosong",IF($F200="","RT kosong",IF($H200="","Jabatan kosong",IF($I200="","No. HP kosong",IF($J200="","Alamat kosong",IF(AND($M200&lt;&gt;"",$M200&lt;17),"Usia di bawah 17",""))))))))))</f>
        <v/>
      </c>
      <c r="U200" s="40" t="str">
        <f aca="false">IF($B200="","",IF(AND(OR(CARI!$C$5="",ISNUMBER(SEARCH(CARI!$C$5,$B200&amp;" "&amp;$C200&amp;" "&amp;$I200&amp;" "&amp;$J200&amp;" "&amp;$Q200))),OR(CARI!$C$6="",$E200=CARI!$C$6),OR(CARI!$C$7="",$F200=CARI!$C$7),OR(CARI!$C$8="",$O200=CARI!$C$8)),MAX($U$3:U199)+1,""))</f>
        <v/>
      </c>
      <c r="V200" s="40" t="str">
        <f aca="false">IF($T200="","",MAX($V$3:V199)+1)</f>
        <v/>
      </c>
      <c r="W200" s="40" t="str">
        <f aca="false">IF($E200="","",$E200&amp;"#"&amp;COUNTIF($E$4:$E200,$E200))</f>
        <v/>
      </c>
      <c r="X200" s="40" t="str">
        <f aca="false">IF($B200="","",IF(AND(OR(CETAK!$J$10="",$E200=CETAK!$J$10),OR(CETAK!$J$11="",$F200=CETAK!$J$11),OR(CETAK!$J$12="",$K200=CETAK!$J$12),OR(CETAK!$J$13="",$H200=CETAK!$J$13),OR(CETAK!$J$14="",$O200=CETAK!$J$14)),MAX($X$3:X199)+1,""))</f>
        <v/>
      </c>
      <c r="Y200" s="40" t="str">
        <f aca="false">IF($B200="","",IF(AND(OR(ABSENSI!$H$10="",$E200=ABSENSI!$H$10),OR(ABSENSI!$H$11="",$F200=ABSENSI!$H$11),OR(ABSENSI!$H$12="",$K200=ABSENSI!$H$12)),MAX($Y$3:Y199)+1,""))</f>
        <v/>
      </c>
      <c r="Z200" s="40" t="str">
        <f aca="false">IF($B200="","",IF(AND(OR(KARTU!$K$6="",$E200=KARTU!$K$6),OR(KARTU!$K$7="",$F200=KARTU!$K$7),OR(KARTU!$K$8="",$K200=KARTU!$K$8)),MAX($Z$3:Z199)+1,""))</f>
        <v/>
      </c>
    </row>
    <row r="201" customFormat="false" ht="15" hidden="false" customHeight="false" outlineLevel="0" collapsed="false">
      <c r="A201" s="36" t="str">
        <f aca="false">IF($B201="","",COUNTA($B$4:$B201))</f>
        <v/>
      </c>
      <c r="B201" s="37"/>
      <c r="C201" s="38"/>
      <c r="D201" s="39"/>
      <c r="E201" s="37"/>
      <c r="F201" s="39"/>
      <c r="G201" s="40" t="str">
        <f aca="false">IF(OR($E201="",$F201=""),"",$E201&amp;" - RT "&amp;$F201)</f>
        <v/>
      </c>
      <c r="H201" s="37"/>
      <c r="I201" s="38"/>
      <c r="J201" s="37"/>
      <c r="K201" s="39"/>
      <c r="L201" s="41"/>
      <c r="M201" s="36" t="str">
        <f aca="true">IF(OR($B201="",$L201=""),"",DATEDIF($L201,TODAY(),"Y"))</f>
        <v/>
      </c>
      <c r="N201" s="40" t="str">
        <f aca="false">IF($M201="","",INDEX(usia_label,MATCH($M201,usia_min,1)))</f>
        <v/>
      </c>
      <c r="O201" s="37"/>
      <c r="P201" s="41"/>
      <c r="Q201" s="37"/>
      <c r="R201" s="37"/>
      <c r="S201" s="40" t="str">
        <f aca="false">IF($G201="","",$G201&amp;"#"&amp;COUNTIF($G$4:$G201,$G201))</f>
        <v/>
      </c>
      <c r="T201" s="40" t="str">
        <f aca="false">IF($B201="","",IF($C201="","NIK kosong",IF(LEN($C201)&lt;&gt;16,"NIK bukan 16 digit",IF(COUNTIF($C$4:$C$2003,$C201&amp;"*")&gt;1,"NIK ganda",IF($E201="","Kadus kosong",IF($F201="","RT kosong",IF($H201="","Jabatan kosong",IF($I201="","No. HP kosong",IF($J201="","Alamat kosong",IF(AND($M201&lt;&gt;"",$M201&lt;17),"Usia di bawah 17",""))))))))))</f>
        <v/>
      </c>
      <c r="U201" s="40" t="str">
        <f aca="false">IF($B201="","",IF(AND(OR(CARI!$C$5="",ISNUMBER(SEARCH(CARI!$C$5,$B201&amp;" "&amp;$C201&amp;" "&amp;$I201&amp;" "&amp;$J201&amp;" "&amp;$Q201))),OR(CARI!$C$6="",$E201=CARI!$C$6),OR(CARI!$C$7="",$F201=CARI!$C$7),OR(CARI!$C$8="",$O201=CARI!$C$8)),MAX($U$3:U200)+1,""))</f>
        <v/>
      </c>
      <c r="V201" s="40" t="str">
        <f aca="false">IF($T201="","",MAX($V$3:V200)+1)</f>
        <v/>
      </c>
      <c r="W201" s="40" t="str">
        <f aca="false">IF($E201="","",$E201&amp;"#"&amp;COUNTIF($E$4:$E201,$E201))</f>
        <v/>
      </c>
      <c r="X201" s="40" t="str">
        <f aca="false">IF($B201="","",IF(AND(OR(CETAK!$J$10="",$E201=CETAK!$J$10),OR(CETAK!$J$11="",$F201=CETAK!$J$11),OR(CETAK!$J$12="",$K201=CETAK!$J$12),OR(CETAK!$J$13="",$H201=CETAK!$J$13),OR(CETAK!$J$14="",$O201=CETAK!$J$14)),MAX($X$3:X200)+1,""))</f>
        <v/>
      </c>
      <c r="Y201" s="40" t="str">
        <f aca="false">IF($B201="","",IF(AND(OR(ABSENSI!$H$10="",$E201=ABSENSI!$H$10),OR(ABSENSI!$H$11="",$F201=ABSENSI!$H$11),OR(ABSENSI!$H$12="",$K201=ABSENSI!$H$12)),MAX($Y$3:Y200)+1,""))</f>
        <v/>
      </c>
      <c r="Z201" s="40" t="str">
        <f aca="false">IF($B201="","",IF(AND(OR(KARTU!$K$6="",$E201=KARTU!$K$6),OR(KARTU!$K$7="",$F201=KARTU!$K$7),OR(KARTU!$K$8="",$K201=KARTU!$K$8)),MAX($Z$3:Z200)+1,""))</f>
        <v/>
      </c>
    </row>
    <row r="202" customFormat="false" ht="15" hidden="false" customHeight="false" outlineLevel="0" collapsed="false">
      <c r="A202" s="36" t="str">
        <f aca="false">IF($B202="","",COUNTA($B$4:$B202))</f>
        <v/>
      </c>
      <c r="B202" s="37"/>
      <c r="C202" s="38"/>
      <c r="D202" s="39"/>
      <c r="E202" s="37"/>
      <c r="F202" s="39"/>
      <c r="G202" s="40" t="str">
        <f aca="false">IF(OR($E202="",$F202=""),"",$E202&amp;" - RT "&amp;$F202)</f>
        <v/>
      </c>
      <c r="H202" s="37"/>
      <c r="I202" s="38"/>
      <c r="J202" s="37"/>
      <c r="K202" s="39"/>
      <c r="L202" s="41"/>
      <c r="M202" s="36" t="str">
        <f aca="true">IF(OR($B202="",$L202=""),"",DATEDIF($L202,TODAY(),"Y"))</f>
        <v/>
      </c>
      <c r="N202" s="40" t="str">
        <f aca="false">IF($M202="","",INDEX(usia_label,MATCH($M202,usia_min,1)))</f>
        <v/>
      </c>
      <c r="O202" s="37"/>
      <c r="P202" s="41"/>
      <c r="Q202" s="37"/>
      <c r="R202" s="37"/>
      <c r="S202" s="40" t="str">
        <f aca="false">IF($G202="","",$G202&amp;"#"&amp;COUNTIF($G$4:$G202,$G202))</f>
        <v/>
      </c>
      <c r="T202" s="40" t="str">
        <f aca="false">IF($B202="","",IF($C202="","NIK kosong",IF(LEN($C202)&lt;&gt;16,"NIK bukan 16 digit",IF(COUNTIF($C$4:$C$2003,$C202&amp;"*")&gt;1,"NIK ganda",IF($E202="","Kadus kosong",IF($F202="","RT kosong",IF($H202="","Jabatan kosong",IF($I202="","No. HP kosong",IF($J202="","Alamat kosong",IF(AND($M202&lt;&gt;"",$M202&lt;17),"Usia di bawah 17",""))))))))))</f>
        <v/>
      </c>
      <c r="U202" s="40" t="str">
        <f aca="false">IF($B202="","",IF(AND(OR(CARI!$C$5="",ISNUMBER(SEARCH(CARI!$C$5,$B202&amp;" "&amp;$C202&amp;" "&amp;$I202&amp;" "&amp;$J202&amp;" "&amp;$Q202))),OR(CARI!$C$6="",$E202=CARI!$C$6),OR(CARI!$C$7="",$F202=CARI!$C$7),OR(CARI!$C$8="",$O202=CARI!$C$8)),MAX($U$3:U201)+1,""))</f>
        <v/>
      </c>
      <c r="V202" s="40" t="str">
        <f aca="false">IF($T202="","",MAX($V$3:V201)+1)</f>
        <v/>
      </c>
      <c r="W202" s="40" t="str">
        <f aca="false">IF($E202="","",$E202&amp;"#"&amp;COUNTIF($E$4:$E202,$E202))</f>
        <v/>
      </c>
      <c r="X202" s="40" t="str">
        <f aca="false">IF($B202="","",IF(AND(OR(CETAK!$J$10="",$E202=CETAK!$J$10),OR(CETAK!$J$11="",$F202=CETAK!$J$11),OR(CETAK!$J$12="",$K202=CETAK!$J$12),OR(CETAK!$J$13="",$H202=CETAK!$J$13),OR(CETAK!$J$14="",$O202=CETAK!$J$14)),MAX($X$3:X201)+1,""))</f>
        <v/>
      </c>
      <c r="Y202" s="40" t="str">
        <f aca="false">IF($B202="","",IF(AND(OR(ABSENSI!$H$10="",$E202=ABSENSI!$H$10),OR(ABSENSI!$H$11="",$F202=ABSENSI!$H$11),OR(ABSENSI!$H$12="",$K202=ABSENSI!$H$12)),MAX($Y$3:Y201)+1,""))</f>
        <v/>
      </c>
      <c r="Z202" s="40" t="str">
        <f aca="false">IF($B202="","",IF(AND(OR(KARTU!$K$6="",$E202=KARTU!$K$6),OR(KARTU!$K$7="",$F202=KARTU!$K$7),OR(KARTU!$K$8="",$K202=KARTU!$K$8)),MAX($Z$3:Z201)+1,""))</f>
        <v/>
      </c>
    </row>
    <row r="203" customFormat="false" ht="15" hidden="false" customHeight="false" outlineLevel="0" collapsed="false">
      <c r="A203" s="36" t="str">
        <f aca="false">IF($B203="","",COUNTA($B$4:$B203))</f>
        <v/>
      </c>
      <c r="B203" s="37"/>
      <c r="C203" s="38"/>
      <c r="D203" s="39"/>
      <c r="E203" s="37"/>
      <c r="F203" s="39"/>
      <c r="G203" s="40" t="str">
        <f aca="false">IF(OR($E203="",$F203=""),"",$E203&amp;" - RT "&amp;$F203)</f>
        <v/>
      </c>
      <c r="H203" s="37"/>
      <c r="I203" s="38"/>
      <c r="J203" s="37"/>
      <c r="K203" s="39"/>
      <c r="L203" s="41"/>
      <c r="M203" s="36" t="str">
        <f aca="true">IF(OR($B203="",$L203=""),"",DATEDIF($L203,TODAY(),"Y"))</f>
        <v/>
      </c>
      <c r="N203" s="40" t="str">
        <f aca="false">IF($M203="","",INDEX(usia_label,MATCH($M203,usia_min,1)))</f>
        <v/>
      </c>
      <c r="O203" s="37"/>
      <c r="P203" s="41"/>
      <c r="Q203" s="37"/>
      <c r="R203" s="37"/>
      <c r="S203" s="40" t="str">
        <f aca="false">IF($G203="","",$G203&amp;"#"&amp;COUNTIF($G$4:$G203,$G203))</f>
        <v/>
      </c>
      <c r="T203" s="40" t="str">
        <f aca="false">IF($B203="","",IF($C203="","NIK kosong",IF(LEN($C203)&lt;&gt;16,"NIK bukan 16 digit",IF(COUNTIF($C$4:$C$2003,$C203&amp;"*")&gt;1,"NIK ganda",IF($E203="","Kadus kosong",IF($F203="","RT kosong",IF($H203="","Jabatan kosong",IF($I203="","No. HP kosong",IF($J203="","Alamat kosong",IF(AND($M203&lt;&gt;"",$M203&lt;17),"Usia di bawah 17",""))))))))))</f>
        <v/>
      </c>
      <c r="U203" s="40" t="str">
        <f aca="false">IF($B203="","",IF(AND(OR(CARI!$C$5="",ISNUMBER(SEARCH(CARI!$C$5,$B203&amp;" "&amp;$C203&amp;" "&amp;$I203&amp;" "&amp;$J203&amp;" "&amp;$Q203))),OR(CARI!$C$6="",$E203=CARI!$C$6),OR(CARI!$C$7="",$F203=CARI!$C$7),OR(CARI!$C$8="",$O203=CARI!$C$8)),MAX($U$3:U202)+1,""))</f>
        <v/>
      </c>
      <c r="V203" s="40" t="str">
        <f aca="false">IF($T203="","",MAX($V$3:V202)+1)</f>
        <v/>
      </c>
      <c r="W203" s="40" t="str">
        <f aca="false">IF($E203="","",$E203&amp;"#"&amp;COUNTIF($E$4:$E203,$E203))</f>
        <v/>
      </c>
      <c r="X203" s="40" t="str">
        <f aca="false">IF($B203="","",IF(AND(OR(CETAK!$J$10="",$E203=CETAK!$J$10),OR(CETAK!$J$11="",$F203=CETAK!$J$11),OR(CETAK!$J$12="",$K203=CETAK!$J$12),OR(CETAK!$J$13="",$H203=CETAK!$J$13),OR(CETAK!$J$14="",$O203=CETAK!$J$14)),MAX($X$3:X202)+1,""))</f>
        <v/>
      </c>
      <c r="Y203" s="40" t="str">
        <f aca="false">IF($B203="","",IF(AND(OR(ABSENSI!$H$10="",$E203=ABSENSI!$H$10),OR(ABSENSI!$H$11="",$F203=ABSENSI!$H$11),OR(ABSENSI!$H$12="",$K203=ABSENSI!$H$12)),MAX($Y$3:Y202)+1,""))</f>
        <v/>
      </c>
      <c r="Z203" s="40" t="str">
        <f aca="false">IF($B203="","",IF(AND(OR(KARTU!$K$6="",$E203=KARTU!$K$6),OR(KARTU!$K$7="",$F203=KARTU!$K$7),OR(KARTU!$K$8="",$K203=KARTU!$K$8)),MAX($Z$3:Z202)+1,""))</f>
        <v/>
      </c>
    </row>
    <row r="204" customFormat="false" ht="15" hidden="false" customHeight="false" outlineLevel="0" collapsed="false">
      <c r="A204" s="36" t="str">
        <f aca="false">IF($B204="","",COUNTA($B$4:$B204))</f>
        <v/>
      </c>
      <c r="B204" s="37"/>
      <c r="C204" s="38"/>
      <c r="D204" s="39"/>
      <c r="E204" s="37"/>
      <c r="F204" s="39"/>
      <c r="G204" s="40" t="str">
        <f aca="false">IF(OR($E204="",$F204=""),"",$E204&amp;" - RT "&amp;$F204)</f>
        <v/>
      </c>
      <c r="H204" s="37"/>
      <c r="I204" s="38"/>
      <c r="J204" s="37"/>
      <c r="K204" s="39"/>
      <c r="L204" s="41"/>
      <c r="M204" s="36" t="str">
        <f aca="true">IF(OR($B204="",$L204=""),"",DATEDIF($L204,TODAY(),"Y"))</f>
        <v/>
      </c>
      <c r="N204" s="40" t="str">
        <f aca="false">IF($M204="","",INDEX(usia_label,MATCH($M204,usia_min,1)))</f>
        <v/>
      </c>
      <c r="O204" s="37"/>
      <c r="P204" s="41"/>
      <c r="Q204" s="37"/>
      <c r="R204" s="37"/>
      <c r="S204" s="40" t="str">
        <f aca="false">IF($G204="","",$G204&amp;"#"&amp;COUNTIF($G$4:$G204,$G204))</f>
        <v/>
      </c>
      <c r="T204" s="40" t="str">
        <f aca="false">IF($B204="","",IF($C204="","NIK kosong",IF(LEN($C204)&lt;&gt;16,"NIK bukan 16 digit",IF(COUNTIF($C$4:$C$2003,$C204&amp;"*")&gt;1,"NIK ganda",IF($E204="","Kadus kosong",IF($F204="","RT kosong",IF($H204="","Jabatan kosong",IF($I204="","No. HP kosong",IF($J204="","Alamat kosong",IF(AND($M204&lt;&gt;"",$M204&lt;17),"Usia di bawah 17",""))))))))))</f>
        <v/>
      </c>
      <c r="U204" s="40" t="str">
        <f aca="false">IF($B204="","",IF(AND(OR(CARI!$C$5="",ISNUMBER(SEARCH(CARI!$C$5,$B204&amp;" "&amp;$C204&amp;" "&amp;$I204&amp;" "&amp;$J204&amp;" "&amp;$Q204))),OR(CARI!$C$6="",$E204=CARI!$C$6),OR(CARI!$C$7="",$F204=CARI!$C$7),OR(CARI!$C$8="",$O204=CARI!$C$8)),MAX($U$3:U203)+1,""))</f>
        <v/>
      </c>
      <c r="V204" s="40" t="str">
        <f aca="false">IF($T204="","",MAX($V$3:V203)+1)</f>
        <v/>
      </c>
      <c r="W204" s="40" t="str">
        <f aca="false">IF($E204="","",$E204&amp;"#"&amp;COUNTIF($E$4:$E204,$E204))</f>
        <v/>
      </c>
      <c r="X204" s="40" t="str">
        <f aca="false">IF($B204="","",IF(AND(OR(CETAK!$J$10="",$E204=CETAK!$J$10),OR(CETAK!$J$11="",$F204=CETAK!$J$11),OR(CETAK!$J$12="",$K204=CETAK!$J$12),OR(CETAK!$J$13="",$H204=CETAK!$J$13),OR(CETAK!$J$14="",$O204=CETAK!$J$14)),MAX($X$3:X203)+1,""))</f>
        <v/>
      </c>
      <c r="Y204" s="40" t="str">
        <f aca="false">IF($B204="","",IF(AND(OR(ABSENSI!$H$10="",$E204=ABSENSI!$H$10),OR(ABSENSI!$H$11="",$F204=ABSENSI!$H$11),OR(ABSENSI!$H$12="",$K204=ABSENSI!$H$12)),MAX($Y$3:Y203)+1,""))</f>
        <v/>
      </c>
      <c r="Z204" s="40" t="str">
        <f aca="false">IF($B204="","",IF(AND(OR(KARTU!$K$6="",$E204=KARTU!$K$6),OR(KARTU!$K$7="",$F204=KARTU!$K$7),OR(KARTU!$K$8="",$K204=KARTU!$K$8)),MAX($Z$3:Z203)+1,""))</f>
        <v/>
      </c>
    </row>
    <row r="205" customFormat="false" ht="15" hidden="false" customHeight="false" outlineLevel="0" collapsed="false">
      <c r="A205" s="36" t="str">
        <f aca="false">IF($B205="","",COUNTA($B$4:$B205))</f>
        <v/>
      </c>
      <c r="B205" s="37"/>
      <c r="C205" s="38"/>
      <c r="D205" s="39"/>
      <c r="E205" s="37"/>
      <c r="F205" s="39"/>
      <c r="G205" s="40" t="str">
        <f aca="false">IF(OR($E205="",$F205=""),"",$E205&amp;" - RT "&amp;$F205)</f>
        <v/>
      </c>
      <c r="H205" s="37"/>
      <c r="I205" s="38"/>
      <c r="J205" s="37"/>
      <c r="K205" s="39"/>
      <c r="L205" s="41"/>
      <c r="M205" s="36" t="str">
        <f aca="true">IF(OR($B205="",$L205=""),"",DATEDIF($L205,TODAY(),"Y"))</f>
        <v/>
      </c>
      <c r="N205" s="40" t="str">
        <f aca="false">IF($M205="","",INDEX(usia_label,MATCH($M205,usia_min,1)))</f>
        <v/>
      </c>
      <c r="O205" s="37"/>
      <c r="P205" s="41"/>
      <c r="Q205" s="37"/>
      <c r="R205" s="37"/>
      <c r="S205" s="40" t="str">
        <f aca="false">IF($G205="","",$G205&amp;"#"&amp;COUNTIF($G$4:$G205,$G205))</f>
        <v/>
      </c>
      <c r="T205" s="40" t="str">
        <f aca="false">IF($B205="","",IF($C205="","NIK kosong",IF(LEN($C205)&lt;&gt;16,"NIK bukan 16 digit",IF(COUNTIF($C$4:$C$2003,$C205&amp;"*")&gt;1,"NIK ganda",IF($E205="","Kadus kosong",IF($F205="","RT kosong",IF($H205="","Jabatan kosong",IF($I205="","No. HP kosong",IF($J205="","Alamat kosong",IF(AND($M205&lt;&gt;"",$M205&lt;17),"Usia di bawah 17",""))))))))))</f>
        <v/>
      </c>
      <c r="U205" s="40" t="str">
        <f aca="false">IF($B205="","",IF(AND(OR(CARI!$C$5="",ISNUMBER(SEARCH(CARI!$C$5,$B205&amp;" "&amp;$C205&amp;" "&amp;$I205&amp;" "&amp;$J205&amp;" "&amp;$Q205))),OR(CARI!$C$6="",$E205=CARI!$C$6),OR(CARI!$C$7="",$F205=CARI!$C$7),OR(CARI!$C$8="",$O205=CARI!$C$8)),MAX($U$3:U204)+1,""))</f>
        <v/>
      </c>
      <c r="V205" s="40" t="str">
        <f aca="false">IF($T205="","",MAX($V$3:V204)+1)</f>
        <v/>
      </c>
      <c r="W205" s="40" t="str">
        <f aca="false">IF($E205="","",$E205&amp;"#"&amp;COUNTIF($E$4:$E205,$E205))</f>
        <v/>
      </c>
      <c r="X205" s="40" t="str">
        <f aca="false">IF($B205="","",IF(AND(OR(CETAK!$J$10="",$E205=CETAK!$J$10),OR(CETAK!$J$11="",$F205=CETAK!$J$11),OR(CETAK!$J$12="",$K205=CETAK!$J$12),OR(CETAK!$J$13="",$H205=CETAK!$J$13),OR(CETAK!$J$14="",$O205=CETAK!$J$14)),MAX($X$3:X204)+1,""))</f>
        <v/>
      </c>
      <c r="Y205" s="40" t="str">
        <f aca="false">IF($B205="","",IF(AND(OR(ABSENSI!$H$10="",$E205=ABSENSI!$H$10),OR(ABSENSI!$H$11="",$F205=ABSENSI!$H$11),OR(ABSENSI!$H$12="",$K205=ABSENSI!$H$12)),MAX($Y$3:Y204)+1,""))</f>
        <v/>
      </c>
      <c r="Z205" s="40" t="str">
        <f aca="false">IF($B205="","",IF(AND(OR(KARTU!$K$6="",$E205=KARTU!$K$6),OR(KARTU!$K$7="",$F205=KARTU!$K$7),OR(KARTU!$K$8="",$K205=KARTU!$K$8)),MAX($Z$3:Z204)+1,""))</f>
        <v/>
      </c>
    </row>
    <row r="206" customFormat="false" ht="15" hidden="false" customHeight="false" outlineLevel="0" collapsed="false">
      <c r="A206" s="36" t="str">
        <f aca="false">IF($B206="","",COUNTA($B$4:$B206))</f>
        <v/>
      </c>
      <c r="B206" s="37"/>
      <c r="C206" s="38"/>
      <c r="D206" s="39"/>
      <c r="E206" s="37"/>
      <c r="F206" s="39"/>
      <c r="G206" s="40" t="str">
        <f aca="false">IF(OR($E206="",$F206=""),"",$E206&amp;" - RT "&amp;$F206)</f>
        <v/>
      </c>
      <c r="H206" s="37"/>
      <c r="I206" s="38"/>
      <c r="J206" s="37"/>
      <c r="K206" s="39"/>
      <c r="L206" s="41"/>
      <c r="M206" s="36" t="str">
        <f aca="true">IF(OR($B206="",$L206=""),"",DATEDIF($L206,TODAY(),"Y"))</f>
        <v/>
      </c>
      <c r="N206" s="40" t="str">
        <f aca="false">IF($M206="","",INDEX(usia_label,MATCH($M206,usia_min,1)))</f>
        <v/>
      </c>
      <c r="O206" s="37"/>
      <c r="P206" s="41"/>
      <c r="Q206" s="37"/>
      <c r="R206" s="37"/>
      <c r="S206" s="40" t="str">
        <f aca="false">IF($G206="","",$G206&amp;"#"&amp;COUNTIF($G$4:$G206,$G206))</f>
        <v/>
      </c>
      <c r="T206" s="40" t="str">
        <f aca="false">IF($B206="","",IF($C206="","NIK kosong",IF(LEN($C206)&lt;&gt;16,"NIK bukan 16 digit",IF(COUNTIF($C$4:$C$2003,$C206&amp;"*")&gt;1,"NIK ganda",IF($E206="","Kadus kosong",IF($F206="","RT kosong",IF($H206="","Jabatan kosong",IF($I206="","No. HP kosong",IF($J206="","Alamat kosong",IF(AND($M206&lt;&gt;"",$M206&lt;17),"Usia di bawah 17",""))))))))))</f>
        <v/>
      </c>
      <c r="U206" s="40" t="str">
        <f aca="false">IF($B206="","",IF(AND(OR(CARI!$C$5="",ISNUMBER(SEARCH(CARI!$C$5,$B206&amp;" "&amp;$C206&amp;" "&amp;$I206&amp;" "&amp;$J206&amp;" "&amp;$Q206))),OR(CARI!$C$6="",$E206=CARI!$C$6),OR(CARI!$C$7="",$F206=CARI!$C$7),OR(CARI!$C$8="",$O206=CARI!$C$8)),MAX($U$3:U205)+1,""))</f>
        <v/>
      </c>
      <c r="V206" s="40" t="str">
        <f aca="false">IF($T206="","",MAX($V$3:V205)+1)</f>
        <v/>
      </c>
      <c r="W206" s="40" t="str">
        <f aca="false">IF($E206="","",$E206&amp;"#"&amp;COUNTIF($E$4:$E206,$E206))</f>
        <v/>
      </c>
      <c r="X206" s="40" t="str">
        <f aca="false">IF($B206="","",IF(AND(OR(CETAK!$J$10="",$E206=CETAK!$J$10),OR(CETAK!$J$11="",$F206=CETAK!$J$11),OR(CETAK!$J$12="",$K206=CETAK!$J$12),OR(CETAK!$J$13="",$H206=CETAK!$J$13),OR(CETAK!$J$14="",$O206=CETAK!$J$14)),MAX($X$3:X205)+1,""))</f>
        <v/>
      </c>
      <c r="Y206" s="40" t="str">
        <f aca="false">IF($B206="","",IF(AND(OR(ABSENSI!$H$10="",$E206=ABSENSI!$H$10),OR(ABSENSI!$H$11="",$F206=ABSENSI!$H$11),OR(ABSENSI!$H$12="",$K206=ABSENSI!$H$12)),MAX($Y$3:Y205)+1,""))</f>
        <v/>
      </c>
      <c r="Z206" s="40" t="str">
        <f aca="false">IF($B206="","",IF(AND(OR(KARTU!$K$6="",$E206=KARTU!$K$6),OR(KARTU!$K$7="",$F206=KARTU!$K$7),OR(KARTU!$K$8="",$K206=KARTU!$K$8)),MAX($Z$3:Z205)+1,""))</f>
        <v/>
      </c>
    </row>
    <row r="207" customFormat="false" ht="15" hidden="false" customHeight="false" outlineLevel="0" collapsed="false">
      <c r="A207" s="36" t="str">
        <f aca="false">IF($B207="","",COUNTA($B$4:$B207))</f>
        <v/>
      </c>
      <c r="B207" s="37"/>
      <c r="C207" s="38"/>
      <c r="D207" s="39"/>
      <c r="E207" s="37"/>
      <c r="F207" s="39"/>
      <c r="G207" s="40" t="str">
        <f aca="false">IF(OR($E207="",$F207=""),"",$E207&amp;" - RT "&amp;$F207)</f>
        <v/>
      </c>
      <c r="H207" s="37"/>
      <c r="I207" s="38"/>
      <c r="J207" s="37"/>
      <c r="K207" s="39"/>
      <c r="L207" s="41"/>
      <c r="M207" s="36" t="str">
        <f aca="true">IF(OR($B207="",$L207=""),"",DATEDIF($L207,TODAY(),"Y"))</f>
        <v/>
      </c>
      <c r="N207" s="40" t="str">
        <f aca="false">IF($M207="","",INDEX(usia_label,MATCH($M207,usia_min,1)))</f>
        <v/>
      </c>
      <c r="O207" s="37"/>
      <c r="P207" s="41"/>
      <c r="Q207" s="37"/>
      <c r="R207" s="37"/>
      <c r="S207" s="40" t="str">
        <f aca="false">IF($G207="","",$G207&amp;"#"&amp;COUNTIF($G$4:$G207,$G207))</f>
        <v/>
      </c>
      <c r="T207" s="40" t="str">
        <f aca="false">IF($B207="","",IF($C207="","NIK kosong",IF(LEN($C207)&lt;&gt;16,"NIK bukan 16 digit",IF(COUNTIF($C$4:$C$2003,$C207&amp;"*")&gt;1,"NIK ganda",IF($E207="","Kadus kosong",IF($F207="","RT kosong",IF($H207="","Jabatan kosong",IF($I207="","No. HP kosong",IF($J207="","Alamat kosong",IF(AND($M207&lt;&gt;"",$M207&lt;17),"Usia di bawah 17",""))))))))))</f>
        <v/>
      </c>
      <c r="U207" s="40" t="str">
        <f aca="false">IF($B207="","",IF(AND(OR(CARI!$C$5="",ISNUMBER(SEARCH(CARI!$C$5,$B207&amp;" "&amp;$C207&amp;" "&amp;$I207&amp;" "&amp;$J207&amp;" "&amp;$Q207))),OR(CARI!$C$6="",$E207=CARI!$C$6),OR(CARI!$C$7="",$F207=CARI!$C$7),OR(CARI!$C$8="",$O207=CARI!$C$8)),MAX($U$3:U206)+1,""))</f>
        <v/>
      </c>
      <c r="V207" s="40" t="str">
        <f aca="false">IF($T207="","",MAX($V$3:V206)+1)</f>
        <v/>
      </c>
      <c r="W207" s="40" t="str">
        <f aca="false">IF($E207="","",$E207&amp;"#"&amp;COUNTIF($E$4:$E207,$E207))</f>
        <v/>
      </c>
      <c r="X207" s="40" t="str">
        <f aca="false">IF($B207="","",IF(AND(OR(CETAK!$J$10="",$E207=CETAK!$J$10),OR(CETAK!$J$11="",$F207=CETAK!$J$11),OR(CETAK!$J$12="",$K207=CETAK!$J$12),OR(CETAK!$J$13="",$H207=CETAK!$J$13),OR(CETAK!$J$14="",$O207=CETAK!$J$14)),MAX($X$3:X206)+1,""))</f>
        <v/>
      </c>
      <c r="Y207" s="40" t="str">
        <f aca="false">IF($B207="","",IF(AND(OR(ABSENSI!$H$10="",$E207=ABSENSI!$H$10),OR(ABSENSI!$H$11="",$F207=ABSENSI!$H$11),OR(ABSENSI!$H$12="",$K207=ABSENSI!$H$12)),MAX($Y$3:Y206)+1,""))</f>
        <v/>
      </c>
      <c r="Z207" s="40" t="str">
        <f aca="false">IF($B207="","",IF(AND(OR(KARTU!$K$6="",$E207=KARTU!$K$6),OR(KARTU!$K$7="",$F207=KARTU!$K$7),OR(KARTU!$K$8="",$K207=KARTU!$K$8)),MAX($Z$3:Z206)+1,""))</f>
        <v/>
      </c>
    </row>
    <row r="208" customFormat="false" ht="15" hidden="false" customHeight="false" outlineLevel="0" collapsed="false">
      <c r="A208" s="36" t="str">
        <f aca="false">IF($B208="","",COUNTA($B$4:$B208))</f>
        <v/>
      </c>
      <c r="B208" s="37"/>
      <c r="C208" s="38"/>
      <c r="D208" s="39"/>
      <c r="E208" s="37"/>
      <c r="F208" s="39"/>
      <c r="G208" s="40" t="str">
        <f aca="false">IF(OR($E208="",$F208=""),"",$E208&amp;" - RT "&amp;$F208)</f>
        <v/>
      </c>
      <c r="H208" s="37"/>
      <c r="I208" s="38"/>
      <c r="J208" s="37"/>
      <c r="K208" s="39"/>
      <c r="L208" s="41"/>
      <c r="M208" s="36" t="str">
        <f aca="true">IF(OR($B208="",$L208=""),"",DATEDIF($L208,TODAY(),"Y"))</f>
        <v/>
      </c>
      <c r="N208" s="40" t="str">
        <f aca="false">IF($M208="","",INDEX(usia_label,MATCH($M208,usia_min,1)))</f>
        <v/>
      </c>
      <c r="O208" s="37"/>
      <c r="P208" s="41"/>
      <c r="Q208" s="37"/>
      <c r="R208" s="37"/>
      <c r="S208" s="40" t="str">
        <f aca="false">IF($G208="","",$G208&amp;"#"&amp;COUNTIF($G$4:$G208,$G208))</f>
        <v/>
      </c>
      <c r="T208" s="40" t="str">
        <f aca="false">IF($B208="","",IF($C208="","NIK kosong",IF(LEN($C208)&lt;&gt;16,"NIK bukan 16 digit",IF(COUNTIF($C$4:$C$2003,$C208&amp;"*")&gt;1,"NIK ganda",IF($E208="","Kadus kosong",IF($F208="","RT kosong",IF($H208="","Jabatan kosong",IF($I208="","No. HP kosong",IF($J208="","Alamat kosong",IF(AND($M208&lt;&gt;"",$M208&lt;17),"Usia di bawah 17",""))))))))))</f>
        <v/>
      </c>
      <c r="U208" s="40" t="str">
        <f aca="false">IF($B208="","",IF(AND(OR(CARI!$C$5="",ISNUMBER(SEARCH(CARI!$C$5,$B208&amp;" "&amp;$C208&amp;" "&amp;$I208&amp;" "&amp;$J208&amp;" "&amp;$Q208))),OR(CARI!$C$6="",$E208=CARI!$C$6),OR(CARI!$C$7="",$F208=CARI!$C$7),OR(CARI!$C$8="",$O208=CARI!$C$8)),MAX($U$3:U207)+1,""))</f>
        <v/>
      </c>
      <c r="V208" s="40" t="str">
        <f aca="false">IF($T208="","",MAX($V$3:V207)+1)</f>
        <v/>
      </c>
      <c r="W208" s="40" t="str">
        <f aca="false">IF($E208="","",$E208&amp;"#"&amp;COUNTIF($E$4:$E208,$E208))</f>
        <v/>
      </c>
      <c r="X208" s="40" t="str">
        <f aca="false">IF($B208="","",IF(AND(OR(CETAK!$J$10="",$E208=CETAK!$J$10),OR(CETAK!$J$11="",$F208=CETAK!$J$11),OR(CETAK!$J$12="",$K208=CETAK!$J$12),OR(CETAK!$J$13="",$H208=CETAK!$J$13),OR(CETAK!$J$14="",$O208=CETAK!$J$14)),MAX($X$3:X207)+1,""))</f>
        <v/>
      </c>
      <c r="Y208" s="40" t="str">
        <f aca="false">IF($B208="","",IF(AND(OR(ABSENSI!$H$10="",$E208=ABSENSI!$H$10),OR(ABSENSI!$H$11="",$F208=ABSENSI!$H$11),OR(ABSENSI!$H$12="",$K208=ABSENSI!$H$12)),MAX($Y$3:Y207)+1,""))</f>
        <v/>
      </c>
      <c r="Z208" s="40" t="str">
        <f aca="false">IF($B208="","",IF(AND(OR(KARTU!$K$6="",$E208=KARTU!$K$6),OR(KARTU!$K$7="",$F208=KARTU!$K$7),OR(KARTU!$K$8="",$K208=KARTU!$K$8)),MAX($Z$3:Z207)+1,""))</f>
        <v/>
      </c>
    </row>
    <row r="209" customFormat="false" ht="15" hidden="false" customHeight="false" outlineLevel="0" collapsed="false">
      <c r="A209" s="36" t="str">
        <f aca="false">IF($B209="","",COUNTA($B$4:$B209))</f>
        <v/>
      </c>
      <c r="B209" s="37"/>
      <c r="C209" s="38"/>
      <c r="D209" s="39"/>
      <c r="E209" s="37"/>
      <c r="F209" s="39"/>
      <c r="G209" s="40" t="str">
        <f aca="false">IF(OR($E209="",$F209=""),"",$E209&amp;" - RT "&amp;$F209)</f>
        <v/>
      </c>
      <c r="H209" s="37"/>
      <c r="I209" s="38"/>
      <c r="J209" s="37"/>
      <c r="K209" s="39"/>
      <c r="L209" s="41"/>
      <c r="M209" s="36" t="str">
        <f aca="true">IF(OR($B209="",$L209=""),"",DATEDIF($L209,TODAY(),"Y"))</f>
        <v/>
      </c>
      <c r="N209" s="40" t="str">
        <f aca="false">IF($M209="","",INDEX(usia_label,MATCH($M209,usia_min,1)))</f>
        <v/>
      </c>
      <c r="O209" s="37"/>
      <c r="P209" s="41"/>
      <c r="Q209" s="37"/>
      <c r="R209" s="37"/>
      <c r="S209" s="40" t="str">
        <f aca="false">IF($G209="","",$G209&amp;"#"&amp;COUNTIF($G$4:$G209,$G209))</f>
        <v/>
      </c>
      <c r="T209" s="40" t="str">
        <f aca="false">IF($B209="","",IF($C209="","NIK kosong",IF(LEN($C209)&lt;&gt;16,"NIK bukan 16 digit",IF(COUNTIF($C$4:$C$2003,$C209&amp;"*")&gt;1,"NIK ganda",IF($E209="","Kadus kosong",IF($F209="","RT kosong",IF($H209="","Jabatan kosong",IF($I209="","No. HP kosong",IF($J209="","Alamat kosong",IF(AND($M209&lt;&gt;"",$M209&lt;17),"Usia di bawah 17",""))))))))))</f>
        <v/>
      </c>
      <c r="U209" s="40" t="str">
        <f aca="false">IF($B209="","",IF(AND(OR(CARI!$C$5="",ISNUMBER(SEARCH(CARI!$C$5,$B209&amp;" "&amp;$C209&amp;" "&amp;$I209&amp;" "&amp;$J209&amp;" "&amp;$Q209))),OR(CARI!$C$6="",$E209=CARI!$C$6),OR(CARI!$C$7="",$F209=CARI!$C$7),OR(CARI!$C$8="",$O209=CARI!$C$8)),MAX($U$3:U208)+1,""))</f>
        <v/>
      </c>
      <c r="V209" s="40" t="str">
        <f aca="false">IF($T209="","",MAX($V$3:V208)+1)</f>
        <v/>
      </c>
      <c r="W209" s="40" t="str">
        <f aca="false">IF($E209="","",$E209&amp;"#"&amp;COUNTIF($E$4:$E209,$E209))</f>
        <v/>
      </c>
      <c r="X209" s="40" t="str">
        <f aca="false">IF($B209="","",IF(AND(OR(CETAK!$J$10="",$E209=CETAK!$J$10),OR(CETAK!$J$11="",$F209=CETAK!$J$11),OR(CETAK!$J$12="",$K209=CETAK!$J$12),OR(CETAK!$J$13="",$H209=CETAK!$J$13),OR(CETAK!$J$14="",$O209=CETAK!$J$14)),MAX($X$3:X208)+1,""))</f>
        <v/>
      </c>
      <c r="Y209" s="40" t="str">
        <f aca="false">IF($B209="","",IF(AND(OR(ABSENSI!$H$10="",$E209=ABSENSI!$H$10),OR(ABSENSI!$H$11="",$F209=ABSENSI!$H$11),OR(ABSENSI!$H$12="",$K209=ABSENSI!$H$12)),MAX($Y$3:Y208)+1,""))</f>
        <v/>
      </c>
      <c r="Z209" s="40" t="str">
        <f aca="false">IF($B209="","",IF(AND(OR(KARTU!$K$6="",$E209=KARTU!$K$6),OR(KARTU!$K$7="",$F209=KARTU!$K$7),OR(KARTU!$K$8="",$K209=KARTU!$K$8)),MAX($Z$3:Z208)+1,""))</f>
        <v/>
      </c>
    </row>
    <row r="210" customFormat="false" ht="15" hidden="false" customHeight="false" outlineLevel="0" collapsed="false">
      <c r="A210" s="36" t="str">
        <f aca="false">IF($B210="","",COUNTA($B$4:$B210))</f>
        <v/>
      </c>
      <c r="B210" s="37"/>
      <c r="C210" s="38"/>
      <c r="D210" s="39"/>
      <c r="E210" s="37"/>
      <c r="F210" s="39"/>
      <c r="G210" s="40" t="str">
        <f aca="false">IF(OR($E210="",$F210=""),"",$E210&amp;" - RT "&amp;$F210)</f>
        <v/>
      </c>
      <c r="H210" s="37"/>
      <c r="I210" s="38"/>
      <c r="J210" s="37"/>
      <c r="K210" s="39"/>
      <c r="L210" s="41"/>
      <c r="M210" s="36" t="str">
        <f aca="true">IF(OR($B210="",$L210=""),"",DATEDIF($L210,TODAY(),"Y"))</f>
        <v/>
      </c>
      <c r="N210" s="40" t="str">
        <f aca="false">IF($M210="","",INDEX(usia_label,MATCH($M210,usia_min,1)))</f>
        <v/>
      </c>
      <c r="O210" s="37"/>
      <c r="P210" s="41"/>
      <c r="Q210" s="37"/>
      <c r="R210" s="37"/>
      <c r="S210" s="40" t="str">
        <f aca="false">IF($G210="","",$G210&amp;"#"&amp;COUNTIF($G$4:$G210,$G210))</f>
        <v/>
      </c>
      <c r="T210" s="40" t="str">
        <f aca="false">IF($B210="","",IF($C210="","NIK kosong",IF(LEN($C210)&lt;&gt;16,"NIK bukan 16 digit",IF(COUNTIF($C$4:$C$2003,$C210&amp;"*")&gt;1,"NIK ganda",IF($E210="","Kadus kosong",IF($F210="","RT kosong",IF($H210="","Jabatan kosong",IF($I210="","No. HP kosong",IF($J210="","Alamat kosong",IF(AND($M210&lt;&gt;"",$M210&lt;17),"Usia di bawah 17",""))))))))))</f>
        <v/>
      </c>
      <c r="U210" s="40" t="str">
        <f aca="false">IF($B210="","",IF(AND(OR(CARI!$C$5="",ISNUMBER(SEARCH(CARI!$C$5,$B210&amp;" "&amp;$C210&amp;" "&amp;$I210&amp;" "&amp;$J210&amp;" "&amp;$Q210))),OR(CARI!$C$6="",$E210=CARI!$C$6),OR(CARI!$C$7="",$F210=CARI!$C$7),OR(CARI!$C$8="",$O210=CARI!$C$8)),MAX($U$3:U209)+1,""))</f>
        <v/>
      </c>
      <c r="V210" s="40" t="str">
        <f aca="false">IF($T210="","",MAX($V$3:V209)+1)</f>
        <v/>
      </c>
      <c r="W210" s="40" t="str">
        <f aca="false">IF($E210="","",$E210&amp;"#"&amp;COUNTIF($E$4:$E210,$E210))</f>
        <v/>
      </c>
      <c r="X210" s="40" t="str">
        <f aca="false">IF($B210="","",IF(AND(OR(CETAK!$J$10="",$E210=CETAK!$J$10),OR(CETAK!$J$11="",$F210=CETAK!$J$11),OR(CETAK!$J$12="",$K210=CETAK!$J$12),OR(CETAK!$J$13="",$H210=CETAK!$J$13),OR(CETAK!$J$14="",$O210=CETAK!$J$14)),MAX($X$3:X209)+1,""))</f>
        <v/>
      </c>
      <c r="Y210" s="40" t="str">
        <f aca="false">IF($B210="","",IF(AND(OR(ABSENSI!$H$10="",$E210=ABSENSI!$H$10),OR(ABSENSI!$H$11="",$F210=ABSENSI!$H$11),OR(ABSENSI!$H$12="",$K210=ABSENSI!$H$12)),MAX($Y$3:Y209)+1,""))</f>
        <v/>
      </c>
      <c r="Z210" s="40" t="str">
        <f aca="false">IF($B210="","",IF(AND(OR(KARTU!$K$6="",$E210=KARTU!$K$6),OR(KARTU!$K$7="",$F210=KARTU!$K$7),OR(KARTU!$K$8="",$K210=KARTU!$K$8)),MAX($Z$3:Z209)+1,""))</f>
        <v/>
      </c>
    </row>
    <row r="211" customFormat="false" ht="15" hidden="false" customHeight="false" outlineLevel="0" collapsed="false">
      <c r="A211" s="36" t="str">
        <f aca="false">IF($B211="","",COUNTA($B$4:$B211))</f>
        <v/>
      </c>
      <c r="B211" s="37"/>
      <c r="C211" s="38"/>
      <c r="D211" s="39"/>
      <c r="E211" s="37"/>
      <c r="F211" s="39"/>
      <c r="G211" s="40" t="str">
        <f aca="false">IF(OR($E211="",$F211=""),"",$E211&amp;" - RT "&amp;$F211)</f>
        <v/>
      </c>
      <c r="H211" s="37"/>
      <c r="I211" s="38"/>
      <c r="J211" s="37"/>
      <c r="K211" s="39"/>
      <c r="L211" s="41"/>
      <c r="M211" s="36" t="str">
        <f aca="true">IF(OR($B211="",$L211=""),"",DATEDIF($L211,TODAY(),"Y"))</f>
        <v/>
      </c>
      <c r="N211" s="40" t="str">
        <f aca="false">IF($M211="","",INDEX(usia_label,MATCH($M211,usia_min,1)))</f>
        <v/>
      </c>
      <c r="O211" s="37"/>
      <c r="P211" s="41"/>
      <c r="Q211" s="37"/>
      <c r="R211" s="37"/>
      <c r="S211" s="40" t="str">
        <f aca="false">IF($G211="","",$G211&amp;"#"&amp;COUNTIF($G$4:$G211,$G211))</f>
        <v/>
      </c>
      <c r="T211" s="40" t="str">
        <f aca="false">IF($B211="","",IF($C211="","NIK kosong",IF(LEN($C211)&lt;&gt;16,"NIK bukan 16 digit",IF(COUNTIF($C$4:$C$2003,$C211&amp;"*")&gt;1,"NIK ganda",IF($E211="","Kadus kosong",IF($F211="","RT kosong",IF($H211="","Jabatan kosong",IF($I211="","No. HP kosong",IF($J211="","Alamat kosong",IF(AND($M211&lt;&gt;"",$M211&lt;17),"Usia di bawah 17",""))))))))))</f>
        <v/>
      </c>
      <c r="U211" s="40" t="str">
        <f aca="false">IF($B211="","",IF(AND(OR(CARI!$C$5="",ISNUMBER(SEARCH(CARI!$C$5,$B211&amp;" "&amp;$C211&amp;" "&amp;$I211&amp;" "&amp;$J211&amp;" "&amp;$Q211))),OR(CARI!$C$6="",$E211=CARI!$C$6),OR(CARI!$C$7="",$F211=CARI!$C$7),OR(CARI!$C$8="",$O211=CARI!$C$8)),MAX($U$3:U210)+1,""))</f>
        <v/>
      </c>
      <c r="V211" s="40" t="str">
        <f aca="false">IF($T211="","",MAX($V$3:V210)+1)</f>
        <v/>
      </c>
      <c r="W211" s="40" t="str">
        <f aca="false">IF($E211="","",$E211&amp;"#"&amp;COUNTIF($E$4:$E211,$E211))</f>
        <v/>
      </c>
      <c r="X211" s="40" t="str">
        <f aca="false">IF($B211="","",IF(AND(OR(CETAK!$J$10="",$E211=CETAK!$J$10),OR(CETAK!$J$11="",$F211=CETAK!$J$11),OR(CETAK!$J$12="",$K211=CETAK!$J$12),OR(CETAK!$J$13="",$H211=CETAK!$J$13),OR(CETAK!$J$14="",$O211=CETAK!$J$14)),MAX($X$3:X210)+1,""))</f>
        <v/>
      </c>
      <c r="Y211" s="40" t="str">
        <f aca="false">IF($B211="","",IF(AND(OR(ABSENSI!$H$10="",$E211=ABSENSI!$H$10),OR(ABSENSI!$H$11="",$F211=ABSENSI!$H$11),OR(ABSENSI!$H$12="",$K211=ABSENSI!$H$12)),MAX($Y$3:Y210)+1,""))</f>
        <v/>
      </c>
      <c r="Z211" s="40" t="str">
        <f aca="false">IF($B211="","",IF(AND(OR(KARTU!$K$6="",$E211=KARTU!$K$6),OR(KARTU!$K$7="",$F211=KARTU!$K$7),OR(KARTU!$K$8="",$K211=KARTU!$K$8)),MAX($Z$3:Z210)+1,""))</f>
        <v/>
      </c>
    </row>
    <row r="212" customFormat="false" ht="15" hidden="false" customHeight="false" outlineLevel="0" collapsed="false">
      <c r="A212" s="36" t="str">
        <f aca="false">IF($B212="","",COUNTA($B$4:$B212))</f>
        <v/>
      </c>
      <c r="B212" s="37"/>
      <c r="C212" s="38"/>
      <c r="D212" s="39"/>
      <c r="E212" s="37"/>
      <c r="F212" s="39"/>
      <c r="G212" s="40" t="str">
        <f aca="false">IF(OR($E212="",$F212=""),"",$E212&amp;" - RT "&amp;$F212)</f>
        <v/>
      </c>
      <c r="H212" s="37"/>
      <c r="I212" s="38"/>
      <c r="J212" s="37"/>
      <c r="K212" s="39"/>
      <c r="L212" s="41"/>
      <c r="M212" s="36" t="str">
        <f aca="true">IF(OR($B212="",$L212=""),"",DATEDIF($L212,TODAY(),"Y"))</f>
        <v/>
      </c>
      <c r="N212" s="40" t="str">
        <f aca="false">IF($M212="","",INDEX(usia_label,MATCH($M212,usia_min,1)))</f>
        <v/>
      </c>
      <c r="O212" s="37"/>
      <c r="P212" s="41"/>
      <c r="Q212" s="37"/>
      <c r="R212" s="37"/>
      <c r="S212" s="40" t="str">
        <f aca="false">IF($G212="","",$G212&amp;"#"&amp;COUNTIF($G$4:$G212,$G212))</f>
        <v/>
      </c>
      <c r="T212" s="40" t="str">
        <f aca="false">IF($B212="","",IF($C212="","NIK kosong",IF(LEN($C212)&lt;&gt;16,"NIK bukan 16 digit",IF(COUNTIF($C$4:$C$2003,$C212&amp;"*")&gt;1,"NIK ganda",IF($E212="","Kadus kosong",IF($F212="","RT kosong",IF($H212="","Jabatan kosong",IF($I212="","No. HP kosong",IF($J212="","Alamat kosong",IF(AND($M212&lt;&gt;"",$M212&lt;17),"Usia di bawah 17",""))))))))))</f>
        <v/>
      </c>
      <c r="U212" s="40" t="str">
        <f aca="false">IF($B212="","",IF(AND(OR(CARI!$C$5="",ISNUMBER(SEARCH(CARI!$C$5,$B212&amp;" "&amp;$C212&amp;" "&amp;$I212&amp;" "&amp;$J212&amp;" "&amp;$Q212))),OR(CARI!$C$6="",$E212=CARI!$C$6),OR(CARI!$C$7="",$F212=CARI!$C$7),OR(CARI!$C$8="",$O212=CARI!$C$8)),MAX($U$3:U211)+1,""))</f>
        <v/>
      </c>
      <c r="V212" s="40" t="str">
        <f aca="false">IF($T212="","",MAX($V$3:V211)+1)</f>
        <v/>
      </c>
      <c r="W212" s="40" t="str">
        <f aca="false">IF($E212="","",$E212&amp;"#"&amp;COUNTIF($E$4:$E212,$E212))</f>
        <v/>
      </c>
      <c r="X212" s="40" t="str">
        <f aca="false">IF($B212="","",IF(AND(OR(CETAK!$J$10="",$E212=CETAK!$J$10),OR(CETAK!$J$11="",$F212=CETAK!$J$11),OR(CETAK!$J$12="",$K212=CETAK!$J$12),OR(CETAK!$J$13="",$H212=CETAK!$J$13),OR(CETAK!$J$14="",$O212=CETAK!$J$14)),MAX($X$3:X211)+1,""))</f>
        <v/>
      </c>
      <c r="Y212" s="40" t="str">
        <f aca="false">IF($B212="","",IF(AND(OR(ABSENSI!$H$10="",$E212=ABSENSI!$H$10),OR(ABSENSI!$H$11="",$F212=ABSENSI!$H$11),OR(ABSENSI!$H$12="",$K212=ABSENSI!$H$12)),MAX($Y$3:Y211)+1,""))</f>
        <v/>
      </c>
      <c r="Z212" s="40" t="str">
        <f aca="false">IF($B212="","",IF(AND(OR(KARTU!$K$6="",$E212=KARTU!$K$6),OR(KARTU!$K$7="",$F212=KARTU!$K$7),OR(KARTU!$K$8="",$K212=KARTU!$K$8)),MAX($Z$3:Z211)+1,""))</f>
        <v/>
      </c>
    </row>
    <row r="213" customFormat="false" ht="15" hidden="false" customHeight="false" outlineLevel="0" collapsed="false">
      <c r="A213" s="36" t="str">
        <f aca="false">IF($B213="","",COUNTA($B$4:$B213))</f>
        <v/>
      </c>
      <c r="B213" s="37"/>
      <c r="C213" s="38"/>
      <c r="D213" s="39"/>
      <c r="E213" s="37"/>
      <c r="F213" s="39"/>
      <c r="G213" s="40" t="str">
        <f aca="false">IF(OR($E213="",$F213=""),"",$E213&amp;" - RT "&amp;$F213)</f>
        <v/>
      </c>
      <c r="H213" s="37"/>
      <c r="I213" s="38"/>
      <c r="J213" s="37"/>
      <c r="K213" s="39"/>
      <c r="L213" s="41"/>
      <c r="M213" s="36" t="str">
        <f aca="true">IF(OR($B213="",$L213=""),"",DATEDIF($L213,TODAY(),"Y"))</f>
        <v/>
      </c>
      <c r="N213" s="40" t="str">
        <f aca="false">IF($M213="","",INDEX(usia_label,MATCH($M213,usia_min,1)))</f>
        <v/>
      </c>
      <c r="O213" s="37"/>
      <c r="P213" s="41"/>
      <c r="Q213" s="37"/>
      <c r="R213" s="37"/>
      <c r="S213" s="40" t="str">
        <f aca="false">IF($G213="","",$G213&amp;"#"&amp;COUNTIF($G$4:$G213,$G213))</f>
        <v/>
      </c>
      <c r="T213" s="40" t="str">
        <f aca="false">IF($B213="","",IF($C213="","NIK kosong",IF(LEN($C213)&lt;&gt;16,"NIK bukan 16 digit",IF(COUNTIF($C$4:$C$2003,$C213&amp;"*")&gt;1,"NIK ganda",IF($E213="","Kadus kosong",IF($F213="","RT kosong",IF($H213="","Jabatan kosong",IF($I213="","No. HP kosong",IF($J213="","Alamat kosong",IF(AND($M213&lt;&gt;"",$M213&lt;17),"Usia di bawah 17",""))))))))))</f>
        <v/>
      </c>
      <c r="U213" s="40" t="str">
        <f aca="false">IF($B213="","",IF(AND(OR(CARI!$C$5="",ISNUMBER(SEARCH(CARI!$C$5,$B213&amp;" "&amp;$C213&amp;" "&amp;$I213&amp;" "&amp;$J213&amp;" "&amp;$Q213))),OR(CARI!$C$6="",$E213=CARI!$C$6),OR(CARI!$C$7="",$F213=CARI!$C$7),OR(CARI!$C$8="",$O213=CARI!$C$8)),MAX($U$3:U212)+1,""))</f>
        <v/>
      </c>
      <c r="V213" s="40" t="str">
        <f aca="false">IF($T213="","",MAX($V$3:V212)+1)</f>
        <v/>
      </c>
      <c r="W213" s="40" t="str">
        <f aca="false">IF($E213="","",$E213&amp;"#"&amp;COUNTIF($E$4:$E213,$E213))</f>
        <v/>
      </c>
      <c r="X213" s="40" t="str">
        <f aca="false">IF($B213="","",IF(AND(OR(CETAK!$J$10="",$E213=CETAK!$J$10),OR(CETAK!$J$11="",$F213=CETAK!$J$11),OR(CETAK!$J$12="",$K213=CETAK!$J$12),OR(CETAK!$J$13="",$H213=CETAK!$J$13),OR(CETAK!$J$14="",$O213=CETAK!$J$14)),MAX($X$3:X212)+1,""))</f>
        <v/>
      </c>
      <c r="Y213" s="40" t="str">
        <f aca="false">IF($B213="","",IF(AND(OR(ABSENSI!$H$10="",$E213=ABSENSI!$H$10),OR(ABSENSI!$H$11="",$F213=ABSENSI!$H$11),OR(ABSENSI!$H$12="",$K213=ABSENSI!$H$12)),MAX($Y$3:Y212)+1,""))</f>
        <v/>
      </c>
      <c r="Z213" s="40" t="str">
        <f aca="false">IF($B213="","",IF(AND(OR(KARTU!$K$6="",$E213=KARTU!$K$6),OR(KARTU!$K$7="",$F213=KARTU!$K$7),OR(KARTU!$K$8="",$K213=KARTU!$K$8)),MAX($Z$3:Z212)+1,""))</f>
        <v/>
      </c>
    </row>
    <row r="214" customFormat="false" ht="15" hidden="false" customHeight="false" outlineLevel="0" collapsed="false">
      <c r="A214" s="36" t="str">
        <f aca="false">IF($B214="","",COUNTA($B$4:$B214))</f>
        <v/>
      </c>
      <c r="B214" s="37"/>
      <c r="C214" s="38"/>
      <c r="D214" s="39"/>
      <c r="E214" s="37"/>
      <c r="F214" s="39"/>
      <c r="G214" s="40" t="str">
        <f aca="false">IF(OR($E214="",$F214=""),"",$E214&amp;" - RT "&amp;$F214)</f>
        <v/>
      </c>
      <c r="H214" s="37"/>
      <c r="I214" s="38"/>
      <c r="J214" s="37"/>
      <c r="K214" s="39"/>
      <c r="L214" s="41"/>
      <c r="M214" s="36" t="str">
        <f aca="true">IF(OR($B214="",$L214=""),"",DATEDIF($L214,TODAY(),"Y"))</f>
        <v/>
      </c>
      <c r="N214" s="40" t="str">
        <f aca="false">IF($M214="","",INDEX(usia_label,MATCH($M214,usia_min,1)))</f>
        <v/>
      </c>
      <c r="O214" s="37"/>
      <c r="P214" s="41"/>
      <c r="Q214" s="37"/>
      <c r="R214" s="37"/>
      <c r="S214" s="40" t="str">
        <f aca="false">IF($G214="","",$G214&amp;"#"&amp;COUNTIF($G$4:$G214,$G214))</f>
        <v/>
      </c>
      <c r="T214" s="40" t="str">
        <f aca="false">IF($B214="","",IF($C214="","NIK kosong",IF(LEN($C214)&lt;&gt;16,"NIK bukan 16 digit",IF(COUNTIF($C$4:$C$2003,$C214&amp;"*")&gt;1,"NIK ganda",IF($E214="","Kadus kosong",IF($F214="","RT kosong",IF($H214="","Jabatan kosong",IF($I214="","No. HP kosong",IF($J214="","Alamat kosong",IF(AND($M214&lt;&gt;"",$M214&lt;17),"Usia di bawah 17",""))))))))))</f>
        <v/>
      </c>
      <c r="U214" s="40" t="str">
        <f aca="false">IF($B214="","",IF(AND(OR(CARI!$C$5="",ISNUMBER(SEARCH(CARI!$C$5,$B214&amp;" "&amp;$C214&amp;" "&amp;$I214&amp;" "&amp;$J214&amp;" "&amp;$Q214))),OR(CARI!$C$6="",$E214=CARI!$C$6),OR(CARI!$C$7="",$F214=CARI!$C$7),OR(CARI!$C$8="",$O214=CARI!$C$8)),MAX($U$3:U213)+1,""))</f>
        <v/>
      </c>
      <c r="V214" s="40" t="str">
        <f aca="false">IF($T214="","",MAX($V$3:V213)+1)</f>
        <v/>
      </c>
      <c r="W214" s="40" t="str">
        <f aca="false">IF($E214="","",$E214&amp;"#"&amp;COUNTIF($E$4:$E214,$E214))</f>
        <v/>
      </c>
      <c r="X214" s="40" t="str">
        <f aca="false">IF($B214="","",IF(AND(OR(CETAK!$J$10="",$E214=CETAK!$J$10),OR(CETAK!$J$11="",$F214=CETAK!$J$11),OR(CETAK!$J$12="",$K214=CETAK!$J$12),OR(CETAK!$J$13="",$H214=CETAK!$J$13),OR(CETAK!$J$14="",$O214=CETAK!$J$14)),MAX($X$3:X213)+1,""))</f>
        <v/>
      </c>
      <c r="Y214" s="40" t="str">
        <f aca="false">IF($B214="","",IF(AND(OR(ABSENSI!$H$10="",$E214=ABSENSI!$H$10),OR(ABSENSI!$H$11="",$F214=ABSENSI!$H$11),OR(ABSENSI!$H$12="",$K214=ABSENSI!$H$12)),MAX($Y$3:Y213)+1,""))</f>
        <v/>
      </c>
      <c r="Z214" s="40" t="str">
        <f aca="false">IF($B214="","",IF(AND(OR(KARTU!$K$6="",$E214=KARTU!$K$6),OR(KARTU!$K$7="",$F214=KARTU!$K$7),OR(KARTU!$K$8="",$K214=KARTU!$K$8)),MAX($Z$3:Z213)+1,""))</f>
        <v/>
      </c>
    </row>
    <row r="215" customFormat="false" ht="15" hidden="false" customHeight="false" outlineLevel="0" collapsed="false">
      <c r="A215" s="36" t="str">
        <f aca="false">IF($B215="","",COUNTA($B$4:$B215))</f>
        <v/>
      </c>
      <c r="B215" s="37"/>
      <c r="C215" s="38"/>
      <c r="D215" s="39"/>
      <c r="E215" s="37"/>
      <c r="F215" s="39"/>
      <c r="G215" s="40" t="str">
        <f aca="false">IF(OR($E215="",$F215=""),"",$E215&amp;" - RT "&amp;$F215)</f>
        <v/>
      </c>
      <c r="H215" s="37"/>
      <c r="I215" s="38"/>
      <c r="J215" s="37"/>
      <c r="K215" s="39"/>
      <c r="L215" s="41"/>
      <c r="M215" s="36" t="str">
        <f aca="true">IF(OR($B215="",$L215=""),"",DATEDIF($L215,TODAY(),"Y"))</f>
        <v/>
      </c>
      <c r="N215" s="40" t="str">
        <f aca="false">IF($M215="","",INDEX(usia_label,MATCH($M215,usia_min,1)))</f>
        <v/>
      </c>
      <c r="O215" s="37"/>
      <c r="P215" s="41"/>
      <c r="Q215" s="37"/>
      <c r="R215" s="37"/>
      <c r="S215" s="40" t="str">
        <f aca="false">IF($G215="","",$G215&amp;"#"&amp;COUNTIF($G$4:$G215,$G215))</f>
        <v/>
      </c>
      <c r="T215" s="40" t="str">
        <f aca="false">IF($B215="","",IF($C215="","NIK kosong",IF(LEN($C215)&lt;&gt;16,"NIK bukan 16 digit",IF(COUNTIF($C$4:$C$2003,$C215&amp;"*")&gt;1,"NIK ganda",IF($E215="","Kadus kosong",IF($F215="","RT kosong",IF($H215="","Jabatan kosong",IF($I215="","No. HP kosong",IF($J215="","Alamat kosong",IF(AND($M215&lt;&gt;"",$M215&lt;17),"Usia di bawah 17",""))))))))))</f>
        <v/>
      </c>
      <c r="U215" s="40" t="str">
        <f aca="false">IF($B215="","",IF(AND(OR(CARI!$C$5="",ISNUMBER(SEARCH(CARI!$C$5,$B215&amp;" "&amp;$C215&amp;" "&amp;$I215&amp;" "&amp;$J215&amp;" "&amp;$Q215))),OR(CARI!$C$6="",$E215=CARI!$C$6),OR(CARI!$C$7="",$F215=CARI!$C$7),OR(CARI!$C$8="",$O215=CARI!$C$8)),MAX($U$3:U214)+1,""))</f>
        <v/>
      </c>
      <c r="V215" s="40" t="str">
        <f aca="false">IF($T215="","",MAX($V$3:V214)+1)</f>
        <v/>
      </c>
      <c r="W215" s="40" t="str">
        <f aca="false">IF($E215="","",$E215&amp;"#"&amp;COUNTIF($E$4:$E215,$E215))</f>
        <v/>
      </c>
      <c r="X215" s="40" t="str">
        <f aca="false">IF($B215="","",IF(AND(OR(CETAK!$J$10="",$E215=CETAK!$J$10),OR(CETAK!$J$11="",$F215=CETAK!$J$11),OR(CETAK!$J$12="",$K215=CETAK!$J$12),OR(CETAK!$J$13="",$H215=CETAK!$J$13),OR(CETAK!$J$14="",$O215=CETAK!$J$14)),MAX($X$3:X214)+1,""))</f>
        <v/>
      </c>
      <c r="Y215" s="40" t="str">
        <f aca="false">IF($B215="","",IF(AND(OR(ABSENSI!$H$10="",$E215=ABSENSI!$H$10),OR(ABSENSI!$H$11="",$F215=ABSENSI!$H$11),OR(ABSENSI!$H$12="",$K215=ABSENSI!$H$12)),MAX($Y$3:Y214)+1,""))</f>
        <v/>
      </c>
      <c r="Z215" s="40" t="str">
        <f aca="false">IF($B215="","",IF(AND(OR(KARTU!$K$6="",$E215=KARTU!$K$6),OR(KARTU!$K$7="",$F215=KARTU!$K$7),OR(KARTU!$K$8="",$K215=KARTU!$K$8)),MAX($Z$3:Z214)+1,""))</f>
        <v/>
      </c>
    </row>
    <row r="216" customFormat="false" ht="15" hidden="false" customHeight="false" outlineLevel="0" collapsed="false">
      <c r="A216" s="36" t="str">
        <f aca="false">IF($B216="","",COUNTA($B$4:$B216))</f>
        <v/>
      </c>
      <c r="B216" s="37"/>
      <c r="C216" s="38"/>
      <c r="D216" s="39"/>
      <c r="E216" s="37"/>
      <c r="F216" s="39"/>
      <c r="G216" s="40" t="str">
        <f aca="false">IF(OR($E216="",$F216=""),"",$E216&amp;" - RT "&amp;$F216)</f>
        <v/>
      </c>
      <c r="H216" s="37"/>
      <c r="I216" s="38"/>
      <c r="J216" s="37"/>
      <c r="K216" s="39"/>
      <c r="L216" s="41"/>
      <c r="M216" s="36" t="str">
        <f aca="true">IF(OR($B216="",$L216=""),"",DATEDIF($L216,TODAY(),"Y"))</f>
        <v/>
      </c>
      <c r="N216" s="40" t="str">
        <f aca="false">IF($M216="","",INDEX(usia_label,MATCH($M216,usia_min,1)))</f>
        <v/>
      </c>
      <c r="O216" s="37"/>
      <c r="P216" s="41"/>
      <c r="Q216" s="37"/>
      <c r="R216" s="37"/>
      <c r="S216" s="40" t="str">
        <f aca="false">IF($G216="","",$G216&amp;"#"&amp;COUNTIF($G$4:$G216,$G216))</f>
        <v/>
      </c>
      <c r="T216" s="40" t="str">
        <f aca="false">IF($B216="","",IF($C216="","NIK kosong",IF(LEN($C216)&lt;&gt;16,"NIK bukan 16 digit",IF(COUNTIF($C$4:$C$2003,$C216&amp;"*")&gt;1,"NIK ganda",IF($E216="","Kadus kosong",IF($F216="","RT kosong",IF($H216="","Jabatan kosong",IF($I216="","No. HP kosong",IF($J216="","Alamat kosong",IF(AND($M216&lt;&gt;"",$M216&lt;17),"Usia di bawah 17",""))))))))))</f>
        <v/>
      </c>
      <c r="U216" s="40" t="str">
        <f aca="false">IF($B216="","",IF(AND(OR(CARI!$C$5="",ISNUMBER(SEARCH(CARI!$C$5,$B216&amp;" "&amp;$C216&amp;" "&amp;$I216&amp;" "&amp;$J216&amp;" "&amp;$Q216))),OR(CARI!$C$6="",$E216=CARI!$C$6),OR(CARI!$C$7="",$F216=CARI!$C$7),OR(CARI!$C$8="",$O216=CARI!$C$8)),MAX($U$3:U215)+1,""))</f>
        <v/>
      </c>
      <c r="V216" s="40" t="str">
        <f aca="false">IF($T216="","",MAX($V$3:V215)+1)</f>
        <v/>
      </c>
      <c r="W216" s="40" t="str">
        <f aca="false">IF($E216="","",$E216&amp;"#"&amp;COUNTIF($E$4:$E216,$E216))</f>
        <v/>
      </c>
      <c r="X216" s="40" t="str">
        <f aca="false">IF($B216="","",IF(AND(OR(CETAK!$J$10="",$E216=CETAK!$J$10),OR(CETAK!$J$11="",$F216=CETAK!$J$11),OR(CETAK!$J$12="",$K216=CETAK!$J$12),OR(CETAK!$J$13="",$H216=CETAK!$J$13),OR(CETAK!$J$14="",$O216=CETAK!$J$14)),MAX($X$3:X215)+1,""))</f>
        <v/>
      </c>
      <c r="Y216" s="40" t="str">
        <f aca="false">IF($B216="","",IF(AND(OR(ABSENSI!$H$10="",$E216=ABSENSI!$H$10),OR(ABSENSI!$H$11="",$F216=ABSENSI!$H$11),OR(ABSENSI!$H$12="",$K216=ABSENSI!$H$12)),MAX($Y$3:Y215)+1,""))</f>
        <v/>
      </c>
      <c r="Z216" s="40" t="str">
        <f aca="false">IF($B216="","",IF(AND(OR(KARTU!$K$6="",$E216=KARTU!$K$6),OR(KARTU!$K$7="",$F216=KARTU!$K$7),OR(KARTU!$K$8="",$K216=KARTU!$K$8)),MAX($Z$3:Z215)+1,""))</f>
        <v/>
      </c>
    </row>
    <row r="217" customFormat="false" ht="15" hidden="false" customHeight="false" outlineLevel="0" collapsed="false">
      <c r="A217" s="36" t="str">
        <f aca="false">IF($B217="","",COUNTA($B$4:$B217))</f>
        <v/>
      </c>
      <c r="B217" s="37"/>
      <c r="C217" s="38"/>
      <c r="D217" s="39"/>
      <c r="E217" s="37"/>
      <c r="F217" s="39"/>
      <c r="G217" s="40" t="str">
        <f aca="false">IF(OR($E217="",$F217=""),"",$E217&amp;" - RT "&amp;$F217)</f>
        <v/>
      </c>
      <c r="H217" s="37"/>
      <c r="I217" s="38"/>
      <c r="J217" s="37"/>
      <c r="K217" s="39"/>
      <c r="L217" s="41"/>
      <c r="M217" s="36" t="str">
        <f aca="true">IF(OR($B217="",$L217=""),"",DATEDIF($L217,TODAY(),"Y"))</f>
        <v/>
      </c>
      <c r="N217" s="40" t="str">
        <f aca="false">IF($M217="","",INDEX(usia_label,MATCH($M217,usia_min,1)))</f>
        <v/>
      </c>
      <c r="O217" s="37"/>
      <c r="P217" s="41"/>
      <c r="Q217" s="37"/>
      <c r="R217" s="37"/>
      <c r="S217" s="40" t="str">
        <f aca="false">IF($G217="","",$G217&amp;"#"&amp;COUNTIF($G$4:$G217,$G217))</f>
        <v/>
      </c>
      <c r="T217" s="40" t="str">
        <f aca="false">IF($B217="","",IF($C217="","NIK kosong",IF(LEN($C217)&lt;&gt;16,"NIK bukan 16 digit",IF(COUNTIF($C$4:$C$2003,$C217&amp;"*")&gt;1,"NIK ganda",IF($E217="","Kadus kosong",IF($F217="","RT kosong",IF($H217="","Jabatan kosong",IF($I217="","No. HP kosong",IF($J217="","Alamat kosong",IF(AND($M217&lt;&gt;"",$M217&lt;17),"Usia di bawah 17",""))))))))))</f>
        <v/>
      </c>
      <c r="U217" s="40" t="str">
        <f aca="false">IF($B217="","",IF(AND(OR(CARI!$C$5="",ISNUMBER(SEARCH(CARI!$C$5,$B217&amp;" "&amp;$C217&amp;" "&amp;$I217&amp;" "&amp;$J217&amp;" "&amp;$Q217))),OR(CARI!$C$6="",$E217=CARI!$C$6),OR(CARI!$C$7="",$F217=CARI!$C$7),OR(CARI!$C$8="",$O217=CARI!$C$8)),MAX($U$3:U216)+1,""))</f>
        <v/>
      </c>
      <c r="V217" s="40" t="str">
        <f aca="false">IF($T217="","",MAX($V$3:V216)+1)</f>
        <v/>
      </c>
      <c r="W217" s="40" t="str">
        <f aca="false">IF($E217="","",$E217&amp;"#"&amp;COUNTIF($E$4:$E217,$E217))</f>
        <v/>
      </c>
      <c r="X217" s="40" t="str">
        <f aca="false">IF($B217="","",IF(AND(OR(CETAK!$J$10="",$E217=CETAK!$J$10),OR(CETAK!$J$11="",$F217=CETAK!$J$11),OR(CETAK!$J$12="",$K217=CETAK!$J$12),OR(CETAK!$J$13="",$H217=CETAK!$J$13),OR(CETAK!$J$14="",$O217=CETAK!$J$14)),MAX($X$3:X216)+1,""))</f>
        <v/>
      </c>
      <c r="Y217" s="40" t="str">
        <f aca="false">IF($B217="","",IF(AND(OR(ABSENSI!$H$10="",$E217=ABSENSI!$H$10),OR(ABSENSI!$H$11="",$F217=ABSENSI!$H$11),OR(ABSENSI!$H$12="",$K217=ABSENSI!$H$12)),MAX($Y$3:Y216)+1,""))</f>
        <v/>
      </c>
      <c r="Z217" s="40" t="str">
        <f aca="false">IF($B217="","",IF(AND(OR(KARTU!$K$6="",$E217=KARTU!$K$6),OR(KARTU!$K$7="",$F217=KARTU!$K$7),OR(KARTU!$K$8="",$K217=KARTU!$K$8)),MAX($Z$3:Z216)+1,""))</f>
        <v/>
      </c>
    </row>
    <row r="218" customFormat="false" ht="15" hidden="false" customHeight="false" outlineLevel="0" collapsed="false">
      <c r="A218" s="36" t="str">
        <f aca="false">IF($B218="","",COUNTA($B$4:$B218))</f>
        <v/>
      </c>
      <c r="B218" s="37"/>
      <c r="C218" s="38"/>
      <c r="D218" s="39"/>
      <c r="E218" s="37"/>
      <c r="F218" s="39"/>
      <c r="G218" s="40" t="str">
        <f aca="false">IF(OR($E218="",$F218=""),"",$E218&amp;" - RT "&amp;$F218)</f>
        <v/>
      </c>
      <c r="H218" s="37"/>
      <c r="I218" s="38"/>
      <c r="J218" s="37"/>
      <c r="K218" s="39"/>
      <c r="L218" s="41"/>
      <c r="M218" s="36" t="str">
        <f aca="true">IF(OR($B218="",$L218=""),"",DATEDIF($L218,TODAY(),"Y"))</f>
        <v/>
      </c>
      <c r="N218" s="40" t="str">
        <f aca="false">IF($M218="","",INDEX(usia_label,MATCH($M218,usia_min,1)))</f>
        <v/>
      </c>
      <c r="O218" s="37"/>
      <c r="P218" s="41"/>
      <c r="Q218" s="37"/>
      <c r="R218" s="37"/>
      <c r="S218" s="40" t="str">
        <f aca="false">IF($G218="","",$G218&amp;"#"&amp;COUNTIF($G$4:$G218,$G218))</f>
        <v/>
      </c>
      <c r="T218" s="40" t="str">
        <f aca="false">IF($B218="","",IF($C218="","NIK kosong",IF(LEN($C218)&lt;&gt;16,"NIK bukan 16 digit",IF(COUNTIF($C$4:$C$2003,$C218&amp;"*")&gt;1,"NIK ganda",IF($E218="","Kadus kosong",IF($F218="","RT kosong",IF($H218="","Jabatan kosong",IF($I218="","No. HP kosong",IF($J218="","Alamat kosong",IF(AND($M218&lt;&gt;"",$M218&lt;17),"Usia di bawah 17",""))))))))))</f>
        <v/>
      </c>
      <c r="U218" s="40" t="str">
        <f aca="false">IF($B218="","",IF(AND(OR(CARI!$C$5="",ISNUMBER(SEARCH(CARI!$C$5,$B218&amp;" "&amp;$C218&amp;" "&amp;$I218&amp;" "&amp;$J218&amp;" "&amp;$Q218))),OR(CARI!$C$6="",$E218=CARI!$C$6),OR(CARI!$C$7="",$F218=CARI!$C$7),OR(CARI!$C$8="",$O218=CARI!$C$8)),MAX($U$3:U217)+1,""))</f>
        <v/>
      </c>
      <c r="V218" s="40" t="str">
        <f aca="false">IF($T218="","",MAX($V$3:V217)+1)</f>
        <v/>
      </c>
      <c r="W218" s="40" t="str">
        <f aca="false">IF($E218="","",$E218&amp;"#"&amp;COUNTIF($E$4:$E218,$E218))</f>
        <v/>
      </c>
      <c r="X218" s="40" t="str">
        <f aca="false">IF($B218="","",IF(AND(OR(CETAK!$J$10="",$E218=CETAK!$J$10),OR(CETAK!$J$11="",$F218=CETAK!$J$11),OR(CETAK!$J$12="",$K218=CETAK!$J$12),OR(CETAK!$J$13="",$H218=CETAK!$J$13),OR(CETAK!$J$14="",$O218=CETAK!$J$14)),MAX($X$3:X217)+1,""))</f>
        <v/>
      </c>
      <c r="Y218" s="40" t="str">
        <f aca="false">IF($B218="","",IF(AND(OR(ABSENSI!$H$10="",$E218=ABSENSI!$H$10),OR(ABSENSI!$H$11="",$F218=ABSENSI!$H$11),OR(ABSENSI!$H$12="",$K218=ABSENSI!$H$12)),MAX($Y$3:Y217)+1,""))</f>
        <v/>
      </c>
      <c r="Z218" s="40" t="str">
        <f aca="false">IF($B218="","",IF(AND(OR(KARTU!$K$6="",$E218=KARTU!$K$6),OR(KARTU!$K$7="",$F218=KARTU!$K$7),OR(KARTU!$K$8="",$K218=KARTU!$K$8)),MAX($Z$3:Z217)+1,""))</f>
        <v/>
      </c>
    </row>
    <row r="219" customFormat="false" ht="15" hidden="false" customHeight="false" outlineLevel="0" collapsed="false">
      <c r="A219" s="36" t="str">
        <f aca="false">IF($B219="","",COUNTA($B$4:$B219))</f>
        <v/>
      </c>
      <c r="B219" s="37"/>
      <c r="C219" s="38"/>
      <c r="D219" s="39"/>
      <c r="E219" s="37"/>
      <c r="F219" s="39"/>
      <c r="G219" s="40" t="str">
        <f aca="false">IF(OR($E219="",$F219=""),"",$E219&amp;" - RT "&amp;$F219)</f>
        <v/>
      </c>
      <c r="H219" s="37"/>
      <c r="I219" s="38"/>
      <c r="J219" s="37"/>
      <c r="K219" s="39"/>
      <c r="L219" s="41"/>
      <c r="M219" s="36" t="str">
        <f aca="true">IF(OR($B219="",$L219=""),"",DATEDIF($L219,TODAY(),"Y"))</f>
        <v/>
      </c>
      <c r="N219" s="40" t="str">
        <f aca="false">IF($M219="","",INDEX(usia_label,MATCH($M219,usia_min,1)))</f>
        <v/>
      </c>
      <c r="O219" s="37"/>
      <c r="P219" s="41"/>
      <c r="Q219" s="37"/>
      <c r="R219" s="37"/>
      <c r="S219" s="40" t="str">
        <f aca="false">IF($G219="","",$G219&amp;"#"&amp;COUNTIF($G$4:$G219,$G219))</f>
        <v/>
      </c>
      <c r="T219" s="40" t="str">
        <f aca="false">IF($B219="","",IF($C219="","NIK kosong",IF(LEN($C219)&lt;&gt;16,"NIK bukan 16 digit",IF(COUNTIF($C$4:$C$2003,$C219&amp;"*")&gt;1,"NIK ganda",IF($E219="","Kadus kosong",IF($F219="","RT kosong",IF($H219="","Jabatan kosong",IF($I219="","No. HP kosong",IF($J219="","Alamat kosong",IF(AND($M219&lt;&gt;"",$M219&lt;17),"Usia di bawah 17",""))))))))))</f>
        <v/>
      </c>
      <c r="U219" s="40" t="str">
        <f aca="false">IF($B219="","",IF(AND(OR(CARI!$C$5="",ISNUMBER(SEARCH(CARI!$C$5,$B219&amp;" "&amp;$C219&amp;" "&amp;$I219&amp;" "&amp;$J219&amp;" "&amp;$Q219))),OR(CARI!$C$6="",$E219=CARI!$C$6),OR(CARI!$C$7="",$F219=CARI!$C$7),OR(CARI!$C$8="",$O219=CARI!$C$8)),MAX($U$3:U218)+1,""))</f>
        <v/>
      </c>
      <c r="V219" s="40" t="str">
        <f aca="false">IF($T219="","",MAX($V$3:V218)+1)</f>
        <v/>
      </c>
      <c r="W219" s="40" t="str">
        <f aca="false">IF($E219="","",$E219&amp;"#"&amp;COUNTIF($E$4:$E219,$E219))</f>
        <v/>
      </c>
      <c r="X219" s="40" t="str">
        <f aca="false">IF($B219="","",IF(AND(OR(CETAK!$J$10="",$E219=CETAK!$J$10),OR(CETAK!$J$11="",$F219=CETAK!$J$11),OR(CETAK!$J$12="",$K219=CETAK!$J$12),OR(CETAK!$J$13="",$H219=CETAK!$J$13),OR(CETAK!$J$14="",$O219=CETAK!$J$14)),MAX($X$3:X218)+1,""))</f>
        <v/>
      </c>
      <c r="Y219" s="40" t="str">
        <f aca="false">IF($B219="","",IF(AND(OR(ABSENSI!$H$10="",$E219=ABSENSI!$H$10),OR(ABSENSI!$H$11="",$F219=ABSENSI!$H$11),OR(ABSENSI!$H$12="",$K219=ABSENSI!$H$12)),MAX($Y$3:Y218)+1,""))</f>
        <v/>
      </c>
      <c r="Z219" s="40" t="str">
        <f aca="false">IF($B219="","",IF(AND(OR(KARTU!$K$6="",$E219=KARTU!$K$6),OR(KARTU!$K$7="",$F219=KARTU!$K$7),OR(KARTU!$K$8="",$K219=KARTU!$K$8)),MAX($Z$3:Z218)+1,""))</f>
        <v/>
      </c>
    </row>
    <row r="220" customFormat="false" ht="15" hidden="false" customHeight="false" outlineLevel="0" collapsed="false">
      <c r="A220" s="36" t="str">
        <f aca="false">IF($B220="","",COUNTA($B$4:$B220))</f>
        <v/>
      </c>
      <c r="B220" s="37"/>
      <c r="C220" s="38"/>
      <c r="D220" s="39"/>
      <c r="E220" s="37"/>
      <c r="F220" s="39"/>
      <c r="G220" s="40" t="str">
        <f aca="false">IF(OR($E220="",$F220=""),"",$E220&amp;" - RT "&amp;$F220)</f>
        <v/>
      </c>
      <c r="H220" s="37"/>
      <c r="I220" s="38"/>
      <c r="J220" s="37"/>
      <c r="K220" s="39"/>
      <c r="L220" s="41"/>
      <c r="M220" s="36" t="str">
        <f aca="true">IF(OR($B220="",$L220=""),"",DATEDIF($L220,TODAY(),"Y"))</f>
        <v/>
      </c>
      <c r="N220" s="40" t="str">
        <f aca="false">IF($M220="","",INDEX(usia_label,MATCH($M220,usia_min,1)))</f>
        <v/>
      </c>
      <c r="O220" s="37"/>
      <c r="P220" s="41"/>
      <c r="Q220" s="37"/>
      <c r="R220" s="37"/>
      <c r="S220" s="40" t="str">
        <f aca="false">IF($G220="","",$G220&amp;"#"&amp;COUNTIF($G$4:$G220,$G220))</f>
        <v/>
      </c>
      <c r="T220" s="40" t="str">
        <f aca="false">IF($B220="","",IF($C220="","NIK kosong",IF(LEN($C220)&lt;&gt;16,"NIK bukan 16 digit",IF(COUNTIF($C$4:$C$2003,$C220&amp;"*")&gt;1,"NIK ganda",IF($E220="","Kadus kosong",IF($F220="","RT kosong",IF($H220="","Jabatan kosong",IF($I220="","No. HP kosong",IF($J220="","Alamat kosong",IF(AND($M220&lt;&gt;"",$M220&lt;17),"Usia di bawah 17",""))))))))))</f>
        <v/>
      </c>
      <c r="U220" s="40" t="str">
        <f aca="false">IF($B220="","",IF(AND(OR(CARI!$C$5="",ISNUMBER(SEARCH(CARI!$C$5,$B220&amp;" "&amp;$C220&amp;" "&amp;$I220&amp;" "&amp;$J220&amp;" "&amp;$Q220))),OR(CARI!$C$6="",$E220=CARI!$C$6),OR(CARI!$C$7="",$F220=CARI!$C$7),OR(CARI!$C$8="",$O220=CARI!$C$8)),MAX($U$3:U219)+1,""))</f>
        <v/>
      </c>
      <c r="V220" s="40" t="str">
        <f aca="false">IF($T220="","",MAX($V$3:V219)+1)</f>
        <v/>
      </c>
      <c r="W220" s="40" t="str">
        <f aca="false">IF($E220="","",$E220&amp;"#"&amp;COUNTIF($E$4:$E220,$E220))</f>
        <v/>
      </c>
      <c r="X220" s="40" t="str">
        <f aca="false">IF($B220="","",IF(AND(OR(CETAK!$J$10="",$E220=CETAK!$J$10),OR(CETAK!$J$11="",$F220=CETAK!$J$11),OR(CETAK!$J$12="",$K220=CETAK!$J$12),OR(CETAK!$J$13="",$H220=CETAK!$J$13),OR(CETAK!$J$14="",$O220=CETAK!$J$14)),MAX($X$3:X219)+1,""))</f>
        <v/>
      </c>
      <c r="Y220" s="40" t="str">
        <f aca="false">IF($B220="","",IF(AND(OR(ABSENSI!$H$10="",$E220=ABSENSI!$H$10),OR(ABSENSI!$H$11="",$F220=ABSENSI!$H$11),OR(ABSENSI!$H$12="",$K220=ABSENSI!$H$12)),MAX($Y$3:Y219)+1,""))</f>
        <v/>
      </c>
      <c r="Z220" s="40" t="str">
        <f aca="false">IF($B220="","",IF(AND(OR(KARTU!$K$6="",$E220=KARTU!$K$6),OR(KARTU!$K$7="",$F220=KARTU!$K$7),OR(KARTU!$K$8="",$K220=KARTU!$K$8)),MAX($Z$3:Z219)+1,""))</f>
        <v/>
      </c>
    </row>
    <row r="221" customFormat="false" ht="15" hidden="false" customHeight="false" outlineLevel="0" collapsed="false">
      <c r="A221" s="36" t="str">
        <f aca="false">IF($B221="","",COUNTA($B$4:$B221))</f>
        <v/>
      </c>
      <c r="B221" s="37"/>
      <c r="C221" s="38"/>
      <c r="D221" s="39"/>
      <c r="E221" s="37"/>
      <c r="F221" s="39"/>
      <c r="G221" s="40" t="str">
        <f aca="false">IF(OR($E221="",$F221=""),"",$E221&amp;" - RT "&amp;$F221)</f>
        <v/>
      </c>
      <c r="H221" s="37"/>
      <c r="I221" s="38"/>
      <c r="J221" s="37"/>
      <c r="K221" s="39"/>
      <c r="L221" s="41"/>
      <c r="M221" s="36" t="str">
        <f aca="true">IF(OR($B221="",$L221=""),"",DATEDIF($L221,TODAY(),"Y"))</f>
        <v/>
      </c>
      <c r="N221" s="40" t="str">
        <f aca="false">IF($M221="","",INDEX(usia_label,MATCH($M221,usia_min,1)))</f>
        <v/>
      </c>
      <c r="O221" s="37"/>
      <c r="P221" s="41"/>
      <c r="Q221" s="37"/>
      <c r="R221" s="37"/>
      <c r="S221" s="40" t="str">
        <f aca="false">IF($G221="","",$G221&amp;"#"&amp;COUNTIF($G$4:$G221,$G221))</f>
        <v/>
      </c>
      <c r="T221" s="40" t="str">
        <f aca="false">IF($B221="","",IF($C221="","NIK kosong",IF(LEN($C221)&lt;&gt;16,"NIK bukan 16 digit",IF(COUNTIF($C$4:$C$2003,$C221&amp;"*")&gt;1,"NIK ganda",IF($E221="","Kadus kosong",IF($F221="","RT kosong",IF($H221="","Jabatan kosong",IF($I221="","No. HP kosong",IF($J221="","Alamat kosong",IF(AND($M221&lt;&gt;"",$M221&lt;17),"Usia di bawah 17",""))))))))))</f>
        <v/>
      </c>
      <c r="U221" s="40" t="str">
        <f aca="false">IF($B221="","",IF(AND(OR(CARI!$C$5="",ISNUMBER(SEARCH(CARI!$C$5,$B221&amp;" "&amp;$C221&amp;" "&amp;$I221&amp;" "&amp;$J221&amp;" "&amp;$Q221))),OR(CARI!$C$6="",$E221=CARI!$C$6),OR(CARI!$C$7="",$F221=CARI!$C$7),OR(CARI!$C$8="",$O221=CARI!$C$8)),MAX($U$3:U220)+1,""))</f>
        <v/>
      </c>
      <c r="V221" s="40" t="str">
        <f aca="false">IF($T221="","",MAX($V$3:V220)+1)</f>
        <v/>
      </c>
      <c r="W221" s="40" t="str">
        <f aca="false">IF($E221="","",$E221&amp;"#"&amp;COUNTIF($E$4:$E221,$E221))</f>
        <v/>
      </c>
      <c r="X221" s="40" t="str">
        <f aca="false">IF($B221="","",IF(AND(OR(CETAK!$J$10="",$E221=CETAK!$J$10),OR(CETAK!$J$11="",$F221=CETAK!$J$11),OR(CETAK!$J$12="",$K221=CETAK!$J$12),OR(CETAK!$J$13="",$H221=CETAK!$J$13),OR(CETAK!$J$14="",$O221=CETAK!$J$14)),MAX($X$3:X220)+1,""))</f>
        <v/>
      </c>
      <c r="Y221" s="40" t="str">
        <f aca="false">IF($B221="","",IF(AND(OR(ABSENSI!$H$10="",$E221=ABSENSI!$H$10),OR(ABSENSI!$H$11="",$F221=ABSENSI!$H$11),OR(ABSENSI!$H$12="",$K221=ABSENSI!$H$12)),MAX($Y$3:Y220)+1,""))</f>
        <v/>
      </c>
      <c r="Z221" s="40" t="str">
        <f aca="false">IF($B221="","",IF(AND(OR(KARTU!$K$6="",$E221=KARTU!$K$6),OR(KARTU!$K$7="",$F221=KARTU!$K$7),OR(KARTU!$K$8="",$K221=KARTU!$K$8)),MAX($Z$3:Z220)+1,""))</f>
        <v/>
      </c>
    </row>
    <row r="222" customFormat="false" ht="15" hidden="false" customHeight="false" outlineLevel="0" collapsed="false">
      <c r="A222" s="36" t="str">
        <f aca="false">IF($B222="","",COUNTA($B$4:$B222))</f>
        <v/>
      </c>
      <c r="B222" s="37"/>
      <c r="C222" s="38"/>
      <c r="D222" s="39"/>
      <c r="E222" s="37"/>
      <c r="F222" s="39"/>
      <c r="G222" s="40" t="str">
        <f aca="false">IF(OR($E222="",$F222=""),"",$E222&amp;" - RT "&amp;$F222)</f>
        <v/>
      </c>
      <c r="H222" s="37"/>
      <c r="I222" s="38"/>
      <c r="J222" s="37"/>
      <c r="K222" s="39"/>
      <c r="L222" s="41"/>
      <c r="M222" s="36" t="str">
        <f aca="true">IF(OR($B222="",$L222=""),"",DATEDIF($L222,TODAY(),"Y"))</f>
        <v/>
      </c>
      <c r="N222" s="40" t="str">
        <f aca="false">IF($M222="","",INDEX(usia_label,MATCH($M222,usia_min,1)))</f>
        <v/>
      </c>
      <c r="O222" s="37"/>
      <c r="P222" s="41"/>
      <c r="Q222" s="37"/>
      <c r="R222" s="37"/>
      <c r="S222" s="40" t="str">
        <f aca="false">IF($G222="","",$G222&amp;"#"&amp;COUNTIF($G$4:$G222,$G222))</f>
        <v/>
      </c>
      <c r="T222" s="40" t="str">
        <f aca="false">IF($B222="","",IF($C222="","NIK kosong",IF(LEN($C222)&lt;&gt;16,"NIK bukan 16 digit",IF(COUNTIF($C$4:$C$2003,$C222&amp;"*")&gt;1,"NIK ganda",IF($E222="","Kadus kosong",IF($F222="","RT kosong",IF($H222="","Jabatan kosong",IF($I222="","No. HP kosong",IF($J222="","Alamat kosong",IF(AND($M222&lt;&gt;"",$M222&lt;17),"Usia di bawah 17",""))))))))))</f>
        <v/>
      </c>
      <c r="U222" s="40" t="str">
        <f aca="false">IF($B222="","",IF(AND(OR(CARI!$C$5="",ISNUMBER(SEARCH(CARI!$C$5,$B222&amp;" "&amp;$C222&amp;" "&amp;$I222&amp;" "&amp;$J222&amp;" "&amp;$Q222))),OR(CARI!$C$6="",$E222=CARI!$C$6),OR(CARI!$C$7="",$F222=CARI!$C$7),OR(CARI!$C$8="",$O222=CARI!$C$8)),MAX($U$3:U221)+1,""))</f>
        <v/>
      </c>
      <c r="V222" s="40" t="str">
        <f aca="false">IF($T222="","",MAX($V$3:V221)+1)</f>
        <v/>
      </c>
      <c r="W222" s="40" t="str">
        <f aca="false">IF($E222="","",$E222&amp;"#"&amp;COUNTIF($E$4:$E222,$E222))</f>
        <v/>
      </c>
      <c r="X222" s="40" t="str">
        <f aca="false">IF($B222="","",IF(AND(OR(CETAK!$J$10="",$E222=CETAK!$J$10),OR(CETAK!$J$11="",$F222=CETAK!$J$11),OR(CETAK!$J$12="",$K222=CETAK!$J$12),OR(CETAK!$J$13="",$H222=CETAK!$J$13),OR(CETAK!$J$14="",$O222=CETAK!$J$14)),MAX($X$3:X221)+1,""))</f>
        <v/>
      </c>
      <c r="Y222" s="40" t="str">
        <f aca="false">IF($B222="","",IF(AND(OR(ABSENSI!$H$10="",$E222=ABSENSI!$H$10),OR(ABSENSI!$H$11="",$F222=ABSENSI!$H$11),OR(ABSENSI!$H$12="",$K222=ABSENSI!$H$12)),MAX($Y$3:Y221)+1,""))</f>
        <v/>
      </c>
      <c r="Z222" s="40" t="str">
        <f aca="false">IF($B222="","",IF(AND(OR(KARTU!$K$6="",$E222=KARTU!$K$6),OR(KARTU!$K$7="",$F222=KARTU!$K$7),OR(KARTU!$K$8="",$K222=KARTU!$K$8)),MAX($Z$3:Z221)+1,""))</f>
        <v/>
      </c>
    </row>
    <row r="223" customFormat="false" ht="15" hidden="false" customHeight="false" outlineLevel="0" collapsed="false">
      <c r="A223" s="36" t="str">
        <f aca="false">IF($B223="","",COUNTA($B$4:$B223))</f>
        <v/>
      </c>
      <c r="B223" s="37"/>
      <c r="C223" s="38"/>
      <c r="D223" s="39"/>
      <c r="E223" s="37"/>
      <c r="F223" s="39"/>
      <c r="G223" s="40" t="str">
        <f aca="false">IF(OR($E223="",$F223=""),"",$E223&amp;" - RT "&amp;$F223)</f>
        <v/>
      </c>
      <c r="H223" s="37"/>
      <c r="I223" s="38"/>
      <c r="J223" s="37"/>
      <c r="K223" s="39"/>
      <c r="L223" s="41"/>
      <c r="M223" s="36" t="str">
        <f aca="true">IF(OR($B223="",$L223=""),"",DATEDIF($L223,TODAY(),"Y"))</f>
        <v/>
      </c>
      <c r="N223" s="40" t="str">
        <f aca="false">IF($M223="","",INDEX(usia_label,MATCH($M223,usia_min,1)))</f>
        <v/>
      </c>
      <c r="O223" s="37"/>
      <c r="P223" s="41"/>
      <c r="Q223" s="37"/>
      <c r="R223" s="37"/>
      <c r="S223" s="40" t="str">
        <f aca="false">IF($G223="","",$G223&amp;"#"&amp;COUNTIF($G$4:$G223,$G223))</f>
        <v/>
      </c>
      <c r="T223" s="40" t="str">
        <f aca="false">IF($B223="","",IF($C223="","NIK kosong",IF(LEN($C223)&lt;&gt;16,"NIK bukan 16 digit",IF(COUNTIF($C$4:$C$2003,$C223&amp;"*")&gt;1,"NIK ganda",IF($E223="","Kadus kosong",IF($F223="","RT kosong",IF($H223="","Jabatan kosong",IF($I223="","No. HP kosong",IF($J223="","Alamat kosong",IF(AND($M223&lt;&gt;"",$M223&lt;17),"Usia di bawah 17",""))))))))))</f>
        <v/>
      </c>
      <c r="U223" s="40" t="str">
        <f aca="false">IF($B223="","",IF(AND(OR(CARI!$C$5="",ISNUMBER(SEARCH(CARI!$C$5,$B223&amp;" "&amp;$C223&amp;" "&amp;$I223&amp;" "&amp;$J223&amp;" "&amp;$Q223))),OR(CARI!$C$6="",$E223=CARI!$C$6),OR(CARI!$C$7="",$F223=CARI!$C$7),OR(CARI!$C$8="",$O223=CARI!$C$8)),MAX($U$3:U222)+1,""))</f>
        <v/>
      </c>
      <c r="V223" s="40" t="str">
        <f aca="false">IF($T223="","",MAX($V$3:V222)+1)</f>
        <v/>
      </c>
      <c r="W223" s="40" t="str">
        <f aca="false">IF($E223="","",$E223&amp;"#"&amp;COUNTIF($E$4:$E223,$E223))</f>
        <v/>
      </c>
      <c r="X223" s="40" t="str">
        <f aca="false">IF($B223="","",IF(AND(OR(CETAK!$J$10="",$E223=CETAK!$J$10),OR(CETAK!$J$11="",$F223=CETAK!$J$11),OR(CETAK!$J$12="",$K223=CETAK!$J$12),OR(CETAK!$J$13="",$H223=CETAK!$J$13),OR(CETAK!$J$14="",$O223=CETAK!$J$14)),MAX($X$3:X222)+1,""))</f>
        <v/>
      </c>
      <c r="Y223" s="40" t="str">
        <f aca="false">IF($B223="","",IF(AND(OR(ABSENSI!$H$10="",$E223=ABSENSI!$H$10),OR(ABSENSI!$H$11="",$F223=ABSENSI!$H$11),OR(ABSENSI!$H$12="",$K223=ABSENSI!$H$12)),MAX($Y$3:Y222)+1,""))</f>
        <v/>
      </c>
      <c r="Z223" s="40" t="str">
        <f aca="false">IF($B223="","",IF(AND(OR(KARTU!$K$6="",$E223=KARTU!$K$6),OR(KARTU!$K$7="",$F223=KARTU!$K$7),OR(KARTU!$K$8="",$K223=KARTU!$K$8)),MAX($Z$3:Z222)+1,""))</f>
        <v/>
      </c>
    </row>
    <row r="224" customFormat="false" ht="15" hidden="false" customHeight="false" outlineLevel="0" collapsed="false">
      <c r="A224" s="36" t="str">
        <f aca="false">IF($B224="","",COUNTA($B$4:$B224))</f>
        <v/>
      </c>
      <c r="B224" s="37"/>
      <c r="C224" s="38"/>
      <c r="D224" s="39"/>
      <c r="E224" s="37"/>
      <c r="F224" s="39"/>
      <c r="G224" s="40" t="str">
        <f aca="false">IF(OR($E224="",$F224=""),"",$E224&amp;" - RT "&amp;$F224)</f>
        <v/>
      </c>
      <c r="H224" s="37"/>
      <c r="I224" s="38"/>
      <c r="J224" s="37"/>
      <c r="K224" s="39"/>
      <c r="L224" s="41"/>
      <c r="M224" s="36" t="str">
        <f aca="true">IF(OR($B224="",$L224=""),"",DATEDIF($L224,TODAY(),"Y"))</f>
        <v/>
      </c>
      <c r="N224" s="40" t="str">
        <f aca="false">IF($M224="","",INDEX(usia_label,MATCH($M224,usia_min,1)))</f>
        <v/>
      </c>
      <c r="O224" s="37"/>
      <c r="P224" s="41"/>
      <c r="Q224" s="37"/>
      <c r="R224" s="37"/>
      <c r="S224" s="40" t="str">
        <f aca="false">IF($G224="","",$G224&amp;"#"&amp;COUNTIF($G$4:$G224,$G224))</f>
        <v/>
      </c>
      <c r="T224" s="40" t="str">
        <f aca="false">IF($B224="","",IF($C224="","NIK kosong",IF(LEN($C224)&lt;&gt;16,"NIK bukan 16 digit",IF(COUNTIF($C$4:$C$2003,$C224&amp;"*")&gt;1,"NIK ganda",IF($E224="","Kadus kosong",IF($F224="","RT kosong",IF($H224="","Jabatan kosong",IF($I224="","No. HP kosong",IF($J224="","Alamat kosong",IF(AND($M224&lt;&gt;"",$M224&lt;17),"Usia di bawah 17",""))))))))))</f>
        <v/>
      </c>
      <c r="U224" s="40" t="str">
        <f aca="false">IF($B224="","",IF(AND(OR(CARI!$C$5="",ISNUMBER(SEARCH(CARI!$C$5,$B224&amp;" "&amp;$C224&amp;" "&amp;$I224&amp;" "&amp;$J224&amp;" "&amp;$Q224))),OR(CARI!$C$6="",$E224=CARI!$C$6),OR(CARI!$C$7="",$F224=CARI!$C$7),OR(CARI!$C$8="",$O224=CARI!$C$8)),MAX($U$3:U223)+1,""))</f>
        <v/>
      </c>
      <c r="V224" s="40" t="str">
        <f aca="false">IF($T224="","",MAX($V$3:V223)+1)</f>
        <v/>
      </c>
      <c r="W224" s="40" t="str">
        <f aca="false">IF($E224="","",$E224&amp;"#"&amp;COUNTIF($E$4:$E224,$E224))</f>
        <v/>
      </c>
      <c r="X224" s="40" t="str">
        <f aca="false">IF($B224="","",IF(AND(OR(CETAK!$J$10="",$E224=CETAK!$J$10),OR(CETAK!$J$11="",$F224=CETAK!$J$11),OR(CETAK!$J$12="",$K224=CETAK!$J$12),OR(CETAK!$J$13="",$H224=CETAK!$J$13),OR(CETAK!$J$14="",$O224=CETAK!$J$14)),MAX($X$3:X223)+1,""))</f>
        <v/>
      </c>
      <c r="Y224" s="40" t="str">
        <f aca="false">IF($B224="","",IF(AND(OR(ABSENSI!$H$10="",$E224=ABSENSI!$H$10),OR(ABSENSI!$H$11="",$F224=ABSENSI!$H$11),OR(ABSENSI!$H$12="",$K224=ABSENSI!$H$12)),MAX($Y$3:Y223)+1,""))</f>
        <v/>
      </c>
      <c r="Z224" s="40" t="str">
        <f aca="false">IF($B224="","",IF(AND(OR(KARTU!$K$6="",$E224=KARTU!$K$6),OR(KARTU!$K$7="",$F224=KARTU!$K$7),OR(KARTU!$K$8="",$K224=KARTU!$K$8)),MAX($Z$3:Z223)+1,""))</f>
        <v/>
      </c>
    </row>
    <row r="225" customFormat="false" ht="15" hidden="false" customHeight="false" outlineLevel="0" collapsed="false">
      <c r="A225" s="36" t="str">
        <f aca="false">IF($B225="","",COUNTA($B$4:$B225))</f>
        <v/>
      </c>
      <c r="B225" s="37"/>
      <c r="C225" s="38"/>
      <c r="D225" s="39"/>
      <c r="E225" s="37"/>
      <c r="F225" s="39"/>
      <c r="G225" s="40" t="str">
        <f aca="false">IF(OR($E225="",$F225=""),"",$E225&amp;" - RT "&amp;$F225)</f>
        <v/>
      </c>
      <c r="H225" s="37"/>
      <c r="I225" s="38"/>
      <c r="J225" s="37"/>
      <c r="K225" s="39"/>
      <c r="L225" s="41"/>
      <c r="M225" s="36" t="str">
        <f aca="true">IF(OR($B225="",$L225=""),"",DATEDIF($L225,TODAY(),"Y"))</f>
        <v/>
      </c>
      <c r="N225" s="40" t="str">
        <f aca="false">IF($M225="","",INDEX(usia_label,MATCH($M225,usia_min,1)))</f>
        <v/>
      </c>
      <c r="O225" s="37"/>
      <c r="P225" s="41"/>
      <c r="Q225" s="37"/>
      <c r="R225" s="37"/>
      <c r="S225" s="40" t="str">
        <f aca="false">IF($G225="","",$G225&amp;"#"&amp;COUNTIF($G$4:$G225,$G225))</f>
        <v/>
      </c>
      <c r="T225" s="40" t="str">
        <f aca="false">IF($B225="","",IF($C225="","NIK kosong",IF(LEN($C225)&lt;&gt;16,"NIK bukan 16 digit",IF(COUNTIF($C$4:$C$2003,$C225&amp;"*")&gt;1,"NIK ganda",IF($E225="","Kadus kosong",IF($F225="","RT kosong",IF($H225="","Jabatan kosong",IF($I225="","No. HP kosong",IF($J225="","Alamat kosong",IF(AND($M225&lt;&gt;"",$M225&lt;17),"Usia di bawah 17",""))))))))))</f>
        <v/>
      </c>
      <c r="U225" s="40" t="str">
        <f aca="false">IF($B225="","",IF(AND(OR(CARI!$C$5="",ISNUMBER(SEARCH(CARI!$C$5,$B225&amp;" "&amp;$C225&amp;" "&amp;$I225&amp;" "&amp;$J225&amp;" "&amp;$Q225))),OR(CARI!$C$6="",$E225=CARI!$C$6),OR(CARI!$C$7="",$F225=CARI!$C$7),OR(CARI!$C$8="",$O225=CARI!$C$8)),MAX($U$3:U224)+1,""))</f>
        <v/>
      </c>
      <c r="V225" s="40" t="str">
        <f aca="false">IF($T225="","",MAX($V$3:V224)+1)</f>
        <v/>
      </c>
      <c r="W225" s="40" t="str">
        <f aca="false">IF($E225="","",$E225&amp;"#"&amp;COUNTIF($E$4:$E225,$E225))</f>
        <v/>
      </c>
      <c r="X225" s="40" t="str">
        <f aca="false">IF($B225="","",IF(AND(OR(CETAK!$J$10="",$E225=CETAK!$J$10),OR(CETAK!$J$11="",$F225=CETAK!$J$11),OR(CETAK!$J$12="",$K225=CETAK!$J$12),OR(CETAK!$J$13="",$H225=CETAK!$J$13),OR(CETAK!$J$14="",$O225=CETAK!$J$14)),MAX($X$3:X224)+1,""))</f>
        <v/>
      </c>
      <c r="Y225" s="40" t="str">
        <f aca="false">IF($B225="","",IF(AND(OR(ABSENSI!$H$10="",$E225=ABSENSI!$H$10),OR(ABSENSI!$H$11="",$F225=ABSENSI!$H$11),OR(ABSENSI!$H$12="",$K225=ABSENSI!$H$12)),MAX($Y$3:Y224)+1,""))</f>
        <v/>
      </c>
      <c r="Z225" s="40" t="str">
        <f aca="false">IF($B225="","",IF(AND(OR(KARTU!$K$6="",$E225=KARTU!$K$6),OR(KARTU!$K$7="",$F225=KARTU!$K$7),OR(KARTU!$K$8="",$K225=KARTU!$K$8)),MAX($Z$3:Z224)+1,""))</f>
        <v/>
      </c>
    </row>
    <row r="226" customFormat="false" ht="15" hidden="false" customHeight="false" outlineLevel="0" collapsed="false">
      <c r="A226" s="36" t="str">
        <f aca="false">IF($B226="","",COUNTA($B$4:$B226))</f>
        <v/>
      </c>
      <c r="B226" s="37"/>
      <c r="C226" s="38"/>
      <c r="D226" s="39"/>
      <c r="E226" s="37"/>
      <c r="F226" s="39"/>
      <c r="G226" s="40" t="str">
        <f aca="false">IF(OR($E226="",$F226=""),"",$E226&amp;" - RT "&amp;$F226)</f>
        <v/>
      </c>
      <c r="H226" s="37"/>
      <c r="I226" s="38"/>
      <c r="J226" s="37"/>
      <c r="K226" s="39"/>
      <c r="L226" s="41"/>
      <c r="M226" s="36" t="str">
        <f aca="true">IF(OR($B226="",$L226=""),"",DATEDIF($L226,TODAY(),"Y"))</f>
        <v/>
      </c>
      <c r="N226" s="40" t="str">
        <f aca="false">IF($M226="","",INDEX(usia_label,MATCH($M226,usia_min,1)))</f>
        <v/>
      </c>
      <c r="O226" s="37"/>
      <c r="P226" s="41"/>
      <c r="Q226" s="37"/>
      <c r="R226" s="37"/>
      <c r="S226" s="40" t="str">
        <f aca="false">IF($G226="","",$G226&amp;"#"&amp;COUNTIF($G$4:$G226,$G226))</f>
        <v/>
      </c>
      <c r="T226" s="40" t="str">
        <f aca="false">IF($B226="","",IF($C226="","NIK kosong",IF(LEN($C226)&lt;&gt;16,"NIK bukan 16 digit",IF(COUNTIF($C$4:$C$2003,$C226&amp;"*")&gt;1,"NIK ganda",IF($E226="","Kadus kosong",IF($F226="","RT kosong",IF($H226="","Jabatan kosong",IF($I226="","No. HP kosong",IF($J226="","Alamat kosong",IF(AND($M226&lt;&gt;"",$M226&lt;17),"Usia di bawah 17",""))))))))))</f>
        <v/>
      </c>
      <c r="U226" s="40" t="str">
        <f aca="false">IF($B226="","",IF(AND(OR(CARI!$C$5="",ISNUMBER(SEARCH(CARI!$C$5,$B226&amp;" "&amp;$C226&amp;" "&amp;$I226&amp;" "&amp;$J226&amp;" "&amp;$Q226))),OR(CARI!$C$6="",$E226=CARI!$C$6),OR(CARI!$C$7="",$F226=CARI!$C$7),OR(CARI!$C$8="",$O226=CARI!$C$8)),MAX($U$3:U225)+1,""))</f>
        <v/>
      </c>
      <c r="V226" s="40" t="str">
        <f aca="false">IF($T226="","",MAX($V$3:V225)+1)</f>
        <v/>
      </c>
      <c r="W226" s="40" t="str">
        <f aca="false">IF($E226="","",$E226&amp;"#"&amp;COUNTIF($E$4:$E226,$E226))</f>
        <v/>
      </c>
      <c r="X226" s="40" t="str">
        <f aca="false">IF($B226="","",IF(AND(OR(CETAK!$J$10="",$E226=CETAK!$J$10),OR(CETAK!$J$11="",$F226=CETAK!$J$11),OR(CETAK!$J$12="",$K226=CETAK!$J$12),OR(CETAK!$J$13="",$H226=CETAK!$J$13),OR(CETAK!$J$14="",$O226=CETAK!$J$14)),MAX($X$3:X225)+1,""))</f>
        <v/>
      </c>
      <c r="Y226" s="40" t="str">
        <f aca="false">IF($B226="","",IF(AND(OR(ABSENSI!$H$10="",$E226=ABSENSI!$H$10),OR(ABSENSI!$H$11="",$F226=ABSENSI!$H$11),OR(ABSENSI!$H$12="",$K226=ABSENSI!$H$12)),MAX($Y$3:Y225)+1,""))</f>
        <v/>
      </c>
      <c r="Z226" s="40" t="str">
        <f aca="false">IF($B226="","",IF(AND(OR(KARTU!$K$6="",$E226=KARTU!$K$6),OR(KARTU!$K$7="",$F226=KARTU!$K$7),OR(KARTU!$K$8="",$K226=KARTU!$K$8)),MAX($Z$3:Z225)+1,""))</f>
        <v/>
      </c>
    </row>
    <row r="227" customFormat="false" ht="15" hidden="false" customHeight="false" outlineLevel="0" collapsed="false">
      <c r="A227" s="36" t="str">
        <f aca="false">IF($B227="","",COUNTA($B$4:$B227))</f>
        <v/>
      </c>
      <c r="B227" s="37"/>
      <c r="C227" s="38"/>
      <c r="D227" s="39"/>
      <c r="E227" s="37"/>
      <c r="F227" s="39"/>
      <c r="G227" s="40" t="str">
        <f aca="false">IF(OR($E227="",$F227=""),"",$E227&amp;" - RT "&amp;$F227)</f>
        <v/>
      </c>
      <c r="H227" s="37"/>
      <c r="I227" s="38"/>
      <c r="J227" s="37"/>
      <c r="K227" s="39"/>
      <c r="L227" s="41"/>
      <c r="M227" s="36" t="str">
        <f aca="true">IF(OR($B227="",$L227=""),"",DATEDIF($L227,TODAY(),"Y"))</f>
        <v/>
      </c>
      <c r="N227" s="40" t="str">
        <f aca="false">IF($M227="","",INDEX(usia_label,MATCH($M227,usia_min,1)))</f>
        <v/>
      </c>
      <c r="O227" s="37"/>
      <c r="P227" s="41"/>
      <c r="Q227" s="37"/>
      <c r="R227" s="37"/>
      <c r="S227" s="40" t="str">
        <f aca="false">IF($G227="","",$G227&amp;"#"&amp;COUNTIF($G$4:$G227,$G227))</f>
        <v/>
      </c>
      <c r="T227" s="40" t="str">
        <f aca="false">IF($B227="","",IF($C227="","NIK kosong",IF(LEN($C227)&lt;&gt;16,"NIK bukan 16 digit",IF(COUNTIF($C$4:$C$2003,$C227&amp;"*")&gt;1,"NIK ganda",IF($E227="","Kadus kosong",IF($F227="","RT kosong",IF($H227="","Jabatan kosong",IF($I227="","No. HP kosong",IF($J227="","Alamat kosong",IF(AND($M227&lt;&gt;"",$M227&lt;17),"Usia di bawah 17",""))))))))))</f>
        <v/>
      </c>
      <c r="U227" s="40" t="str">
        <f aca="false">IF($B227="","",IF(AND(OR(CARI!$C$5="",ISNUMBER(SEARCH(CARI!$C$5,$B227&amp;" "&amp;$C227&amp;" "&amp;$I227&amp;" "&amp;$J227&amp;" "&amp;$Q227))),OR(CARI!$C$6="",$E227=CARI!$C$6),OR(CARI!$C$7="",$F227=CARI!$C$7),OR(CARI!$C$8="",$O227=CARI!$C$8)),MAX($U$3:U226)+1,""))</f>
        <v/>
      </c>
      <c r="V227" s="40" t="str">
        <f aca="false">IF($T227="","",MAX($V$3:V226)+1)</f>
        <v/>
      </c>
      <c r="W227" s="40" t="str">
        <f aca="false">IF($E227="","",$E227&amp;"#"&amp;COUNTIF($E$4:$E227,$E227))</f>
        <v/>
      </c>
      <c r="X227" s="40" t="str">
        <f aca="false">IF($B227="","",IF(AND(OR(CETAK!$J$10="",$E227=CETAK!$J$10),OR(CETAK!$J$11="",$F227=CETAK!$J$11),OR(CETAK!$J$12="",$K227=CETAK!$J$12),OR(CETAK!$J$13="",$H227=CETAK!$J$13),OR(CETAK!$J$14="",$O227=CETAK!$J$14)),MAX($X$3:X226)+1,""))</f>
        <v/>
      </c>
      <c r="Y227" s="40" t="str">
        <f aca="false">IF($B227="","",IF(AND(OR(ABSENSI!$H$10="",$E227=ABSENSI!$H$10),OR(ABSENSI!$H$11="",$F227=ABSENSI!$H$11),OR(ABSENSI!$H$12="",$K227=ABSENSI!$H$12)),MAX($Y$3:Y226)+1,""))</f>
        <v/>
      </c>
      <c r="Z227" s="40" t="str">
        <f aca="false">IF($B227="","",IF(AND(OR(KARTU!$K$6="",$E227=KARTU!$K$6),OR(KARTU!$K$7="",$F227=KARTU!$K$7),OR(KARTU!$K$8="",$K227=KARTU!$K$8)),MAX($Z$3:Z226)+1,""))</f>
        <v/>
      </c>
    </row>
    <row r="228" customFormat="false" ht="15" hidden="false" customHeight="false" outlineLevel="0" collapsed="false">
      <c r="A228" s="36" t="str">
        <f aca="false">IF($B228="","",COUNTA($B$4:$B228))</f>
        <v/>
      </c>
      <c r="B228" s="37"/>
      <c r="C228" s="38"/>
      <c r="D228" s="39"/>
      <c r="E228" s="37"/>
      <c r="F228" s="39"/>
      <c r="G228" s="40" t="str">
        <f aca="false">IF(OR($E228="",$F228=""),"",$E228&amp;" - RT "&amp;$F228)</f>
        <v/>
      </c>
      <c r="H228" s="37"/>
      <c r="I228" s="38"/>
      <c r="J228" s="37"/>
      <c r="K228" s="39"/>
      <c r="L228" s="41"/>
      <c r="M228" s="36" t="str">
        <f aca="true">IF(OR($B228="",$L228=""),"",DATEDIF($L228,TODAY(),"Y"))</f>
        <v/>
      </c>
      <c r="N228" s="40" t="str">
        <f aca="false">IF($M228="","",INDEX(usia_label,MATCH($M228,usia_min,1)))</f>
        <v/>
      </c>
      <c r="O228" s="37"/>
      <c r="P228" s="41"/>
      <c r="Q228" s="37"/>
      <c r="R228" s="37"/>
      <c r="S228" s="40" t="str">
        <f aca="false">IF($G228="","",$G228&amp;"#"&amp;COUNTIF($G$4:$G228,$G228))</f>
        <v/>
      </c>
      <c r="T228" s="40" t="str">
        <f aca="false">IF($B228="","",IF($C228="","NIK kosong",IF(LEN($C228)&lt;&gt;16,"NIK bukan 16 digit",IF(COUNTIF($C$4:$C$2003,$C228&amp;"*")&gt;1,"NIK ganda",IF($E228="","Kadus kosong",IF($F228="","RT kosong",IF($H228="","Jabatan kosong",IF($I228="","No. HP kosong",IF($J228="","Alamat kosong",IF(AND($M228&lt;&gt;"",$M228&lt;17),"Usia di bawah 17",""))))))))))</f>
        <v/>
      </c>
      <c r="U228" s="40" t="str">
        <f aca="false">IF($B228="","",IF(AND(OR(CARI!$C$5="",ISNUMBER(SEARCH(CARI!$C$5,$B228&amp;" "&amp;$C228&amp;" "&amp;$I228&amp;" "&amp;$J228&amp;" "&amp;$Q228))),OR(CARI!$C$6="",$E228=CARI!$C$6),OR(CARI!$C$7="",$F228=CARI!$C$7),OR(CARI!$C$8="",$O228=CARI!$C$8)),MAX($U$3:U227)+1,""))</f>
        <v/>
      </c>
      <c r="V228" s="40" t="str">
        <f aca="false">IF($T228="","",MAX($V$3:V227)+1)</f>
        <v/>
      </c>
      <c r="W228" s="40" t="str">
        <f aca="false">IF($E228="","",$E228&amp;"#"&amp;COUNTIF($E$4:$E228,$E228))</f>
        <v/>
      </c>
      <c r="X228" s="40" t="str">
        <f aca="false">IF($B228="","",IF(AND(OR(CETAK!$J$10="",$E228=CETAK!$J$10),OR(CETAK!$J$11="",$F228=CETAK!$J$11),OR(CETAK!$J$12="",$K228=CETAK!$J$12),OR(CETAK!$J$13="",$H228=CETAK!$J$13),OR(CETAK!$J$14="",$O228=CETAK!$J$14)),MAX($X$3:X227)+1,""))</f>
        <v/>
      </c>
      <c r="Y228" s="40" t="str">
        <f aca="false">IF($B228="","",IF(AND(OR(ABSENSI!$H$10="",$E228=ABSENSI!$H$10),OR(ABSENSI!$H$11="",$F228=ABSENSI!$H$11),OR(ABSENSI!$H$12="",$K228=ABSENSI!$H$12)),MAX($Y$3:Y227)+1,""))</f>
        <v/>
      </c>
      <c r="Z228" s="40" t="str">
        <f aca="false">IF($B228="","",IF(AND(OR(KARTU!$K$6="",$E228=KARTU!$K$6),OR(KARTU!$K$7="",$F228=KARTU!$K$7),OR(KARTU!$K$8="",$K228=KARTU!$K$8)),MAX($Z$3:Z227)+1,""))</f>
        <v/>
      </c>
    </row>
    <row r="229" customFormat="false" ht="15" hidden="false" customHeight="false" outlineLevel="0" collapsed="false">
      <c r="A229" s="36" t="str">
        <f aca="false">IF($B229="","",COUNTA($B$4:$B229))</f>
        <v/>
      </c>
      <c r="B229" s="37"/>
      <c r="C229" s="38"/>
      <c r="D229" s="39"/>
      <c r="E229" s="37"/>
      <c r="F229" s="39"/>
      <c r="G229" s="40" t="str">
        <f aca="false">IF(OR($E229="",$F229=""),"",$E229&amp;" - RT "&amp;$F229)</f>
        <v/>
      </c>
      <c r="H229" s="37"/>
      <c r="I229" s="38"/>
      <c r="J229" s="37"/>
      <c r="K229" s="39"/>
      <c r="L229" s="41"/>
      <c r="M229" s="36" t="str">
        <f aca="true">IF(OR($B229="",$L229=""),"",DATEDIF($L229,TODAY(),"Y"))</f>
        <v/>
      </c>
      <c r="N229" s="40" t="str">
        <f aca="false">IF($M229="","",INDEX(usia_label,MATCH($M229,usia_min,1)))</f>
        <v/>
      </c>
      <c r="O229" s="37"/>
      <c r="P229" s="41"/>
      <c r="Q229" s="37"/>
      <c r="R229" s="37"/>
      <c r="S229" s="40" t="str">
        <f aca="false">IF($G229="","",$G229&amp;"#"&amp;COUNTIF($G$4:$G229,$G229))</f>
        <v/>
      </c>
      <c r="T229" s="40" t="str">
        <f aca="false">IF($B229="","",IF($C229="","NIK kosong",IF(LEN($C229)&lt;&gt;16,"NIK bukan 16 digit",IF(COUNTIF($C$4:$C$2003,$C229&amp;"*")&gt;1,"NIK ganda",IF($E229="","Kadus kosong",IF($F229="","RT kosong",IF($H229="","Jabatan kosong",IF($I229="","No. HP kosong",IF($J229="","Alamat kosong",IF(AND($M229&lt;&gt;"",$M229&lt;17),"Usia di bawah 17",""))))))))))</f>
        <v/>
      </c>
      <c r="U229" s="40" t="str">
        <f aca="false">IF($B229="","",IF(AND(OR(CARI!$C$5="",ISNUMBER(SEARCH(CARI!$C$5,$B229&amp;" "&amp;$C229&amp;" "&amp;$I229&amp;" "&amp;$J229&amp;" "&amp;$Q229))),OR(CARI!$C$6="",$E229=CARI!$C$6),OR(CARI!$C$7="",$F229=CARI!$C$7),OR(CARI!$C$8="",$O229=CARI!$C$8)),MAX($U$3:U228)+1,""))</f>
        <v/>
      </c>
      <c r="V229" s="40" t="str">
        <f aca="false">IF($T229="","",MAX($V$3:V228)+1)</f>
        <v/>
      </c>
      <c r="W229" s="40" t="str">
        <f aca="false">IF($E229="","",$E229&amp;"#"&amp;COUNTIF($E$4:$E229,$E229))</f>
        <v/>
      </c>
      <c r="X229" s="40" t="str">
        <f aca="false">IF($B229="","",IF(AND(OR(CETAK!$J$10="",$E229=CETAK!$J$10),OR(CETAK!$J$11="",$F229=CETAK!$J$11),OR(CETAK!$J$12="",$K229=CETAK!$J$12),OR(CETAK!$J$13="",$H229=CETAK!$J$13),OR(CETAK!$J$14="",$O229=CETAK!$J$14)),MAX($X$3:X228)+1,""))</f>
        <v/>
      </c>
      <c r="Y229" s="40" t="str">
        <f aca="false">IF($B229="","",IF(AND(OR(ABSENSI!$H$10="",$E229=ABSENSI!$H$10),OR(ABSENSI!$H$11="",$F229=ABSENSI!$H$11),OR(ABSENSI!$H$12="",$K229=ABSENSI!$H$12)),MAX($Y$3:Y228)+1,""))</f>
        <v/>
      </c>
      <c r="Z229" s="40" t="str">
        <f aca="false">IF($B229="","",IF(AND(OR(KARTU!$K$6="",$E229=KARTU!$K$6),OR(KARTU!$K$7="",$F229=KARTU!$K$7),OR(KARTU!$K$8="",$K229=KARTU!$K$8)),MAX($Z$3:Z228)+1,""))</f>
        <v/>
      </c>
    </row>
    <row r="230" customFormat="false" ht="15" hidden="false" customHeight="false" outlineLevel="0" collapsed="false">
      <c r="A230" s="36" t="str">
        <f aca="false">IF($B230="","",COUNTA($B$4:$B230))</f>
        <v/>
      </c>
      <c r="B230" s="37"/>
      <c r="C230" s="38"/>
      <c r="D230" s="39"/>
      <c r="E230" s="37"/>
      <c r="F230" s="39"/>
      <c r="G230" s="40" t="str">
        <f aca="false">IF(OR($E230="",$F230=""),"",$E230&amp;" - RT "&amp;$F230)</f>
        <v/>
      </c>
      <c r="H230" s="37"/>
      <c r="I230" s="38"/>
      <c r="J230" s="37"/>
      <c r="K230" s="39"/>
      <c r="L230" s="41"/>
      <c r="M230" s="36" t="str">
        <f aca="true">IF(OR($B230="",$L230=""),"",DATEDIF($L230,TODAY(),"Y"))</f>
        <v/>
      </c>
      <c r="N230" s="40" t="str">
        <f aca="false">IF($M230="","",INDEX(usia_label,MATCH($M230,usia_min,1)))</f>
        <v/>
      </c>
      <c r="O230" s="37"/>
      <c r="P230" s="41"/>
      <c r="Q230" s="37"/>
      <c r="R230" s="37"/>
      <c r="S230" s="40" t="str">
        <f aca="false">IF($G230="","",$G230&amp;"#"&amp;COUNTIF($G$4:$G230,$G230))</f>
        <v/>
      </c>
      <c r="T230" s="40" t="str">
        <f aca="false">IF($B230="","",IF($C230="","NIK kosong",IF(LEN($C230)&lt;&gt;16,"NIK bukan 16 digit",IF(COUNTIF($C$4:$C$2003,$C230&amp;"*")&gt;1,"NIK ganda",IF($E230="","Kadus kosong",IF($F230="","RT kosong",IF($H230="","Jabatan kosong",IF($I230="","No. HP kosong",IF($J230="","Alamat kosong",IF(AND($M230&lt;&gt;"",$M230&lt;17),"Usia di bawah 17",""))))))))))</f>
        <v/>
      </c>
      <c r="U230" s="40" t="str">
        <f aca="false">IF($B230="","",IF(AND(OR(CARI!$C$5="",ISNUMBER(SEARCH(CARI!$C$5,$B230&amp;" "&amp;$C230&amp;" "&amp;$I230&amp;" "&amp;$J230&amp;" "&amp;$Q230))),OR(CARI!$C$6="",$E230=CARI!$C$6),OR(CARI!$C$7="",$F230=CARI!$C$7),OR(CARI!$C$8="",$O230=CARI!$C$8)),MAX($U$3:U229)+1,""))</f>
        <v/>
      </c>
      <c r="V230" s="40" t="str">
        <f aca="false">IF($T230="","",MAX($V$3:V229)+1)</f>
        <v/>
      </c>
      <c r="W230" s="40" t="str">
        <f aca="false">IF($E230="","",$E230&amp;"#"&amp;COUNTIF($E$4:$E230,$E230))</f>
        <v/>
      </c>
      <c r="X230" s="40" t="str">
        <f aca="false">IF($B230="","",IF(AND(OR(CETAK!$J$10="",$E230=CETAK!$J$10),OR(CETAK!$J$11="",$F230=CETAK!$J$11),OR(CETAK!$J$12="",$K230=CETAK!$J$12),OR(CETAK!$J$13="",$H230=CETAK!$J$13),OR(CETAK!$J$14="",$O230=CETAK!$J$14)),MAX($X$3:X229)+1,""))</f>
        <v/>
      </c>
      <c r="Y230" s="40" t="str">
        <f aca="false">IF($B230="","",IF(AND(OR(ABSENSI!$H$10="",$E230=ABSENSI!$H$10),OR(ABSENSI!$H$11="",$F230=ABSENSI!$H$11),OR(ABSENSI!$H$12="",$K230=ABSENSI!$H$12)),MAX($Y$3:Y229)+1,""))</f>
        <v/>
      </c>
      <c r="Z230" s="40" t="str">
        <f aca="false">IF($B230="","",IF(AND(OR(KARTU!$K$6="",$E230=KARTU!$K$6),OR(KARTU!$K$7="",$F230=KARTU!$K$7),OR(KARTU!$K$8="",$K230=KARTU!$K$8)),MAX($Z$3:Z229)+1,""))</f>
        <v/>
      </c>
    </row>
    <row r="231" customFormat="false" ht="15" hidden="false" customHeight="false" outlineLevel="0" collapsed="false">
      <c r="A231" s="36" t="str">
        <f aca="false">IF($B231="","",COUNTA($B$4:$B231))</f>
        <v/>
      </c>
      <c r="B231" s="37"/>
      <c r="C231" s="38"/>
      <c r="D231" s="39"/>
      <c r="E231" s="37"/>
      <c r="F231" s="39"/>
      <c r="G231" s="40" t="str">
        <f aca="false">IF(OR($E231="",$F231=""),"",$E231&amp;" - RT "&amp;$F231)</f>
        <v/>
      </c>
      <c r="H231" s="37"/>
      <c r="I231" s="38"/>
      <c r="J231" s="37"/>
      <c r="K231" s="39"/>
      <c r="L231" s="41"/>
      <c r="M231" s="36" t="str">
        <f aca="true">IF(OR($B231="",$L231=""),"",DATEDIF($L231,TODAY(),"Y"))</f>
        <v/>
      </c>
      <c r="N231" s="40" t="str">
        <f aca="false">IF($M231="","",INDEX(usia_label,MATCH($M231,usia_min,1)))</f>
        <v/>
      </c>
      <c r="O231" s="37"/>
      <c r="P231" s="41"/>
      <c r="Q231" s="37"/>
      <c r="R231" s="37"/>
      <c r="S231" s="40" t="str">
        <f aca="false">IF($G231="","",$G231&amp;"#"&amp;COUNTIF($G$4:$G231,$G231))</f>
        <v/>
      </c>
      <c r="T231" s="40" t="str">
        <f aca="false">IF($B231="","",IF($C231="","NIK kosong",IF(LEN($C231)&lt;&gt;16,"NIK bukan 16 digit",IF(COUNTIF($C$4:$C$2003,$C231&amp;"*")&gt;1,"NIK ganda",IF($E231="","Kadus kosong",IF($F231="","RT kosong",IF($H231="","Jabatan kosong",IF($I231="","No. HP kosong",IF($J231="","Alamat kosong",IF(AND($M231&lt;&gt;"",$M231&lt;17),"Usia di bawah 17",""))))))))))</f>
        <v/>
      </c>
      <c r="U231" s="40" t="str">
        <f aca="false">IF($B231="","",IF(AND(OR(CARI!$C$5="",ISNUMBER(SEARCH(CARI!$C$5,$B231&amp;" "&amp;$C231&amp;" "&amp;$I231&amp;" "&amp;$J231&amp;" "&amp;$Q231))),OR(CARI!$C$6="",$E231=CARI!$C$6),OR(CARI!$C$7="",$F231=CARI!$C$7),OR(CARI!$C$8="",$O231=CARI!$C$8)),MAX($U$3:U230)+1,""))</f>
        <v/>
      </c>
      <c r="V231" s="40" t="str">
        <f aca="false">IF($T231="","",MAX($V$3:V230)+1)</f>
        <v/>
      </c>
      <c r="W231" s="40" t="str">
        <f aca="false">IF($E231="","",$E231&amp;"#"&amp;COUNTIF($E$4:$E231,$E231))</f>
        <v/>
      </c>
      <c r="X231" s="40" t="str">
        <f aca="false">IF($B231="","",IF(AND(OR(CETAK!$J$10="",$E231=CETAK!$J$10),OR(CETAK!$J$11="",$F231=CETAK!$J$11),OR(CETAK!$J$12="",$K231=CETAK!$J$12),OR(CETAK!$J$13="",$H231=CETAK!$J$13),OR(CETAK!$J$14="",$O231=CETAK!$J$14)),MAX($X$3:X230)+1,""))</f>
        <v/>
      </c>
      <c r="Y231" s="40" t="str">
        <f aca="false">IF($B231="","",IF(AND(OR(ABSENSI!$H$10="",$E231=ABSENSI!$H$10),OR(ABSENSI!$H$11="",$F231=ABSENSI!$H$11),OR(ABSENSI!$H$12="",$K231=ABSENSI!$H$12)),MAX($Y$3:Y230)+1,""))</f>
        <v/>
      </c>
      <c r="Z231" s="40" t="str">
        <f aca="false">IF($B231="","",IF(AND(OR(KARTU!$K$6="",$E231=KARTU!$K$6),OR(KARTU!$K$7="",$F231=KARTU!$K$7),OR(KARTU!$K$8="",$K231=KARTU!$K$8)),MAX($Z$3:Z230)+1,""))</f>
        <v/>
      </c>
    </row>
    <row r="232" customFormat="false" ht="15" hidden="false" customHeight="false" outlineLevel="0" collapsed="false">
      <c r="A232" s="36" t="str">
        <f aca="false">IF($B232="","",COUNTA($B$4:$B232))</f>
        <v/>
      </c>
      <c r="B232" s="37"/>
      <c r="C232" s="38"/>
      <c r="D232" s="39"/>
      <c r="E232" s="37"/>
      <c r="F232" s="39"/>
      <c r="G232" s="40" t="str">
        <f aca="false">IF(OR($E232="",$F232=""),"",$E232&amp;" - RT "&amp;$F232)</f>
        <v/>
      </c>
      <c r="H232" s="37"/>
      <c r="I232" s="38"/>
      <c r="J232" s="37"/>
      <c r="K232" s="39"/>
      <c r="L232" s="41"/>
      <c r="M232" s="36" t="str">
        <f aca="true">IF(OR($B232="",$L232=""),"",DATEDIF($L232,TODAY(),"Y"))</f>
        <v/>
      </c>
      <c r="N232" s="40" t="str">
        <f aca="false">IF($M232="","",INDEX(usia_label,MATCH($M232,usia_min,1)))</f>
        <v/>
      </c>
      <c r="O232" s="37"/>
      <c r="P232" s="41"/>
      <c r="Q232" s="37"/>
      <c r="R232" s="37"/>
      <c r="S232" s="40" t="str">
        <f aca="false">IF($G232="","",$G232&amp;"#"&amp;COUNTIF($G$4:$G232,$G232))</f>
        <v/>
      </c>
      <c r="T232" s="40" t="str">
        <f aca="false">IF($B232="","",IF($C232="","NIK kosong",IF(LEN($C232)&lt;&gt;16,"NIK bukan 16 digit",IF(COUNTIF($C$4:$C$2003,$C232&amp;"*")&gt;1,"NIK ganda",IF($E232="","Kadus kosong",IF($F232="","RT kosong",IF($H232="","Jabatan kosong",IF($I232="","No. HP kosong",IF($J232="","Alamat kosong",IF(AND($M232&lt;&gt;"",$M232&lt;17),"Usia di bawah 17",""))))))))))</f>
        <v/>
      </c>
      <c r="U232" s="40" t="str">
        <f aca="false">IF($B232="","",IF(AND(OR(CARI!$C$5="",ISNUMBER(SEARCH(CARI!$C$5,$B232&amp;" "&amp;$C232&amp;" "&amp;$I232&amp;" "&amp;$J232&amp;" "&amp;$Q232))),OR(CARI!$C$6="",$E232=CARI!$C$6),OR(CARI!$C$7="",$F232=CARI!$C$7),OR(CARI!$C$8="",$O232=CARI!$C$8)),MAX($U$3:U231)+1,""))</f>
        <v/>
      </c>
      <c r="V232" s="40" t="str">
        <f aca="false">IF($T232="","",MAX($V$3:V231)+1)</f>
        <v/>
      </c>
      <c r="W232" s="40" t="str">
        <f aca="false">IF($E232="","",$E232&amp;"#"&amp;COUNTIF($E$4:$E232,$E232))</f>
        <v/>
      </c>
      <c r="X232" s="40" t="str">
        <f aca="false">IF($B232="","",IF(AND(OR(CETAK!$J$10="",$E232=CETAK!$J$10),OR(CETAK!$J$11="",$F232=CETAK!$J$11),OR(CETAK!$J$12="",$K232=CETAK!$J$12),OR(CETAK!$J$13="",$H232=CETAK!$J$13),OR(CETAK!$J$14="",$O232=CETAK!$J$14)),MAX($X$3:X231)+1,""))</f>
        <v/>
      </c>
      <c r="Y232" s="40" t="str">
        <f aca="false">IF($B232="","",IF(AND(OR(ABSENSI!$H$10="",$E232=ABSENSI!$H$10),OR(ABSENSI!$H$11="",$F232=ABSENSI!$H$11),OR(ABSENSI!$H$12="",$K232=ABSENSI!$H$12)),MAX($Y$3:Y231)+1,""))</f>
        <v/>
      </c>
      <c r="Z232" s="40" t="str">
        <f aca="false">IF($B232="","",IF(AND(OR(KARTU!$K$6="",$E232=KARTU!$K$6),OR(KARTU!$K$7="",$F232=KARTU!$K$7),OR(KARTU!$K$8="",$K232=KARTU!$K$8)),MAX($Z$3:Z231)+1,""))</f>
        <v/>
      </c>
    </row>
    <row r="233" customFormat="false" ht="15" hidden="false" customHeight="false" outlineLevel="0" collapsed="false">
      <c r="A233" s="36" t="str">
        <f aca="false">IF($B233="","",COUNTA($B$4:$B233))</f>
        <v/>
      </c>
      <c r="B233" s="37"/>
      <c r="C233" s="38"/>
      <c r="D233" s="39"/>
      <c r="E233" s="37"/>
      <c r="F233" s="39"/>
      <c r="G233" s="40" t="str">
        <f aca="false">IF(OR($E233="",$F233=""),"",$E233&amp;" - RT "&amp;$F233)</f>
        <v/>
      </c>
      <c r="H233" s="37"/>
      <c r="I233" s="38"/>
      <c r="J233" s="37"/>
      <c r="K233" s="39"/>
      <c r="L233" s="41"/>
      <c r="M233" s="36" t="str">
        <f aca="true">IF(OR($B233="",$L233=""),"",DATEDIF($L233,TODAY(),"Y"))</f>
        <v/>
      </c>
      <c r="N233" s="40" t="str">
        <f aca="false">IF($M233="","",INDEX(usia_label,MATCH($M233,usia_min,1)))</f>
        <v/>
      </c>
      <c r="O233" s="37"/>
      <c r="P233" s="41"/>
      <c r="Q233" s="37"/>
      <c r="R233" s="37"/>
      <c r="S233" s="40" t="str">
        <f aca="false">IF($G233="","",$G233&amp;"#"&amp;COUNTIF($G$4:$G233,$G233))</f>
        <v/>
      </c>
      <c r="T233" s="40" t="str">
        <f aca="false">IF($B233="","",IF($C233="","NIK kosong",IF(LEN($C233)&lt;&gt;16,"NIK bukan 16 digit",IF(COUNTIF($C$4:$C$2003,$C233&amp;"*")&gt;1,"NIK ganda",IF($E233="","Kadus kosong",IF($F233="","RT kosong",IF($H233="","Jabatan kosong",IF($I233="","No. HP kosong",IF($J233="","Alamat kosong",IF(AND($M233&lt;&gt;"",$M233&lt;17),"Usia di bawah 17",""))))))))))</f>
        <v/>
      </c>
      <c r="U233" s="40" t="str">
        <f aca="false">IF($B233="","",IF(AND(OR(CARI!$C$5="",ISNUMBER(SEARCH(CARI!$C$5,$B233&amp;" "&amp;$C233&amp;" "&amp;$I233&amp;" "&amp;$J233&amp;" "&amp;$Q233))),OR(CARI!$C$6="",$E233=CARI!$C$6),OR(CARI!$C$7="",$F233=CARI!$C$7),OR(CARI!$C$8="",$O233=CARI!$C$8)),MAX($U$3:U232)+1,""))</f>
        <v/>
      </c>
      <c r="V233" s="40" t="str">
        <f aca="false">IF($T233="","",MAX($V$3:V232)+1)</f>
        <v/>
      </c>
      <c r="W233" s="40" t="str">
        <f aca="false">IF($E233="","",$E233&amp;"#"&amp;COUNTIF($E$4:$E233,$E233))</f>
        <v/>
      </c>
      <c r="X233" s="40" t="str">
        <f aca="false">IF($B233="","",IF(AND(OR(CETAK!$J$10="",$E233=CETAK!$J$10),OR(CETAK!$J$11="",$F233=CETAK!$J$11),OR(CETAK!$J$12="",$K233=CETAK!$J$12),OR(CETAK!$J$13="",$H233=CETAK!$J$13),OR(CETAK!$J$14="",$O233=CETAK!$J$14)),MAX($X$3:X232)+1,""))</f>
        <v/>
      </c>
      <c r="Y233" s="40" t="str">
        <f aca="false">IF($B233="","",IF(AND(OR(ABSENSI!$H$10="",$E233=ABSENSI!$H$10),OR(ABSENSI!$H$11="",$F233=ABSENSI!$H$11),OR(ABSENSI!$H$12="",$K233=ABSENSI!$H$12)),MAX($Y$3:Y232)+1,""))</f>
        <v/>
      </c>
      <c r="Z233" s="40" t="str">
        <f aca="false">IF($B233="","",IF(AND(OR(KARTU!$K$6="",$E233=KARTU!$K$6),OR(KARTU!$K$7="",$F233=KARTU!$K$7),OR(KARTU!$K$8="",$K233=KARTU!$K$8)),MAX($Z$3:Z232)+1,""))</f>
        <v/>
      </c>
    </row>
    <row r="234" customFormat="false" ht="15" hidden="false" customHeight="false" outlineLevel="0" collapsed="false">
      <c r="A234" s="36" t="str">
        <f aca="false">IF($B234="","",COUNTA($B$4:$B234))</f>
        <v/>
      </c>
      <c r="B234" s="37"/>
      <c r="C234" s="38"/>
      <c r="D234" s="39"/>
      <c r="E234" s="37"/>
      <c r="F234" s="39"/>
      <c r="G234" s="40" t="str">
        <f aca="false">IF(OR($E234="",$F234=""),"",$E234&amp;" - RT "&amp;$F234)</f>
        <v/>
      </c>
      <c r="H234" s="37"/>
      <c r="I234" s="38"/>
      <c r="J234" s="37"/>
      <c r="K234" s="39"/>
      <c r="L234" s="41"/>
      <c r="M234" s="36" t="str">
        <f aca="true">IF(OR($B234="",$L234=""),"",DATEDIF($L234,TODAY(),"Y"))</f>
        <v/>
      </c>
      <c r="N234" s="40" t="str">
        <f aca="false">IF($M234="","",INDEX(usia_label,MATCH($M234,usia_min,1)))</f>
        <v/>
      </c>
      <c r="O234" s="37"/>
      <c r="P234" s="41"/>
      <c r="Q234" s="37"/>
      <c r="R234" s="37"/>
      <c r="S234" s="40" t="str">
        <f aca="false">IF($G234="","",$G234&amp;"#"&amp;COUNTIF($G$4:$G234,$G234))</f>
        <v/>
      </c>
      <c r="T234" s="40" t="str">
        <f aca="false">IF($B234="","",IF($C234="","NIK kosong",IF(LEN($C234)&lt;&gt;16,"NIK bukan 16 digit",IF(COUNTIF($C$4:$C$2003,$C234&amp;"*")&gt;1,"NIK ganda",IF($E234="","Kadus kosong",IF($F234="","RT kosong",IF($H234="","Jabatan kosong",IF($I234="","No. HP kosong",IF($J234="","Alamat kosong",IF(AND($M234&lt;&gt;"",$M234&lt;17),"Usia di bawah 17",""))))))))))</f>
        <v/>
      </c>
      <c r="U234" s="40" t="str">
        <f aca="false">IF($B234="","",IF(AND(OR(CARI!$C$5="",ISNUMBER(SEARCH(CARI!$C$5,$B234&amp;" "&amp;$C234&amp;" "&amp;$I234&amp;" "&amp;$J234&amp;" "&amp;$Q234))),OR(CARI!$C$6="",$E234=CARI!$C$6),OR(CARI!$C$7="",$F234=CARI!$C$7),OR(CARI!$C$8="",$O234=CARI!$C$8)),MAX($U$3:U233)+1,""))</f>
        <v/>
      </c>
      <c r="V234" s="40" t="str">
        <f aca="false">IF($T234="","",MAX($V$3:V233)+1)</f>
        <v/>
      </c>
      <c r="W234" s="40" t="str">
        <f aca="false">IF($E234="","",$E234&amp;"#"&amp;COUNTIF($E$4:$E234,$E234))</f>
        <v/>
      </c>
      <c r="X234" s="40" t="str">
        <f aca="false">IF($B234="","",IF(AND(OR(CETAK!$J$10="",$E234=CETAK!$J$10),OR(CETAK!$J$11="",$F234=CETAK!$J$11),OR(CETAK!$J$12="",$K234=CETAK!$J$12),OR(CETAK!$J$13="",$H234=CETAK!$J$13),OR(CETAK!$J$14="",$O234=CETAK!$J$14)),MAX($X$3:X233)+1,""))</f>
        <v/>
      </c>
      <c r="Y234" s="40" t="str">
        <f aca="false">IF($B234="","",IF(AND(OR(ABSENSI!$H$10="",$E234=ABSENSI!$H$10),OR(ABSENSI!$H$11="",$F234=ABSENSI!$H$11),OR(ABSENSI!$H$12="",$K234=ABSENSI!$H$12)),MAX($Y$3:Y233)+1,""))</f>
        <v/>
      </c>
      <c r="Z234" s="40" t="str">
        <f aca="false">IF($B234="","",IF(AND(OR(KARTU!$K$6="",$E234=KARTU!$K$6),OR(KARTU!$K$7="",$F234=KARTU!$K$7),OR(KARTU!$K$8="",$K234=KARTU!$K$8)),MAX($Z$3:Z233)+1,""))</f>
        <v/>
      </c>
    </row>
    <row r="235" customFormat="false" ht="15" hidden="false" customHeight="false" outlineLevel="0" collapsed="false">
      <c r="A235" s="36" t="str">
        <f aca="false">IF($B235="","",COUNTA($B$4:$B235))</f>
        <v/>
      </c>
      <c r="B235" s="37"/>
      <c r="C235" s="38"/>
      <c r="D235" s="39"/>
      <c r="E235" s="37"/>
      <c r="F235" s="39"/>
      <c r="G235" s="40" t="str">
        <f aca="false">IF(OR($E235="",$F235=""),"",$E235&amp;" - RT "&amp;$F235)</f>
        <v/>
      </c>
      <c r="H235" s="37"/>
      <c r="I235" s="38"/>
      <c r="J235" s="37"/>
      <c r="K235" s="39"/>
      <c r="L235" s="41"/>
      <c r="M235" s="36" t="str">
        <f aca="true">IF(OR($B235="",$L235=""),"",DATEDIF($L235,TODAY(),"Y"))</f>
        <v/>
      </c>
      <c r="N235" s="40" t="str">
        <f aca="false">IF($M235="","",INDEX(usia_label,MATCH($M235,usia_min,1)))</f>
        <v/>
      </c>
      <c r="O235" s="37"/>
      <c r="P235" s="41"/>
      <c r="Q235" s="37"/>
      <c r="R235" s="37"/>
      <c r="S235" s="40" t="str">
        <f aca="false">IF($G235="","",$G235&amp;"#"&amp;COUNTIF($G$4:$G235,$G235))</f>
        <v/>
      </c>
      <c r="T235" s="40" t="str">
        <f aca="false">IF($B235="","",IF($C235="","NIK kosong",IF(LEN($C235)&lt;&gt;16,"NIK bukan 16 digit",IF(COUNTIF($C$4:$C$2003,$C235&amp;"*")&gt;1,"NIK ganda",IF($E235="","Kadus kosong",IF($F235="","RT kosong",IF($H235="","Jabatan kosong",IF($I235="","No. HP kosong",IF($J235="","Alamat kosong",IF(AND($M235&lt;&gt;"",$M235&lt;17),"Usia di bawah 17",""))))))))))</f>
        <v/>
      </c>
      <c r="U235" s="40" t="str">
        <f aca="false">IF($B235="","",IF(AND(OR(CARI!$C$5="",ISNUMBER(SEARCH(CARI!$C$5,$B235&amp;" "&amp;$C235&amp;" "&amp;$I235&amp;" "&amp;$J235&amp;" "&amp;$Q235))),OR(CARI!$C$6="",$E235=CARI!$C$6),OR(CARI!$C$7="",$F235=CARI!$C$7),OR(CARI!$C$8="",$O235=CARI!$C$8)),MAX($U$3:U234)+1,""))</f>
        <v/>
      </c>
      <c r="V235" s="40" t="str">
        <f aca="false">IF($T235="","",MAX($V$3:V234)+1)</f>
        <v/>
      </c>
      <c r="W235" s="40" t="str">
        <f aca="false">IF($E235="","",$E235&amp;"#"&amp;COUNTIF($E$4:$E235,$E235))</f>
        <v/>
      </c>
      <c r="X235" s="40" t="str">
        <f aca="false">IF($B235="","",IF(AND(OR(CETAK!$J$10="",$E235=CETAK!$J$10),OR(CETAK!$J$11="",$F235=CETAK!$J$11),OR(CETAK!$J$12="",$K235=CETAK!$J$12),OR(CETAK!$J$13="",$H235=CETAK!$J$13),OR(CETAK!$J$14="",$O235=CETAK!$J$14)),MAX($X$3:X234)+1,""))</f>
        <v/>
      </c>
      <c r="Y235" s="40" t="str">
        <f aca="false">IF($B235="","",IF(AND(OR(ABSENSI!$H$10="",$E235=ABSENSI!$H$10),OR(ABSENSI!$H$11="",$F235=ABSENSI!$H$11),OR(ABSENSI!$H$12="",$K235=ABSENSI!$H$12)),MAX($Y$3:Y234)+1,""))</f>
        <v/>
      </c>
      <c r="Z235" s="40" t="str">
        <f aca="false">IF($B235="","",IF(AND(OR(KARTU!$K$6="",$E235=KARTU!$K$6),OR(KARTU!$K$7="",$F235=KARTU!$K$7),OR(KARTU!$K$8="",$K235=KARTU!$K$8)),MAX($Z$3:Z234)+1,""))</f>
        <v/>
      </c>
    </row>
    <row r="236" customFormat="false" ht="15" hidden="false" customHeight="false" outlineLevel="0" collapsed="false">
      <c r="A236" s="36" t="str">
        <f aca="false">IF($B236="","",COUNTA($B$4:$B236))</f>
        <v/>
      </c>
      <c r="B236" s="37"/>
      <c r="C236" s="38"/>
      <c r="D236" s="39"/>
      <c r="E236" s="37"/>
      <c r="F236" s="39"/>
      <c r="G236" s="40" t="str">
        <f aca="false">IF(OR($E236="",$F236=""),"",$E236&amp;" - RT "&amp;$F236)</f>
        <v/>
      </c>
      <c r="H236" s="37"/>
      <c r="I236" s="38"/>
      <c r="J236" s="37"/>
      <c r="K236" s="39"/>
      <c r="L236" s="41"/>
      <c r="M236" s="36" t="str">
        <f aca="true">IF(OR($B236="",$L236=""),"",DATEDIF($L236,TODAY(),"Y"))</f>
        <v/>
      </c>
      <c r="N236" s="40" t="str">
        <f aca="false">IF($M236="","",INDEX(usia_label,MATCH($M236,usia_min,1)))</f>
        <v/>
      </c>
      <c r="O236" s="37"/>
      <c r="P236" s="41"/>
      <c r="Q236" s="37"/>
      <c r="R236" s="37"/>
      <c r="S236" s="40" t="str">
        <f aca="false">IF($G236="","",$G236&amp;"#"&amp;COUNTIF($G$4:$G236,$G236))</f>
        <v/>
      </c>
      <c r="T236" s="40" t="str">
        <f aca="false">IF($B236="","",IF($C236="","NIK kosong",IF(LEN($C236)&lt;&gt;16,"NIK bukan 16 digit",IF(COUNTIF($C$4:$C$2003,$C236&amp;"*")&gt;1,"NIK ganda",IF($E236="","Kadus kosong",IF($F236="","RT kosong",IF($H236="","Jabatan kosong",IF($I236="","No. HP kosong",IF($J236="","Alamat kosong",IF(AND($M236&lt;&gt;"",$M236&lt;17),"Usia di bawah 17",""))))))))))</f>
        <v/>
      </c>
      <c r="U236" s="40" t="str">
        <f aca="false">IF($B236="","",IF(AND(OR(CARI!$C$5="",ISNUMBER(SEARCH(CARI!$C$5,$B236&amp;" "&amp;$C236&amp;" "&amp;$I236&amp;" "&amp;$J236&amp;" "&amp;$Q236))),OR(CARI!$C$6="",$E236=CARI!$C$6),OR(CARI!$C$7="",$F236=CARI!$C$7),OR(CARI!$C$8="",$O236=CARI!$C$8)),MAX($U$3:U235)+1,""))</f>
        <v/>
      </c>
      <c r="V236" s="40" t="str">
        <f aca="false">IF($T236="","",MAX($V$3:V235)+1)</f>
        <v/>
      </c>
      <c r="W236" s="40" t="str">
        <f aca="false">IF($E236="","",$E236&amp;"#"&amp;COUNTIF($E$4:$E236,$E236))</f>
        <v/>
      </c>
      <c r="X236" s="40" t="str">
        <f aca="false">IF($B236="","",IF(AND(OR(CETAK!$J$10="",$E236=CETAK!$J$10),OR(CETAK!$J$11="",$F236=CETAK!$J$11),OR(CETAK!$J$12="",$K236=CETAK!$J$12),OR(CETAK!$J$13="",$H236=CETAK!$J$13),OR(CETAK!$J$14="",$O236=CETAK!$J$14)),MAX($X$3:X235)+1,""))</f>
        <v/>
      </c>
      <c r="Y236" s="40" t="str">
        <f aca="false">IF($B236="","",IF(AND(OR(ABSENSI!$H$10="",$E236=ABSENSI!$H$10),OR(ABSENSI!$H$11="",$F236=ABSENSI!$H$11),OR(ABSENSI!$H$12="",$K236=ABSENSI!$H$12)),MAX($Y$3:Y235)+1,""))</f>
        <v/>
      </c>
      <c r="Z236" s="40" t="str">
        <f aca="false">IF($B236="","",IF(AND(OR(KARTU!$K$6="",$E236=KARTU!$K$6),OR(KARTU!$K$7="",$F236=KARTU!$K$7),OR(KARTU!$K$8="",$K236=KARTU!$K$8)),MAX($Z$3:Z235)+1,""))</f>
        <v/>
      </c>
    </row>
    <row r="237" customFormat="false" ht="15" hidden="false" customHeight="false" outlineLevel="0" collapsed="false">
      <c r="A237" s="36" t="str">
        <f aca="false">IF($B237="","",COUNTA($B$4:$B237))</f>
        <v/>
      </c>
      <c r="B237" s="37"/>
      <c r="C237" s="38"/>
      <c r="D237" s="39"/>
      <c r="E237" s="37"/>
      <c r="F237" s="39"/>
      <c r="G237" s="40" t="str">
        <f aca="false">IF(OR($E237="",$F237=""),"",$E237&amp;" - RT "&amp;$F237)</f>
        <v/>
      </c>
      <c r="H237" s="37"/>
      <c r="I237" s="38"/>
      <c r="J237" s="37"/>
      <c r="K237" s="39"/>
      <c r="L237" s="41"/>
      <c r="M237" s="36" t="str">
        <f aca="true">IF(OR($B237="",$L237=""),"",DATEDIF($L237,TODAY(),"Y"))</f>
        <v/>
      </c>
      <c r="N237" s="40" t="str">
        <f aca="false">IF($M237="","",INDEX(usia_label,MATCH($M237,usia_min,1)))</f>
        <v/>
      </c>
      <c r="O237" s="37"/>
      <c r="P237" s="41"/>
      <c r="Q237" s="37"/>
      <c r="R237" s="37"/>
      <c r="S237" s="40" t="str">
        <f aca="false">IF($G237="","",$G237&amp;"#"&amp;COUNTIF($G$4:$G237,$G237))</f>
        <v/>
      </c>
      <c r="T237" s="40" t="str">
        <f aca="false">IF($B237="","",IF($C237="","NIK kosong",IF(LEN($C237)&lt;&gt;16,"NIK bukan 16 digit",IF(COUNTIF($C$4:$C$2003,$C237&amp;"*")&gt;1,"NIK ganda",IF($E237="","Kadus kosong",IF($F237="","RT kosong",IF($H237="","Jabatan kosong",IF($I237="","No. HP kosong",IF($J237="","Alamat kosong",IF(AND($M237&lt;&gt;"",$M237&lt;17),"Usia di bawah 17",""))))))))))</f>
        <v/>
      </c>
      <c r="U237" s="40" t="str">
        <f aca="false">IF($B237="","",IF(AND(OR(CARI!$C$5="",ISNUMBER(SEARCH(CARI!$C$5,$B237&amp;" "&amp;$C237&amp;" "&amp;$I237&amp;" "&amp;$J237&amp;" "&amp;$Q237))),OR(CARI!$C$6="",$E237=CARI!$C$6),OR(CARI!$C$7="",$F237=CARI!$C$7),OR(CARI!$C$8="",$O237=CARI!$C$8)),MAX($U$3:U236)+1,""))</f>
        <v/>
      </c>
      <c r="V237" s="40" t="str">
        <f aca="false">IF($T237="","",MAX($V$3:V236)+1)</f>
        <v/>
      </c>
      <c r="W237" s="40" t="str">
        <f aca="false">IF($E237="","",$E237&amp;"#"&amp;COUNTIF($E$4:$E237,$E237))</f>
        <v/>
      </c>
      <c r="X237" s="40" t="str">
        <f aca="false">IF($B237="","",IF(AND(OR(CETAK!$J$10="",$E237=CETAK!$J$10),OR(CETAK!$J$11="",$F237=CETAK!$J$11),OR(CETAK!$J$12="",$K237=CETAK!$J$12),OR(CETAK!$J$13="",$H237=CETAK!$J$13),OR(CETAK!$J$14="",$O237=CETAK!$J$14)),MAX($X$3:X236)+1,""))</f>
        <v/>
      </c>
      <c r="Y237" s="40" t="str">
        <f aca="false">IF($B237="","",IF(AND(OR(ABSENSI!$H$10="",$E237=ABSENSI!$H$10),OR(ABSENSI!$H$11="",$F237=ABSENSI!$H$11),OR(ABSENSI!$H$12="",$K237=ABSENSI!$H$12)),MAX($Y$3:Y236)+1,""))</f>
        <v/>
      </c>
      <c r="Z237" s="40" t="str">
        <f aca="false">IF($B237="","",IF(AND(OR(KARTU!$K$6="",$E237=KARTU!$K$6),OR(KARTU!$K$7="",$F237=KARTU!$K$7),OR(KARTU!$K$8="",$K237=KARTU!$K$8)),MAX($Z$3:Z236)+1,""))</f>
        <v/>
      </c>
    </row>
    <row r="238" customFormat="false" ht="15" hidden="false" customHeight="false" outlineLevel="0" collapsed="false">
      <c r="A238" s="36" t="str">
        <f aca="false">IF($B238="","",COUNTA($B$4:$B238))</f>
        <v/>
      </c>
      <c r="B238" s="37"/>
      <c r="C238" s="38"/>
      <c r="D238" s="39"/>
      <c r="E238" s="37"/>
      <c r="F238" s="39"/>
      <c r="G238" s="40" t="str">
        <f aca="false">IF(OR($E238="",$F238=""),"",$E238&amp;" - RT "&amp;$F238)</f>
        <v/>
      </c>
      <c r="H238" s="37"/>
      <c r="I238" s="38"/>
      <c r="J238" s="37"/>
      <c r="K238" s="39"/>
      <c r="L238" s="41"/>
      <c r="M238" s="36" t="str">
        <f aca="true">IF(OR($B238="",$L238=""),"",DATEDIF($L238,TODAY(),"Y"))</f>
        <v/>
      </c>
      <c r="N238" s="40" t="str">
        <f aca="false">IF($M238="","",INDEX(usia_label,MATCH($M238,usia_min,1)))</f>
        <v/>
      </c>
      <c r="O238" s="37"/>
      <c r="P238" s="41"/>
      <c r="Q238" s="37"/>
      <c r="R238" s="37"/>
      <c r="S238" s="40" t="str">
        <f aca="false">IF($G238="","",$G238&amp;"#"&amp;COUNTIF($G$4:$G238,$G238))</f>
        <v/>
      </c>
      <c r="T238" s="40" t="str">
        <f aca="false">IF($B238="","",IF($C238="","NIK kosong",IF(LEN($C238)&lt;&gt;16,"NIK bukan 16 digit",IF(COUNTIF($C$4:$C$2003,$C238&amp;"*")&gt;1,"NIK ganda",IF($E238="","Kadus kosong",IF($F238="","RT kosong",IF($H238="","Jabatan kosong",IF($I238="","No. HP kosong",IF($J238="","Alamat kosong",IF(AND($M238&lt;&gt;"",$M238&lt;17),"Usia di bawah 17",""))))))))))</f>
        <v/>
      </c>
      <c r="U238" s="40" t="str">
        <f aca="false">IF($B238="","",IF(AND(OR(CARI!$C$5="",ISNUMBER(SEARCH(CARI!$C$5,$B238&amp;" "&amp;$C238&amp;" "&amp;$I238&amp;" "&amp;$J238&amp;" "&amp;$Q238))),OR(CARI!$C$6="",$E238=CARI!$C$6),OR(CARI!$C$7="",$F238=CARI!$C$7),OR(CARI!$C$8="",$O238=CARI!$C$8)),MAX($U$3:U237)+1,""))</f>
        <v/>
      </c>
      <c r="V238" s="40" t="str">
        <f aca="false">IF($T238="","",MAX($V$3:V237)+1)</f>
        <v/>
      </c>
      <c r="W238" s="40" t="str">
        <f aca="false">IF($E238="","",$E238&amp;"#"&amp;COUNTIF($E$4:$E238,$E238))</f>
        <v/>
      </c>
      <c r="X238" s="40" t="str">
        <f aca="false">IF($B238="","",IF(AND(OR(CETAK!$J$10="",$E238=CETAK!$J$10),OR(CETAK!$J$11="",$F238=CETAK!$J$11),OR(CETAK!$J$12="",$K238=CETAK!$J$12),OR(CETAK!$J$13="",$H238=CETAK!$J$13),OR(CETAK!$J$14="",$O238=CETAK!$J$14)),MAX($X$3:X237)+1,""))</f>
        <v/>
      </c>
      <c r="Y238" s="40" t="str">
        <f aca="false">IF($B238="","",IF(AND(OR(ABSENSI!$H$10="",$E238=ABSENSI!$H$10),OR(ABSENSI!$H$11="",$F238=ABSENSI!$H$11),OR(ABSENSI!$H$12="",$K238=ABSENSI!$H$12)),MAX($Y$3:Y237)+1,""))</f>
        <v/>
      </c>
      <c r="Z238" s="40" t="str">
        <f aca="false">IF($B238="","",IF(AND(OR(KARTU!$K$6="",$E238=KARTU!$K$6),OR(KARTU!$K$7="",$F238=KARTU!$K$7),OR(KARTU!$K$8="",$K238=KARTU!$K$8)),MAX($Z$3:Z237)+1,""))</f>
        <v/>
      </c>
    </row>
    <row r="239" customFormat="false" ht="15" hidden="false" customHeight="false" outlineLevel="0" collapsed="false">
      <c r="A239" s="36" t="str">
        <f aca="false">IF($B239="","",COUNTA($B$4:$B239))</f>
        <v/>
      </c>
      <c r="B239" s="37"/>
      <c r="C239" s="38"/>
      <c r="D239" s="39"/>
      <c r="E239" s="37"/>
      <c r="F239" s="39"/>
      <c r="G239" s="40" t="str">
        <f aca="false">IF(OR($E239="",$F239=""),"",$E239&amp;" - RT "&amp;$F239)</f>
        <v/>
      </c>
      <c r="H239" s="37"/>
      <c r="I239" s="38"/>
      <c r="J239" s="37"/>
      <c r="K239" s="39"/>
      <c r="L239" s="41"/>
      <c r="M239" s="36" t="str">
        <f aca="true">IF(OR($B239="",$L239=""),"",DATEDIF($L239,TODAY(),"Y"))</f>
        <v/>
      </c>
      <c r="N239" s="40" t="str">
        <f aca="false">IF($M239="","",INDEX(usia_label,MATCH($M239,usia_min,1)))</f>
        <v/>
      </c>
      <c r="O239" s="37"/>
      <c r="P239" s="41"/>
      <c r="Q239" s="37"/>
      <c r="R239" s="37"/>
      <c r="S239" s="40" t="str">
        <f aca="false">IF($G239="","",$G239&amp;"#"&amp;COUNTIF($G$4:$G239,$G239))</f>
        <v/>
      </c>
      <c r="T239" s="40" t="str">
        <f aca="false">IF($B239="","",IF($C239="","NIK kosong",IF(LEN($C239)&lt;&gt;16,"NIK bukan 16 digit",IF(COUNTIF($C$4:$C$2003,$C239&amp;"*")&gt;1,"NIK ganda",IF($E239="","Kadus kosong",IF($F239="","RT kosong",IF($H239="","Jabatan kosong",IF($I239="","No. HP kosong",IF($J239="","Alamat kosong",IF(AND($M239&lt;&gt;"",$M239&lt;17),"Usia di bawah 17",""))))))))))</f>
        <v/>
      </c>
      <c r="U239" s="40" t="str">
        <f aca="false">IF($B239="","",IF(AND(OR(CARI!$C$5="",ISNUMBER(SEARCH(CARI!$C$5,$B239&amp;" "&amp;$C239&amp;" "&amp;$I239&amp;" "&amp;$J239&amp;" "&amp;$Q239))),OR(CARI!$C$6="",$E239=CARI!$C$6),OR(CARI!$C$7="",$F239=CARI!$C$7),OR(CARI!$C$8="",$O239=CARI!$C$8)),MAX($U$3:U238)+1,""))</f>
        <v/>
      </c>
      <c r="V239" s="40" t="str">
        <f aca="false">IF($T239="","",MAX($V$3:V238)+1)</f>
        <v/>
      </c>
      <c r="W239" s="40" t="str">
        <f aca="false">IF($E239="","",$E239&amp;"#"&amp;COUNTIF($E$4:$E239,$E239))</f>
        <v/>
      </c>
      <c r="X239" s="40" t="str">
        <f aca="false">IF($B239="","",IF(AND(OR(CETAK!$J$10="",$E239=CETAK!$J$10),OR(CETAK!$J$11="",$F239=CETAK!$J$11),OR(CETAK!$J$12="",$K239=CETAK!$J$12),OR(CETAK!$J$13="",$H239=CETAK!$J$13),OR(CETAK!$J$14="",$O239=CETAK!$J$14)),MAX($X$3:X238)+1,""))</f>
        <v/>
      </c>
      <c r="Y239" s="40" t="str">
        <f aca="false">IF($B239="","",IF(AND(OR(ABSENSI!$H$10="",$E239=ABSENSI!$H$10),OR(ABSENSI!$H$11="",$F239=ABSENSI!$H$11),OR(ABSENSI!$H$12="",$K239=ABSENSI!$H$12)),MAX($Y$3:Y238)+1,""))</f>
        <v/>
      </c>
      <c r="Z239" s="40" t="str">
        <f aca="false">IF($B239="","",IF(AND(OR(KARTU!$K$6="",$E239=KARTU!$K$6),OR(KARTU!$K$7="",$F239=KARTU!$K$7),OR(KARTU!$K$8="",$K239=KARTU!$K$8)),MAX($Z$3:Z238)+1,""))</f>
        <v/>
      </c>
    </row>
    <row r="240" customFormat="false" ht="15" hidden="false" customHeight="false" outlineLevel="0" collapsed="false">
      <c r="A240" s="36" t="str">
        <f aca="false">IF($B240="","",COUNTA($B$4:$B240))</f>
        <v/>
      </c>
      <c r="B240" s="37"/>
      <c r="C240" s="38"/>
      <c r="D240" s="39"/>
      <c r="E240" s="37"/>
      <c r="F240" s="39"/>
      <c r="G240" s="40" t="str">
        <f aca="false">IF(OR($E240="",$F240=""),"",$E240&amp;" - RT "&amp;$F240)</f>
        <v/>
      </c>
      <c r="H240" s="37"/>
      <c r="I240" s="38"/>
      <c r="J240" s="37"/>
      <c r="K240" s="39"/>
      <c r="L240" s="41"/>
      <c r="M240" s="36" t="str">
        <f aca="true">IF(OR($B240="",$L240=""),"",DATEDIF($L240,TODAY(),"Y"))</f>
        <v/>
      </c>
      <c r="N240" s="40" t="str">
        <f aca="false">IF($M240="","",INDEX(usia_label,MATCH($M240,usia_min,1)))</f>
        <v/>
      </c>
      <c r="O240" s="37"/>
      <c r="P240" s="41"/>
      <c r="Q240" s="37"/>
      <c r="R240" s="37"/>
      <c r="S240" s="40" t="str">
        <f aca="false">IF($G240="","",$G240&amp;"#"&amp;COUNTIF($G$4:$G240,$G240))</f>
        <v/>
      </c>
      <c r="T240" s="40" t="str">
        <f aca="false">IF($B240="","",IF($C240="","NIK kosong",IF(LEN($C240)&lt;&gt;16,"NIK bukan 16 digit",IF(COUNTIF($C$4:$C$2003,$C240&amp;"*")&gt;1,"NIK ganda",IF($E240="","Kadus kosong",IF($F240="","RT kosong",IF($H240="","Jabatan kosong",IF($I240="","No. HP kosong",IF($J240="","Alamat kosong",IF(AND($M240&lt;&gt;"",$M240&lt;17),"Usia di bawah 17",""))))))))))</f>
        <v/>
      </c>
      <c r="U240" s="40" t="str">
        <f aca="false">IF($B240="","",IF(AND(OR(CARI!$C$5="",ISNUMBER(SEARCH(CARI!$C$5,$B240&amp;" "&amp;$C240&amp;" "&amp;$I240&amp;" "&amp;$J240&amp;" "&amp;$Q240))),OR(CARI!$C$6="",$E240=CARI!$C$6),OR(CARI!$C$7="",$F240=CARI!$C$7),OR(CARI!$C$8="",$O240=CARI!$C$8)),MAX($U$3:U239)+1,""))</f>
        <v/>
      </c>
      <c r="V240" s="40" t="str">
        <f aca="false">IF($T240="","",MAX($V$3:V239)+1)</f>
        <v/>
      </c>
      <c r="W240" s="40" t="str">
        <f aca="false">IF($E240="","",$E240&amp;"#"&amp;COUNTIF($E$4:$E240,$E240))</f>
        <v/>
      </c>
      <c r="X240" s="40" t="str">
        <f aca="false">IF($B240="","",IF(AND(OR(CETAK!$J$10="",$E240=CETAK!$J$10),OR(CETAK!$J$11="",$F240=CETAK!$J$11),OR(CETAK!$J$12="",$K240=CETAK!$J$12),OR(CETAK!$J$13="",$H240=CETAK!$J$13),OR(CETAK!$J$14="",$O240=CETAK!$J$14)),MAX($X$3:X239)+1,""))</f>
        <v/>
      </c>
      <c r="Y240" s="40" t="str">
        <f aca="false">IF($B240="","",IF(AND(OR(ABSENSI!$H$10="",$E240=ABSENSI!$H$10),OR(ABSENSI!$H$11="",$F240=ABSENSI!$H$11),OR(ABSENSI!$H$12="",$K240=ABSENSI!$H$12)),MAX($Y$3:Y239)+1,""))</f>
        <v/>
      </c>
      <c r="Z240" s="40" t="str">
        <f aca="false">IF($B240="","",IF(AND(OR(KARTU!$K$6="",$E240=KARTU!$K$6),OR(KARTU!$K$7="",$F240=KARTU!$K$7),OR(KARTU!$K$8="",$K240=KARTU!$K$8)),MAX($Z$3:Z239)+1,""))</f>
        <v/>
      </c>
    </row>
    <row r="241" customFormat="false" ht="15" hidden="false" customHeight="false" outlineLevel="0" collapsed="false">
      <c r="A241" s="36" t="str">
        <f aca="false">IF($B241="","",COUNTA($B$4:$B241))</f>
        <v/>
      </c>
      <c r="B241" s="37"/>
      <c r="C241" s="38"/>
      <c r="D241" s="39"/>
      <c r="E241" s="37"/>
      <c r="F241" s="39"/>
      <c r="G241" s="40" t="str">
        <f aca="false">IF(OR($E241="",$F241=""),"",$E241&amp;" - RT "&amp;$F241)</f>
        <v/>
      </c>
      <c r="H241" s="37"/>
      <c r="I241" s="38"/>
      <c r="J241" s="37"/>
      <c r="K241" s="39"/>
      <c r="L241" s="41"/>
      <c r="M241" s="36" t="str">
        <f aca="true">IF(OR($B241="",$L241=""),"",DATEDIF($L241,TODAY(),"Y"))</f>
        <v/>
      </c>
      <c r="N241" s="40" t="str">
        <f aca="false">IF($M241="","",INDEX(usia_label,MATCH($M241,usia_min,1)))</f>
        <v/>
      </c>
      <c r="O241" s="37"/>
      <c r="P241" s="41"/>
      <c r="Q241" s="37"/>
      <c r="R241" s="37"/>
      <c r="S241" s="40" t="str">
        <f aca="false">IF($G241="","",$G241&amp;"#"&amp;COUNTIF($G$4:$G241,$G241))</f>
        <v/>
      </c>
      <c r="T241" s="40" t="str">
        <f aca="false">IF($B241="","",IF($C241="","NIK kosong",IF(LEN($C241)&lt;&gt;16,"NIK bukan 16 digit",IF(COUNTIF($C$4:$C$2003,$C241&amp;"*")&gt;1,"NIK ganda",IF($E241="","Kadus kosong",IF($F241="","RT kosong",IF($H241="","Jabatan kosong",IF($I241="","No. HP kosong",IF($J241="","Alamat kosong",IF(AND($M241&lt;&gt;"",$M241&lt;17),"Usia di bawah 17",""))))))))))</f>
        <v/>
      </c>
      <c r="U241" s="40" t="str">
        <f aca="false">IF($B241="","",IF(AND(OR(CARI!$C$5="",ISNUMBER(SEARCH(CARI!$C$5,$B241&amp;" "&amp;$C241&amp;" "&amp;$I241&amp;" "&amp;$J241&amp;" "&amp;$Q241))),OR(CARI!$C$6="",$E241=CARI!$C$6),OR(CARI!$C$7="",$F241=CARI!$C$7),OR(CARI!$C$8="",$O241=CARI!$C$8)),MAX($U$3:U240)+1,""))</f>
        <v/>
      </c>
      <c r="V241" s="40" t="str">
        <f aca="false">IF($T241="","",MAX($V$3:V240)+1)</f>
        <v/>
      </c>
      <c r="W241" s="40" t="str">
        <f aca="false">IF($E241="","",$E241&amp;"#"&amp;COUNTIF($E$4:$E241,$E241))</f>
        <v/>
      </c>
      <c r="X241" s="40" t="str">
        <f aca="false">IF($B241="","",IF(AND(OR(CETAK!$J$10="",$E241=CETAK!$J$10),OR(CETAK!$J$11="",$F241=CETAK!$J$11),OR(CETAK!$J$12="",$K241=CETAK!$J$12),OR(CETAK!$J$13="",$H241=CETAK!$J$13),OR(CETAK!$J$14="",$O241=CETAK!$J$14)),MAX($X$3:X240)+1,""))</f>
        <v/>
      </c>
      <c r="Y241" s="40" t="str">
        <f aca="false">IF($B241="","",IF(AND(OR(ABSENSI!$H$10="",$E241=ABSENSI!$H$10),OR(ABSENSI!$H$11="",$F241=ABSENSI!$H$11),OR(ABSENSI!$H$12="",$K241=ABSENSI!$H$12)),MAX($Y$3:Y240)+1,""))</f>
        <v/>
      </c>
      <c r="Z241" s="40" t="str">
        <f aca="false">IF($B241="","",IF(AND(OR(KARTU!$K$6="",$E241=KARTU!$K$6),OR(KARTU!$K$7="",$F241=KARTU!$K$7),OR(KARTU!$K$8="",$K241=KARTU!$K$8)),MAX($Z$3:Z240)+1,""))</f>
        <v/>
      </c>
    </row>
    <row r="242" customFormat="false" ht="15" hidden="false" customHeight="false" outlineLevel="0" collapsed="false">
      <c r="A242" s="36" t="str">
        <f aca="false">IF($B242="","",COUNTA($B$4:$B242))</f>
        <v/>
      </c>
      <c r="B242" s="37"/>
      <c r="C242" s="38"/>
      <c r="D242" s="39"/>
      <c r="E242" s="37"/>
      <c r="F242" s="39"/>
      <c r="G242" s="40" t="str">
        <f aca="false">IF(OR($E242="",$F242=""),"",$E242&amp;" - RT "&amp;$F242)</f>
        <v/>
      </c>
      <c r="H242" s="37"/>
      <c r="I242" s="38"/>
      <c r="J242" s="37"/>
      <c r="K242" s="39"/>
      <c r="L242" s="41"/>
      <c r="M242" s="36" t="str">
        <f aca="true">IF(OR($B242="",$L242=""),"",DATEDIF($L242,TODAY(),"Y"))</f>
        <v/>
      </c>
      <c r="N242" s="40" t="str">
        <f aca="false">IF($M242="","",INDEX(usia_label,MATCH($M242,usia_min,1)))</f>
        <v/>
      </c>
      <c r="O242" s="37"/>
      <c r="P242" s="41"/>
      <c r="Q242" s="37"/>
      <c r="R242" s="37"/>
      <c r="S242" s="40" t="str">
        <f aca="false">IF($G242="","",$G242&amp;"#"&amp;COUNTIF($G$4:$G242,$G242))</f>
        <v/>
      </c>
      <c r="T242" s="40" t="str">
        <f aca="false">IF($B242="","",IF($C242="","NIK kosong",IF(LEN($C242)&lt;&gt;16,"NIK bukan 16 digit",IF(COUNTIF($C$4:$C$2003,$C242&amp;"*")&gt;1,"NIK ganda",IF($E242="","Kadus kosong",IF($F242="","RT kosong",IF($H242="","Jabatan kosong",IF($I242="","No. HP kosong",IF($J242="","Alamat kosong",IF(AND($M242&lt;&gt;"",$M242&lt;17),"Usia di bawah 17",""))))))))))</f>
        <v/>
      </c>
      <c r="U242" s="40" t="str">
        <f aca="false">IF($B242="","",IF(AND(OR(CARI!$C$5="",ISNUMBER(SEARCH(CARI!$C$5,$B242&amp;" "&amp;$C242&amp;" "&amp;$I242&amp;" "&amp;$J242&amp;" "&amp;$Q242))),OR(CARI!$C$6="",$E242=CARI!$C$6),OR(CARI!$C$7="",$F242=CARI!$C$7),OR(CARI!$C$8="",$O242=CARI!$C$8)),MAX($U$3:U241)+1,""))</f>
        <v/>
      </c>
      <c r="V242" s="40" t="str">
        <f aca="false">IF($T242="","",MAX($V$3:V241)+1)</f>
        <v/>
      </c>
      <c r="W242" s="40" t="str">
        <f aca="false">IF($E242="","",$E242&amp;"#"&amp;COUNTIF($E$4:$E242,$E242))</f>
        <v/>
      </c>
      <c r="X242" s="40" t="str">
        <f aca="false">IF($B242="","",IF(AND(OR(CETAK!$J$10="",$E242=CETAK!$J$10),OR(CETAK!$J$11="",$F242=CETAK!$J$11),OR(CETAK!$J$12="",$K242=CETAK!$J$12),OR(CETAK!$J$13="",$H242=CETAK!$J$13),OR(CETAK!$J$14="",$O242=CETAK!$J$14)),MAX($X$3:X241)+1,""))</f>
        <v/>
      </c>
      <c r="Y242" s="40" t="str">
        <f aca="false">IF($B242="","",IF(AND(OR(ABSENSI!$H$10="",$E242=ABSENSI!$H$10),OR(ABSENSI!$H$11="",$F242=ABSENSI!$H$11),OR(ABSENSI!$H$12="",$K242=ABSENSI!$H$12)),MAX($Y$3:Y241)+1,""))</f>
        <v/>
      </c>
      <c r="Z242" s="40" t="str">
        <f aca="false">IF($B242="","",IF(AND(OR(KARTU!$K$6="",$E242=KARTU!$K$6),OR(KARTU!$K$7="",$F242=KARTU!$K$7),OR(KARTU!$K$8="",$K242=KARTU!$K$8)),MAX($Z$3:Z241)+1,""))</f>
        <v/>
      </c>
    </row>
    <row r="243" customFormat="false" ht="15" hidden="false" customHeight="false" outlineLevel="0" collapsed="false">
      <c r="A243" s="36" t="str">
        <f aca="false">IF($B243="","",COUNTA($B$4:$B243))</f>
        <v/>
      </c>
      <c r="B243" s="37"/>
      <c r="C243" s="38"/>
      <c r="D243" s="39"/>
      <c r="E243" s="37"/>
      <c r="F243" s="39"/>
      <c r="G243" s="40" t="str">
        <f aca="false">IF(OR($E243="",$F243=""),"",$E243&amp;" - RT "&amp;$F243)</f>
        <v/>
      </c>
      <c r="H243" s="37"/>
      <c r="I243" s="38"/>
      <c r="J243" s="37"/>
      <c r="K243" s="39"/>
      <c r="L243" s="41"/>
      <c r="M243" s="36" t="str">
        <f aca="true">IF(OR($B243="",$L243=""),"",DATEDIF($L243,TODAY(),"Y"))</f>
        <v/>
      </c>
      <c r="N243" s="40" t="str">
        <f aca="false">IF($M243="","",INDEX(usia_label,MATCH($M243,usia_min,1)))</f>
        <v/>
      </c>
      <c r="O243" s="37"/>
      <c r="P243" s="41"/>
      <c r="Q243" s="37"/>
      <c r="R243" s="37"/>
      <c r="S243" s="40" t="str">
        <f aca="false">IF($G243="","",$G243&amp;"#"&amp;COUNTIF($G$4:$G243,$G243))</f>
        <v/>
      </c>
      <c r="T243" s="40" t="str">
        <f aca="false">IF($B243="","",IF($C243="","NIK kosong",IF(LEN($C243)&lt;&gt;16,"NIK bukan 16 digit",IF(COUNTIF($C$4:$C$2003,$C243&amp;"*")&gt;1,"NIK ganda",IF($E243="","Kadus kosong",IF($F243="","RT kosong",IF($H243="","Jabatan kosong",IF($I243="","No. HP kosong",IF($J243="","Alamat kosong",IF(AND($M243&lt;&gt;"",$M243&lt;17),"Usia di bawah 17",""))))))))))</f>
        <v/>
      </c>
      <c r="U243" s="40" t="str">
        <f aca="false">IF($B243="","",IF(AND(OR(CARI!$C$5="",ISNUMBER(SEARCH(CARI!$C$5,$B243&amp;" "&amp;$C243&amp;" "&amp;$I243&amp;" "&amp;$J243&amp;" "&amp;$Q243))),OR(CARI!$C$6="",$E243=CARI!$C$6),OR(CARI!$C$7="",$F243=CARI!$C$7),OR(CARI!$C$8="",$O243=CARI!$C$8)),MAX($U$3:U242)+1,""))</f>
        <v/>
      </c>
      <c r="V243" s="40" t="str">
        <f aca="false">IF($T243="","",MAX($V$3:V242)+1)</f>
        <v/>
      </c>
      <c r="W243" s="40" t="str">
        <f aca="false">IF($E243="","",$E243&amp;"#"&amp;COUNTIF($E$4:$E243,$E243))</f>
        <v/>
      </c>
      <c r="X243" s="40" t="str">
        <f aca="false">IF($B243="","",IF(AND(OR(CETAK!$J$10="",$E243=CETAK!$J$10),OR(CETAK!$J$11="",$F243=CETAK!$J$11),OR(CETAK!$J$12="",$K243=CETAK!$J$12),OR(CETAK!$J$13="",$H243=CETAK!$J$13),OR(CETAK!$J$14="",$O243=CETAK!$J$14)),MAX($X$3:X242)+1,""))</f>
        <v/>
      </c>
      <c r="Y243" s="40" t="str">
        <f aca="false">IF($B243="","",IF(AND(OR(ABSENSI!$H$10="",$E243=ABSENSI!$H$10),OR(ABSENSI!$H$11="",$F243=ABSENSI!$H$11),OR(ABSENSI!$H$12="",$K243=ABSENSI!$H$12)),MAX($Y$3:Y242)+1,""))</f>
        <v/>
      </c>
      <c r="Z243" s="40" t="str">
        <f aca="false">IF($B243="","",IF(AND(OR(KARTU!$K$6="",$E243=KARTU!$K$6),OR(KARTU!$K$7="",$F243=KARTU!$K$7),OR(KARTU!$K$8="",$K243=KARTU!$K$8)),MAX($Z$3:Z242)+1,""))</f>
        <v/>
      </c>
    </row>
    <row r="244" customFormat="false" ht="15" hidden="false" customHeight="false" outlineLevel="0" collapsed="false">
      <c r="A244" s="36" t="str">
        <f aca="false">IF($B244="","",COUNTA($B$4:$B244))</f>
        <v/>
      </c>
      <c r="B244" s="37"/>
      <c r="C244" s="38"/>
      <c r="D244" s="39"/>
      <c r="E244" s="37"/>
      <c r="F244" s="39"/>
      <c r="G244" s="40" t="str">
        <f aca="false">IF(OR($E244="",$F244=""),"",$E244&amp;" - RT "&amp;$F244)</f>
        <v/>
      </c>
      <c r="H244" s="37"/>
      <c r="I244" s="38"/>
      <c r="J244" s="37"/>
      <c r="K244" s="39"/>
      <c r="L244" s="41"/>
      <c r="M244" s="36" t="str">
        <f aca="true">IF(OR($B244="",$L244=""),"",DATEDIF($L244,TODAY(),"Y"))</f>
        <v/>
      </c>
      <c r="N244" s="40" t="str">
        <f aca="false">IF($M244="","",INDEX(usia_label,MATCH($M244,usia_min,1)))</f>
        <v/>
      </c>
      <c r="O244" s="37"/>
      <c r="P244" s="41"/>
      <c r="Q244" s="37"/>
      <c r="R244" s="37"/>
      <c r="S244" s="40" t="str">
        <f aca="false">IF($G244="","",$G244&amp;"#"&amp;COUNTIF($G$4:$G244,$G244))</f>
        <v/>
      </c>
      <c r="T244" s="40" t="str">
        <f aca="false">IF($B244="","",IF($C244="","NIK kosong",IF(LEN($C244)&lt;&gt;16,"NIK bukan 16 digit",IF(COUNTIF($C$4:$C$2003,$C244&amp;"*")&gt;1,"NIK ganda",IF($E244="","Kadus kosong",IF($F244="","RT kosong",IF($H244="","Jabatan kosong",IF($I244="","No. HP kosong",IF($J244="","Alamat kosong",IF(AND($M244&lt;&gt;"",$M244&lt;17),"Usia di bawah 17",""))))))))))</f>
        <v/>
      </c>
      <c r="U244" s="40" t="str">
        <f aca="false">IF($B244="","",IF(AND(OR(CARI!$C$5="",ISNUMBER(SEARCH(CARI!$C$5,$B244&amp;" "&amp;$C244&amp;" "&amp;$I244&amp;" "&amp;$J244&amp;" "&amp;$Q244))),OR(CARI!$C$6="",$E244=CARI!$C$6),OR(CARI!$C$7="",$F244=CARI!$C$7),OR(CARI!$C$8="",$O244=CARI!$C$8)),MAX($U$3:U243)+1,""))</f>
        <v/>
      </c>
      <c r="V244" s="40" t="str">
        <f aca="false">IF($T244="","",MAX($V$3:V243)+1)</f>
        <v/>
      </c>
      <c r="W244" s="40" t="str">
        <f aca="false">IF($E244="","",$E244&amp;"#"&amp;COUNTIF($E$4:$E244,$E244))</f>
        <v/>
      </c>
      <c r="X244" s="40" t="str">
        <f aca="false">IF($B244="","",IF(AND(OR(CETAK!$J$10="",$E244=CETAK!$J$10),OR(CETAK!$J$11="",$F244=CETAK!$J$11),OR(CETAK!$J$12="",$K244=CETAK!$J$12),OR(CETAK!$J$13="",$H244=CETAK!$J$13),OR(CETAK!$J$14="",$O244=CETAK!$J$14)),MAX($X$3:X243)+1,""))</f>
        <v/>
      </c>
      <c r="Y244" s="40" t="str">
        <f aca="false">IF($B244="","",IF(AND(OR(ABSENSI!$H$10="",$E244=ABSENSI!$H$10),OR(ABSENSI!$H$11="",$F244=ABSENSI!$H$11),OR(ABSENSI!$H$12="",$K244=ABSENSI!$H$12)),MAX($Y$3:Y243)+1,""))</f>
        <v/>
      </c>
      <c r="Z244" s="40" t="str">
        <f aca="false">IF($B244="","",IF(AND(OR(KARTU!$K$6="",$E244=KARTU!$K$6),OR(KARTU!$K$7="",$F244=KARTU!$K$7),OR(KARTU!$K$8="",$K244=KARTU!$K$8)),MAX($Z$3:Z243)+1,""))</f>
        <v/>
      </c>
    </row>
    <row r="245" customFormat="false" ht="15" hidden="false" customHeight="false" outlineLevel="0" collapsed="false">
      <c r="A245" s="36" t="str">
        <f aca="false">IF($B245="","",COUNTA($B$4:$B245))</f>
        <v/>
      </c>
      <c r="B245" s="37"/>
      <c r="C245" s="38"/>
      <c r="D245" s="39"/>
      <c r="E245" s="37"/>
      <c r="F245" s="39"/>
      <c r="G245" s="40" t="str">
        <f aca="false">IF(OR($E245="",$F245=""),"",$E245&amp;" - RT "&amp;$F245)</f>
        <v/>
      </c>
      <c r="H245" s="37"/>
      <c r="I245" s="38"/>
      <c r="J245" s="37"/>
      <c r="K245" s="39"/>
      <c r="L245" s="41"/>
      <c r="M245" s="36" t="str">
        <f aca="true">IF(OR($B245="",$L245=""),"",DATEDIF($L245,TODAY(),"Y"))</f>
        <v/>
      </c>
      <c r="N245" s="40" t="str">
        <f aca="false">IF($M245="","",INDEX(usia_label,MATCH($M245,usia_min,1)))</f>
        <v/>
      </c>
      <c r="O245" s="37"/>
      <c r="P245" s="41"/>
      <c r="Q245" s="37"/>
      <c r="R245" s="37"/>
      <c r="S245" s="40" t="str">
        <f aca="false">IF($G245="","",$G245&amp;"#"&amp;COUNTIF($G$4:$G245,$G245))</f>
        <v/>
      </c>
      <c r="T245" s="40" t="str">
        <f aca="false">IF($B245="","",IF($C245="","NIK kosong",IF(LEN($C245)&lt;&gt;16,"NIK bukan 16 digit",IF(COUNTIF($C$4:$C$2003,$C245&amp;"*")&gt;1,"NIK ganda",IF($E245="","Kadus kosong",IF($F245="","RT kosong",IF($H245="","Jabatan kosong",IF($I245="","No. HP kosong",IF($J245="","Alamat kosong",IF(AND($M245&lt;&gt;"",$M245&lt;17),"Usia di bawah 17",""))))))))))</f>
        <v/>
      </c>
      <c r="U245" s="40" t="str">
        <f aca="false">IF($B245="","",IF(AND(OR(CARI!$C$5="",ISNUMBER(SEARCH(CARI!$C$5,$B245&amp;" "&amp;$C245&amp;" "&amp;$I245&amp;" "&amp;$J245&amp;" "&amp;$Q245))),OR(CARI!$C$6="",$E245=CARI!$C$6),OR(CARI!$C$7="",$F245=CARI!$C$7),OR(CARI!$C$8="",$O245=CARI!$C$8)),MAX($U$3:U244)+1,""))</f>
        <v/>
      </c>
      <c r="V245" s="40" t="str">
        <f aca="false">IF($T245="","",MAX($V$3:V244)+1)</f>
        <v/>
      </c>
      <c r="W245" s="40" t="str">
        <f aca="false">IF($E245="","",$E245&amp;"#"&amp;COUNTIF($E$4:$E245,$E245))</f>
        <v/>
      </c>
      <c r="X245" s="40" t="str">
        <f aca="false">IF($B245="","",IF(AND(OR(CETAK!$J$10="",$E245=CETAK!$J$10),OR(CETAK!$J$11="",$F245=CETAK!$J$11),OR(CETAK!$J$12="",$K245=CETAK!$J$12),OR(CETAK!$J$13="",$H245=CETAK!$J$13),OR(CETAK!$J$14="",$O245=CETAK!$J$14)),MAX($X$3:X244)+1,""))</f>
        <v/>
      </c>
      <c r="Y245" s="40" t="str">
        <f aca="false">IF($B245="","",IF(AND(OR(ABSENSI!$H$10="",$E245=ABSENSI!$H$10),OR(ABSENSI!$H$11="",$F245=ABSENSI!$H$11),OR(ABSENSI!$H$12="",$K245=ABSENSI!$H$12)),MAX($Y$3:Y244)+1,""))</f>
        <v/>
      </c>
      <c r="Z245" s="40" t="str">
        <f aca="false">IF($B245="","",IF(AND(OR(KARTU!$K$6="",$E245=KARTU!$K$6),OR(KARTU!$K$7="",$F245=KARTU!$K$7),OR(KARTU!$K$8="",$K245=KARTU!$K$8)),MAX($Z$3:Z244)+1,""))</f>
        <v/>
      </c>
    </row>
    <row r="246" customFormat="false" ht="15" hidden="false" customHeight="false" outlineLevel="0" collapsed="false">
      <c r="A246" s="36" t="str">
        <f aca="false">IF($B246="","",COUNTA($B$4:$B246))</f>
        <v/>
      </c>
      <c r="B246" s="37"/>
      <c r="C246" s="38"/>
      <c r="D246" s="39"/>
      <c r="E246" s="37"/>
      <c r="F246" s="39"/>
      <c r="G246" s="40" t="str">
        <f aca="false">IF(OR($E246="",$F246=""),"",$E246&amp;" - RT "&amp;$F246)</f>
        <v/>
      </c>
      <c r="H246" s="37"/>
      <c r="I246" s="38"/>
      <c r="J246" s="37"/>
      <c r="K246" s="39"/>
      <c r="L246" s="41"/>
      <c r="M246" s="36" t="str">
        <f aca="true">IF(OR($B246="",$L246=""),"",DATEDIF($L246,TODAY(),"Y"))</f>
        <v/>
      </c>
      <c r="N246" s="40" t="str">
        <f aca="false">IF($M246="","",INDEX(usia_label,MATCH($M246,usia_min,1)))</f>
        <v/>
      </c>
      <c r="O246" s="37"/>
      <c r="P246" s="41"/>
      <c r="Q246" s="37"/>
      <c r="R246" s="37"/>
      <c r="S246" s="40" t="str">
        <f aca="false">IF($G246="","",$G246&amp;"#"&amp;COUNTIF($G$4:$G246,$G246))</f>
        <v/>
      </c>
      <c r="T246" s="40" t="str">
        <f aca="false">IF($B246="","",IF($C246="","NIK kosong",IF(LEN($C246)&lt;&gt;16,"NIK bukan 16 digit",IF(COUNTIF($C$4:$C$2003,$C246&amp;"*")&gt;1,"NIK ganda",IF($E246="","Kadus kosong",IF($F246="","RT kosong",IF($H246="","Jabatan kosong",IF($I246="","No. HP kosong",IF($J246="","Alamat kosong",IF(AND($M246&lt;&gt;"",$M246&lt;17),"Usia di bawah 17",""))))))))))</f>
        <v/>
      </c>
      <c r="U246" s="40" t="str">
        <f aca="false">IF($B246="","",IF(AND(OR(CARI!$C$5="",ISNUMBER(SEARCH(CARI!$C$5,$B246&amp;" "&amp;$C246&amp;" "&amp;$I246&amp;" "&amp;$J246&amp;" "&amp;$Q246))),OR(CARI!$C$6="",$E246=CARI!$C$6),OR(CARI!$C$7="",$F246=CARI!$C$7),OR(CARI!$C$8="",$O246=CARI!$C$8)),MAX($U$3:U245)+1,""))</f>
        <v/>
      </c>
      <c r="V246" s="40" t="str">
        <f aca="false">IF($T246="","",MAX($V$3:V245)+1)</f>
        <v/>
      </c>
      <c r="W246" s="40" t="str">
        <f aca="false">IF($E246="","",$E246&amp;"#"&amp;COUNTIF($E$4:$E246,$E246))</f>
        <v/>
      </c>
      <c r="X246" s="40" t="str">
        <f aca="false">IF($B246="","",IF(AND(OR(CETAK!$J$10="",$E246=CETAK!$J$10),OR(CETAK!$J$11="",$F246=CETAK!$J$11),OR(CETAK!$J$12="",$K246=CETAK!$J$12),OR(CETAK!$J$13="",$H246=CETAK!$J$13),OR(CETAK!$J$14="",$O246=CETAK!$J$14)),MAX($X$3:X245)+1,""))</f>
        <v/>
      </c>
      <c r="Y246" s="40" t="str">
        <f aca="false">IF($B246="","",IF(AND(OR(ABSENSI!$H$10="",$E246=ABSENSI!$H$10),OR(ABSENSI!$H$11="",$F246=ABSENSI!$H$11),OR(ABSENSI!$H$12="",$K246=ABSENSI!$H$12)),MAX($Y$3:Y245)+1,""))</f>
        <v/>
      </c>
      <c r="Z246" s="40" t="str">
        <f aca="false">IF($B246="","",IF(AND(OR(KARTU!$K$6="",$E246=KARTU!$K$6),OR(KARTU!$K$7="",$F246=KARTU!$K$7),OR(KARTU!$K$8="",$K246=KARTU!$K$8)),MAX($Z$3:Z245)+1,""))</f>
        <v/>
      </c>
    </row>
    <row r="247" customFormat="false" ht="15" hidden="false" customHeight="false" outlineLevel="0" collapsed="false">
      <c r="A247" s="36" t="str">
        <f aca="false">IF($B247="","",COUNTA($B$4:$B247))</f>
        <v/>
      </c>
      <c r="B247" s="37"/>
      <c r="C247" s="38"/>
      <c r="D247" s="39"/>
      <c r="E247" s="37"/>
      <c r="F247" s="39"/>
      <c r="G247" s="40" t="str">
        <f aca="false">IF(OR($E247="",$F247=""),"",$E247&amp;" - RT "&amp;$F247)</f>
        <v/>
      </c>
      <c r="H247" s="37"/>
      <c r="I247" s="38"/>
      <c r="J247" s="37"/>
      <c r="K247" s="39"/>
      <c r="L247" s="41"/>
      <c r="M247" s="36" t="str">
        <f aca="true">IF(OR($B247="",$L247=""),"",DATEDIF($L247,TODAY(),"Y"))</f>
        <v/>
      </c>
      <c r="N247" s="40" t="str">
        <f aca="false">IF($M247="","",INDEX(usia_label,MATCH($M247,usia_min,1)))</f>
        <v/>
      </c>
      <c r="O247" s="37"/>
      <c r="P247" s="41"/>
      <c r="Q247" s="37"/>
      <c r="R247" s="37"/>
      <c r="S247" s="40" t="str">
        <f aca="false">IF($G247="","",$G247&amp;"#"&amp;COUNTIF($G$4:$G247,$G247))</f>
        <v/>
      </c>
      <c r="T247" s="40" t="str">
        <f aca="false">IF($B247="","",IF($C247="","NIK kosong",IF(LEN($C247)&lt;&gt;16,"NIK bukan 16 digit",IF(COUNTIF($C$4:$C$2003,$C247&amp;"*")&gt;1,"NIK ganda",IF($E247="","Kadus kosong",IF($F247="","RT kosong",IF($H247="","Jabatan kosong",IF($I247="","No. HP kosong",IF($J247="","Alamat kosong",IF(AND($M247&lt;&gt;"",$M247&lt;17),"Usia di bawah 17",""))))))))))</f>
        <v/>
      </c>
      <c r="U247" s="40" t="str">
        <f aca="false">IF($B247="","",IF(AND(OR(CARI!$C$5="",ISNUMBER(SEARCH(CARI!$C$5,$B247&amp;" "&amp;$C247&amp;" "&amp;$I247&amp;" "&amp;$J247&amp;" "&amp;$Q247))),OR(CARI!$C$6="",$E247=CARI!$C$6),OR(CARI!$C$7="",$F247=CARI!$C$7),OR(CARI!$C$8="",$O247=CARI!$C$8)),MAX($U$3:U246)+1,""))</f>
        <v/>
      </c>
      <c r="V247" s="40" t="str">
        <f aca="false">IF($T247="","",MAX($V$3:V246)+1)</f>
        <v/>
      </c>
      <c r="W247" s="40" t="str">
        <f aca="false">IF($E247="","",$E247&amp;"#"&amp;COUNTIF($E$4:$E247,$E247))</f>
        <v/>
      </c>
      <c r="X247" s="40" t="str">
        <f aca="false">IF($B247="","",IF(AND(OR(CETAK!$J$10="",$E247=CETAK!$J$10),OR(CETAK!$J$11="",$F247=CETAK!$J$11),OR(CETAK!$J$12="",$K247=CETAK!$J$12),OR(CETAK!$J$13="",$H247=CETAK!$J$13),OR(CETAK!$J$14="",$O247=CETAK!$J$14)),MAX($X$3:X246)+1,""))</f>
        <v/>
      </c>
      <c r="Y247" s="40" t="str">
        <f aca="false">IF($B247="","",IF(AND(OR(ABSENSI!$H$10="",$E247=ABSENSI!$H$10),OR(ABSENSI!$H$11="",$F247=ABSENSI!$H$11),OR(ABSENSI!$H$12="",$K247=ABSENSI!$H$12)),MAX($Y$3:Y246)+1,""))</f>
        <v/>
      </c>
      <c r="Z247" s="40" t="str">
        <f aca="false">IF($B247="","",IF(AND(OR(KARTU!$K$6="",$E247=KARTU!$K$6),OR(KARTU!$K$7="",$F247=KARTU!$K$7),OR(KARTU!$K$8="",$K247=KARTU!$K$8)),MAX($Z$3:Z246)+1,""))</f>
        <v/>
      </c>
    </row>
    <row r="248" customFormat="false" ht="15" hidden="false" customHeight="false" outlineLevel="0" collapsed="false">
      <c r="A248" s="36" t="str">
        <f aca="false">IF($B248="","",COUNTA($B$4:$B248))</f>
        <v/>
      </c>
      <c r="B248" s="37"/>
      <c r="C248" s="38"/>
      <c r="D248" s="39"/>
      <c r="E248" s="37"/>
      <c r="F248" s="39"/>
      <c r="G248" s="40" t="str">
        <f aca="false">IF(OR($E248="",$F248=""),"",$E248&amp;" - RT "&amp;$F248)</f>
        <v/>
      </c>
      <c r="H248" s="37"/>
      <c r="I248" s="38"/>
      <c r="J248" s="37"/>
      <c r="K248" s="39"/>
      <c r="L248" s="41"/>
      <c r="M248" s="36" t="str">
        <f aca="true">IF(OR($B248="",$L248=""),"",DATEDIF($L248,TODAY(),"Y"))</f>
        <v/>
      </c>
      <c r="N248" s="40" t="str">
        <f aca="false">IF($M248="","",INDEX(usia_label,MATCH($M248,usia_min,1)))</f>
        <v/>
      </c>
      <c r="O248" s="37"/>
      <c r="P248" s="41"/>
      <c r="Q248" s="37"/>
      <c r="R248" s="37"/>
      <c r="S248" s="40" t="str">
        <f aca="false">IF($G248="","",$G248&amp;"#"&amp;COUNTIF($G$4:$G248,$G248))</f>
        <v/>
      </c>
      <c r="T248" s="40" t="str">
        <f aca="false">IF($B248="","",IF($C248="","NIK kosong",IF(LEN($C248)&lt;&gt;16,"NIK bukan 16 digit",IF(COUNTIF($C$4:$C$2003,$C248&amp;"*")&gt;1,"NIK ganda",IF($E248="","Kadus kosong",IF($F248="","RT kosong",IF($H248="","Jabatan kosong",IF($I248="","No. HP kosong",IF($J248="","Alamat kosong",IF(AND($M248&lt;&gt;"",$M248&lt;17),"Usia di bawah 17",""))))))))))</f>
        <v/>
      </c>
      <c r="U248" s="40" t="str">
        <f aca="false">IF($B248="","",IF(AND(OR(CARI!$C$5="",ISNUMBER(SEARCH(CARI!$C$5,$B248&amp;" "&amp;$C248&amp;" "&amp;$I248&amp;" "&amp;$J248&amp;" "&amp;$Q248))),OR(CARI!$C$6="",$E248=CARI!$C$6),OR(CARI!$C$7="",$F248=CARI!$C$7),OR(CARI!$C$8="",$O248=CARI!$C$8)),MAX($U$3:U247)+1,""))</f>
        <v/>
      </c>
      <c r="V248" s="40" t="str">
        <f aca="false">IF($T248="","",MAX($V$3:V247)+1)</f>
        <v/>
      </c>
      <c r="W248" s="40" t="str">
        <f aca="false">IF($E248="","",$E248&amp;"#"&amp;COUNTIF($E$4:$E248,$E248))</f>
        <v/>
      </c>
      <c r="X248" s="40" t="str">
        <f aca="false">IF($B248="","",IF(AND(OR(CETAK!$J$10="",$E248=CETAK!$J$10),OR(CETAK!$J$11="",$F248=CETAK!$J$11),OR(CETAK!$J$12="",$K248=CETAK!$J$12),OR(CETAK!$J$13="",$H248=CETAK!$J$13),OR(CETAK!$J$14="",$O248=CETAK!$J$14)),MAX($X$3:X247)+1,""))</f>
        <v/>
      </c>
      <c r="Y248" s="40" t="str">
        <f aca="false">IF($B248="","",IF(AND(OR(ABSENSI!$H$10="",$E248=ABSENSI!$H$10),OR(ABSENSI!$H$11="",$F248=ABSENSI!$H$11),OR(ABSENSI!$H$12="",$K248=ABSENSI!$H$12)),MAX($Y$3:Y247)+1,""))</f>
        <v/>
      </c>
      <c r="Z248" s="40" t="str">
        <f aca="false">IF($B248="","",IF(AND(OR(KARTU!$K$6="",$E248=KARTU!$K$6),OR(KARTU!$K$7="",$F248=KARTU!$K$7),OR(KARTU!$K$8="",$K248=KARTU!$K$8)),MAX($Z$3:Z247)+1,""))</f>
        <v/>
      </c>
    </row>
    <row r="249" customFormat="false" ht="15" hidden="false" customHeight="false" outlineLevel="0" collapsed="false">
      <c r="A249" s="36" t="str">
        <f aca="false">IF($B249="","",COUNTA($B$4:$B249))</f>
        <v/>
      </c>
      <c r="B249" s="37"/>
      <c r="C249" s="38"/>
      <c r="D249" s="39"/>
      <c r="E249" s="37"/>
      <c r="F249" s="39"/>
      <c r="G249" s="40" t="str">
        <f aca="false">IF(OR($E249="",$F249=""),"",$E249&amp;" - RT "&amp;$F249)</f>
        <v/>
      </c>
      <c r="H249" s="37"/>
      <c r="I249" s="38"/>
      <c r="J249" s="37"/>
      <c r="K249" s="39"/>
      <c r="L249" s="41"/>
      <c r="M249" s="36" t="str">
        <f aca="true">IF(OR($B249="",$L249=""),"",DATEDIF($L249,TODAY(),"Y"))</f>
        <v/>
      </c>
      <c r="N249" s="40" t="str">
        <f aca="false">IF($M249="","",INDEX(usia_label,MATCH($M249,usia_min,1)))</f>
        <v/>
      </c>
      <c r="O249" s="37"/>
      <c r="P249" s="41"/>
      <c r="Q249" s="37"/>
      <c r="R249" s="37"/>
      <c r="S249" s="40" t="str">
        <f aca="false">IF($G249="","",$G249&amp;"#"&amp;COUNTIF($G$4:$G249,$G249))</f>
        <v/>
      </c>
      <c r="T249" s="40" t="str">
        <f aca="false">IF($B249="","",IF($C249="","NIK kosong",IF(LEN($C249)&lt;&gt;16,"NIK bukan 16 digit",IF(COUNTIF($C$4:$C$2003,$C249&amp;"*")&gt;1,"NIK ganda",IF($E249="","Kadus kosong",IF($F249="","RT kosong",IF($H249="","Jabatan kosong",IF($I249="","No. HP kosong",IF($J249="","Alamat kosong",IF(AND($M249&lt;&gt;"",$M249&lt;17),"Usia di bawah 17",""))))))))))</f>
        <v/>
      </c>
      <c r="U249" s="40" t="str">
        <f aca="false">IF($B249="","",IF(AND(OR(CARI!$C$5="",ISNUMBER(SEARCH(CARI!$C$5,$B249&amp;" "&amp;$C249&amp;" "&amp;$I249&amp;" "&amp;$J249&amp;" "&amp;$Q249))),OR(CARI!$C$6="",$E249=CARI!$C$6),OR(CARI!$C$7="",$F249=CARI!$C$7),OR(CARI!$C$8="",$O249=CARI!$C$8)),MAX($U$3:U248)+1,""))</f>
        <v/>
      </c>
      <c r="V249" s="40" t="str">
        <f aca="false">IF($T249="","",MAX($V$3:V248)+1)</f>
        <v/>
      </c>
      <c r="W249" s="40" t="str">
        <f aca="false">IF($E249="","",$E249&amp;"#"&amp;COUNTIF($E$4:$E249,$E249))</f>
        <v/>
      </c>
      <c r="X249" s="40" t="str">
        <f aca="false">IF($B249="","",IF(AND(OR(CETAK!$J$10="",$E249=CETAK!$J$10),OR(CETAK!$J$11="",$F249=CETAK!$J$11),OR(CETAK!$J$12="",$K249=CETAK!$J$12),OR(CETAK!$J$13="",$H249=CETAK!$J$13),OR(CETAK!$J$14="",$O249=CETAK!$J$14)),MAX($X$3:X248)+1,""))</f>
        <v/>
      </c>
      <c r="Y249" s="40" t="str">
        <f aca="false">IF($B249="","",IF(AND(OR(ABSENSI!$H$10="",$E249=ABSENSI!$H$10),OR(ABSENSI!$H$11="",$F249=ABSENSI!$H$11),OR(ABSENSI!$H$12="",$K249=ABSENSI!$H$12)),MAX($Y$3:Y248)+1,""))</f>
        <v/>
      </c>
      <c r="Z249" s="40" t="str">
        <f aca="false">IF($B249="","",IF(AND(OR(KARTU!$K$6="",$E249=KARTU!$K$6),OR(KARTU!$K$7="",$F249=KARTU!$K$7),OR(KARTU!$K$8="",$K249=KARTU!$K$8)),MAX($Z$3:Z248)+1,""))</f>
        <v/>
      </c>
    </row>
    <row r="250" customFormat="false" ht="15" hidden="false" customHeight="false" outlineLevel="0" collapsed="false">
      <c r="A250" s="36" t="str">
        <f aca="false">IF($B250="","",COUNTA($B$4:$B250))</f>
        <v/>
      </c>
      <c r="B250" s="37"/>
      <c r="C250" s="38"/>
      <c r="D250" s="39"/>
      <c r="E250" s="37"/>
      <c r="F250" s="39"/>
      <c r="G250" s="40" t="str">
        <f aca="false">IF(OR($E250="",$F250=""),"",$E250&amp;" - RT "&amp;$F250)</f>
        <v/>
      </c>
      <c r="H250" s="37"/>
      <c r="I250" s="38"/>
      <c r="J250" s="37"/>
      <c r="K250" s="39"/>
      <c r="L250" s="41"/>
      <c r="M250" s="36" t="str">
        <f aca="true">IF(OR($B250="",$L250=""),"",DATEDIF($L250,TODAY(),"Y"))</f>
        <v/>
      </c>
      <c r="N250" s="40" t="str">
        <f aca="false">IF($M250="","",INDEX(usia_label,MATCH($M250,usia_min,1)))</f>
        <v/>
      </c>
      <c r="O250" s="37"/>
      <c r="P250" s="41"/>
      <c r="Q250" s="37"/>
      <c r="R250" s="37"/>
      <c r="S250" s="40" t="str">
        <f aca="false">IF($G250="","",$G250&amp;"#"&amp;COUNTIF($G$4:$G250,$G250))</f>
        <v/>
      </c>
      <c r="T250" s="40" t="str">
        <f aca="false">IF($B250="","",IF($C250="","NIK kosong",IF(LEN($C250)&lt;&gt;16,"NIK bukan 16 digit",IF(COUNTIF($C$4:$C$2003,$C250&amp;"*")&gt;1,"NIK ganda",IF($E250="","Kadus kosong",IF($F250="","RT kosong",IF($H250="","Jabatan kosong",IF($I250="","No. HP kosong",IF($J250="","Alamat kosong",IF(AND($M250&lt;&gt;"",$M250&lt;17),"Usia di bawah 17",""))))))))))</f>
        <v/>
      </c>
      <c r="U250" s="40" t="str">
        <f aca="false">IF($B250="","",IF(AND(OR(CARI!$C$5="",ISNUMBER(SEARCH(CARI!$C$5,$B250&amp;" "&amp;$C250&amp;" "&amp;$I250&amp;" "&amp;$J250&amp;" "&amp;$Q250))),OR(CARI!$C$6="",$E250=CARI!$C$6),OR(CARI!$C$7="",$F250=CARI!$C$7),OR(CARI!$C$8="",$O250=CARI!$C$8)),MAX($U$3:U249)+1,""))</f>
        <v/>
      </c>
      <c r="V250" s="40" t="str">
        <f aca="false">IF($T250="","",MAX($V$3:V249)+1)</f>
        <v/>
      </c>
      <c r="W250" s="40" t="str">
        <f aca="false">IF($E250="","",$E250&amp;"#"&amp;COUNTIF($E$4:$E250,$E250))</f>
        <v/>
      </c>
      <c r="X250" s="40" t="str">
        <f aca="false">IF($B250="","",IF(AND(OR(CETAK!$J$10="",$E250=CETAK!$J$10),OR(CETAK!$J$11="",$F250=CETAK!$J$11),OR(CETAK!$J$12="",$K250=CETAK!$J$12),OR(CETAK!$J$13="",$H250=CETAK!$J$13),OR(CETAK!$J$14="",$O250=CETAK!$J$14)),MAX($X$3:X249)+1,""))</f>
        <v/>
      </c>
      <c r="Y250" s="40" t="str">
        <f aca="false">IF($B250="","",IF(AND(OR(ABSENSI!$H$10="",$E250=ABSENSI!$H$10),OR(ABSENSI!$H$11="",$F250=ABSENSI!$H$11),OR(ABSENSI!$H$12="",$K250=ABSENSI!$H$12)),MAX($Y$3:Y249)+1,""))</f>
        <v/>
      </c>
      <c r="Z250" s="40" t="str">
        <f aca="false">IF($B250="","",IF(AND(OR(KARTU!$K$6="",$E250=KARTU!$K$6),OR(KARTU!$K$7="",$F250=KARTU!$K$7),OR(KARTU!$K$8="",$K250=KARTU!$K$8)),MAX($Z$3:Z249)+1,""))</f>
        <v/>
      </c>
    </row>
    <row r="251" customFormat="false" ht="15" hidden="false" customHeight="false" outlineLevel="0" collapsed="false">
      <c r="A251" s="36" t="str">
        <f aca="false">IF($B251="","",COUNTA($B$4:$B251))</f>
        <v/>
      </c>
      <c r="B251" s="37"/>
      <c r="C251" s="38"/>
      <c r="D251" s="39"/>
      <c r="E251" s="37"/>
      <c r="F251" s="39"/>
      <c r="G251" s="40" t="str">
        <f aca="false">IF(OR($E251="",$F251=""),"",$E251&amp;" - RT "&amp;$F251)</f>
        <v/>
      </c>
      <c r="H251" s="37"/>
      <c r="I251" s="38"/>
      <c r="J251" s="37"/>
      <c r="K251" s="39"/>
      <c r="L251" s="41"/>
      <c r="M251" s="36" t="str">
        <f aca="true">IF(OR($B251="",$L251=""),"",DATEDIF($L251,TODAY(),"Y"))</f>
        <v/>
      </c>
      <c r="N251" s="40" t="str">
        <f aca="false">IF($M251="","",INDEX(usia_label,MATCH($M251,usia_min,1)))</f>
        <v/>
      </c>
      <c r="O251" s="37"/>
      <c r="P251" s="41"/>
      <c r="Q251" s="37"/>
      <c r="R251" s="37"/>
      <c r="S251" s="40" t="str">
        <f aca="false">IF($G251="","",$G251&amp;"#"&amp;COUNTIF($G$4:$G251,$G251))</f>
        <v/>
      </c>
      <c r="T251" s="40" t="str">
        <f aca="false">IF($B251="","",IF($C251="","NIK kosong",IF(LEN($C251)&lt;&gt;16,"NIK bukan 16 digit",IF(COUNTIF($C$4:$C$2003,$C251&amp;"*")&gt;1,"NIK ganda",IF($E251="","Kadus kosong",IF($F251="","RT kosong",IF($H251="","Jabatan kosong",IF($I251="","No. HP kosong",IF($J251="","Alamat kosong",IF(AND($M251&lt;&gt;"",$M251&lt;17),"Usia di bawah 17",""))))))))))</f>
        <v/>
      </c>
      <c r="U251" s="40" t="str">
        <f aca="false">IF($B251="","",IF(AND(OR(CARI!$C$5="",ISNUMBER(SEARCH(CARI!$C$5,$B251&amp;" "&amp;$C251&amp;" "&amp;$I251&amp;" "&amp;$J251&amp;" "&amp;$Q251))),OR(CARI!$C$6="",$E251=CARI!$C$6),OR(CARI!$C$7="",$F251=CARI!$C$7),OR(CARI!$C$8="",$O251=CARI!$C$8)),MAX($U$3:U250)+1,""))</f>
        <v/>
      </c>
      <c r="V251" s="40" t="str">
        <f aca="false">IF($T251="","",MAX($V$3:V250)+1)</f>
        <v/>
      </c>
      <c r="W251" s="40" t="str">
        <f aca="false">IF($E251="","",$E251&amp;"#"&amp;COUNTIF($E$4:$E251,$E251))</f>
        <v/>
      </c>
      <c r="X251" s="40" t="str">
        <f aca="false">IF($B251="","",IF(AND(OR(CETAK!$J$10="",$E251=CETAK!$J$10),OR(CETAK!$J$11="",$F251=CETAK!$J$11),OR(CETAK!$J$12="",$K251=CETAK!$J$12),OR(CETAK!$J$13="",$H251=CETAK!$J$13),OR(CETAK!$J$14="",$O251=CETAK!$J$14)),MAX($X$3:X250)+1,""))</f>
        <v/>
      </c>
      <c r="Y251" s="40" t="str">
        <f aca="false">IF($B251="","",IF(AND(OR(ABSENSI!$H$10="",$E251=ABSENSI!$H$10),OR(ABSENSI!$H$11="",$F251=ABSENSI!$H$11),OR(ABSENSI!$H$12="",$K251=ABSENSI!$H$12)),MAX($Y$3:Y250)+1,""))</f>
        <v/>
      </c>
      <c r="Z251" s="40" t="str">
        <f aca="false">IF($B251="","",IF(AND(OR(KARTU!$K$6="",$E251=KARTU!$K$6),OR(KARTU!$K$7="",$F251=KARTU!$K$7),OR(KARTU!$K$8="",$K251=KARTU!$K$8)),MAX($Z$3:Z250)+1,""))</f>
        <v/>
      </c>
    </row>
    <row r="252" customFormat="false" ht="15" hidden="false" customHeight="false" outlineLevel="0" collapsed="false">
      <c r="A252" s="36" t="str">
        <f aca="false">IF($B252="","",COUNTA($B$4:$B252))</f>
        <v/>
      </c>
      <c r="B252" s="37"/>
      <c r="C252" s="38"/>
      <c r="D252" s="39"/>
      <c r="E252" s="37"/>
      <c r="F252" s="39"/>
      <c r="G252" s="40" t="str">
        <f aca="false">IF(OR($E252="",$F252=""),"",$E252&amp;" - RT "&amp;$F252)</f>
        <v/>
      </c>
      <c r="H252" s="37"/>
      <c r="I252" s="38"/>
      <c r="J252" s="37"/>
      <c r="K252" s="39"/>
      <c r="L252" s="41"/>
      <c r="M252" s="36" t="str">
        <f aca="true">IF(OR($B252="",$L252=""),"",DATEDIF($L252,TODAY(),"Y"))</f>
        <v/>
      </c>
      <c r="N252" s="40" t="str">
        <f aca="false">IF($M252="","",INDEX(usia_label,MATCH($M252,usia_min,1)))</f>
        <v/>
      </c>
      <c r="O252" s="37"/>
      <c r="P252" s="41"/>
      <c r="Q252" s="37"/>
      <c r="R252" s="37"/>
      <c r="S252" s="40" t="str">
        <f aca="false">IF($G252="","",$G252&amp;"#"&amp;COUNTIF($G$4:$G252,$G252))</f>
        <v/>
      </c>
      <c r="T252" s="40" t="str">
        <f aca="false">IF($B252="","",IF($C252="","NIK kosong",IF(LEN($C252)&lt;&gt;16,"NIK bukan 16 digit",IF(COUNTIF($C$4:$C$2003,$C252&amp;"*")&gt;1,"NIK ganda",IF($E252="","Kadus kosong",IF($F252="","RT kosong",IF($H252="","Jabatan kosong",IF($I252="","No. HP kosong",IF($J252="","Alamat kosong",IF(AND($M252&lt;&gt;"",$M252&lt;17),"Usia di bawah 17",""))))))))))</f>
        <v/>
      </c>
      <c r="U252" s="40" t="str">
        <f aca="false">IF($B252="","",IF(AND(OR(CARI!$C$5="",ISNUMBER(SEARCH(CARI!$C$5,$B252&amp;" "&amp;$C252&amp;" "&amp;$I252&amp;" "&amp;$J252&amp;" "&amp;$Q252))),OR(CARI!$C$6="",$E252=CARI!$C$6),OR(CARI!$C$7="",$F252=CARI!$C$7),OR(CARI!$C$8="",$O252=CARI!$C$8)),MAX($U$3:U251)+1,""))</f>
        <v/>
      </c>
      <c r="V252" s="40" t="str">
        <f aca="false">IF($T252="","",MAX($V$3:V251)+1)</f>
        <v/>
      </c>
      <c r="W252" s="40" t="str">
        <f aca="false">IF($E252="","",$E252&amp;"#"&amp;COUNTIF($E$4:$E252,$E252))</f>
        <v/>
      </c>
      <c r="X252" s="40" t="str">
        <f aca="false">IF($B252="","",IF(AND(OR(CETAK!$J$10="",$E252=CETAK!$J$10),OR(CETAK!$J$11="",$F252=CETAK!$J$11),OR(CETAK!$J$12="",$K252=CETAK!$J$12),OR(CETAK!$J$13="",$H252=CETAK!$J$13),OR(CETAK!$J$14="",$O252=CETAK!$J$14)),MAX($X$3:X251)+1,""))</f>
        <v/>
      </c>
      <c r="Y252" s="40" t="str">
        <f aca="false">IF($B252="","",IF(AND(OR(ABSENSI!$H$10="",$E252=ABSENSI!$H$10),OR(ABSENSI!$H$11="",$F252=ABSENSI!$H$11),OR(ABSENSI!$H$12="",$K252=ABSENSI!$H$12)),MAX($Y$3:Y251)+1,""))</f>
        <v/>
      </c>
      <c r="Z252" s="40" t="str">
        <f aca="false">IF($B252="","",IF(AND(OR(KARTU!$K$6="",$E252=KARTU!$K$6),OR(KARTU!$K$7="",$F252=KARTU!$K$7),OR(KARTU!$K$8="",$K252=KARTU!$K$8)),MAX($Z$3:Z251)+1,""))</f>
        <v/>
      </c>
    </row>
    <row r="253" customFormat="false" ht="15" hidden="false" customHeight="false" outlineLevel="0" collapsed="false">
      <c r="A253" s="36" t="str">
        <f aca="false">IF($B253="","",COUNTA($B$4:$B253))</f>
        <v/>
      </c>
      <c r="B253" s="37"/>
      <c r="C253" s="38"/>
      <c r="D253" s="39"/>
      <c r="E253" s="37"/>
      <c r="F253" s="39"/>
      <c r="G253" s="40" t="str">
        <f aca="false">IF(OR($E253="",$F253=""),"",$E253&amp;" - RT "&amp;$F253)</f>
        <v/>
      </c>
      <c r="H253" s="37"/>
      <c r="I253" s="38"/>
      <c r="J253" s="37"/>
      <c r="K253" s="39"/>
      <c r="L253" s="41"/>
      <c r="M253" s="36" t="str">
        <f aca="true">IF(OR($B253="",$L253=""),"",DATEDIF($L253,TODAY(),"Y"))</f>
        <v/>
      </c>
      <c r="N253" s="40" t="str">
        <f aca="false">IF($M253="","",INDEX(usia_label,MATCH($M253,usia_min,1)))</f>
        <v/>
      </c>
      <c r="O253" s="37"/>
      <c r="P253" s="41"/>
      <c r="Q253" s="37"/>
      <c r="R253" s="37"/>
      <c r="S253" s="40" t="str">
        <f aca="false">IF($G253="","",$G253&amp;"#"&amp;COUNTIF($G$4:$G253,$G253))</f>
        <v/>
      </c>
      <c r="T253" s="40" t="str">
        <f aca="false">IF($B253="","",IF($C253="","NIK kosong",IF(LEN($C253)&lt;&gt;16,"NIK bukan 16 digit",IF(COUNTIF($C$4:$C$2003,$C253&amp;"*")&gt;1,"NIK ganda",IF($E253="","Kadus kosong",IF($F253="","RT kosong",IF($H253="","Jabatan kosong",IF($I253="","No. HP kosong",IF($J253="","Alamat kosong",IF(AND($M253&lt;&gt;"",$M253&lt;17),"Usia di bawah 17",""))))))))))</f>
        <v/>
      </c>
      <c r="U253" s="40" t="str">
        <f aca="false">IF($B253="","",IF(AND(OR(CARI!$C$5="",ISNUMBER(SEARCH(CARI!$C$5,$B253&amp;" "&amp;$C253&amp;" "&amp;$I253&amp;" "&amp;$J253&amp;" "&amp;$Q253))),OR(CARI!$C$6="",$E253=CARI!$C$6),OR(CARI!$C$7="",$F253=CARI!$C$7),OR(CARI!$C$8="",$O253=CARI!$C$8)),MAX($U$3:U252)+1,""))</f>
        <v/>
      </c>
      <c r="V253" s="40" t="str">
        <f aca="false">IF($T253="","",MAX($V$3:V252)+1)</f>
        <v/>
      </c>
      <c r="W253" s="40" t="str">
        <f aca="false">IF($E253="","",$E253&amp;"#"&amp;COUNTIF($E$4:$E253,$E253))</f>
        <v/>
      </c>
      <c r="X253" s="40" t="str">
        <f aca="false">IF($B253="","",IF(AND(OR(CETAK!$J$10="",$E253=CETAK!$J$10),OR(CETAK!$J$11="",$F253=CETAK!$J$11),OR(CETAK!$J$12="",$K253=CETAK!$J$12),OR(CETAK!$J$13="",$H253=CETAK!$J$13),OR(CETAK!$J$14="",$O253=CETAK!$J$14)),MAX($X$3:X252)+1,""))</f>
        <v/>
      </c>
      <c r="Y253" s="40" t="str">
        <f aca="false">IF($B253="","",IF(AND(OR(ABSENSI!$H$10="",$E253=ABSENSI!$H$10),OR(ABSENSI!$H$11="",$F253=ABSENSI!$H$11),OR(ABSENSI!$H$12="",$K253=ABSENSI!$H$12)),MAX($Y$3:Y252)+1,""))</f>
        <v/>
      </c>
      <c r="Z253" s="40" t="str">
        <f aca="false">IF($B253="","",IF(AND(OR(KARTU!$K$6="",$E253=KARTU!$K$6),OR(KARTU!$K$7="",$F253=KARTU!$K$7),OR(KARTU!$K$8="",$K253=KARTU!$K$8)),MAX($Z$3:Z252)+1,""))</f>
        <v/>
      </c>
    </row>
    <row r="254" customFormat="false" ht="15" hidden="false" customHeight="false" outlineLevel="0" collapsed="false">
      <c r="A254" s="36" t="str">
        <f aca="false">IF($B254="","",COUNTA($B$4:$B254))</f>
        <v/>
      </c>
      <c r="B254" s="37"/>
      <c r="C254" s="38"/>
      <c r="D254" s="39"/>
      <c r="E254" s="37"/>
      <c r="F254" s="39"/>
      <c r="G254" s="40" t="str">
        <f aca="false">IF(OR($E254="",$F254=""),"",$E254&amp;" - RT "&amp;$F254)</f>
        <v/>
      </c>
      <c r="H254" s="37"/>
      <c r="I254" s="38"/>
      <c r="J254" s="37"/>
      <c r="K254" s="39"/>
      <c r="L254" s="41"/>
      <c r="M254" s="36" t="str">
        <f aca="true">IF(OR($B254="",$L254=""),"",DATEDIF($L254,TODAY(),"Y"))</f>
        <v/>
      </c>
      <c r="N254" s="40" t="str">
        <f aca="false">IF($M254="","",INDEX(usia_label,MATCH($M254,usia_min,1)))</f>
        <v/>
      </c>
      <c r="O254" s="37"/>
      <c r="P254" s="41"/>
      <c r="Q254" s="37"/>
      <c r="R254" s="37"/>
      <c r="S254" s="40" t="str">
        <f aca="false">IF($G254="","",$G254&amp;"#"&amp;COUNTIF($G$4:$G254,$G254))</f>
        <v/>
      </c>
      <c r="T254" s="40" t="str">
        <f aca="false">IF($B254="","",IF($C254="","NIK kosong",IF(LEN($C254)&lt;&gt;16,"NIK bukan 16 digit",IF(COUNTIF($C$4:$C$2003,$C254&amp;"*")&gt;1,"NIK ganda",IF($E254="","Kadus kosong",IF($F254="","RT kosong",IF($H254="","Jabatan kosong",IF($I254="","No. HP kosong",IF($J254="","Alamat kosong",IF(AND($M254&lt;&gt;"",$M254&lt;17),"Usia di bawah 17",""))))))))))</f>
        <v/>
      </c>
      <c r="U254" s="40" t="str">
        <f aca="false">IF($B254="","",IF(AND(OR(CARI!$C$5="",ISNUMBER(SEARCH(CARI!$C$5,$B254&amp;" "&amp;$C254&amp;" "&amp;$I254&amp;" "&amp;$J254&amp;" "&amp;$Q254))),OR(CARI!$C$6="",$E254=CARI!$C$6),OR(CARI!$C$7="",$F254=CARI!$C$7),OR(CARI!$C$8="",$O254=CARI!$C$8)),MAX($U$3:U253)+1,""))</f>
        <v/>
      </c>
      <c r="V254" s="40" t="str">
        <f aca="false">IF($T254="","",MAX($V$3:V253)+1)</f>
        <v/>
      </c>
      <c r="W254" s="40" t="str">
        <f aca="false">IF($E254="","",$E254&amp;"#"&amp;COUNTIF($E$4:$E254,$E254))</f>
        <v/>
      </c>
      <c r="X254" s="40" t="str">
        <f aca="false">IF($B254="","",IF(AND(OR(CETAK!$J$10="",$E254=CETAK!$J$10),OR(CETAK!$J$11="",$F254=CETAK!$J$11),OR(CETAK!$J$12="",$K254=CETAK!$J$12),OR(CETAK!$J$13="",$H254=CETAK!$J$13),OR(CETAK!$J$14="",$O254=CETAK!$J$14)),MAX($X$3:X253)+1,""))</f>
        <v/>
      </c>
      <c r="Y254" s="40" t="str">
        <f aca="false">IF($B254="","",IF(AND(OR(ABSENSI!$H$10="",$E254=ABSENSI!$H$10),OR(ABSENSI!$H$11="",$F254=ABSENSI!$H$11),OR(ABSENSI!$H$12="",$K254=ABSENSI!$H$12)),MAX($Y$3:Y253)+1,""))</f>
        <v/>
      </c>
      <c r="Z254" s="40" t="str">
        <f aca="false">IF($B254="","",IF(AND(OR(KARTU!$K$6="",$E254=KARTU!$K$6),OR(KARTU!$K$7="",$F254=KARTU!$K$7),OR(KARTU!$K$8="",$K254=KARTU!$K$8)),MAX($Z$3:Z253)+1,""))</f>
        <v/>
      </c>
    </row>
    <row r="255" customFormat="false" ht="15" hidden="false" customHeight="false" outlineLevel="0" collapsed="false">
      <c r="A255" s="36" t="str">
        <f aca="false">IF($B255="","",COUNTA($B$4:$B255))</f>
        <v/>
      </c>
      <c r="B255" s="37"/>
      <c r="C255" s="38"/>
      <c r="D255" s="39"/>
      <c r="E255" s="37"/>
      <c r="F255" s="39"/>
      <c r="G255" s="40" t="str">
        <f aca="false">IF(OR($E255="",$F255=""),"",$E255&amp;" - RT "&amp;$F255)</f>
        <v/>
      </c>
      <c r="H255" s="37"/>
      <c r="I255" s="38"/>
      <c r="J255" s="37"/>
      <c r="K255" s="39"/>
      <c r="L255" s="41"/>
      <c r="M255" s="36" t="str">
        <f aca="true">IF(OR($B255="",$L255=""),"",DATEDIF($L255,TODAY(),"Y"))</f>
        <v/>
      </c>
      <c r="N255" s="40" t="str">
        <f aca="false">IF($M255="","",INDEX(usia_label,MATCH($M255,usia_min,1)))</f>
        <v/>
      </c>
      <c r="O255" s="37"/>
      <c r="P255" s="41"/>
      <c r="Q255" s="37"/>
      <c r="R255" s="37"/>
      <c r="S255" s="40" t="str">
        <f aca="false">IF($G255="","",$G255&amp;"#"&amp;COUNTIF($G$4:$G255,$G255))</f>
        <v/>
      </c>
      <c r="T255" s="40" t="str">
        <f aca="false">IF($B255="","",IF($C255="","NIK kosong",IF(LEN($C255)&lt;&gt;16,"NIK bukan 16 digit",IF(COUNTIF($C$4:$C$2003,$C255&amp;"*")&gt;1,"NIK ganda",IF($E255="","Kadus kosong",IF($F255="","RT kosong",IF($H255="","Jabatan kosong",IF($I255="","No. HP kosong",IF($J255="","Alamat kosong",IF(AND($M255&lt;&gt;"",$M255&lt;17),"Usia di bawah 17",""))))))))))</f>
        <v/>
      </c>
      <c r="U255" s="40" t="str">
        <f aca="false">IF($B255="","",IF(AND(OR(CARI!$C$5="",ISNUMBER(SEARCH(CARI!$C$5,$B255&amp;" "&amp;$C255&amp;" "&amp;$I255&amp;" "&amp;$J255&amp;" "&amp;$Q255))),OR(CARI!$C$6="",$E255=CARI!$C$6),OR(CARI!$C$7="",$F255=CARI!$C$7),OR(CARI!$C$8="",$O255=CARI!$C$8)),MAX($U$3:U254)+1,""))</f>
        <v/>
      </c>
      <c r="V255" s="40" t="str">
        <f aca="false">IF($T255="","",MAX($V$3:V254)+1)</f>
        <v/>
      </c>
      <c r="W255" s="40" t="str">
        <f aca="false">IF($E255="","",$E255&amp;"#"&amp;COUNTIF($E$4:$E255,$E255))</f>
        <v/>
      </c>
      <c r="X255" s="40" t="str">
        <f aca="false">IF($B255="","",IF(AND(OR(CETAK!$J$10="",$E255=CETAK!$J$10),OR(CETAK!$J$11="",$F255=CETAK!$J$11),OR(CETAK!$J$12="",$K255=CETAK!$J$12),OR(CETAK!$J$13="",$H255=CETAK!$J$13),OR(CETAK!$J$14="",$O255=CETAK!$J$14)),MAX($X$3:X254)+1,""))</f>
        <v/>
      </c>
      <c r="Y255" s="40" t="str">
        <f aca="false">IF($B255="","",IF(AND(OR(ABSENSI!$H$10="",$E255=ABSENSI!$H$10),OR(ABSENSI!$H$11="",$F255=ABSENSI!$H$11),OR(ABSENSI!$H$12="",$K255=ABSENSI!$H$12)),MAX($Y$3:Y254)+1,""))</f>
        <v/>
      </c>
      <c r="Z255" s="40" t="str">
        <f aca="false">IF($B255="","",IF(AND(OR(KARTU!$K$6="",$E255=KARTU!$K$6),OR(KARTU!$K$7="",$F255=KARTU!$K$7),OR(KARTU!$K$8="",$K255=KARTU!$K$8)),MAX($Z$3:Z254)+1,""))</f>
        <v/>
      </c>
    </row>
    <row r="256" customFormat="false" ht="15" hidden="false" customHeight="false" outlineLevel="0" collapsed="false">
      <c r="A256" s="36" t="str">
        <f aca="false">IF($B256="","",COUNTA($B$4:$B256))</f>
        <v/>
      </c>
      <c r="B256" s="37"/>
      <c r="C256" s="38"/>
      <c r="D256" s="39"/>
      <c r="E256" s="37"/>
      <c r="F256" s="39"/>
      <c r="G256" s="40" t="str">
        <f aca="false">IF(OR($E256="",$F256=""),"",$E256&amp;" - RT "&amp;$F256)</f>
        <v/>
      </c>
      <c r="H256" s="37"/>
      <c r="I256" s="38"/>
      <c r="J256" s="37"/>
      <c r="K256" s="39"/>
      <c r="L256" s="41"/>
      <c r="M256" s="36" t="str">
        <f aca="true">IF(OR($B256="",$L256=""),"",DATEDIF($L256,TODAY(),"Y"))</f>
        <v/>
      </c>
      <c r="N256" s="40" t="str">
        <f aca="false">IF($M256="","",INDEX(usia_label,MATCH($M256,usia_min,1)))</f>
        <v/>
      </c>
      <c r="O256" s="37"/>
      <c r="P256" s="41"/>
      <c r="Q256" s="37"/>
      <c r="R256" s="37"/>
      <c r="S256" s="40" t="str">
        <f aca="false">IF($G256="","",$G256&amp;"#"&amp;COUNTIF($G$4:$G256,$G256))</f>
        <v/>
      </c>
      <c r="T256" s="40" t="str">
        <f aca="false">IF($B256="","",IF($C256="","NIK kosong",IF(LEN($C256)&lt;&gt;16,"NIK bukan 16 digit",IF(COUNTIF($C$4:$C$2003,$C256&amp;"*")&gt;1,"NIK ganda",IF($E256="","Kadus kosong",IF($F256="","RT kosong",IF($H256="","Jabatan kosong",IF($I256="","No. HP kosong",IF($J256="","Alamat kosong",IF(AND($M256&lt;&gt;"",$M256&lt;17),"Usia di bawah 17",""))))))))))</f>
        <v/>
      </c>
      <c r="U256" s="40" t="str">
        <f aca="false">IF($B256="","",IF(AND(OR(CARI!$C$5="",ISNUMBER(SEARCH(CARI!$C$5,$B256&amp;" "&amp;$C256&amp;" "&amp;$I256&amp;" "&amp;$J256&amp;" "&amp;$Q256))),OR(CARI!$C$6="",$E256=CARI!$C$6),OR(CARI!$C$7="",$F256=CARI!$C$7),OR(CARI!$C$8="",$O256=CARI!$C$8)),MAX($U$3:U255)+1,""))</f>
        <v/>
      </c>
      <c r="V256" s="40" t="str">
        <f aca="false">IF($T256="","",MAX($V$3:V255)+1)</f>
        <v/>
      </c>
      <c r="W256" s="40" t="str">
        <f aca="false">IF($E256="","",$E256&amp;"#"&amp;COUNTIF($E$4:$E256,$E256))</f>
        <v/>
      </c>
      <c r="X256" s="40" t="str">
        <f aca="false">IF($B256="","",IF(AND(OR(CETAK!$J$10="",$E256=CETAK!$J$10),OR(CETAK!$J$11="",$F256=CETAK!$J$11),OR(CETAK!$J$12="",$K256=CETAK!$J$12),OR(CETAK!$J$13="",$H256=CETAK!$J$13),OR(CETAK!$J$14="",$O256=CETAK!$J$14)),MAX($X$3:X255)+1,""))</f>
        <v/>
      </c>
      <c r="Y256" s="40" t="str">
        <f aca="false">IF($B256="","",IF(AND(OR(ABSENSI!$H$10="",$E256=ABSENSI!$H$10),OR(ABSENSI!$H$11="",$F256=ABSENSI!$H$11),OR(ABSENSI!$H$12="",$K256=ABSENSI!$H$12)),MAX($Y$3:Y255)+1,""))</f>
        <v/>
      </c>
      <c r="Z256" s="40" t="str">
        <f aca="false">IF($B256="","",IF(AND(OR(KARTU!$K$6="",$E256=KARTU!$K$6),OR(KARTU!$K$7="",$F256=KARTU!$K$7),OR(KARTU!$K$8="",$K256=KARTU!$K$8)),MAX($Z$3:Z255)+1,""))</f>
        <v/>
      </c>
    </row>
    <row r="257" customFormat="false" ht="15" hidden="false" customHeight="false" outlineLevel="0" collapsed="false">
      <c r="A257" s="36" t="str">
        <f aca="false">IF($B257="","",COUNTA($B$4:$B257))</f>
        <v/>
      </c>
      <c r="B257" s="37"/>
      <c r="C257" s="38"/>
      <c r="D257" s="39"/>
      <c r="E257" s="37"/>
      <c r="F257" s="39"/>
      <c r="G257" s="40" t="str">
        <f aca="false">IF(OR($E257="",$F257=""),"",$E257&amp;" - RT "&amp;$F257)</f>
        <v/>
      </c>
      <c r="H257" s="37"/>
      <c r="I257" s="38"/>
      <c r="J257" s="37"/>
      <c r="K257" s="39"/>
      <c r="L257" s="41"/>
      <c r="M257" s="36" t="str">
        <f aca="true">IF(OR($B257="",$L257=""),"",DATEDIF($L257,TODAY(),"Y"))</f>
        <v/>
      </c>
      <c r="N257" s="40" t="str">
        <f aca="false">IF($M257="","",INDEX(usia_label,MATCH($M257,usia_min,1)))</f>
        <v/>
      </c>
      <c r="O257" s="37"/>
      <c r="P257" s="41"/>
      <c r="Q257" s="37"/>
      <c r="R257" s="37"/>
      <c r="S257" s="40" t="str">
        <f aca="false">IF($G257="","",$G257&amp;"#"&amp;COUNTIF($G$4:$G257,$G257))</f>
        <v/>
      </c>
      <c r="T257" s="40" t="str">
        <f aca="false">IF($B257="","",IF($C257="","NIK kosong",IF(LEN($C257)&lt;&gt;16,"NIK bukan 16 digit",IF(COUNTIF($C$4:$C$2003,$C257&amp;"*")&gt;1,"NIK ganda",IF($E257="","Kadus kosong",IF($F257="","RT kosong",IF($H257="","Jabatan kosong",IF($I257="","No. HP kosong",IF($J257="","Alamat kosong",IF(AND($M257&lt;&gt;"",$M257&lt;17),"Usia di bawah 17",""))))))))))</f>
        <v/>
      </c>
      <c r="U257" s="40" t="str">
        <f aca="false">IF($B257="","",IF(AND(OR(CARI!$C$5="",ISNUMBER(SEARCH(CARI!$C$5,$B257&amp;" "&amp;$C257&amp;" "&amp;$I257&amp;" "&amp;$J257&amp;" "&amp;$Q257))),OR(CARI!$C$6="",$E257=CARI!$C$6),OR(CARI!$C$7="",$F257=CARI!$C$7),OR(CARI!$C$8="",$O257=CARI!$C$8)),MAX($U$3:U256)+1,""))</f>
        <v/>
      </c>
      <c r="V257" s="40" t="str">
        <f aca="false">IF($T257="","",MAX($V$3:V256)+1)</f>
        <v/>
      </c>
      <c r="W257" s="40" t="str">
        <f aca="false">IF($E257="","",$E257&amp;"#"&amp;COUNTIF($E$4:$E257,$E257))</f>
        <v/>
      </c>
      <c r="X257" s="40" t="str">
        <f aca="false">IF($B257="","",IF(AND(OR(CETAK!$J$10="",$E257=CETAK!$J$10),OR(CETAK!$J$11="",$F257=CETAK!$J$11),OR(CETAK!$J$12="",$K257=CETAK!$J$12),OR(CETAK!$J$13="",$H257=CETAK!$J$13),OR(CETAK!$J$14="",$O257=CETAK!$J$14)),MAX($X$3:X256)+1,""))</f>
        <v/>
      </c>
      <c r="Y257" s="40" t="str">
        <f aca="false">IF($B257="","",IF(AND(OR(ABSENSI!$H$10="",$E257=ABSENSI!$H$10),OR(ABSENSI!$H$11="",$F257=ABSENSI!$H$11),OR(ABSENSI!$H$12="",$K257=ABSENSI!$H$12)),MAX($Y$3:Y256)+1,""))</f>
        <v/>
      </c>
      <c r="Z257" s="40" t="str">
        <f aca="false">IF($B257="","",IF(AND(OR(KARTU!$K$6="",$E257=KARTU!$K$6),OR(KARTU!$K$7="",$F257=KARTU!$K$7),OR(KARTU!$K$8="",$K257=KARTU!$K$8)),MAX($Z$3:Z256)+1,""))</f>
        <v/>
      </c>
    </row>
    <row r="258" customFormat="false" ht="15" hidden="false" customHeight="false" outlineLevel="0" collapsed="false">
      <c r="A258" s="36" t="str">
        <f aca="false">IF($B258="","",COUNTA($B$4:$B258))</f>
        <v/>
      </c>
      <c r="B258" s="37"/>
      <c r="C258" s="38"/>
      <c r="D258" s="39"/>
      <c r="E258" s="37"/>
      <c r="F258" s="39"/>
      <c r="G258" s="40" t="str">
        <f aca="false">IF(OR($E258="",$F258=""),"",$E258&amp;" - RT "&amp;$F258)</f>
        <v/>
      </c>
      <c r="H258" s="37"/>
      <c r="I258" s="38"/>
      <c r="J258" s="37"/>
      <c r="K258" s="39"/>
      <c r="L258" s="41"/>
      <c r="M258" s="36" t="str">
        <f aca="true">IF(OR($B258="",$L258=""),"",DATEDIF($L258,TODAY(),"Y"))</f>
        <v/>
      </c>
      <c r="N258" s="40" t="str">
        <f aca="false">IF($M258="","",INDEX(usia_label,MATCH($M258,usia_min,1)))</f>
        <v/>
      </c>
      <c r="O258" s="37"/>
      <c r="P258" s="41"/>
      <c r="Q258" s="37"/>
      <c r="R258" s="37"/>
      <c r="S258" s="40" t="str">
        <f aca="false">IF($G258="","",$G258&amp;"#"&amp;COUNTIF($G$4:$G258,$G258))</f>
        <v/>
      </c>
      <c r="T258" s="40" t="str">
        <f aca="false">IF($B258="","",IF($C258="","NIK kosong",IF(LEN($C258)&lt;&gt;16,"NIK bukan 16 digit",IF(COUNTIF($C$4:$C$2003,$C258&amp;"*")&gt;1,"NIK ganda",IF($E258="","Kadus kosong",IF($F258="","RT kosong",IF($H258="","Jabatan kosong",IF($I258="","No. HP kosong",IF($J258="","Alamat kosong",IF(AND($M258&lt;&gt;"",$M258&lt;17),"Usia di bawah 17",""))))))))))</f>
        <v/>
      </c>
      <c r="U258" s="40" t="str">
        <f aca="false">IF($B258="","",IF(AND(OR(CARI!$C$5="",ISNUMBER(SEARCH(CARI!$C$5,$B258&amp;" "&amp;$C258&amp;" "&amp;$I258&amp;" "&amp;$J258&amp;" "&amp;$Q258))),OR(CARI!$C$6="",$E258=CARI!$C$6),OR(CARI!$C$7="",$F258=CARI!$C$7),OR(CARI!$C$8="",$O258=CARI!$C$8)),MAX($U$3:U257)+1,""))</f>
        <v/>
      </c>
      <c r="V258" s="40" t="str">
        <f aca="false">IF($T258="","",MAX($V$3:V257)+1)</f>
        <v/>
      </c>
      <c r="W258" s="40" t="str">
        <f aca="false">IF($E258="","",$E258&amp;"#"&amp;COUNTIF($E$4:$E258,$E258))</f>
        <v/>
      </c>
      <c r="X258" s="40" t="str">
        <f aca="false">IF($B258="","",IF(AND(OR(CETAK!$J$10="",$E258=CETAK!$J$10),OR(CETAK!$J$11="",$F258=CETAK!$J$11),OR(CETAK!$J$12="",$K258=CETAK!$J$12),OR(CETAK!$J$13="",$H258=CETAK!$J$13),OR(CETAK!$J$14="",$O258=CETAK!$J$14)),MAX($X$3:X257)+1,""))</f>
        <v/>
      </c>
      <c r="Y258" s="40" t="str">
        <f aca="false">IF($B258="","",IF(AND(OR(ABSENSI!$H$10="",$E258=ABSENSI!$H$10),OR(ABSENSI!$H$11="",$F258=ABSENSI!$H$11),OR(ABSENSI!$H$12="",$K258=ABSENSI!$H$12)),MAX($Y$3:Y257)+1,""))</f>
        <v/>
      </c>
      <c r="Z258" s="40" t="str">
        <f aca="false">IF($B258="","",IF(AND(OR(KARTU!$K$6="",$E258=KARTU!$K$6),OR(KARTU!$K$7="",$F258=KARTU!$K$7),OR(KARTU!$K$8="",$K258=KARTU!$K$8)),MAX($Z$3:Z257)+1,""))</f>
        <v/>
      </c>
    </row>
    <row r="259" customFormat="false" ht="15" hidden="false" customHeight="false" outlineLevel="0" collapsed="false">
      <c r="A259" s="36" t="str">
        <f aca="false">IF($B259="","",COUNTA($B$4:$B259))</f>
        <v/>
      </c>
      <c r="B259" s="37"/>
      <c r="C259" s="38"/>
      <c r="D259" s="39"/>
      <c r="E259" s="37"/>
      <c r="F259" s="39"/>
      <c r="G259" s="40" t="str">
        <f aca="false">IF(OR($E259="",$F259=""),"",$E259&amp;" - RT "&amp;$F259)</f>
        <v/>
      </c>
      <c r="H259" s="37"/>
      <c r="I259" s="38"/>
      <c r="J259" s="37"/>
      <c r="K259" s="39"/>
      <c r="L259" s="41"/>
      <c r="M259" s="36" t="str">
        <f aca="true">IF(OR($B259="",$L259=""),"",DATEDIF($L259,TODAY(),"Y"))</f>
        <v/>
      </c>
      <c r="N259" s="40" t="str">
        <f aca="false">IF($M259="","",INDEX(usia_label,MATCH($M259,usia_min,1)))</f>
        <v/>
      </c>
      <c r="O259" s="37"/>
      <c r="P259" s="41"/>
      <c r="Q259" s="37"/>
      <c r="R259" s="37"/>
      <c r="S259" s="40" t="str">
        <f aca="false">IF($G259="","",$G259&amp;"#"&amp;COUNTIF($G$4:$G259,$G259))</f>
        <v/>
      </c>
      <c r="T259" s="40" t="str">
        <f aca="false">IF($B259="","",IF($C259="","NIK kosong",IF(LEN($C259)&lt;&gt;16,"NIK bukan 16 digit",IF(COUNTIF($C$4:$C$2003,$C259&amp;"*")&gt;1,"NIK ganda",IF($E259="","Kadus kosong",IF($F259="","RT kosong",IF($H259="","Jabatan kosong",IF($I259="","No. HP kosong",IF($J259="","Alamat kosong",IF(AND($M259&lt;&gt;"",$M259&lt;17),"Usia di bawah 17",""))))))))))</f>
        <v/>
      </c>
      <c r="U259" s="40" t="str">
        <f aca="false">IF($B259="","",IF(AND(OR(CARI!$C$5="",ISNUMBER(SEARCH(CARI!$C$5,$B259&amp;" "&amp;$C259&amp;" "&amp;$I259&amp;" "&amp;$J259&amp;" "&amp;$Q259))),OR(CARI!$C$6="",$E259=CARI!$C$6),OR(CARI!$C$7="",$F259=CARI!$C$7),OR(CARI!$C$8="",$O259=CARI!$C$8)),MAX($U$3:U258)+1,""))</f>
        <v/>
      </c>
      <c r="V259" s="40" t="str">
        <f aca="false">IF($T259="","",MAX($V$3:V258)+1)</f>
        <v/>
      </c>
      <c r="W259" s="40" t="str">
        <f aca="false">IF($E259="","",$E259&amp;"#"&amp;COUNTIF($E$4:$E259,$E259))</f>
        <v/>
      </c>
      <c r="X259" s="40" t="str">
        <f aca="false">IF($B259="","",IF(AND(OR(CETAK!$J$10="",$E259=CETAK!$J$10),OR(CETAK!$J$11="",$F259=CETAK!$J$11),OR(CETAK!$J$12="",$K259=CETAK!$J$12),OR(CETAK!$J$13="",$H259=CETAK!$J$13),OR(CETAK!$J$14="",$O259=CETAK!$J$14)),MAX($X$3:X258)+1,""))</f>
        <v/>
      </c>
      <c r="Y259" s="40" t="str">
        <f aca="false">IF($B259="","",IF(AND(OR(ABSENSI!$H$10="",$E259=ABSENSI!$H$10),OR(ABSENSI!$H$11="",$F259=ABSENSI!$H$11),OR(ABSENSI!$H$12="",$K259=ABSENSI!$H$12)),MAX($Y$3:Y258)+1,""))</f>
        <v/>
      </c>
      <c r="Z259" s="40" t="str">
        <f aca="false">IF($B259="","",IF(AND(OR(KARTU!$K$6="",$E259=KARTU!$K$6),OR(KARTU!$K$7="",$F259=KARTU!$K$7),OR(KARTU!$K$8="",$K259=KARTU!$K$8)),MAX($Z$3:Z258)+1,""))</f>
        <v/>
      </c>
    </row>
    <row r="260" customFormat="false" ht="15" hidden="false" customHeight="false" outlineLevel="0" collapsed="false">
      <c r="A260" s="36" t="str">
        <f aca="false">IF($B260="","",COUNTA($B$4:$B260))</f>
        <v/>
      </c>
      <c r="B260" s="37"/>
      <c r="C260" s="38"/>
      <c r="D260" s="39"/>
      <c r="E260" s="37"/>
      <c r="F260" s="39"/>
      <c r="G260" s="40" t="str">
        <f aca="false">IF(OR($E260="",$F260=""),"",$E260&amp;" - RT "&amp;$F260)</f>
        <v/>
      </c>
      <c r="H260" s="37"/>
      <c r="I260" s="38"/>
      <c r="J260" s="37"/>
      <c r="K260" s="39"/>
      <c r="L260" s="41"/>
      <c r="M260" s="36" t="str">
        <f aca="true">IF(OR($B260="",$L260=""),"",DATEDIF($L260,TODAY(),"Y"))</f>
        <v/>
      </c>
      <c r="N260" s="40" t="str">
        <f aca="false">IF($M260="","",INDEX(usia_label,MATCH($M260,usia_min,1)))</f>
        <v/>
      </c>
      <c r="O260" s="37"/>
      <c r="P260" s="41"/>
      <c r="Q260" s="37"/>
      <c r="R260" s="37"/>
      <c r="S260" s="40" t="str">
        <f aca="false">IF($G260="","",$G260&amp;"#"&amp;COUNTIF($G$4:$G260,$G260))</f>
        <v/>
      </c>
      <c r="T260" s="40" t="str">
        <f aca="false">IF($B260="","",IF($C260="","NIK kosong",IF(LEN($C260)&lt;&gt;16,"NIK bukan 16 digit",IF(COUNTIF($C$4:$C$2003,$C260&amp;"*")&gt;1,"NIK ganda",IF($E260="","Kadus kosong",IF($F260="","RT kosong",IF($H260="","Jabatan kosong",IF($I260="","No. HP kosong",IF($J260="","Alamat kosong",IF(AND($M260&lt;&gt;"",$M260&lt;17),"Usia di bawah 17",""))))))))))</f>
        <v/>
      </c>
      <c r="U260" s="40" t="str">
        <f aca="false">IF($B260="","",IF(AND(OR(CARI!$C$5="",ISNUMBER(SEARCH(CARI!$C$5,$B260&amp;" "&amp;$C260&amp;" "&amp;$I260&amp;" "&amp;$J260&amp;" "&amp;$Q260))),OR(CARI!$C$6="",$E260=CARI!$C$6),OR(CARI!$C$7="",$F260=CARI!$C$7),OR(CARI!$C$8="",$O260=CARI!$C$8)),MAX($U$3:U259)+1,""))</f>
        <v/>
      </c>
      <c r="V260" s="40" t="str">
        <f aca="false">IF($T260="","",MAX($V$3:V259)+1)</f>
        <v/>
      </c>
      <c r="W260" s="40" t="str">
        <f aca="false">IF($E260="","",$E260&amp;"#"&amp;COUNTIF($E$4:$E260,$E260))</f>
        <v/>
      </c>
      <c r="X260" s="40" t="str">
        <f aca="false">IF($B260="","",IF(AND(OR(CETAK!$J$10="",$E260=CETAK!$J$10),OR(CETAK!$J$11="",$F260=CETAK!$J$11),OR(CETAK!$J$12="",$K260=CETAK!$J$12),OR(CETAK!$J$13="",$H260=CETAK!$J$13),OR(CETAK!$J$14="",$O260=CETAK!$J$14)),MAX($X$3:X259)+1,""))</f>
        <v/>
      </c>
      <c r="Y260" s="40" t="str">
        <f aca="false">IF($B260="","",IF(AND(OR(ABSENSI!$H$10="",$E260=ABSENSI!$H$10),OR(ABSENSI!$H$11="",$F260=ABSENSI!$H$11),OR(ABSENSI!$H$12="",$K260=ABSENSI!$H$12)),MAX($Y$3:Y259)+1,""))</f>
        <v/>
      </c>
      <c r="Z260" s="40" t="str">
        <f aca="false">IF($B260="","",IF(AND(OR(KARTU!$K$6="",$E260=KARTU!$K$6),OR(KARTU!$K$7="",$F260=KARTU!$K$7),OR(KARTU!$K$8="",$K260=KARTU!$K$8)),MAX($Z$3:Z259)+1,""))</f>
        <v/>
      </c>
    </row>
    <row r="261" customFormat="false" ht="15" hidden="false" customHeight="false" outlineLevel="0" collapsed="false">
      <c r="A261" s="36" t="str">
        <f aca="false">IF($B261="","",COUNTA($B$4:$B261))</f>
        <v/>
      </c>
      <c r="B261" s="37"/>
      <c r="C261" s="38"/>
      <c r="D261" s="39"/>
      <c r="E261" s="37"/>
      <c r="F261" s="39"/>
      <c r="G261" s="40" t="str">
        <f aca="false">IF(OR($E261="",$F261=""),"",$E261&amp;" - RT "&amp;$F261)</f>
        <v/>
      </c>
      <c r="H261" s="37"/>
      <c r="I261" s="38"/>
      <c r="J261" s="37"/>
      <c r="K261" s="39"/>
      <c r="L261" s="41"/>
      <c r="M261" s="36" t="str">
        <f aca="true">IF(OR($B261="",$L261=""),"",DATEDIF($L261,TODAY(),"Y"))</f>
        <v/>
      </c>
      <c r="N261" s="40" t="str">
        <f aca="false">IF($M261="","",INDEX(usia_label,MATCH($M261,usia_min,1)))</f>
        <v/>
      </c>
      <c r="O261" s="37"/>
      <c r="P261" s="41"/>
      <c r="Q261" s="37"/>
      <c r="R261" s="37"/>
      <c r="S261" s="40" t="str">
        <f aca="false">IF($G261="","",$G261&amp;"#"&amp;COUNTIF($G$4:$G261,$G261))</f>
        <v/>
      </c>
      <c r="T261" s="40" t="str">
        <f aca="false">IF($B261="","",IF($C261="","NIK kosong",IF(LEN($C261)&lt;&gt;16,"NIK bukan 16 digit",IF(COUNTIF($C$4:$C$2003,$C261&amp;"*")&gt;1,"NIK ganda",IF($E261="","Kadus kosong",IF($F261="","RT kosong",IF($H261="","Jabatan kosong",IF($I261="","No. HP kosong",IF($J261="","Alamat kosong",IF(AND($M261&lt;&gt;"",$M261&lt;17),"Usia di bawah 17",""))))))))))</f>
        <v/>
      </c>
      <c r="U261" s="40" t="str">
        <f aca="false">IF($B261="","",IF(AND(OR(CARI!$C$5="",ISNUMBER(SEARCH(CARI!$C$5,$B261&amp;" "&amp;$C261&amp;" "&amp;$I261&amp;" "&amp;$J261&amp;" "&amp;$Q261))),OR(CARI!$C$6="",$E261=CARI!$C$6),OR(CARI!$C$7="",$F261=CARI!$C$7),OR(CARI!$C$8="",$O261=CARI!$C$8)),MAX($U$3:U260)+1,""))</f>
        <v/>
      </c>
      <c r="V261" s="40" t="str">
        <f aca="false">IF($T261="","",MAX($V$3:V260)+1)</f>
        <v/>
      </c>
      <c r="W261" s="40" t="str">
        <f aca="false">IF($E261="","",$E261&amp;"#"&amp;COUNTIF($E$4:$E261,$E261))</f>
        <v/>
      </c>
      <c r="X261" s="40" t="str">
        <f aca="false">IF($B261="","",IF(AND(OR(CETAK!$J$10="",$E261=CETAK!$J$10),OR(CETAK!$J$11="",$F261=CETAK!$J$11),OR(CETAK!$J$12="",$K261=CETAK!$J$12),OR(CETAK!$J$13="",$H261=CETAK!$J$13),OR(CETAK!$J$14="",$O261=CETAK!$J$14)),MAX($X$3:X260)+1,""))</f>
        <v/>
      </c>
      <c r="Y261" s="40" t="str">
        <f aca="false">IF($B261="","",IF(AND(OR(ABSENSI!$H$10="",$E261=ABSENSI!$H$10),OR(ABSENSI!$H$11="",$F261=ABSENSI!$H$11),OR(ABSENSI!$H$12="",$K261=ABSENSI!$H$12)),MAX($Y$3:Y260)+1,""))</f>
        <v/>
      </c>
      <c r="Z261" s="40" t="str">
        <f aca="false">IF($B261="","",IF(AND(OR(KARTU!$K$6="",$E261=KARTU!$K$6),OR(KARTU!$K$7="",$F261=KARTU!$K$7),OR(KARTU!$K$8="",$K261=KARTU!$K$8)),MAX($Z$3:Z260)+1,""))</f>
        <v/>
      </c>
    </row>
    <row r="262" customFormat="false" ht="15" hidden="false" customHeight="false" outlineLevel="0" collapsed="false">
      <c r="A262" s="36" t="str">
        <f aca="false">IF($B262="","",COUNTA($B$4:$B262))</f>
        <v/>
      </c>
      <c r="B262" s="37"/>
      <c r="C262" s="38"/>
      <c r="D262" s="39"/>
      <c r="E262" s="37"/>
      <c r="F262" s="39"/>
      <c r="G262" s="40" t="str">
        <f aca="false">IF(OR($E262="",$F262=""),"",$E262&amp;" - RT "&amp;$F262)</f>
        <v/>
      </c>
      <c r="H262" s="37"/>
      <c r="I262" s="38"/>
      <c r="J262" s="37"/>
      <c r="K262" s="39"/>
      <c r="L262" s="41"/>
      <c r="M262" s="36" t="str">
        <f aca="true">IF(OR($B262="",$L262=""),"",DATEDIF($L262,TODAY(),"Y"))</f>
        <v/>
      </c>
      <c r="N262" s="40" t="str">
        <f aca="false">IF($M262="","",INDEX(usia_label,MATCH($M262,usia_min,1)))</f>
        <v/>
      </c>
      <c r="O262" s="37"/>
      <c r="P262" s="41"/>
      <c r="Q262" s="37"/>
      <c r="R262" s="37"/>
      <c r="S262" s="40" t="str">
        <f aca="false">IF($G262="","",$G262&amp;"#"&amp;COUNTIF($G$4:$G262,$G262))</f>
        <v/>
      </c>
      <c r="T262" s="40" t="str">
        <f aca="false">IF($B262="","",IF($C262="","NIK kosong",IF(LEN($C262)&lt;&gt;16,"NIK bukan 16 digit",IF(COUNTIF($C$4:$C$2003,$C262&amp;"*")&gt;1,"NIK ganda",IF($E262="","Kadus kosong",IF($F262="","RT kosong",IF($H262="","Jabatan kosong",IF($I262="","No. HP kosong",IF($J262="","Alamat kosong",IF(AND($M262&lt;&gt;"",$M262&lt;17),"Usia di bawah 17",""))))))))))</f>
        <v/>
      </c>
      <c r="U262" s="40" t="str">
        <f aca="false">IF($B262="","",IF(AND(OR(CARI!$C$5="",ISNUMBER(SEARCH(CARI!$C$5,$B262&amp;" "&amp;$C262&amp;" "&amp;$I262&amp;" "&amp;$J262&amp;" "&amp;$Q262))),OR(CARI!$C$6="",$E262=CARI!$C$6),OR(CARI!$C$7="",$F262=CARI!$C$7),OR(CARI!$C$8="",$O262=CARI!$C$8)),MAX($U$3:U261)+1,""))</f>
        <v/>
      </c>
      <c r="V262" s="40" t="str">
        <f aca="false">IF($T262="","",MAX($V$3:V261)+1)</f>
        <v/>
      </c>
      <c r="W262" s="40" t="str">
        <f aca="false">IF($E262="","",$E262&amp;"#"&amp;COUNTIF($E$4:$E262,$E262))</f>
        <v/>
      </c>
      <c r="X262" s="40" t="str">
        <f aca="false">IF($B262="","",IF(AND(OR(CETAK!$J$10="",$E262=CETAK!$J$10),OR(CETAK!$J$11="",$F262=CETAK!$J$11),OR(CETAK!$J$12="",$K262=CETAK!$J$12),OR(CETAK!$J$13="",$H262=CETAK!$J$13),OR(CETAK!$J$14="",$O262=CETAK!$J$14)),MAX($X$3:X261)+1,""))</f>
        <v/>
      </c>
      <c r="Y262" s="40" t="str">
        <f aca="false">IF($B262="","",IF(AND(OR(ABSENSI!$H$10="",$E262=ABSENSI!$H$10),OR(ABSENSI!$H$11="",$F262=ABSENSI!$H$11),OR(ABSENSI!$H$12="",$K262=ABSENSI!$H$12)),MAX($Y$3:Y261)+1,""))</f>
        <v/>
      </c>
      <c r="Z262" s="40" t="str">
        <f aca="false">IF($B262="","",IF(AND(OR(KARTU!$K$6="",$E262=KARTU!$K$6),OR(KARTU!$K$7="",$F262=KARTU!$K$7),OR(KARTU!$K$8="",$K262=KARTU!$K$8)),MAX($Z$3:Z261)+1,""))</f>
        <v/>
      </c>
    </row>
    <row r="263" customFormat="false" ht="15" hidden="false" customHeight="false" outlineLevel="0" collapsed="false">
      <c r="A263" s="36" t="str">
        <f aca="false">IF($B263="","",COUNTA($B$4:$B263))</f>
        <v/>
      </c>
      <c r="B263" s="37"/>
      <c r="C263" s="38"/>
      <c r="D263" s="39"/>
      <c r="E263" s="37"/>
      <c r="F263" s="39"/>
      <c r="G263" s="40" t="str">
        <f aca="false">IF(OR($E263="",$F263=""),"",$E263&amp;" - RT "&amp;$F263)</f>
        <v/>
      </c>
      <c r="H263" s="37"/>
      <c r="I263" s="38"/>
      <c r="J263" s="37"/>
      <c r="K263" s="39"/>
      <c r="L263" s="41"/>
      <c r="M263" s="36" t="str">
        <f aca="true">IF(OR($B263="",$L263=""),"",DATEDIF($L263,TODAY(),"Y"))</f>
        <v/>
      </c>
      <c r="N263" s="40" t="str">
        <f aca="false">IF($M263="","",INDEX(usia_label,MATCH($M263,usia_min,1)))</f>
        <v/>
      </c>
      <c r="O263" s="37"/>
      <c r="P263" s="41"/>
      <c r="Q263" s="37"/>
      <c r="R263" s="37"/>
      <c r="S263" s="40" t="str">
        <f aca="false">IF($G263="","",$G263&amp;"#"&amp;COUNTIF($G$4:$G263,$G263))</f>
        <v/>
      </c>
      <c r="T263" s="40" t="str">
        <f aca="false">IF($B263="","",IF($C263="","NIK kosong",IF(LEN($C263)&lt;&gt;16,"NIK bukan 16 digit",IF(COUNTIF($C$4:$C$2003,$C263&amp;"*")&gt;1,"NIK ganda",IF($E263="","Kadus kosong",IF($F263="","RT kosong",IF($H263="","Jabatan kosong",IF($I263="","No. HP kosong",IF($J263="","Alamat kosong",IF(AND($M263&lt;&gt;"",$M263&lt;17),"Usia di bawah 17",""))))))))))</f>
        <v/>
      </c>
      <c r="U263" s="40" t="str">
        <f aca="false">IF($B263="","",IF(AND(OR(CARI!$C$5="",ISNUMBER(SEARCH(CARI!$C$5,$B263&amp;" "&amp;$C263&amp;" "&amp;$I263&amp;" "&amp;$J263&amp;" "&amp;$Q263))),OR(CARI!$C$6="",$E263=CARI!$C$6),OR(CARI!$C$7="",$F263=CARI!$C$7),OR(CARI!$C$8="",$O263=CARI!$C$8)),MAX($U$3:U262)+1,""))</f>
        <v/>
      </c>
      <c r="V263" s="40" t="str">
        <f aca="false">IF($T263="","",MAX($V$3:V262)+1)</f>
        <v/>
      </c>
      <c r="W263" s="40" t="str">
        <f aca="false">IF($E263="","",$E263&amp;"#"&amp;COUNTIF($E$4:$E263,$E263))</f>
        <v/>
      </c>
      <c r="X263" s="40" t="str">
        <f aca="false">IF($B263="","",IF(AND(OR(CETAK!$J$10="",$E263=CETAK!$J$10),OR(CETAK!$J$11="",$F263=CETAK!$J$11),OR(CETAK!$J$12="",$K263=CETAK!$J$12),OR(CETAK!$J$13="",$H263=CETAK!$J$13),OR(CETAK!$J$14="",$O263=CETAK!$J$14)),MAX($X$3:X262)+1,""))</f>
        <v/>
      </c>
      <c r="Y263" s="40" t="str">
        <f aca="false">IF($B263="","",IF(AND(OR(ABSENSI!$H$10="",$E263=ABSENSI!$H$10),OR(ABSENSI!$H$11="",$F263=ABSENSI!$H$11),OR(ABSENSI!$H$12="",$K263=ABSENSI!$H$12)),MAX($Y$3:Y262)+1,""))</f>
        <v/>
      </c>
      <c r="Z263" s="40" t="str">
        <f aca="false">IF($B263="","",IF(AND(OR(KARTU!$K$6="",$E263=KARTU!$K$6),OR(KARTU!$K$7="",$F263=KARTU!$K$7),OR(KARTU!$K$8="",$K263=KARTU!$K$8)),MAX($Z$3:Z262)+1,""))</f>
        <v/>
      </c>
    </row>
    <row r="264" customFormat="false" ht="15" hidden="false" customHeight="false" outlineLevel="0" collapsed="false">
      <c r="A264" s="36" t="str">
        <f aca="false">IF($B264="","",COUNTA($B$4:$B264))</f>
        <v/>
      </c>
      <c r="B264" s="37"/>
      <c r="C264" s="38"/>
      <c r="D264" s="39"/>
      <c r="E264" s="37"/>
      <c r="F264" s="39"/>
      <c r="G264" s="40" t="str">
        <f aca="false">IF(OR($E264="",$F264=""),"",$E264&amp;" - RT "&amp;$F264)</f>
        <v/>
      </c>
      <c r="H264" s="37"/>
      <c r="I264" s="38"/>
      <c r="J264" s="37"/>
      <c r="K264" s="39"/>
      <c r="L264" s="41"/>
      <c r="M264" s="36" t="str">
        <f aca="true">IF(OR($B264="",$L264=""),"",DATEDIF($L264,TODAY(),"Y"))</f>
        <v/>
      </c>
      <c r="N264" s="40" t="str">
        <f aca="false">IF($M264="","",INDEX(usia_label,MATCH($M264,usia_min,1)))</f>
        <v/>
      </c>
      <c r="O264" s="37"/>
      <c r="P264" s="41"/>
      <c r="Q264" s="37"/>
      <c r="R264" s="37"/>
      <c r="S264" s="40" t="str">
        <f aca="false">IF($G264="","",$G264&amp;"#"&amp;COUNTIF($G$4:$G264,$G264))</f>
        <v/>
      </c>
      <c r="T264" s="40" t="str">
        <f aca="false">IF($B264="","",IF($C264="","NIK kosong",IF(LEN($C264)&lt;&gt;16,"NIK bukan 16 digit",IF(COUNTIF($C$4:$C$2003,$C264&amp;"*")&gt;1,"NIK ganda",IF($E264="","Kadus kosong",IF($F264="","RT kosong",IF($H264="","Jabatan kosong",IF($I264="","No. HP kosong",IF($J264="","Alamat kosong",IF(AND($M264&lt;&gt;"",$M264&lt;17),"Usia di bawah 17",""))))))))))</f>
        <v/>
      </c>
      <c r="U264" s="40" t="str">
        <f aca="false">IF($B264="","",IF(AND(OR(CARI!$C$5="",ISNUMBER(SEARCH(CARI!$C$5,$B264&amp;" "&amp;$C264&amp;" "&amp;$I264&amp;" "&amp;$J264&amp;" "&amp;$Q264))),OR(CARI!$C$6="",$E264=CARI!$C$6),OR(CARI!$C$7="",$F264=CARI!$C$7),OR(CARI!$C$8="",$O264=CARI!$C$8)),MAX($U$3:U263)+1,""))</f>
        <v/>
      </c>
      <c r="V264" s="40" t="str">
        <f aca="false">IF($T264="","",MAX($V$3:V263)+1)</f>
        <v/>
      </c>
      <c r="W264" s="40" t="str">
        <f aca="false">IF($E264="","",$E264&amp;"#"&amp;COUNTIF($E$4:$E264,$E264))</f>
        <v/>
      </c>
      <c r="X264" s="40" t="str">
        <f aca="false">IF($B264="","",IF(AND(OR(CETAK!$J$10="",$E264=CETAK!$J$10),OR(CETAK!$J$11="",$F264=CETAK!$J$11),OR(CETAK!$J$12="",$K264=CETAK!$J$12),OR(CETAK!$J$13="",$H264=CETAK!$J$13),OR(CETAK!$J$14="",$O264=CETAK!$J$14)),MAX($X$3:X263)+1,""))</f>
        <v/>
      </c>
      <c r="Y264" s="40" t="str">
        <f aca="false">IF($B264="","",IF(AND(OR(ABSENSI!$H$10="",$E264=ABSENSI!$H$10),OR(ABSENSI!$H$11="",$F264=ABSENSI!$H$11),OR(ABSENSI!$H$12="",$K264=ABSENSI!$H$12)),MAX($Y$3:Y263)+1,""))</f>
        <v/>
      </c>
      <c r="Z264" s="40" t="str">
        <f aca="false">IF($B264="","",IF(AND(OR(KARTU!$K$6="",$E264=KARTU!$K$6),OR(KARTU!$K$7="",$F264=KARTU!$K$7),OR(KARTU!$K$8="",$K264=KARTU!$K$8)),MAX($Z$3:Z263)+1,""))</f>
        <v/>
      </c>
    </row>
    <row r="265" customFormat="false" ht="15" hidden="false" customHeight="false" outlineLevel="0" collapsed="false">
      <c r="A265" s="36" t="str">
        <f aca="false">IF($B265="","",COUNTA($B$4:$B265))</f>
        <v/>
      </c>
      <c r="B265" s="37"/>
      <c r="C265" s="38"/>
      <c r="D265" s="39"/>
      <c r="E265" s="37"/>
      <c r="F265" s="39"/>
      <c r="G265" s="40" t="str">
        <f aca="false">IF(OR($E265="",$F265=""),"",$E265&amp;" - RT "&amp;$F265)</f>
        <v/>
      </c>
      <c r="H265" s="37"/>
      <c r="I265" s="38"/>
      <c r="J265" s="37"/>
      <c r="K265" s="39"/>
      <c r="L265" s="41"/>
      <c r="M265" s="36" t="str">
        <f aca="true">IF(OR($B265="",$L265=""),"",DATEDIF($L265,TODAY(),"Y"))</f>
        <v/>
      </c>
      <c r="N265" s="40" t="str">
        <f aca="false">IF($M265="","",INDEX(usia_label,MATCH($M265,usia_min,1)))</f>
        <v/>
      </c>
      <c r="O265" s="37"/>
      <c r="P265" s="41"/>
      <c r="Q265" s="37"/>
      <c r="R265" s="37"/>
      <c r="S265" s="40" t="str">
        <f aca="false">IF($G265="","",$G265&amp;"#"&amp;COUNTIF($G$4:$G265,$G265))</f>
        <v/>
      </c>
      <c r="T265" s="40" t="str">
        <f aca="false">IF($B265="","",IF($C265="","NIK kosong",IF(LEN($C265)&lt;&gt;16,"NIK bukan 16 digit",IF(COUNTIF($C$4:$C$2003,$C265&amp;"*")&gt;1,"NIK ganda",IF($E265="","Kadus kosong",IF($F265="","RT kosong",IF($H265="","Jabatan kosong",IF($I265="","No. HP kosong",IF($J265="","Alamat kosong",IF(AND($M265&lt;&gt;"",$M265&lt;17),"Usia di bawah 17",""))))))))))</f>
        <v/>
      </c>
      <c r="U265" s="40" t="str">
        <f aca="false">IF($B265="","",IF(AND(OR(CARI!$C$5="",ISNUMBER(SEARCH(CARI!$C$5,$B265&amp;" "&amp;$C265&amp;" "&amp;$I265&amp;" "&amp;$J265&amp;" "&amp;$Q265))),OR(CARI!$C$6="",$E265=CARI!$C$6),OR(CARI!$C$7="",$F265=CARI!$C$7),OR(CARI!$C$8="",$O265=CARI!$C$8)),MAX($U$3:U264)+1,""))</f>
        <v/>
      </c>
      <c r="V265" s="40" t="str">
        <f aca="false">IF($T265="","",MAX($V$3:V264)+1)</f>
        <v/>
      </c>
      <c r="W265" s="40" t="str">
        <f aca="false">IF($E265="","",$E265&amp;"#"&amp;COUNTIF($E$4:$E265,$E265))</f>
        <v/>
      </c>
      <c r="X265" s="40" t="str">
        <f aca="false">IF($B265="","",IF(AND(OR(CETAK!$J$10="",$E265=CETAK!$J$10),OR(CETAK!$J$11="",$F265=CETAK!$J$11),OR(CETAK!$J$12="",$K265=CETAK!$J$12),OR(CETAK!$J$13="",$H265=CETAK!$J$13),OR(CETAK!$J$14="",$O265=CETAK!$J$14)),MAX($X$3:X264)+1,""))</f>
        <v/>
      </c>
      <c r="Y265" s="40" t="str">
        <f aca="false">IF($B265="","",IF(AND(OR(ABSENSI!$H$10="",$E265=ABSENSI!$H$10),OR(ABSENSI!$H$11="",$F265=ABSENSI!$H$11),OR(ABSENSI!$H$12="",$K265=ABSENSI!$H$12)),MAX($Y$3:Y264)+1,""))</f>
        <v/>
      </c>
      <c r="Z265" s="40" t="str">
        <f aca="false">IF($B265="","",IF(AND(OR(KARTU!$K$6="",$E265=KARTU!$K$6),OR(KARTU!$K$7="",$F265=KARTU!$K$7),OR(KARTU!$K$8="",$K265=KARTU!$K$8)),MAX($Z$3:Z264)+1,""))</f>
        <v/>
      </c>
    </row>
    <row r="266" customFormat="false" ht="15" hidden="false" customHeight="false" outlineLevel="0" collapsed="false">
      <c r="A266" s="36" t="str">
        <f aca="false">IF($B266="","",COUNTA($B$4:$B266))</f>
        <v/>
      </c>
      <c r="B266" s="37"/>
      <c r="C266" s="38"/>
      <c r="D266" s="39"/>
      <c r="E266" s="37"/>
      <c r="F266" s="39"/>
      <c r="G266" s="40" t="str">
        <f aca="false">IF(OR($E266="",$F266=""),"",$E266&amp;" - RT "&amp;$F266)</f>
        <v/>
      </c>
      <c r="H266" s="37"/>
      <c r="I266" s="38"/>
      <c r="J266" s="37"/>
      <c r="K266" s="39"/>
      <c r="L266" s="41"/>
      <c r="M266" s="36" t="str">
        <f aca="true">IF(OR($B266="",$L266=""),"",DATEDIF($L266,TODAY(),"Y"))</f>
        <v/>
      </c>
      <c r="N266" s="40" t="str">
        <f aca="false">IF($M266="","",INDEX(usia_label,MATCH($M266,usia_min,1)))</f>
        <v/>
      </c>
      <c r="O266" s="37"/>
      <c r="P266" s="41"/>
      <c r="Q266" s="37"/>
      <c r="R266" s="37"/>
      <c r="S266" s="40" t="str">
        <f aca="false">IF($G266="","",$G266&amp;"#"&amp;COUNTIF($G$4:$G266,$G266))</f>
        <v/>
      </c>
      <c r="T266" s="40" t="str">
        <f aca="false">IF($B266="","",IF($C266="","NIK kosong",IF(LEN($C266)&lt;&gt;16,"NIK bukan 16 digit",IF(COUNTIF($C$4:$C$2003,$C266&amp;"*")&gt;1,"NIK ganda",IF($E266="","Kadus kosong",IF($F266="","RT kosong",IF($H266="","Jabatan kosong",IF($I266="","No. HP kosong",IF($J266="","Alamat kosong",IF(AND($M266&lt;&gt;"",$M266&lt;17),"Usia di bawah 17",""))))))))))</f>
        <v/>
      </c>
      <c r="U266" s="40" t="str">
        <f aca="false">IF($B266="","",IF(AND(OR(CARI!$C$5="",ISNUMBER(SEARCH(CARI!$C$5,$B266&amp;" "&amp;$C266&amp;" "&amp;$I266&amp;" "&amp;$J266&amp;" "&amp;$Q266))),OR(CARI!$C$6="",$E266=CARI!$C$6),OR(CARI!$C$7="",$F266=CARI!$C$7),OR(CARI!$C$8="",$O266=CARI!$C$8)),MAX($U$3:U265)+1,""))</f>
        <v/>
      </c>
      <c r="V266" s="40" t="str">
        <f aca="false">IF($T266="","",MAX($V$3:V265)+1)</f>
        <v/>
      </c>
      <c r="W266" s="40" t="str">
        <f aca="false">IF($E266="","",$E266&amp;"#"&amp;COUNTIF($E$4:$E266,$E266))</f>
        <v/>
      </c>
      <c r="X266" s="40" t="str">
        <f aca="false">IF($B266="","",IF(AND(OR(CETAK!$J$10="",$E266=CETAK!$J$10),OR(CETAK!$J$11="",$F266=CETAK!$J$11),OR(CETAK!$J$12="",$K266=CETAK!$J$12),OR(CETAK!$J$13="",$H266=CETAK!$J$13),OR(CETAK!$J$14="",$O266=CETAK!$J$14)),MAX($X$3:X265)+1,""))</f>
        <v/>
      </c>
      <c r="Y266" s="40" t="str">
        <f aca="false">IF($B266="","",IF(AND(OR(ABSENSI!$H$10="",$E266=ABSENSI!$H$10),OR(ABSENSI!$H$11="",$F266=ABSENSI!$H$11),OR(ABSENSI!$H$12="",$K266=ABSENSI!$H$12)),MAX($Y$3:Y265)+1,""))</f>
        <v/>
      </c>
      <c r="Z266" s="40" t="str">
        <f aca="false">IF($B266="","",IF(AND(OR(KARTU!$K$6="",$E266=KARTU!$K$6),OR(KARTU!$K$7="",$F266=KARTU!$K$7),OR(KARTU!$K$8="",$K266=KARTU!$K$8)),MAX($Z$3:Z265)+1,""))</f>
        <v/>
      </c>
    </row>
    <row r="267" customFormat="false" ht="15" hidden="false" customHeight="false" outlineLevel="0" collapsed="false">
      <c r="A267" s="36" t="str">
        <f aca="false">IF($B267="","",COUNTA($B$4:$B267))</f>
        <v/>
      </c>
      <c r="B267" s="37"/>
      <c r="C267" s="38"/>
      <c r="D267" s="39"/>
      <c r="E267" s="37"/>
      <c r="F267" s="39"/>
      <c r="G267" s="40" t="str">
        <f aca="false">IF(OR($E267="",$F267=""),"",$E267&amp;" - RT "&amp;$F267)</f>
        <v/>
      </c>
      <c r="H267" s="37"/>
      <c r="I267" s="38"/>
      <c r="J267" s="37"/>
      <c r="K267" s="39"/>
      <c r="L267" s="41"/>
      <c r="M267" s="36" t="str">
        <f aca="true">IF(OR($B267="",$L267=""),"",DATEDIF($L267,TODAY(),"Y"))</f>
        <v/>
      </c>
      <c r="N267" s="40" t="str">
        <f aca="false">IF($M267="","",INDEX(usia_label,MATCH($M267,usia_min,1)))</f>
        <v/>
      </c>
      <c r="O267" s="37"/>
      <c r="P267" s="41"/>
      <c r="Q267" s="37"/>
      <c r="R267" s="37"/>
      <c r="S267" s="40" t="str">
        <f aca="false">IF($G267="","",$G267&amp;"#"&amp;COUNTIF($G$4:$G267,$G267))</f>
        <v/>
      </c>
      <c r="T267" s="40" t="str">
        <f aca="false">IF($B267="","",IF($C267="","NIK kosong",IF(LEN($C267)&lt;&gt;16,"NIK bukan 16 digit",IF(COUNTIF($C$4:$C$2003,$C267&amp;"*")&gt;1,"NIK ganda",IF($E267="","Kadus kosong",IF($F267="","RT kosong",IF($H267="","Jabatan kosong",IF($I267="","No. HP kosong",IF($J267="","Alamat kosong",IF(AND($M267&lt;&gt;"",$M267&lt;17),"Usia di bawah 17",""))))))))))</f>
        <v/>
      </c>
      <c r="U267" s="40" t="str">
        <f aca="false">IF($B267="","",IF(AND(OR(CARI!$C$5="",ISNUMBER(SEARCH(CARI!$C$5,$B267&amp;" "&amp;$C267&amp;" "&amp;$I267&amp;" "&amp;$J267&amp;" "&amp;$Q267))),OR(CARI!$C$6="",$E267=CARI!$C$6),OR(CARI!$C$7="",$F267=CARI!$C$7),OR(CARI!$C$8="",$O267=CARI!$C$8)),MAX($U$3:U266)+1,""))</f>
        <v/>
      </c>
      <c r="V267" s="40" t="str">
        <f aca="false">IF($T267="","",MAX($V$3:V266)+1)</f>
        <v/>
      </c>
      <c r="W267" s="40" t="str">
        <f aca="false">IF($E267="","",$E267&amp;"#"&amp;COUNTIF($E$4:$E267,$E267))</f>
        <v/>
      </c>
      <c r="X267" s="40" t="str">
        <f aca="false">IF($B267="","",IF(AND(OR(CETAK!$J$10="",$E267=CETAK!$J$10),OR(CETAK!$J$11="",$F267=CETAK!$J$11),OR(CETAK!$J$12="",$K267=CETAK!$J$12),OR(CETAK!$J$13="",$H267=CETAK!$J$13),OR(CETAK!$J$14="",$O267=CETAK!$J$14)),MAX($X$3:X266)+1,""))</f>
        <v/>
      </c>
      <c r="Y267" s="40" t="str">
        <f aca="false">IF($B267="","",IF(AND(OR(ABSENSI!$H$10="",$E267=ABSENSI!$H$10),OR(ABSENSI!$H$11="",$F267=ABSENSI!$H$11),OR(ABSENSI!$H$12="",$K267=ABSENSI!$H$12)),MAX($Y$3:Y266)+1,""))</f>
        <v/>
      </c>
      <c r="Z267" s="40" t="str">
        <f aca="false">IF($B267="","",IF(AND(OR(KARTU!$K$6="",$E267=KARTU!$K$6),OR(KARTU!$K$7="",$F267=KARTU!$K$7),OR(KARTU!$K$8="",$K267=KARTU!$K$8)),MAX($Z$3:Z266)+1,""))</f>
        <v/>
      </c>
    </row>
    <row r="268" customFormat="false" ht="15" hidden="false" customHeight="false" outlineLevel="0" collapsed="false">
      <c r="A268" s="36" t="str">
        <f aca="false">IF($B268="","",COUNTA($B$4:$B268))</f>
        <v/>
      </c>
      <c r="B268" s="37"/>
      <c r="C268" s="38"/>
      <c r="D268" s="39"/>
      <c r="E268" s="37"/>
      <c r="F268" s="39"/>
      <c r="G268" s="40" t="str">
        <f aca="false">IF(OR($E268="",$F268=""),"",$E268&amp;" - RT "&amp;$F268)</f>
        <v/>
      </c>
      <c r="H268" s="37"/>
      <c r="I268" s="38"/>
      <c r="J268" s="37"/>
      <c r="K268" s="39"/>
      <c r="L268" s="41"/>
      <c r="M268" s="36" t="str">
        <f aca="true">IF(OR($B268="",$L268=""),"",DATEDIF($L268,TODAY(),"Y"))</f>
        <v/>
      </c>
      <c r="N268" s="40" t="str">
        <f aca="false">IF($M268="","",INDEX(usia_label,MATCH($M268,usia_min,1)))</f>
        <v/>
      </c>
      <c r="O268" s="37"/>
      <c r="P268" s="41"/>
      <c r="Q268" s="37"/>
      <c r="R268" s="37"/>
      <c r="S268" s="40" t="str">
        <f aca="false">IF($G268="","",$G268&amp;"#"&amp;COUNTIF($G$4:$G268,$G268))</f>
        <v/>
      </c>
      <c r="T268" s="40" t="str">
        <f aca="false">IF($B268="","",IF($C268="","NIK kosong",IF(LEN($C268)&lt;&gt;16,"NIK bukan 16 digit",IF(COUNTIF($C$4:$C$2003,$C268&amp;"*")&gt;1,"NIK ganda",IF($E268="","Kadus kosong",IF($F268="","RT kosong",IF($H268="","Jabatan kosong",IF($I268="","No. HP kosong",IF($J268="","Alamat kosong",IF(AND($M268&lt;&gt;"",$M268&lt;17),"Usia di bawah 17",""))))))))))</f>
        <v/>
      </c>
      <c r="U268" s="40" t="str">
        <f aca="false">IF($B268="","",IF(AND(OR(CARI!$C$5="",ISNUMBER(SEARCH(CARI!$C$5,$B268&amp;" "&amp;$C268&amp;" "&amp;$I268&amp;" "&amp;$J268&amp;" "&amp;$Q268))),OR(CARI!$C$6="",$E268=CARI!$C$6),OR(CARI!$C$7="",$F268=CARI!$C$7),OR(CARI!$C$8="",$O268=CARI!$C$8)),MAX($U$3:U267)+1,""))</f>
        <v/>
      </c>
      <c r="V268" s="40" t="str">
        <f aca="false">IF($T268="","",MAX($V$3:V267)+1)</f>
        <v/>
      </c>
      <c r="W268" s="40" t="str">
        <f aca="false">IF($E268="","",$E268&amp;"#"&amp;COUNTIF($E$4:$E268,$E268))</f>
        <v/>
      </c>
      <c r="X268" s="40" t="str">
        <f aca="false">IF($B268="","",IF(AND(OR(CETAK!$J$10="",$E268=CETAK!$J$10),OR(CETAK!$J$11="",$F268=CETAK!$J$11),OR(CETAK!$J$12="",$K268=CETAK!$J$12),OR(CETAK!$J$13="",$H268=CETAK!$J$13),OR(CETAK!$J$14="",$O268=CETAK!$J$14)),MAX($X$3:X267)+1,""))</f>
        <v/>
      </c>
      <c r="Y268" s="40" t="str">
        <f aca="false">IF($B268="","",IF(AND(OR(ABSENSI!$H$10="",$E268=ABSENSI!$H$10),OR(ABSENSI!$H$11="",$F268=ABSENSI!$H$11),OR(ABSENSI!$H$12="",$K268=ABSENSI!$H$12)),MAX($Y$3:Y267)+1,""))</f>
        <v/>
      </c>
      <c r="Z268" s="40" t="str">
        <f aca="false">IF($B268="","",IF(AND(OR(KARTU!$K$6="",$E268=KARTU!$K$6),OR(KARTU!$K$7="",$F268=KARTU!$K$7),OR(KARTU!$K$8="",$K268=KARTU!$K$8)),MAX($Z$3:Z267)+1,""))</f>
        <v/>
      </c>
    </row>
    <row r="269" customFormat="false" ht="15" hidden="false" customHeight="false" outlineLevel="0" collapsed="false">
      <c r="A269" s="36" t="str">
        <f aca="false">IF($B269="","",COUNTA($B$4:$B269))</f>
        <v/>
      </c>
      <c r="B269" s="37"/>
      <c r="C269" s="38"/>
      <c r="D269" s="39"/>
      <c r="E269" s="37"/>
      <c r="F269" s="39"/>
      <c r="G269" s="40" t="str">
        <f aca="false">IF(OR($E269="",$F269=""),"",$E269&amp;" - RT "&amp;$F269)</f>
        <v/>
      </c>
      <c r="H269" s="37"/>
      <c r="I269" s="38"/>
      <c r="J269" s="37"/>
      <c r="K269" s="39"/>
      <c r="L269" s="41"/>
      <c r="M269" s="36" t="str">
        <f aca="true">IF(OR($B269="",$L269=""),"",DATEDIF($L269,TODAY(),"Y"))</f>
        <v/>
      </c>
      <c r="N269" s="40" t="str">
        <f aca="false">IF($M269="","",INDEX(usia_label,MATCH($M269,usia_min,1)))</f>
        <v/>
      </c>
      <c r="O269" s="37"/>
      <c r="P269" s="41"/>
      <c r="Q269" s="37"/>
      <c r="R269" s="37"/>
      <c r="S269" s="40" t="str">
        <f aca="false">IF($G269="","",$G269&amp;"#"&amp;COUNTIF($G$4:$G269,$G269))</f>
        <v/>
      </c>
      <c r="T269" s="40" t="str">
        <f aca="false">IF($B269="","",IF($C269="","NIK kosong",IF(LEN($C269)&lt;&gt;16,"NIK bukan 16 digit",IF(COUNTIF($C$4:$C$2003,$C269&amp;"*")&gt;1,"NIK ganda",IF($E269="","Kadus kosong",IF($F269="","RT kosong",IF($H269="","Jabatan kosong",IF($I269="","No. HP kosong",IF($J269="","Alamat kosong",IF(AND($M269&lt;&gt;"",$M269&lt;17),"Usia di bawah 17",""))))))))))</f>
        <v/>
      </c>
      <c r="U269" s="40" t="str">
        <f aca="false">IF($B269="","",IF(AND(OR(CARI!$C$5="",ISNUMBER(SEARCH(CARI!$C$5,$B269&amp;" "&amp;$C269&amp;" "&amp;$I269&amp;" "&amp;$J269&amp;" "&amp;$Q269))),OR(CARI!$C$6="",$E269=CARI!$C$6),OR(CARI!$C$7="",$F269=CARI!$C$7),OR(CARI!$C$8="",$O269=CARI!$C$8)),MAX($U$3:U268)+1,""))</f>
        <v/>
      </c>
      <c r="V269" s="40" t="str">
        <f aca="false">IF($T269="","",MAX($V$3:V268)+1)</f>
        <v/>
      </c>
      <c r="W269" s="40" t="str">
        <f aca="false">IF($E269="","",$E269&amp;"#"&amp;COUNTIF($E$4:$E269,$E269))</f>
        <v/>
      </c>
      <c r="X269" s="40" t="str">
        <f aca="false">IF($B269="","",IF(AND(OR(CETAK!$J$10="",$E269=CETAK!$J$10),OR(CETAK!$J$11="",$F269=CETAK!$J$11),OR(CETAK!$J$12="",$K269=CETAK!$J$12),OR(CETAK!$J$13="",$H269=CETAK!$J$13),OR(CETAK!$J$14="",$O269=CETAK!$J$14)),MAX($X$3:X268)+1,""))</f>
        <v/>
      </c>
      <c r="Y269" s="40" t="str">
        <f aca="false">IF($B269="","",IF(AND(OR(ABSENSI!$H$10="",$E269=ABSENSI!$H$10),OR(ABSENSI!$H$11="",$F269=ABSENSI!$H$11),OR(ABSENSI!$H$12="",$K269=ABSENSI!$H$12)),MAX($Y$3:Y268)+1,""))</f>
        <v/>
      </c>
      <c r="Z269" s="40" t="str">
        <f aca="false">IF($B269="","",IF(AND(OR(KARTU!$K$6="",$E269=KARTU!$K$6),OR(KARTU!$K$7="",$F269=KARTU!$K$7),OR(KARTU!$K$8="",$K269=KARTU!$K$8)),MAX($Z$3:Z268)+1,""))</f>
        <v/>
      </c>
    </row>
    <row r="270" customFormat="false" ht="15" hidden="false" customHeight="false" outlineLevel="0" collapsed="false">
      <c r="A270" s="36" t="str">
        <f aca="false">IF($B270="","",COUNTA($B$4:$B270))</f>
        <v/>
      </c>
      <c r="B270" s="37"/>
      <c r="C270" s="38"/>
      <c r="D270" s="39"/>
      <c r="E270" s="37"/>
      <c r="F270" s="39"/>
      <c r="G270" s="40" t="str">
        <f aca="false">IF(OR($E270="",$F270=""),"",$E270&amp;" - RT "&amp;$F270)</f>
        <v/>
      </c>
      <c r="H270" s="37"/>
      <c r="I270" s="38"/>
      <c r="J270" s="37"/>
      <c r="K270" s="39"/>
      <c r="L270" s="41"/>
      <c r="M270" s="36" t="str">
        <f aca="true">IF(OR($B270="",$L270=""),"",DATEDIF($L270,TODAY(),"Y"))</f>
        <v/>
      </c>
      <c r="N270" s="40" t="str">
        <f aca="false">IF($M270="","",INDEX(usia_label,MATCH($M270,usia_min,1)))</f>
        <v/>
      </c>
      <c r="O270" s="37"/>
      <c r="P270" s="41"/>
      <c r="Q270" s="37"/>
      <c r="R270" s="37"/>
      <c r="S270" s="40" t="str">
        <f aca="false">IF($G270="","",$G270&amp;"#"&amp;COUNTIF($G$4:$G270,$G270))</f>
        <v/>
      </c>
      <c r="T270" s="40" t="str">
        <f aca="false">IF($B270="","",IF($C270="","NIK kosong",IF(LEN($C270)&lt;&gt;16,"NIK bukan 16 digit",IF(COUNTIF($C$4:$C$2003,$C270&amp;"*")&gt;1,"NIK ganda",IF($E270="","Kadus kosong",IF($F270="","RT kosong",IF($H270="","Jabatan kosong",IF($I270="","No. HP kosong",IF($J270="","Alamat kosong",IF(AND($M270&lt;&gt;"",$M270&lt;17),"Usia di bawah 17",""))))))))))</f>
        <v/>
      </c>
      <c r="U270" s="40" t="str">
        <f aca="false">IF($B270="","",IF(AND(OR(CARI!$C$5="",ISNUMBER(SEARCH(CARI!$C$5,$B270&amp;" "&amp;$C270&amp;" "&amp;$I270&amp;" "&amp;$J270&amp;" "&amp;$Q270))),OR(CARI!$C$6="",$E270=CARI!$C$6),OR(CARI!$C$7="",$F270=CARI!$C$7),OR(CARI!$C$8="",$O270=CARI!$C$8)),MAX($U$3:U269)+1,""))</f>
        <v/>
      </c>
      <c r="V270" s="40" t="str">
        <f aca="false">IF($T270="","",MAX($V$3:V269)+1)</f>
        <v/>
      </c>
      <c r="W270" s="40" t="str">
        <f aca="false">IF($E270="","",$E270&amp;"#"&amp;COUNTIF($E$4:$E270,$E270))</f>
        <v/>
      </c>
      <c r="X270" s="40" t="str">
        <f aca="false">IF($B270="","",IF(AND(OR(CETAK!$J$10="",$E270=CETAK!$J$10),OR(CETAK!$J$11="",$F270=CETAK!$J$11),OR(CETAK!$J$12="",$K270=CETAK!$J$12),OR(CETAK!$J$13="",$H270=CETAK!$J$13),OR(CETAK!$J$14="",$O270=CETAK!$J$14)),MAX($X$3:X269)+1,""))</f>
        <v/>
      </c>
      <c r="Y270" s="40" t="str">
        <f aca="false">IF($B270="","",IF(AND(OR(ABSENSI!$H$10="",$E270=ABSENSI!$H$10),OR(ABSENSI!$H$11="",$F270=ABSENSI!$H$11),OR(ABSENSI!$H$12="",$K270=ABSENSI!$H$12)),MAX($Y$3:Y269)+1,""))</f>
        <v/>
      </c>
      <c r="Z270" s="40" t="str">
        <f aca="false">IF($B270="","",IF(AND(OR(KARTU!$K$6="",$E270=KARTU!$K$6),OR(KARTU!$K$7="",$F270=KARTU!$K$7),OR(KARTU!$K$8="",$K270=KARTU!$K$8)),MAX($Z$3:Z269)+1,""))</f>
        <v/>
      </c>
    </row>
    <row r="271" customFormat="false" ht="15" hidden="false" customHeight="false" outlineLevel="0" collapsed="false">
      <c r="A271" s="36" t="str">
        <f aca="false">IF($B271="","",COUNTA($B$4:$B271))</f>
        <v/>
      </c>
      <c r="B271" s="37"/>
      <c r="C271" s="38"/>
      <c r="D271" s="39"/>
      <c r="E271" s="37"/>
      <c r="F271" s="39"/>
      <c r="G271" s="40" t="str">
        <f aca="false">IF(OR($E271="",$F271=""),"",$E271&amp;" - RT "&amp;$F271)</f>
        <v/>
      </c>
      <c r="H271" s="37"/>
      <c r="I271" s="38"/>
      <c r="J271" s="37"/>
      <c r="K271" s="39"/>
      <c r="L271" s="41"/>
      <c r="M271" s="36" t="str">
        <f aca="true">IF(OR($B271="",$L271=""),"",DATEDIF($L271,TODAY(),"Y"))</f>
        <v/>
      </c>
      <c r="N271" s="40" t="str">
        <f aca="false">IF($M271="","",INDEX(usia_label,MATCH($M271,usia_min,1)))</f>
        <v/>
      </c>
      <c r="O271" s="37"/>
      <c r="P271" s="41"/>
      <c r="Q271" s="37"/>
      <c r="R271" s="37"/>
      <c r="S271" s="40" t="str">
        <f aca="false">IF($G271="","",$G271&amp;"#"&amp;COUNTIF($G$4:$G271,$G271))</f>
        <v/>
      </c>
      <c r="T271" s="40" t="str">
        <f aca="false">IF($B271="","",IF($C271="","NIK kosong",IF(LEN($C271)&lt;&gt;16,"NIK bukan 16 digit",IF(COUNTIF($C$4:$C$2003,$C271&amp;"*")&gt;1,"NIK ganda",IF($E271="","Kadus kosong",IF($F271="","RT kosong",IF($H271="","Jabatan kosong",IF($I271="","No. HP kosong",IF($J271="","Alamat kosong",IF(AND($M271&lt;&gt;"",$M271&lt;17),"Usia di bawah 17",""))))))))))</f>
        <v/>
      </c>
      <c r="U271" s="40" t="str">
        <f aca="false">IF($B271="","",IF(AND(OR(CARI!$C$5="",ISNUMBER(SEARCH(CARI!$C$5,$B271&amp;" "&amp;$C271&amp;" "&amp;$I271&amp;" "&amp;$J271&amp;" "&amp;$Q271))),OR(CARI!$C$6="",$E271=CARI!$C$6),OR(CARI!$C$7="",$F271=CARI!$C$7),OR(CARI!$C$8="",$O271=CARI!$C$8)),MAX($U$3:U270)+1,""))</f>
        <v/>
      </c>
      <c r="V271" s="40" t="str">
        <f aca="false">IF($T271="","",MAX($V$3:V270)+1)</f>
        <v/>
      </c>
      <c r="W271" s="40" t="str">
        <f aca="false">IF($E271="","",$E271&amp;"#"&amp;COUNTIF($E$4:$E271,$E271))</f>
        <v/>
      </c>
      <c r="X271" s="40" t="str">
        <f aca="false">IF($B271="","",IF(AND(OR(CETAK!$J$10="",$E271=CETAK!$J$10),OR(CETAK!$J$11="",$F271=CETAK!$J$11),OR(CETAK!$J$12="",$K271=CETAK!$J$12),OR(CETAK!$J$13="",$H271=CETAK!$J$13),OR(CETAK!$J$14="",$O271=CETAK!$J$14)),MAX($X$3:X270)+1,""))</f>
        <v/>
      </c>
      <c r="Y271" s="40" t="str">
        <f aca="false">IF($B271="","",IF(AND(OR(ABSENSI!$H$10="",$E271=ABSENSI!$H$10),OR(ABSENSI!$H$11="",$F271=ABSENSI!$H$11),OR(ABSENSI!$H$12="",$K271=ABSENSI!$H$12)),MAX($Y$3:Y270)+1,""))</f>
        <v/>
      </c>
      <c r="Z271" s="40" t="str">
        <f aca="false">IF($B271="","",IF(AND(OR(KARTU!$K$6="",$E271=KARTU!$K$6),OR(KARTU!$K$7="",$F271=KARTU!$K$7),OR(KARTU!$K$8="",$K271=KARTU!$K$8)),MAX($Z$3:Z270)+1,""))</f>
        <v/>
      </c>
    </row>
    <row r="272" customFormat="false" ht="15" hidden="false" customHeight="false" outlineLevel="0" collapsed="false">
      <c r="A272" s="36" t="str">
        <f aca="false">IF($B272="","",COUNTA($B$4:$B272))</f>
        <v/>
      </c>
      <c r="B272" s="37"/>
      <c r="C272" s="38"/>
      <c r="D272" s="39"/>
      <c r="E272" s="37"/>
      <c r="F272" s="39"/>
      <c r="G272" s="40" t="str">
        <f aca="false">IF(OR($E272="",$F272=""),"",$E272&amp;" - RT "&amp;$F272)</f>
        <v/>
      </c>
      <c r="H272" s="37"/>
      <c r="I272" s="38"/>
      <c r="J272" s="37"/>
      <c r="K272" s="39"/>
      <c r="L272" s="41"/>
      <c r="M272" s="36" t="str">
        <f aca="true">IF(OR($B272="",$L272=""),"",DATEDIF($L272,TODAY(),"Y"))</f>
        <v/>
      </c>
      <c r="N272" s="40" t="str">
        <f aca="false">IF($M272="","",INDEX(usia_label,MATCH($M272,usia_min,1)))</f>
        <v/>
      </c>
      <c r="O272" s="37"/>
      <c r="P272" s="41"/>
      <c r="Q272" s="37"/>
      <c r="R272" s="37"/>
      <c r="S272" s="40" t="str">
        <f aca="false">IF($G272="","",$G272&amp;"#"&amp;COUNTIF($G$4:$G272,$G272))</f>
        <v/>
      </c>
      <c r="T272" s="40" t="str">
        <f aca="false">IF($B272="","",IF($C272="","NIK kosong",IF(LEN($C272)&lt;&gt;16,"NIK bukan 16 digit",IF(COUNTIF($C$4:$C$2003,$C272&amp;"*")&gt;1,"NIK ganda",IF($E272="","Kadus kosong",IF($F272="","RT kosong",IF($H272="","Jabatan kosong",IF($I272="","No. HP kosong",IF($J272="","Alamat kosong",IF(AND($M272&lt;&gt;"",$M272&lt;17),"Usia di bawah 17",""))))))))))</f>
        <v/>
      </c>
      <c r="U272" s="40" t="str">
        <f aca="false">IF($B272="","",IF(AND(OR(CARI!$C$5="",ISNUMBER(SEARCH(CARI!$C$5,$B272&amp;" "&amp;$C272&amp;" "&amp;$I272&amp;" "&amp;$J272&amp;" "&amp;$Q272))),OR(CARI!$C$6="",$E272=CARI!$C$6),OR(CARI!$C$7="",$F272=CARI!$C$7),OR(CARI!$C$8="",$O272=CARI!$C$8)),MAX($U$3:U271)+1,""))</f>
        <v/>
      </c>
      <c r="V272" s="40" t="str">
        <f aca="false">IF($T272="","",MAX($V$3:V271)+1)</f>
        <v/>
      </c>
      <c r="W272" s="40" t="str">
        <f aca="false">IF($E272="","",$E272&amp;"#"&amp;COUNTIF($E$4:$E272,$E272))</f>
        <v/>
      </c>
      <c r="X272" s="40" t="str">
        <f aca="false">IF($B272="","",IF(AND(OR(CETAK!$J$10="",$E272=CETAK!$J$10),OR(CETAK!$J$11="",$F272=CETAK!$J$11),OR(CETAK!$J$12="",$K272=CETAK!$J$12),OR(CETAK!$J$13="",$H272=CETAK!$J$13),OR(CETAK!$J$14="",$O272=CETAK!$J$14)),MAX($X$3:X271)+1,""))</f>
        <v/>
      </c>
      <c r="Y272" s="40" t="str">
        <f aca="false">IF($B272="","",IF(AND(OR(ABSENSI!$H$10="",$E272=ABSENSI!$H$10),OR(ABSENSI!$H$11="",$F272=ABSENSI!$H$11),OR(ABSENSI!$H$12="",$K272=ABSENSI!$H$12)),MAX($Y$3:Y271)+1,""))</f>
        <v/>
      </c>
      <c r="Z272" s="40" t="str">
        <f aca="false">IF($B272="","",IF(AND(OR(KARTU!$K$6="",$E272=KARTU!$K$6),OR(KARTU!$K$7="",$F272=KARTU!$K$7),OR(KARTU!$K$8="",$K272=KARTU!$K$8)),MAX($Z$3:Z271)+1,""))</f>
        <v/>
      </c>
    </row>
    <row r="273" customFormat="false" ht="15" hidden="false" customHeight="false" outlineLevel="0" collapsed="false">
      <c r="A273" s="36" t="str">
        <f aca="false">IF($B273="","",COUNTA($B$4:$B273))</f>
        <v/>
      </c>
      <c r="B273" s="37"/>
      <c r="C273" s="38"/>
      <c r="D273" s="39"/>
      <c r="E273" s="37"/>
      <c r="F273" s="39"/>
      <c r="G273" s="40" t="str">
        <f aca="false">IF(OR($E273="",$F273=""),"",$E273&amp;" - RT "&amp;$F273)</f>
        <v/>
      </c>
      <c r="H273" s="37"/>
      <c r="I273" s="38"/>
      <c r="J273" s="37"/>
      <c r="K273" s="39"/>
      <c r="L273" s="41"/>
      <c r="M273" s="36" t="str">
        <f aca="true">IF(OR($B273="",$L273=""),"",DATEDIF($L273,TODAY(),"Y"))</f>
        <v/>
      </c>
      <c r="N273" s="40" t="str">
        <f aca="false">IF($M273="","",INDEX(usia_label,MATCH($M273,usia_min,1)))</f>
        <v/>
      </c>
      <c r="O273" s="37"/>
      <c r="P273" s="41"/>
      <c r="Q273" s="37"/>
      <c r="R273" s="37"/>
      <c r="S273" s="40" t="str">
        <f aca="false">IF($G273="","",$G273&amp;"#"&amp;COUNTIF($G$4:$G273,$G273))</f>
        <v/>
      </c>
      <c r="T273" s="40" t="str">
        <f aca="false">IF($B273="","",IF($C273="","NIK kosong",IF(LEN($C273)&lt;&gt;16,"NIK bukan 16 digit",IF(COUNTIF($C$4:$C$2003,$C273&amp;"*")&gt;1,"NIK ganda",IF($E273="","Kadus kosong",IF($F273="","RT kosong",IF($H273="","Jabatan kosong",IF($I273="","No. HP kosong",IF($J273="","Alamat kosong",IF(AND($M273&lt;&gt;"",$M273&lt;17),"Usia di bawah 17",""))))))))))</f>
        <v/>
      </c>
      <c r="U273" s="40" t="str">
        <f aca="false">IF($B273="","",IF(AND(OR(CARI!$C$5="",ISNUMBER(SEARCH(CARI!$C$5,$B273&amp;" "&amp;$C273&amp;" "&amp;$I273&amp;" "&amp;$J273&amp;" "&amp;$Q273))),OR(CARI!$C$6="",$E273=CARI!$C$6),OR(CARI!$C$7="",$F273=CARI!$C$7),OR(CARI!$C$8="",$O273=CARI!$C$8)),MAX($U$3:U272)+1,""))</f>
        <v/>
      </c>
      <c r="V273" s="40" t="str">
        <f aca="false">IF($T273="","",MAX($V$3:V272)+1)</f>
        <v/>
      </c>
      <c r="W273" s="40" t="str">
        <f aca="false">IF($E273="","",$E273&amp;"#"&amp;COUNTIF($E$4:$E273,$E273))</f>
        <v/>
      </c>
      <c r="X273" s="40" t="str">
        <f aca="false">IF($B273="","",IF(AND(OR(CETAK!$J$10="",$E273=CETAK!$J$10),OR(CETAK!$J$11="",$F273=CETAK!$J$11),OR(CETAK!$J$12="",$K273=CETAK!$J$12),OR(CETAK!$J$13="",$H273=CETAK!$J$13),OR(CETAK!$J$14="",$O273=CETAK!$J$14)),MAX($X$3:X272)+1,""))</f>
        <v/>
      </c>
      <c r="Y273" s="40" t="str">
        <f aca="false">IF($B273="","",IF(AND(OR(ABSENSI!$H$10="",$E273=ABSENSI!$H$10),OR(ABSENSI!$H$11="",$F273=ABSENSI!$H$11),OR(ABSENSI!$H$12="",$K273=ABSENSI!$H$12)),MAX($Y$3:Y272)+1,""))</f>
        <v/>
      </c>
      <c r="Z273" s="40" t="str">
        <f aca="false">IF($B273="","",IF(AND(OR(KARTU!$K$6="",$E273=KARTU!$K$6),OR(KARTU!$K$7="",$F273=KARTU!$K$7),OR(KARTU!$K$8="",$K273=KARTU!$K$8)),MAX($Z$3:Z272)+1,""))</f>
        <v/>
      </c>
    </row>
    <row r="274" customFormat="false" ht="15" hidden="false" customHeight="false" outlineLevel="0" collapsed="false">
      <c r="A274" s="36" t="str">
        <f aca="false">IF($B274="","",COUNTA($B$4:$B274))</f>
        <v/>
      </c>
      <c r="B274" s="37"/>
      <c r="C274" s="38"/>
      <c r="D274" s="39"/>
      <c r="E274" s="37"/>
      <c r="F274" s="39"/>
      <c r="G274" s="40" t="str">
        <f aca="false">IF(OR($E274="",$F274=""),"",$E274&amp;" - RT "&amp;$F274)</f>
        <v/>
      </c>
      <c r="H274" s="37"/>
      <c r="I274" s="38"/>
      <c r="J274" s="37"/>
      <c r="K274" s="39"/>
      <c r="L274" s="41"/>
      <c r="M274" s="36" t="str">
        <f aca="true">IF(OR($B274="",$L274=""),"",DATEDIF($L274,TODAY(),"Y"))</f>
        <v/>
      </c>
      <c r="N274" s="40" t="str">
        <f aca="false">IF($M274="","",INDEX(usia_label,MATCH($M274,usia_min,1)))</f>
        <v/>
      </c>
      <c r="O274" s="37"/>
      <c r="P274" s="41"/>
      <c r="Q274" s="37"/>
      <c r="R274" s="37"/>
      <c r="S274" s="40" t="str">
        <f aca="false">IF($G274="","",$G274&amp;"#"&amp;COUNTIF($G$4:$G274,$G274))</f>
        <v/>
      </c>
      <c r="T274" s="40" t="str">
        <f aca="false">IF($B274="","",IF($C274="","NIK kosong",IF(LEN($C274)&lt;&gt;16,"NIK bukan 16 digit",IF(COUNTIF($C$4:$C$2003,$C274&amp;"*")&gt;1,"NIK ganda",IF($E274="","Kadus kosong",IF($F274="","RT kosong",IF($H274="","Jabatan kosong",IF($I274="","No. HP kosong",IF($J274="","Alamat kosong",IF(AND($M274&lt;&gt;"",$M274&lt;17),"Usia di bawah 17",""))))))))))</f>
        <v/>
      </c>
      <c r="U274" s="40" t="str">
        <f aca="false">IF($B274="","",IF(AND(OR(CARI!$C$5="",ISNUMBER(SEARCH(CARI!$C$5,$B274&amp;" "&amp;$C274&amp;" "&amp;$I274&amp;" "&amp;$J274&amp;" "&amp;$Q274))),OR(CARI!$C$6="",$E274=CARI!$C$6),OR(CARI!$C$7="",$F274=CARI!$C$7),OR(CARI!$C$8="",$O274=CARI!$C$8)),MAX($U$3:U273)+1,""))</f>
        <v/>
      </c>
      <c r="V274" s="40" t="str">
        <f aca="false">IF($T274="","",MAX($V$3:V273)+1)</f>
        <v/>
      </c>
      <c r="W274" s="40" t="str">
        <f aca="false">IF($E274="","",$E274&amp;"#"&amp;COUNTIF($E$4:$E274,$E274))</f>
        <v/>
      </c>
      <c r="X274" s="40" t="str">
        <f aca="false">IF($B274="","",IF(AND(OR(CETAK!$J$10="",$E274=CETAK!$J$10),OR(CETAK!$J$11="",$F274=CETAK!$J$11),OR(CETAK!$J$12="",$K274=CETAK!$J$12),OR(CETAK!$J$13="",$H274=CETAK!$J$13),OR(CETAK!$J$14="",$O274=CETAK!$J$14)),MAX($X$3:X273)+1,""))</f>
        <v/>
      </c>
      <c r="Y274" s="40" t="str">
        <f aca="false">IF($B274="","",IF(AND(OR(ABSENSI!$H$10="",$E274=ABSENSI!$H$10),OR(ABSENSI!$H$11="",$F274=ABSENSI!$H$11),OR(ABSENSI!$H$12="",$K274=ABSENSI!$H$12)),MAX($Y$3:Y273)+1,""))</f>
        <v/>
      </c>
      <c r="Z274" s="40" t="str">
        <f aca="false">IF($B274="","",IF(AND(OR(KARTU!$K$6="",$E274=KARTU!$K$6),OR(KARTU!$K$7="",$F274=KARTU!$K$7),OR(KARTU!$K$8="",$K274=KARTU!$K$8)),MAX($Z$3:Z273)+1,""))</f>
        <v/>
      </c>
    </row>
    <row r="275" customFormat="false" ht="15" hidden="false" customHeight="false" outlineLevel="0" collapsed="false">
      <c r="A275" s="36" t="str">
        <f aca="false">IF($B275="","",COUNTA($B$4:$B275))</f>
        <v/>
      </c>
      <c r="B275" s="37"/>
      <c r="C275" s="38"/>
      <c r="D275" s="39"/>
      <c r="E275" s="37"/>
      <c r="F275" s="39"/>
      <c r="G275" s="40" t="str">
        <f aca="false">IF(OR($E275="",$F275=""),"",$E275&amp;" - RT "&amp;$F275)</f>
        <v/>
      </c>
      <c r="H275" s="37"/>
      <c r="I275" s="38"/>
      <c r="J275" s="37"/>
      <c r="K275" s="39"/>
      <c r="L275" s="41"/>
      <c r="M275" s="36" t="str">
        <f aca="true">IF(OR($B275="",$L275=""),"",DATEDIF($L275,TODAY(),"Y"))</f>
        <v/>
      </c>
      <c r="N275" s="40" t="str">
        <f aca="false">IF($M275="","",INDEX(usia_label,MATCH($M275,usia_min,1)))</f>
        <v/>
      </c>
      <c r="O275" s="37"/>
      <c r="P275" s="41"/>
      <c r="Q275" s="37"/>
      <c r="R275" s="37"/>
      <c r="S275" s="40" t="str">
        <f aca="false">IF($G275="","",$G275&amp;"#"&amp;COUNTIF($G$4:$G275,$G275))</f>
        <v/>
      </c>
      <c r="T275" s="40" t="str">
        <f aca="false">IF($B275="","",IF($C275="","NIK kosong",IF(LEN($C275)&lt;&gt;16,"NIK bukan 16 digit",IF(COUNTIF($C$4:$C$2003,$C275&amp;"*")&gt;1,"NIK ganda",IF($E275="","Kadus kosong",IF($F275="","RT kosong",IF($H275="","Jabatan kosong",IF($I275="","No. HP kosong",IF($J275="","Alamat kosong",IF(AND($M275&lt;&gt;"",$M275&lt;17),"Usia di bawah 17",""))))))))))</f>
        <v/>
      </c>
      <c r="U275" s="40" t="str">
        <f aca="false">IF($B275="","",IF(AND(OR(CARI!$C$5="",ISNUMBER(SEARCH(CARI!$C$5,$B275&amp;" "&amp;$C275&amp;" "&amp;$I275&amp;" "&amp;$J275&amp;" "&amp;$Q275))),OR(CARI!$C$6="",$E275=CARI!$C$6),OR(CARI!$C$7="",$F275=CARI!$C$7),OR(CARI!$C$8="",$O275=CARI!$C$8)),MAX($U$3:U274)+1,""))</f>
        <v/>
      </c>
      <c r="V275" s="40" t="str">
        <f aca="false">IF($T275="","",MAX($V$3:V274)+1)</f>
        <v/>
      </c>
      <c r="W275" s="40" t="str">
        <f aca="false">IF($E275="","",$E275&amp;"#"&amp;COUNTIF($E$4:$E275,$E275))</f>
        <v/>
      </c>
      <c r="X275" s="40" t="str">
        <f aca="false">IF($B275="","",IF(AND(OR(CETAK!$J$10="",$E275=CETAK!$J$10),OR(CETAK!$J$11="",$F275=CETAK!$J$11),OR(CETAK!$J$12="",$K275=CETAK!$J$12),OR(CETAK!$J$13="",$H275=CETAK!$J$13),OR(CETAK!$J$14="",$O275=CETAK!$J$14)),MAX($X$3:X274)+1,""))</f>
        <v/>
      </c>
      <c r="Y275" s="40" t="str">
        <f aca="false">IF($B275="","",IF(AND(OR(ABSENSI!$H$10="",$E275=ABSENSI!$H$10),OR(ABSENSI!$H$11="",$F275=ABSENSI!$H$11),OR(ABSENSI!$H$12="",$K275=ABSENSI!$H$12)),MAX($Y$3:Y274)+1,""))</f>
        <v/>
      </c>
      <c r="Z275" s="40" t="str">
        <f aca="false">IF($B275="","",IF(AND(OR(KARTU!$K$6="",$E275=KARTU!$K$6),OR(KARTU!$K$7="",$F275=KARTU!$K$7),OR(KARTU!$K$8="",$K275=KARTU!$K$8)),MAX($Z$3:Z274)+1,""))</f>
        <v/>
      </c>
    </row>
    <row r="276" customFormat="false" ht="15" hidden="false" customHeight="false" outlineLevel="0" collapsed="false">
      <c r="A276" s="36" t="str">
        <f aca="false">IF($B276="","",COUNTA($B$4:$B276))</f>
        <v/>
      </c>
      <c r="B276" s="37"/>
      <c r="C276" s="38"/>
      <c r="D276" s="39"/>
      <c r="E276" s="37"/>
      <c r="F276" s="39"/>
      <c r="G276" s="40" t="str">
        <f aca="false">IF(OR($E276="",$F276=""),"",$E276&amp;" - RT "&amp;$F276)</f>
        <v/>
      </c>
      <c r="H276" s="37"/>
      <c r="I276" s="38"/>
      <c r="J276" s="37"/>
      <c r="K276" s="39"/>
      <c r="L276" s="41"/>
      <c r="M276" s="36" t="str">
        <f aca="true">IF(OR($B276="",$L276=""),"",DATEDIF($L276,TODAY(),"Y"))</f>
        <v/>
      </c>
      <c r="N276" s="40" t="str">
        <f aca="false">IF($M276="","",INDEX(usia_label,MATCH($M276,usia_min,1)))</f>
        <v/>
      </c>
      <c r="O276" s="37"/>
      <c r="P276" s="41"/>
      <c r="Q276" s="37"/>
      <c r="R276" s="37"/>
      <c r="S276" s="40" t="str">
        <f aca="false">IF($G276="","",$G276&amp;"#"&amp;COUNTIF($G$4:$G276,$G276))</f>
        <v/>
      </c>
      <c r="T276" s="40" t="str">
        <f aca="false">IF($B276="","",IF($C276="","NIK kosong",IF(LEN($C276)&lt;&gt;16,"NIK bukan 16 digit",IF(COUNTIF($C$4:$C$2003,$C276&amp;"*")&gt;1,"NIK ganda",IF($E276="","Kadus kosong",IF($F276="","RT kosong",IF($H276="","Jabatan kosong",IF($I276="","No. HP kosong",IF($J276="","Alamat kosong",IF(AND($M276&lt;&gt;"",$M276&lt;17),"Usia di bawah 17",""))))))))))</f>
        <v/>
      </c>
      <c r="U276" s="40" t="str">
        <f aca="false">IF($B276="","",IF(AND(OR(CARI!$C$5="",ISNUMBER(SEARCH(CARI!$C$5,$B276&amp;" "&amp;$C276&amp;" "&amp;$I276&amp;" "&amp;$J276&amp;" "&amp;$Q276))),OR(CARI!$C$6="",$E276=CARI!$C$6),OR(CARI!$C$7="",$F276=CARI!$C$7),OR(CARI!$C$8="",$O276=CARI!$C$8)),MAX($U$3:U275)+1,""))</f>
        <v/>
      </c>
      <c r="V276" s="40" t="str">
        <f aca="false">IF($T276="","",MAX($V$3:V275)+1)</f>
        <v/>
      </c>
      <c r="W276" s="40" t="str">
        <f aca="false">IF($E276="","",$E276&amp;"#"&amp;COUNTIF($E$4:$E276,$E276))</f>
        <v/>
      </c>
      <c r="X276" s="40" t="str">
        <f aca="false">IF($B276="","",IF(AND(OR(CETAK!$J$10="",$E276=CETAK!$J$10),OR(CETAK!$J$11="",$F276=CETAK!$J$11),OR(CETAK!$J$12="",$K276=CETAK!$J$12),OR(CETAK!$J$13="",$H276=CETAK!$J$13),OR(CETAK!$J$14="",$O276=CETAK!$J$14)),MAX($X$3:X275)+1,""))</f>
        <v/>
      </c>
      <c r="Y276" s="40" t="str">
        <f aca="false">IF($B276="","",IF(AND(OR(ABSENSI!$H$10="",$E276=ABSENSI!$H$10),OR(ABSENSI!$H$11="",$F276=ABSENSI!$H$11),OR(ABSENSI!$H$12="",$K276=ABSENSI!$H$12)),MAX($Y$3:Y275)+1,""))</f>
        <v/>
      </c>
      <c r="Z276" s="40" t="str">
        <f aca="false">IF($B276="","",IF(AND(OR(KARTU!$K$6="",$E276=KARTU!$K$6),OR(KARTU!$K$7="",$F276=KARTU!$K$7),OR(KARTU!$K$8="",$K276=KARTU!$K$8)),MAX($Z$3:Z275)+1,""))</f>
        <v/>
      </c>
    </row>
    <row r="277" customFormat="false" ht="15" hidden="false" customHeight="false" outlineLevel="0" collapsed="false">
      <c r="A277" s="36" t="str">
        <f aca="false">IF($B277="","",COUNTA($B$4:$B277))</f>
        <v/>
      </c>
      <c r="B277" s="37"/>
      <c r="C277" s="38"/>
      <c r="D277" s="39"/>
      <c r="E277" s="37"/>
      <c r="F277" s="39"/>
      <c r="G277" s="40" t="str">
        <f aca="false">IF(OR($E277="",$F277=""),"",$E277&amp;" - RT "&amp;$F277)</f>
        <v/>
      </c>
      <c r="H277" s="37"/>
      <c r="I277" s="38"/>
      <c r="J277" s="37"/>
      <c r="K277" s="39"/>
      <c r="L277" s="41"/>
      <c r="M277" s="36" t="str">
        <f aca="true">IF(OR($B277="",$L277=""),"",DATEDIF($L277,TODAY(),"Y"))</f>
        <v/>
      </c>
      <c r="N277" s="40" t="str">
        <f aca="false">IF($M277="","",INDEX(usia_label,MATCH($M277,usia_min,1)))</f>
        <v/>
      </c>
      <c r="O277" s="37"/>
      <c r="P277" s="41"/>
      <c r="Q277" s="37"/>
      <c r="R277" s="37"/>
      <c r="S277" s="40" t="str">
        <f aca="false">IF($G277="","",$G277&amp;"#"&amp;COUNTIF($G$4:$G277,$G277))</f>
        <v/>
      </c>
      <c r="T277" s="40" t="str">
        <f aca="false">IF($B277="","",IF($C277="","NIK kosong",IF(LEN($C277)&lt;&gt;16,"NIK bukan 16 digit",IF(COUNTIF($C$4:$C$2003,$C277&amp;"*")&gt;1,"NIK ganda",IF($E277="","Kadus kosong",IF($F277="","RT kosong",IF($H277="","Jabatan kosong",IF($I277="","No. HP kosong",IF($J277="","Alamat kosong",IF(AND($M277&lt;&gt;"",$M277&lt;17),"Usia di bawah 17",""))))))))))</f>
        <v/>
      </c>
      <c r="U277" s="40" t="str">
        <f aca="false">IF($B277="","",IF(AND(OR(CARI!$C$5="",ISNUMBER(SEARCH(CARI!$C$5,$B277&amp;" "&amp;$C277&amp;" "&amp;$I277&amp;" "&amp;$J277&amp;" "&amp;$Q277))),OR(CARI!$C$6="",$E277=CARI!$C$6),OR(CARI!$C$7="",$F277=CARI!$C$7),OR(CARI!$C$8="",$O277=CARI!$C$8)),MAX($U$3:U276)+1,""))</f>
        <v/>
      </c>
      <c r="V277" s="40" t="str">
        <f aca="false">IF($T277="","",MAX($V$3:V276)+1)</f>
        <v/>
      </c>
      <c r="W277" s="40" t="str">
        <f aca="false">IF($E277="","",$E277&amp;"#"&amp;COUNTIF($E$4:$E277,$E277))</f>
        <v/>
      </c>
      <c r="X277" s="40" t="str">
        <f aca="false">IF($B277="","",IF(AND(OR(CETAK!$J$10="",$E277=CETAK!$J$10),OR(CETAK!$J$11="",$F277=CETAK!$J$11),OR(CETAK!$J$12="",$K277=CETAK!$J$12),OR(CETAK!$J$13="",$H277=CETAK!$J$13),OR(CETAK!$J$14="",$O277=CETAK!$J$14)),MAX($X$3:X276)+1,""))</f>
        <v/>
      </c>
      <c r="Y277" s="40" t="str">
        <f aca="false">IF($B277="","",IF(AND(OR(ABSENSI!$H$10="",$E277=ABSENSI!$H$10),OR(ABSENSI!$H$11="",$F277=ABSENSI!$H$11),OR(ABSENSI!$H$12="",$K277=ABSENSI!$H$12)),MAX($Y$3:Y276)+1,""))</f>
        <v/>
      </c>
      <c r="Z277" s="40" t="str">
        <f aca="false">IF($B277="","",IF(AND(OR(KARTU!$K$6="",$E277=KARTU!$K$6),OR(KARTU!$K$7="",$F277=KARTU!$K$7),OR(KARTU!$K$8="",$K277=KARTU!$K$8)),MAX($Z$3:Z276)+1,""))</f>
        <v/>
      </c>
    </row>
    <row r="278" customFormat="false" ht="15" hidden="false" customHeight="false" outlineLevel="0" collapsed="false">
      <c r="A278" s="36" t="str">
        <f aca="false">IF($B278="","",COUNTA($B$4:$B278))</f>
        <v/>
      </c>
      <c r="B278" s="37"/>
      <c r="C278" s="38"/>
      <c r="D278" s="39"/>
      <c r="E278" s="37"/>
      <c r="F278" s="39"/>
      <c r="G278" s="40" t="str">
        <f aca="false">IF(OR($E278="",$F278=""),"",$E278&amp;" - RT "&amp;$F278)</f>
        <v/>
      </c>
      <c r="H278" s="37"/>
      <c r="I278" s="38"/>
      <c r="J278" s="37"/>
      <c r="K278" s="39"/>
      <c r="L278" s="41"/>
      <c r="M278" s="36" t="str">
        <f aca="true">IF(OR($B278="",$L278=""),"",DATEDIF($L278,TODAY(),"Y"))</f>
        <v/>
      </c>
      <c r="N278" s="40" t="str">
        <f aca="false">IF($M278="","",INDEX(usia_label,MATCH($M278,usia_min,1)))</f>
        <v/>
      </c>
      <c r="O278" s="37"/>
      <c r="P278" s="41"/>
      <c r="Q278" s="37"/>
      <c r="R278" s="37"/>
      <c r="S278" s="40" t="str">
        <f aca="false">IF($G278="","",$G278&amp;"#"&amp;COUNTIF($G$4:$G278,$G278))</f>
        <v/>
      </c>
      <c r="T278" s="40" t="str">
        <f aca="false">IF($B278="","",IF($C278="","NIK kosong",IF(LEN($C278)&lt;&gt;16,"NIK bukan 16 digit",IF(COUNTIF($C$4:$C$2003,$C278&amp;"*")&gt;1,"NIK ganda",IF($E278="","Kadus kosong",IF($F278="","RT kosong",IF($H278="","Jabatan kosong",IF($I278="","No. HP kosong",IF($J278="","Alamat kosong",IF(AND($M278&lt;&gt;"",$M278&lt;17),"Usia di bawah 17",""))))))))))</f>
        <v/>
      </c>
      <c r="U278" s="40" t="str">
        <f aca="false">IF($B278="","",IF(AND(OR(CARI!$C$5="",ISNUMBER(SEARCH(CARI!$C$5,$B278&amp;" "&amp;$C278&amp;" "&amp;$I278&amp;" "&amp;$J278&amp;" "&amp;$Q278))),OR(CARI!$C$6="",$E278=CARI!$C$6),OR(CARI!$C$7="",$F278=CARI!$C$7),OR(CARI!$C$8="",$O278=CARI!$C$8)),MAX($U$3:U277)+1,""))</f>
        <v/>
      </c>
      <c r="V278" s="40" t="str">
        <f aca="false">IF($T278="","",MAX($V$3:V277)+1)</f>
        <v/>
      </c>
      <c r="W278" s="40" t="str">
        <f aca="false">IF($E278="","",$E278&amp;"#"&amp;COUNTIF($E$4:$E278,$E278))</f>
        <v/>
      </c>
      <c r="X278" s="40" t="str">
        <f aca="false">IF($B278="","",IF(AND(OR(CETAK!$J$10="",$E278=CETAK!$J$10),OR(CETAK!$J$11="",$F278=CETAK!$J$11),OR(CETAK!$J$12="",$K278=CETAK!$J$12),OR(CETAK!$J$13="",$H278=CETAK!$J$13),OR(CETAK!$J$14="",$O278=CETAK!$J$14)),MAX($X$3:X277)+1,""))</f>
        <v/>
      </c>
      <c r="Y278" s="40" t="str">
        <f aca="false">IF($B278="","",IF(AND(OR(ABSENSI!$H$10="",$E278=ABSENSI!$H$10),OR(ABSENSI!$H$11="",$F278=ABSENSI!$H$11),OR(ABSENSI!$H$12="",$K278=ABSENSI!$H$12)),MAX($Y$3:Y277)+1,""))</f>
        <v/>
      </c>
      <c r="Z278" s="40" t="str">
        <f aca="false">IF($B278="","",IF(AND(OR(KARTU!$K$6="",$E278=KARTU!$K$6),OR(KARTU!$K$7="",$F278=KARTU!$K$7),OR(KARTU!$K$8="",$K278=KARTU!$K$8)),MAX($Z$3:Z277)+1,""))</f>
        <v/>
      </c>
    </row>
    <row r="279" customFormat="false" ht="15" hidden="false" customHeight="false" outlineLevel="0" collapsed="false">
      <c r="A279" s="36" t="str">
        <f aca="false">IF($B279="","",COUNTA($B$4:$B279))</f>
        <v/>
      </c>
      <c r="B279" s="37"/>
      <c r="C279" s="38"/>
      <c r="D279" s="39"/>
      <c r="E279" s="37"/>
      <c r="F279" s="39"/>
      <c r="G279" s="40" t="str">
        <f aca="false">IF(OR($E279="",$F279=""),"",$E279&amp;" - RT "&amp;$F279)</f>
        <v/>
      </c>
      <c r="H279" s="37"/>
      <c r="I279" s="38"/>
      <c r="J279" s="37"/>
      <c r="K279" s="39"/>
      <c r="L279" s="41"/>
      <c r="M279" s="36" t="str">
        <f aca="true">IF(OR($B279="",$L279=""),"",DATEDIF($L279,TODAY(),"Y"))</f>
        <v/>
      </c>
      <c r="N279" s="40" t="str">
        <f aca="false">IF($M279="","",INDEX(usia_label,MATCH($M279,usia_min,1)))</f>
        <v/>
      </c>
      <c r="O279" s="37"/>
      <c r="P279" s="41"/>
      <c r="Q279" s="37"/>
      <c r="R279" s="37"/>
      <c r="S279" s="40" t="str">
        <f aca="false">IF($G279="","",$G279&amp;"#"&amp;COUNTIF($G$4:$G279,$G279))</f>
        <v/>
      </c>
      <c r="T279" s="40" t="str">
        <f aca="false">IF($B279="","",IF($C279="","NIK kosong",IF(LEN($C279)&lt;&gt;16,"NIK bukan 16 digit",IF(COUNTIF($C$4:$C$2003,$C279&amp;"*")&gt;1,"NIK ganda",IF($E279="","Kadus kosong",IF($F279="","RT kosong",IF($H279="","Jabatan kosong",IF($I279="","No. HP kosong",IF($J279="","Alamat kosong",IF(AND($M279&lt;&gt;"",$M279&lt;17),"Usia di bawah 17",""))))))))))</f>
        <v/>
      </c>
      <c r="U279" s="40" t="str">
        <f aca="false">IF($B279="","",IF(AND(OR(CARI!$C$5="",ISNUMBER(SEARCH(CARI!$C$5,$B279&amp;" "&amp;$C279&amp;" "&amp;$I279&amp;" "&amp;$J279&amp;" "&amp;$Q279))),OR(CARI!$C$6="",$E279=CARI!$C$6),OR(CARI!$C$7="",$F279=CARI!$C$7),OR(CARI!$C$8="",$O279=CARI!$C$8)),MAX($U$3:U278)+1,""))</f>
        <v/>
      </c>
      <c r="V279" s="40" t="str">
        <f aca="false">IF($T279="","",MAX($V$3:V278)+1)</f>
        <v/>
      </c>
      <c r="W279" s="40" t="str">
        <f aca="false">IF($E279="","",$E279&amp;"#"&amp;COUNTIF($E$4:$E279,$E279))</f>
        <v/>
      </c>
      <c r="X279" s="40" t="str">
        <f aca="false">IF($B279="","",IF(AND(OR(CETAK!$J$10="",$E279=CETAK!$J$10),OR(CETAK!$J$11="",$F279=CETAK!$J$11),OR(CETAK!$J$12="",$K279=CETAK!$J$12),OR(CETAK!$J$13="",$H279=CETAK!$J$13),OR(CETAK!$J$14="",$O279=CETAK!$J$14)),MAX($X$3:X278)+1,""))</f>
        <v/>
      </c>
      <c r="Y279" s="40" t="str">
        <f aca="false">IF($B279="","",IF(AND(OR(ABSENSI!$H$10="",$E279=ABSENSI!$H$10),OR(ABSENSI!$H$11="",$F279=ABSENSI!$H$11),OR(ABSENSI!$H$12="",$K279=ABSENSI!$H$12)),MAX($Y$3:Y278)+1,""))</f>
        <v/>
      </c>
      <c r="Z279" s="40" t="str">
        <f aca="false">IF($B279="","",IF(AND(OR(KARTU!$K$6="",$E279=KARTU!$K$6),OR(KARTU!$K$7="",$F279=KARTU!$K$7),OR(KARTU!$K$8="",$K279=KARTU!$K$8)),MAX($Z$3:Z278)+1,""))</f>
        <v/>
      </c>
    </row>
    <row r="280" customFormat="false" ht="15" hidden="false" customHeight="false" outlineLevel="0" collapsed="false">
      <c r="A280" s="36" t="str">
        <f aca="false">IF($B280="","",COUNTA($B$4:$B280))</f>
        <v/>
      </c>
      <c r="B280" s="37"/>
      <c r="C280" s="38"/>
      <c r="D280" s="39"/>
      <c r="E280" s="37"/>
      <c r="F280" s="39"/>
      <c r="G280" s="40" t="str">
        <f aca="false">IF(OR($E280="",$F280=""),"",$E280&amp;" - RT "&amp;$F280)</f>
        <v/>
      </c>
      <c r="H280" s="37"/>
      <c r="I280" s="38"/>
      <c r="J280" s="37"/>
      <c r="K280" s="39"/>
      <c r="L280" s="41"/>
      <c r="M280" s="36" t="str">
        <f aca="true">IF(OR($B280="",$L280=""),"",DATEDIF($L280,TODAY(),"Y"))</f>
        <v/>
      </c>
      <c r="N280" s="40" t="str">
        <f aca="false">IF($M280="","",INDEX(usia_label,MATCH($M280,usia_min,1)))</f>
        <v/>
      </c>
      <c r="O280" s="37"/>
      <c r="P280" s="41"/>
      <c r="Q280" s="37"/>
      <c r="R280" s="37"/>
      <c r="S280" s="40" t="str">
        <f aca="false">IF($G280="","",$G280&amp;"#"&amp;COUNTIF($G$4:$G280,$G280))</f>
        <v/>
      </c>
      <c r="T280" s="40" t="str">
        <f aca="false">IF($B280="","",IF($C280="","NIK kosong",IF(LEN($C280)&lt;&gt;16,"NIK bukan 16 digit",IF(COUNTIF($C$4:$C$2003,$C280&amp;"*")&gt;1,"NIK ganda",IF($E280="","Kadus kosong",IF($F280="","RT kosong",IF($H280="","Jabatan kosong",IF($I280="","No. HP kosong",IF($J280="","Alamat kosong",IF(AND($M280&lt;&gt;"",$M280&lt;17),"Usia di bawah 17",""))))))))))</f>
        <v/>
      </c>
      <c r="U280" s="40" t="str">
        <f aca="false">IF($B280="","",IF(AND(OR(CARI!$C$5="",ISNUMBER(SEARCH(CARI!$C$5,$B280&amp;" "&amp;$C280&amp;" "&amp;$I280&amp;" "&amp;$J280&amp;" "&amp;$Q280))),OR(CARI!$C$6="",$E280=CARI!$C$6),OR(CARI!$C$7="",$F280=CARI!$C$7),OR(CARI!$C$8="",$O280=CARI!$C$8)),MAX($U$3:U279)+1,""))</f>
        <v/>
      </c>
      <c r="V280" s="40" t="str">
        <f aca="false">IF($T280="","",MAX($V$3:V279)+1)</f>
        <v/>
      </c>
      <c r="W280" s="40" t="str">
        <f aca="false">IF($E280="","",$E280&amp;"#"&amp;COUNTIF($E$4:$E280,$E280))</f>
        <v/>
      </c>
      <c r="X280" s="40" t="str">
        <f aca="false">IF($B280="","",IF(AND(OR(CETAK!$J$10="",$E280=CETAK!$J$10),OR(CETAK!$J$11="",$F280=CETAK!$J$11),OR(CETAK!$J$12="",$K280=CETAK!$J$12),OR(CETAK!$J$13="",$H280=CETAK!$J$13),OR(CETAK!$J$14="",$O280=CETAK!$J$14)),MAX($X$3:X279)+1,""))</f>
        <v/>
      </c>
      <c r="Y280" s="40" t="str">
        <f aca="false">IF($B280="","",IF(AND(OR(ABSENSI!$H$10="",$E280=ABSENSI!$H$10),OR(ABSENSI!$H$11="",$F280=ABSENSI!$H$11),OR(ABSENSI!$H$12="",$K280=ABSENSI!$H$12)),MAX($Y$3:Y279)+1,""))</f>
        <v/>
      </c>
      <c r="Z280" s="40" t="str">
        <f aca="false">IF($B280="","",IF(AND(OR(KARTU!$K$6="",$E280=KARTU!$K$6),OR(KARTU!$K$7="",$F280=KARTU!$K$7),OR(KARTU!$K$8="",$K280=KARTU!$K$8)),MAX($Z$3:Z279)+1,""))</f>
        <v/>
      </c>
    </row>
    <row r="281" customFormat="false" ht="15" hidden="false" customHeight="false" outlineLevel="0" collapsed="false">
      <c r="A281" s="36" t="str">
        <f aca="false">IF($B281="","",COUNTA($B$4:$B281))</f>
        <v/>
      </c>
      <c r="B281" s="37"/>
      <c r="C281" s="38"/>
      <c r="D281" s="39"/>
      <c r="E281" s="37"/>
      <c r="F281" s="39"/>
      <c r="G281" s="40" t="str">
        <f aca="false">IF(OR($E281="",$F281=""),"",$E281&amp;" - RT "&amp;$F281)</f>
        <v/>
      </c>
      <c r="H281" s="37"/>
      <c r="I281" s="38"/>
      <c r="J281" s="37"/>
      <c r="K281" s="39"/>
      <c r="L281" s="41"/>
      <c r="M281" s="36" t="str">
        <f aca="true">IF(OR($B281="",$L281=""),"",DATEDIF($L281,TODAY(),"Y"))</f>
        <v/>
      </c>
      <c r="N281" s="40" t="str">
        <f aca="false">IF($M281="","",INDEX(usia_label,MATCH($M281,usia_min,1)))</f>
        <v/>
      </c>
      <c r="O281" s="37"/>
      <c r="P281" s="41"/>
      <c r="Q281" s="37"/>
      <c r="R281" s="37"/>
      <c r="S281" s="40" t="str">
        <f aca="false">IF($G281="","",$G281&amp;"#"&amp;COUNTIF($G$4:$G281,$G281))</f>
        <v/>
      </c>
      <c r="T281" s="40" t="str">
        <f aca="false">IF($B281="","",IF($C281="","NIK kosong",IF(LEN($C281)&lt;&gt;16,"NIK bukan 16 digit",IF(COUNTIF($C$4:$C$2003,$C281&amp;"*")&gt;1,"NIK ganda",IF($E281="","Kadus kosong",IF($F281="","RT kosong",IF($H281="","Jabatan kosong",IF($I281="","No. HP kosong",IF($J281="","Alamat kosong",IF(AND($M281&lt;&gt;"",$M281&lt;17),"Usia di bawah 17",""))))))))))</f>
        <v/>
      </c>
      <c r="U281" s="40" t="str">
        <f aca="false">IF($B281="","",IF(AND(OR(CARI!$C$5="",ISNUMBER(SEARCH(CARI!$C$5,$B281&amp;" "&amp;$C281&amp;" "&amp;$I281&amp;" "&amp;$J281&amp;" "&amp;$Q281))),OR(CARI!$C$6="",$E281=CARI!$C$6),OR(CARI!$C$7="",$F281=CARI!$C$7),OR(CARI!$C$8="",$O281=CARI!$C$8)),MAX($U$3:U280)+1,""))</f>
        <v/>
      </c>
      <c r="V281" s="40" t="str">
        <f aca="false">IF($T281="","",MAX($V$3:V280)+1)</f>
        <v/>
      </c>
      <c r="W281" s="40" t="str">
        <f aca="false">IF($E281="","",$E281&amp;"#"&amp;COUNTIF($E$4:$E281,$E281))</f>
        <v/>
      </c>
      <c r="X281" s="40" t="str">
        <f aca="false">IF($B281="","",IF(AND(OR(CETAK!$J$10="",$E281=CETAK!$J$10),OR(CETAK!$J$11="",$F281=CETAK!$J$11),OR(CETAK!$J$12="",$K281=CETAK!$J$12),OR(CETAK!$J$13="",$H281=CETAK!$J$13),OR(CETAK!$J$14="",$O281=CETAK!$J$14)),MAX($X$3:X280)+1,""))</f>
        <v/>
      </c>
      <c r="Y281" s="40" t="str">
        <f aca="false">IF($B281="","",IF(AND(OR(ABSENSI!$H$10="",$E281=ABSENSI!$H$10),OR(ABSENSI!$H$11="",$F281=ABSENSI!$H$11),OR(ABSENSI!$H$12="",$K281=ABSENSI!$H$12)),MAX($Y$3:Y280)+1,""))</f>
        <v/>
      </c>
      <c r="Z281" s="40" t="str">
        <f aca="false">IF($B281="","",IF(AND(OR(KARTU!$K$6="",$E281=KARTU!$K$6),OR(KARTU!$K$7="",$F281=KARTU!$K$7),OR(KARTU!$K$8="",$K281=KARTU!$K$8)),MAX($Z$3:Z280)+1,""))</f>
        <v/>
      </c>
    </row>
    <row r="282" customFormat="false" ht="15" hidden="false" customHeight="false" outlineLevel="0" collapsed="false">
      <c r="A282" s="36" t="str">
        <f aca="false">IF($B282="","",COUNTA($B$4:$B282))</f>
        <v/>
      </c>
      <c r="B282" s="37"/>
      <c r="C282" s="38"/>
      <c r="D282" s="39"/>
      <c r="E282" s="37"/>
      <c r="F282" s="39"/>
      <c r="G282" s="40" t="str">
        <f aca="false">IF(OR($E282="",$F282=""),"",$E282&amp;" - RT "&amp;$F282)</f>
        <v/>
      </c>
      <c r="H282" s="37"/>
      <c r="I282" s="38"/>
      <c r="J282" s="37"/>
      <c r="K282" s="39"/>
      <c r="L282" s="41"/>
      <c r="M282" s="36" t="str">
        <f aca="true">IF(OR($B282="",$L282=""),"",DATEDIF($L282,TODAY(),"Y"))</f>
        <v/>
      </c>
      <c r="N282" s="40" t="str">
        <f aca="false">IF($M282="","",INDEX(usia_label,MATCH($M282,usia_min,1)))</f>
        <v/>
      </c>
      <c r="O282" s="37"/>
      <c r="P282" s="41"/>
      <c r="Q282" s="37"/>
      <c r="R282" s="37"/>
      <c r="S282" s="40" t="str">
        <f aca="false">IF($G282="","",$G282&amp;"#"&amp;COUNTIF($G$4:$G282,$G282))</f>
        <v/>
      </c>
      <c r="T282" s="40" t="str">
        <f aca="false">IF($B282="","",IF($C282="","NIK kosong",IF(LEN($C282)&lt;&gt;16,"NIK bukan 16 digit",IF(COUNTIF($C$4:$C$2003,$C282&amp;"*")&gt;1,"NIK ganda",IF($E282="","Kadus kosong",IF($F282="","RT kosong",IF($H282="","Jabatan kosong",IF($I282="","No. HP kosong",IF($J282="","Alamat kosong",IF(AND($M282&lt;&gt;"",$M282&lt;17),"Usia di bawah 17",""))))))))))</f>
        <v/>
      </c>
      <c r="U282" s="40" t="str">
        <f aca="false">IF($B282="","",IF(AND(OR(CARI!$C$5="",ISNUMBER(SEARCH(CARI!$C$5,$B282&amp;" "&amp;$C282&amp;" "&amp;$I282&amp;" "&amp;$J282&amp;" "&amp;$Q282))),OR(CARI!$C$6="",$E282=CARI!$C$6),OR(CARI!$C$7="",$F282=CARI!$C$7),OR(CARI!$C$8="",$O282=CARI!$C$8)),MAX($U$3:U281)+1,""))</f>
        <v/>
      </c>
      <c r="V282" s="40" t="str">
        <f aca="false">IF($T282="","",MAX($V$3:V281)+1)</f>
        <v/>
      </c>
      <c r="W282" s="40" t="str">
        <f aca="false">IF($E282="","",$E282&amp;"#"&amp;COUNTIF($E$4:$E282,$E282))</f>
        <v/>
      </c>
      <c r="X282" s="40" t="str">
        <f aca="false">IF($B282="","",IF(AND(OR(CETAK!$J$10="",$E282=CETAK!$J$10),OR(CETAK!$J$11="",$F282=CETAK!$J$11),OR(CETAK!$J$12="",$K282=CETAK!$J$12),OR(CETAK!$J$13="",$H282=CETAK!$J$13),OR(CETAK!$J$14="",$O282=CETAK!$J$14)),MAX($X$3:X281)+1,""))</f>
        <v/>
      </c>
      <c r="Y282" s="40" t="str">
        <f aca="false">IF($B282="","",IF(AND(OR(ABSENSI!$H$10="",$E282=ABSENSI!$H$10),OR(ABSENSI!$H$11="",$F282=ABSENSI!$H$11),OR(ABSENSI!$H$12="",$K282=ABSENSI!$H$12)),MAX($Y$3:Y281)+1,""))</f>
        <v/>
      </c>
      <c r="Z282" s="40" t="str">
        <f aca="false">IF($B282="","",IF(AND(OR(KARTU!$K$6="",$E282=KARTU!$K$6),OR(KARTU!$K$7="",$F282=KARTU!$K$7),OR(KARTU!$K$8="",$K282=KARTU!$K$8)),MAX($Z$3:Z281)+1,""))</f>
        <v/>
      </c>
    </row>
    <row r="283" customFormat="false" ht="15" hidden="false" customHeight="false" outlineLevel="0" collapsed="false">
      <c r="A283" s="36" t="str">
        <f aca="false">IF($B283="","",COUNTA($B$4:$B283))</f>
        <v/>
      </c>
      <c r="B283" s="37"/>
      <c r="C283" s="38"/>
      <c r="D283" s="39"/>
      <c r="E283" s="37"/>
      <c r="F283" s="39"/>
      <c r="G283" s="40" t="str">
        <f aca="false">IF(OR($E283="",$F283=""),"",$E283&amp;" - RT "&amp;$F283)</f>
        <v/>
      </c>
      <c r="H283" s="37"/>
      <c r="I283" s="38"/>
      <c r="J283" s="37"/>
      <c r="K283" s="39"/>
      <c r="L283" s="41"/>
      <c r="M283" s="36" t="str">
        <f aca="true">IF(OR($B283="",$L283=""),"",DATEDIF($L283,TODAY(),"Y"))</f>
        <v/>
      </c>
      <c r="N283" s="40" t="str">
        <f aca="false">IF($M283="","",INDEX(usia_label,MATCH($M283,usia_min,1)))</f>
        <v/>
      </c>
      <c r="O283" s="37"/>
      <c r="P283" s="41"/>
      <c r="Q283" s="37"/>
      <c r="R283" s="37"/>
      <c r="S283" s="40" t="str">
        <f aca="false">IF($G283="","",$G283&amp;"#"&amp;COUNTIF($G$4:$G283,$G283))</f>
        <v/>
      </c>
      <c r="T283" s="40" t="str">
        <f aca="false">IF($B283="","",IF($C283="","NIK kosong",IF(LEN($C283)&lt;&gt;16,"NIK bukan 16 digit",IF(COUNTIF($C$4:$C$2003,$C283&amp;"*")&gt;1,"NIK ganda",IF($E283="","Kadus kosong",IF($F283="","RT kosong",IF($H283="","Jabatan kosong",IF($I283="","No. HP kosong",IF($J283="","Alamat kosong",IF(AND($M283&lt;&gt;"",$M283&lt;17),"Usia di bawah 17",""))))))))))</f>
        <v/>
      </c>
      <c r="U283" s="40" t="str">
        <f aca="false">IF($B283="","",IF(AND(OR(CARI!$C$5="",ISNUMBER(SEARCH(CARI!$C$5,$B283&amp;" "&amp;$C283&amp;" "&amp;$I283&amp;" "&amp;$J283&amp;" "&amp;$Q283))),OR(CARI!$C$6="",$E283=CARI!$C$6),OR(CARI!$C$7="",$F283=CARI!$C$7),OR(CARI!$C$8="",$O283=CARI!$C$8)),MAX($U$3:U282)+1,""))</f>
        <v/>
      </c>
      <c r="V283" s="40" t="str">
        <f aca="false">IF($T283="","",MAX($V$3:V282)+1)</f>
        <v/>
      </c>
      <c r="W283" s="40" t="str">
        <f aca="false">IF($E283="","",$E283&amp;"#"&amp;COUNTIF($E$4:$E283,$E283))</f>
        <v/>
      </c>
      <c r="X283" s="40" t="str">
        <f aca="false">IF($B283="","",IF(AND(OR(CETAK!$J$10="",$E283=CETAK!$J$10),OR(CETAK!$J$11="",$F283=CETAK!$J$11),OR(CETAK!$J$12="",$K283=CETAK!$J$12),OR(CETAK!$J$13="",$H283=CETAK!$J$13),OR(CETAK!$J$14="",$O283=CETAK!$J$14)),MAX($X$3:X282)+1,""))</f>
        <v/>
      </c>
      <c r="Y283" s="40" t="str">
        <f aca="false">IF($B283="","",IF(AND(OR(ABSENSI!$H$10="",$E283=ABSENSI!$H$10),OR(ABSENSI!$H$11="",$F283=ABSENSI!$H$11),OR(ABSENSI!$H$12="",$K283=ABSENSI!$H$12)),MAX($Y$3:Y282)+1,""))</f>
        <v/>
      </c>
      <c r="Z283" s="40" t="str">
        <f aca="false">IF($B283="","",IF(AND(OR(KARTU!$K$6="",$E283=KARTU!$K$6),OR(KARTU!$K$7="",$F283=KARTU!$K$7),OR(KARTU!$K$8="",$K283=KARTU!$K$8)),MAX($Z$3:Z282)+1,""))</f>
        <v/>
      </c>
    </row>
    <row r="284" customFormat="false" ht="15" hidden="false" customHeight="false" outlineLevel="0" collapsed="false">
      <c r="A284" s="36" t="str">
        <f aca="false">IF($B284="","",COUNTA($B$4:$B284))</f>
        <v/>
      </c>
      <c r="B284" s="37"/>
      <c r="C284" s="38"/>
      <c r="D284" s="39"/>
      <c r="E284" s="37"/>
      <c r="F284" s="39"/>
      <c r="G284" s="40" t="str">
        <f aca="false">IF(OR($E284="",$F284=""),"",$E284&amp;" - RT "&amp;$F284)</f>
        <v/>
      </c>
      <c r="H284" s="37"/>
      <c r="I284" s="38"/>
      <c r="J284" s="37"/>
      <c r="K284" s="39"/>
      <c r="L284" s="41"/>
      <c r="M284" s="36" t="str">
        <f aca="true">IF(OR($B284="",$L284=""),"",DATEDIF($L284,TODAY(),"Y"))</f>
        <v/>
      </c>
      <c r="N284" s="40" t="str">
        <f aca="false">IF($M284="","",INDEX(usia_label,MATCH($M284,usia_min,1)))</f>
        <v/>
      </c>
      <c r="O284" s="37"/>
      <c r="P284" s="41"/>
      <c r="Q284" s="37"/>
      <c r="R284" s="37"/>
      <c r="S284" s="40" t="str">
        <f aca="false">IF($G284="","",$G284&amp;"#"&amp;COUNTIF($G$4:$G284,$G284))</f>
        <v/>
      </c>
      <c r="T284" s="40" t="str">
        <f aca="false">IF($B284="","",IF($C284="","NIK kosong",IF(LEN($C284)&lt;&gt;16,"NIK bukan 16 digit",IF(COUNTIF($C$4:$C$2003,$C284&amp;"*")&gt;1,"NIK ganda",IF($E284="","Kadus kosong",IF($F284="","RT kosong",IF($H284="","Jabatan kosong",IF($I284="","No. HP kosong",IF($J284="","Alamat kosong",IF(AND($M284&lt;&gt;"",$M284&lt;17),"Usia di bawah 17",""))))))))))</f>
        <v/>
      </c>
      <c r="U284" s="40" t="str">
        <f aca="false">IF($B284="","",IF(AND(OR(CARI!$C$5="",ISNUMBER(SEARCH(CARI!$C$5,$B284&amp;" "&amp;$C284&amp;" "&amp;$I284&amp;" "&amp;$J284&amp;" "&amp;$Q284))),OR(CARI!$C$6="",$E284=CARI!$C$6),OR(CARI!$C$7="",$F284=CARI!$C$7),OR(CARI!$C$8="",$O284=CARI!$C$8)),MAX($U$3:U283)+1,""))</f>
        <v/>
      </c>
      <c r="V284" s="40" t="str">
        <f aca="false">IF($T284="","",MAX($V$3:V283)+1)</f>
        <v/>
      </c>
      <c r="W284" s="40" t="str">
        <f aca="false">IF($E284="","",$E284&amp;"#"&amp;COUNTIF($E$4:$E284,$E284))</f>
        <v/>
      </c>
      <c r="X284" s="40" t="str">
        <f aca="false">IF($B284="","",IF(AND(OR(CETAK!$J$10="",$E284=CETAK!$J$10),OR(CETAK!$J$11="",$F284=CETAK!$J$11),OR(CETAK!$J$12="",$K284=CETAK!$J$12),OR(CETAK!$J$13="",$H284=CETAK!$J$13),OR(CETAK!$J$14="",$O284=CETAK!$J$14)),MAX($X$3:X283)+1,""))</f>
        <v/>
      </c>
      <c r="Y284" s="40" t="str">
        <f aca="false">IF($B284="","",IF(AND(OR(ABSENSI!$H$10="",$E284=ABSENSI!$H$10),OR(ABSENSI!$H$11="",$F284=ABSENSI!$H$11),OR(ABSENSI!$H$12="",$K284=ABSENSI!$H$12)),MAX($Y$3:Y283)+1,""))</f>
        <v/>
      </c>
      <c r="Z284" s="40" t="str">
        <f aca="false">IF($B284="","",IF(AND(OR(KARTU!$K$6="",$E284=KARTU!$K$6),OR(KARTU!$K$7="",$F284=KARTU!$K$7),OR(KARTU!$K$8="",$K284=KARTU!$K$8)),MAX($Z$3:Z283)+1,""))</f>
        <v/>
      </c>
    </row>
    <row r="285" customFormat="false" ht="15" hidden="false" customHeight="false" outlineLevel="0" collapsed="false">
      <c r="A285" s="36" t="str">
        <f aca="false">IF($B285="","",COUNTA($B$4:$B285))</f>
        <v/>
      </c>
      <c r="B285" s="37"/>
      <c r="C285" s="38"/>
      <c r="D285" s="39"/>
      <c r="E285" s="37"/>
      <c r="F285" s="39"/>
      <c r="G285" s="40" t="str">
        <f aca="false">IF(OR($E285="",$F285=""),"",$E285&amp;" - RT "&amp;$F285)</f>
        <v/>
      </c>
      <c r="H285" s="37"/>
      <c r="I285" s="38"/>
      <c r="J285" s="37"/>
      <c r="K285" s="39"/>
      <c r="L285" s="41"/>
      <c r="M285" s="36" t="str">
        <f aca="true">IF(OR($B285="",$L285=""),"",DATEDIF($L285,TODAY(),"Y"))</f>
        <v/>
      </c>
      <c r="N285" s="40" t="str">
        <f aca="false">IF($M285="","",INDEX(usia_label,MATCH($M285,usia_min,1)))</f>
        <v/>
      </c>
      <c r="O285" s="37"/>
      <c r="P285" s="41"/>
      <c r="Q285" s="37"/>
      <c r="R285" s="37"/>
      <c r="S285" s="40" t="str">
        <f aca="false">IF($G285="","",$G285&amp;"#"&amp;COUNTIF($G$4:$G285,$G285))</f>
        <v/>
      </c>
      <c r="T285" s="40" t="str">
        <f aca="false">IF($B285="","",IF($C285="","NIK kosong",IF(LEN($C285)&lt;&gt;16,"NIK bukan 16 digit",IF(COUNTIF($C$4:$C$2003,$C285&amp;"*")&gt;1,"NIK ganda",IF($E285="","Kadus kosong",IF($F285="","RT kosong",IF($H285="","Jabatan kosong",IF($I285="","No. HP kosong",IF($J285="","Alamat kosong",IF(AND($M285&lt;&gt;"",$M285&lt;17),"Usia di bawah 17",""))))))))))</f>
        <v/>
      </c>
      <c r="U285" s="40" t="str">
        <f aca="false">IF($B285="","",IF(AND(OR(CARI!$C$5="",ISNUMBER(SEARCH(CARI!$C$5,$B285&amp;" "&amp;$C285&amp;" "&amp;$I285&amp;" "&amp;$J285&amp;" "&amp;$Q285))),OR(CARI!$C$6="",$E285=CARI!$C$6),OR(CARI!$C$7="",$F285=CARI!$C$7),OR(CARI!$C$8="",$O285=CARI!$C$8)),MAX($U$3:U284)+1,""))</f>
        <v/>
      </c>
      <c r="V285" s="40" t="str">
        <f aca="false">IF($T285="","",MAX($V$3:V284)+1)</f>
        <v/>
      </c>
      <c r="W285" s="40" t="str">
        <f aca="false">IF($E285="","",$E285&amp;"#"&amp;COUNTIF($E$4:$E285,$E285))</f>
        <v/>
      </c>
      <c r="X285" s="40" t="str">
        <f aca="false">IF($B285="","",IF(AND(OR(CETAK!$J$10="",$E285=CETAK!$J$10),OR(CETAK!$J$11="",$F285=CETAK!$J$11),OR(CETAK!$J$12="",$K285=CETAK!$J$12),OR(CETAK!$J$13="",$H285=CETAK!$J$13),OR(CETAK!$J$14="",$O285=CETAK!$J$14)),MAX($X$3:X284)+1,""))</f>
        <v/>
      </c>
      <c r="Y285" s="40" t="str">
        <f aca="false">IF($B285="","",IF(AND(OR(ABSENSI!$H$10="",$E285=ABSENSI!$H$10),OR(ABSENSI!$H$11="",$F285=ABSENSI!$H$11),OR(ABSENSI!$H$12="",$K285=ABSENSI!$H$12)),MAX($Y$3:Y284)+1,""))</f>
        <v/>
      </c>
      <c r="Z285" s="40" t="str">
        <f aca="false">IF($B285="","",IF(AND(OR(KARTU!$K$6="",$E285=KARTU!$K$6),OR(KARTU!$K$7="",$F285=KARTU!$K$7),OR(KARTU!$K$8="",$K285=KARTU!$K$8)),MAX($Z$3:Z284)+1,""))</f>
        <v/>
      </c>
    </row>
    <row r="286" customFormat="false" ht="15" hidden="false" customHeight="false" outlineLevel="0" collapsed="false">
      <c r="A286" s="36" t="str">
        <f aca="false">IF($B286="","",COUNTA($B$4:$B286))</f>
        <v/>
      </c>
      <c r="B286" s="37"/>
      <c r="C286" s="38"/>
      <c r="D286" s="39"/>
      <c r="E286" s="37"/>
      <c r="F286" s="39"/>
      <c r="G286" s="40" t="str">
        <f aca="false">IF(OR($E286="",$F286=""),"",$E286&amp;" - RT "&amp;$F286)</f>
        <v/>
      </c>
      <c r="H286" s="37"/>
      <c r="I286" s="38"/>
      <c r="J286" s="37"/>
      <c r="K286" s="39"/>
      <c r="L286" s="41"/>
      <c r="M286" s="36" t="str">
        <f aca="true">IF(OR($B286="",$L286=""),"",DATEDIF($L286,TODAY(),"Y"))</f>
        <v/>
      </c>
      <c r="N286" s="40" t="str">
        <f aca="false">IF($M286="","",INDEX(usia_label,MATCH($M286,usia_min,1)))</f>
        <v/>
      </c>
      <c r="O286" s="37"/>
      <c r="P286" s="41"/>
      <c r="Q286" s="37"/>
      <c r="R286" s="37"/>
      <c r="S286" s="40" t="str">
        <f aca="false">IF($G286="","",$G286&amp;"#"&amp;COUNTIF($G$4:$G286,$G286))</f>
        <v/>
      </c>
      <c r="T286" s="40" t="str">
        <f aca="false">IF($B286="","",IF($C286="","NIK kosong",IF(LEN($C286)&lt;&gt;16,"NIK bukan 16 digit",IF(COUNTIF($C$4:$C$2003,$C286&amp;"*")&gt;1,"NIK ganda",IF($E286="","Kadus kosong",IF($F286="","RT kosong",IF($H286="","Jabatan kosong",IF($I286="","No. HP kosong",IF($J286="","Alamat kosong",IF(AND($M286&lt;&gt;"",$M286&lt;17),"Usia di bawah 17",""))))))))))</f>
        <v/>
      </c>
      <c r="U286" s="40" t="str">
        <f aca="false">IF($B286="","",IF(AND(OR(CARI!$C$5="",ISNUMBER(SEARCH(CARI!$C$5,$B286&amp;" "&amp;$C286&amp;" "&amp;$I286&amp;" "&amp;$J286&amp;" "&amp;$Q286))),OR(CARI!$C$6="",$E286=CARI!$C$6),OR(CARI!$C$7="",$F286=CARI!$C$7),OR(CARI!$C$8="",$O286=CARI!$C$8)),MAX($U$3:U285)+1,""))</f>
        <v/>
      </c>
      <c r="V286" s="40" t="str">
        <f aca="false">IF($T286="","",MAX($V$3:V285)+1)</f>
        <v/>
      </c>
      <c r="W286" s="40" t="str">
        <f aca="false">IF($E286="","",$E286&amp;"#"&amp;COUNTIF($E$4:$E286,$E286))</f>
        <v/>
      </c>
      <c r="X286" s="40" t="str">
        <f aca="false">IF($B286="","",IF(AND(OR(CETAK!$J$10="",$E286=CETAK!$J$10),OR(CETAK!$J$11="",$F286=CETAK!$J$11),OR(CETAK!$J$12="",$K286=CETAK!$J$12),OR(CETAK!$J$13="",$H286=CETAK!$J$13),OR(CETAK!$J$14="",$O286=CETAK!$J$14)),MAX($X$3:X285)+1,""))</f>
        <v/>
      </c>
      <c r="Y286" s="40" t="str">
        <f aca="false">IF($B286="","",IF(AND(OR(ABSENSI!$H$10="",$E286=ABSENSI!$H$10),OR(ABSENSI!$H$11="",$F286=ABSENSI!$H$11),OR(ABSENSI!$H$12="",$K286=ABSENSI!$H$12)),MAX($Y$3:Y285)+1,""))</f>
        <v/>
      </c>
      <c r="Z286" s="40" t="str">
        <f aca="false">IF($B286="","",IF(AND(OR(KARTU!$K$6="",$E286=KARTU!$K$6),OR(KARTU!$K$7="",$F286=KARTU!$K$7),OR(KARTU!$K$8="",$K286=KARTU!$K$8)),MAX($Z$3:Z285)+1,""))</f>
        <v/>
      </c>
    </row>
    <row r="287" customFormat="false" ht="15" hidden="false" customHeight="false" outlineLevel="0" collapsed="false">
      <c r="A287" s="36" t="str">
        <f aca="false">IF($B287="","",COUNTA($B$4:$B287))</f>
        <v/>
      </c>
      <c r="B287" s="37"/>
      <c r="C287" s="38"/>
      <c r="D287" s="39"/>
      <c r="E287" s="37"/>
      <c r="F287" s="39"/>
      <c r="G287" s="40" t="str">
        <f aca="false">IF(OR($E287="",$F287=""),"",$E287&amp;" - RT "&amp;$F287)</f>
        <v/>
      </c>
      <c r="H287" s="37"/>
      <c r="I287" s="38"/>
      <c r="J287" s="37"/>
      <c r="K287" s="39"/>
      <c r="L287" s="41"/>
      <c r="M287" s="36" t="str">
        <f aca="true">IF(OR($B287="",$L287=""),"",DATEDIF($L287,TODAY(),"Y"))</f>
        <v/>
      </c>
      <c r="N287" s="40" t="str">
        <f aca="false">IF($M287="","",INDEX(usia_label,MATCH($M287,usia_min,1)))</f>
        <v/>
      </c>
      <c r="O287" s="37"/>
      <c r="P287" s="41"/>
      <c r="Q287" s="37"/>
      <c r="R287" s="37"/>
      <c r="S287" s="40" t="str">
        <f aca="false">IF($G287="","",$G287&amp;"#"&amp;COUNTIF($G$4:$G287,$G287))</f>
        <v/>
      </c>
      <c r="T287" s="40" t="str">
        <f aca="false">IF($B287="","",IF($C287="","NIK kosong",IF(LEN($C287)&lt;&gt;16,"NIK bukan 16 digit",IF(COUNTIF($C$4:$C$2003,$C287&amp;"*")&gt;1,"NIK ganda",IF($E287="","Kadus kosong",IF($F287="","RT kosong",IF($H287="","Jabatan kosong",IF($I287="","No. HP kosong",IF($J287="","Alamat kosong",IF(AND($M287&lt;&gt;"",$M287&lt;17),"Usia di bawah 17",""))))))))))</f>
        <v/>
      </c>
      <c r="U287" s="40" t="str">
        <f aca="false">IF($B287="","",IF(AND(OR(CARI!$C$5="",ISNUMBER(SEARCH(CARI!$C$5,$B287&amp;" "&amp;$C287&amp;" "&amp;$I287&amp;" "&amp;$J287&amp;" "&amp;$Q287))),OR(CARI!$C$6="",$E287=CARI!$C$6),OR(CARI!$C$7="",$F287=CARI!$C$7),OR(CARI!$C$8="",$O287=CARI!$C$8)),MAX($U$3:U286)+1,""))</f>
        <v/>
      </c>
      <c r="V287" s="40" t="str">
        <f aca="false">IF($T287="","",MAX($V$3:V286)+1)</f>
        <v/>
      </c>
      <c r="W287" s="40" t="str">
        <f aca="false">IF($E287="","",$E287&amp;"#"&amp;COUNTIF($E$4:$E287,$E287))</f>
        <v/>
      </c>
      <c r="X287" s="40" t="str">
        <f aca="false">IF($B287="","",IF(AND(OR(CETAK!$J$10="",$E287=CETAK!$J$10),OR(CETAK!$J$11="",$F287=CETAK!$J$11),OR(CETAK!$J$12="",$K287=CETAK!$J$12),OR(CETAK!$J$13="",$H287=CETAK!$J$13),OR(CETAK!$J$14="",$O287=CETAK!$J$14)),MAX($X$3:X286)+1,""))</f>
        <v/>
      </c>
      <c r="Y287" s="40" t="str">
        <f aca="false">IF($B287="","",IF(AND(OR(ABSENSI!$H$10="",$E287=ABSENSI!$H$10),OR(ABSENSI!$H$11="",$F287=ABSENSI!$H$11),OR(ABSENSI!$H$12="",$K287=ABSENSI!$H$12)),MAX($Y$3:Y286)+1,""))</f>
        <v/>
      </c>
      <c r="Z287" s="40" t="str">
        <f aca="false">IF($B287="","",IF(AND(OR(KARTU!$K$6="",$E287=KARTU!$K$6),OR(KARTU!$K$7="",$F287=KARTU!$K$7),OR(KARTU!$K$8="",$K287=KARTU!$K$8)),MAX($Z$3:Z286)+1,""))</f>
        <v/>
      </c>
    </row>
    <row r="288" customFormat="false" ht="15" hidden="false" customHeight="false" outlineLevel="0" collapsed="false">
      <c r="A288" s="36" t="str">
        <f aca="false">IF($B288="","",COUNTA($B$4:$B288))</f>
        <v/>
      </c>
      <c r="B288" s="37"/>
      <c r="C288" s="38"/>
      <c r="D288" s="39"/>
      <c r="E288" s="37"/>
      <c r="F288" s="39"/>
      <c r="G288" s="40" t="str">
        <f aca="false">IF(OR($E288="",$F288=""),"",$E288&amp;" - RT "&amp;$F288)</f>
        <v/>
      </c>
      <c r="H288" s="37"/>
      <c r="I288" s="38"/>
      <c r="J288" s="37"/>
      <c r="K288" s="39"/>
      <c r="L288" s="41"/>
      <c r="M288" s="36" t="str">
        <f aca="true">IF(OR($B288="",$L288=""),"",DATEDIF($L288,TODAY(),"Y"))</f>
        <v/>
      </c>
      <c r="N288" s="40" t="str">
        <f aca="false">IF($M288="","",INDEX(usia_label,MATCH($M288,usia_min,1)))</f>
        <v/>
      </c>
      <c r="O288" s="37"/>
      <c r="P288" s="41"/>
      <c r="Q288" s="37"/>
      <c r="R288" s="37"/>
      <c r="S288" s="40" t="str">
        <f aca="false">IF($G288="","",$G288&amp;"#"&amp;COUNTIF($G$4:$G288,$G288))</f>
        <v/>
      </c>
      <c r="T288" s="40" t="str">
        <f aca="false">IF($B288="","",IF($C288="","NIK kosong",IF(LEN($C288)&lt;&gt;16,"NIK bukan 16 digit",IF(COUNTIF($C$4:$C$2003,$C288&amp;"*")&gt;1,"NIK ganda",IF($E288="","Kadus kosong",IF($F288="","RT kosong",IF($H288="","Jabatan kosong",IF($I288="","No. HP kosong",IF($J288="","Alamat kosong",IF(AND($M288&lt;&gt;"",$M288&lt;17),"Usia di bawah 17",""))))))))))</f>
        <v/>
      </c>
      <c r="U288" s="40" t="str">
        <f aca="false">IF($B288="","",IF(AND(OR(CARI!$C$5="",ISNUMBER(SEARCH(CARI!$C$5,$B288&amp;" "&amp;$C288&amp;" "&amp;$I288&amp;" "&amp;$J288&amp;" "&amp;$Q288))),OR(CARI!$C$6="",$E288=CARI!$C$6),OR(CARI!$C$7="",$F288=CARI!$C$7),OR(CARI!$C$8="",$O288=CARI!$C$8)),MAX($U$3:U287)+1,""))</f>
        <v/>
      </c>
      <c r="V288" s="40" t="str">
        <f aca="false">IF($T288="","",MAX($V$3:V287)+1)</f>
        <v/>
      </c>
      <c r="W288" s="40" t="str">
        <f aca="false">IF($E288="","",$E288&amp;"#"&amp;COUNTIF($E$4:$E288,$E288))</f>
        <v/>
      </c>
      <c r="X288" s="40" t="str">
        <f aca="false">IF($B288="","",IF(AND(OR(CETAK!$J$10="",$E288=CETAK!$J$10),OR(CETAK!$J$11="",$F288=CETAK!$J$11),OR(CETAK!$J$12="",$K288=CETAK!$J$12),OR(CETAK!$J$13="",$H288=CETAK!$J$13),OR(CETAK!$J$14="",$O288=CETAK!$J$14)),MAX($X$3:X287)+1,""))</f>
        <v/>
      </c>
      <c r="Y288" s="40" t="str">
        <f aca="false">IF($B288="","",IF(AND(OR(ABSENSI!$H$10="",$E288=ABSENSI!$H$10),OR(ABSENSI!$H$11="",$F288=ABSENSI!$H$11),OR(ABSENSI!$H$12="",$K288=ABSENSI!$H$12)),MAX($Y$3:Y287)+1,""))</f>
        <v/>
      </c>
      <c r="Z288" s="40" t="str">
        <f aca="false">IF($B288="","",IF(AND(OR(KARTU!$K$6="",$E288=KARTU!$K$6),OR(KARTU!$K$7="",$F288=KARTU!$K$7),OR(KARTU!$K$8="",$K288=KARTU!$K$8)),MAX($Z$3:Z287)+1,""))</f>
        <v/>
      </c>
    </row>
    <row r="289" customFormat="false" ht="15" hidden="false" customHeight="false" outlineLevel="0" collapsed="false">
      <c r="A289" s="36" t="str">
        <f aca="false">IF($B289="","",COUNTA($B$4:$B289))</f>
        <v/>
      </c>
      <c r="B289" s="37"/>
      <c r="C289" s="38"/>
      <c r="D289" s="39"/>
      <c r="E289" s="37"/>
      <c r="F289" s="39"/>
      <c r="G289" s="40" t="str">
        <f aca="false">IF(OR($E289="",$F289=""),"",$E289&amp;" - RT "&amp;$F289)</f>
        <v/>
      </c>
      <c r="H289" s="37"/>
      <c r="I289" s="38"/>
      <c r="J289" s="37"/>
      <c r="K289" s="39"/>
      <c r="L289" s="41"/>
      <c r="M289" s="36" t="str">
        <f aca="true">IF(OR($B289="",$L289=""),"",DATEDIF($L289,TODAY(),"Y"))</f>
        <v/>
      </c>
      <c r="N289" s="40" t="str">
        <f aca="false">IF($M289="","",INDEX(usia_label,MATCH($M289,usia_min,1)))</f>
        <v/>
      </c>
      <c r="O289" s="37"/>
      <c r="P289" s="41"/>
      <c r="Q289" s="37"/>
      <c r="R289" s="37"/>
      <c r="S289" s="40" t="str">
        <f aca="false">IF($G289="","",$G289&amp;"#"&amp;COUNTIF($G$4:$G289,$G289))</f>
        <v/>
      </c>
      <c r="T289" s="40" t="str">
        <f aca="false">IF($B289="","",IF($C289="","NIK kosong",IF(LEN($C289)&lt;&gt;16,"NIK bukan 16 digit",IF(COUNTIF($C$4:$C$2003,$C289&amp;"*")&gt;1,"NIK ganda",IF($E289="","Kadus kosong",IF($F289="","RT kosong",IF($H289="","Jabatan kosong",IF($I289="","No. HP kosong",IF($J289="","Alamat kosong",IF(AND($M289&lt;&gt;"",$M289&lt;17),"Usia di bawah 17",""))))))))))</f>
        <v/>
      </c>
      <c r="U289" s="40" t="str">
        <f aca="false">IF($B289="","",IF(AND(OR(CARI!$C$5="",ISNUMBER(SEARCH(CARI!$C$5,$B289&amp;" "&amp;$C289&amp;" "&amp;$I289&amp;" "&amp;$J289&amp;" "&amp;$Q289))),OR(CARI!$C$6="",$E289=CARI!$C$6),OR(CARI!$C$7="",$F289=CARI!$C$7),OR(CARI!$C$8="",$O289=CARI!$C$8)),MAX($U$3:U288)+1,""))</f>
        <v/>
      </c>
      <c r="V289" s="40" t="str">
        <f aca="false">IF($T289="","",MAX($V$3:V288)+1)</f>
        <v/>
      </c>
      <c r="W289" s="40" t="str">
        <f aca="false">IF($E289="","",$E289&amp;"#"&amp;COUNTIF($E$4:$E289,$E289))</f>
        <v/>
      </c>
      <c r="X289" s="40" t="str">
        <f aca="false">IF($B289="","",IF(AND(OR(CETAK!$J$10="",$E289=CETAK!$J$10),OR(CETAK!$J$11="",$F289=CETAK!$J$11),OR(CETAK!$J$12="",$K289=CETAK!$J$12),OR(CETAK!$J$13="",$H289=CETAK!$J$13),OR(CETAK!$J$14="",$O289=CETAK!$J$14)),MAX($X$3:X288)+1,""))</f>
        <v/>
      </c>
      <c r="Y289" s="40" t="str">
        <f aca="false">IF($B289="","",IF(AND(OR(ABSENSI!$H$10="",$E289=ABSENSI!$H$10),OR(ABSENSI!$H$11="",$F289=ABSENSI!$H$11),OR(ABSENSI!$H$12="",$K289=ABSENSI!$H$12)),MAX($Y$3:Y288)+1,""))</f>
        <v/>
      </c>
      <c r="Z289" s="40" t="str">
        <f aca="false">IF($B289="","",IF(AND(OR(KARTU!$K$6="",$E289=KARTU!$K$6),OR(KARTU!$K$7="",$F289=KARTU!$K$7),OR(KARTU!$K$8="",$K289=KARTU!$K$8)),MAX($Z$3:Z288)+1,""))</f>
        <v/>
      </c>
    </row>
    <row r="290" customFormat="false" ht="15" hidden="false" customHeight="false" outlineLevel="0" collapsed="false">
      <c r="A290" s="36" t="str">
        <f aca="false">IF($B290="","",COUNTA($B$4:$B290))</f>
        <v/>
      </c>
      <c r="B290" s="37"/>
      <c r="C290" s="38"/>
      <c r="D290" s="39"/>
      <c r="E290" s="37"/>
      <c r="F290" s="39"/>
      <c r="G290" s="40" t="str">
        <f aca="false">IF(OR($E290="",$F290=""),"",$E290&amp;" - RT "&amp;$F290)</f>
        <v/>
      </c>
      <c r="H290" s="37"/>
      <c r="I290" s="38"/>
      <c r="J290" s="37"/>
      <c r="K290" s="39"/>
      <c r="L290" s="41"/>
      <c r="M290" s="36" t="str">
        <f aca="true">IF(OR($B290="",$L290=""),"",DATEDIF($L290,TODAY(),"Y"))</f>
        <v/>
      </c>
      <c r="N290" s="40" t="str">
        <f aca="false">IF($M290="","",INDEX(usia_label,MATCH($M290,usia_min,1)))</f>
        <v/>
      </c>
      <c r="O290" s="37"/>
      <c r="P290" s="41"/>
      <c r="Q290" s="37"/>
      <c r="R290" s="37"/>
      <c r="S290" s="40" t="str">
        <f aca="false">IF($G290="","",$G290&amp;"#"&amp;COUNTIF($G$4:$G290,$G290))</f>
        <v/>
      </c>
      <c r="T290" s="40" t="str">
        <f aca="false">IF($B290="","",IF($C290="","NIK kosong",IF(LEN($C290)&lt;&gt;16,"NIK bukan 16 digit",IF(COUNTIF($C$4:$C$2003,$C290&amp;"*")&gt;1,"NIK ganda",IF($E290="","Kadus kosong",IF($F290="","RT kosong",IF($H290="","Jabatan kosong",IF($I290="","No. HP kosong",IF($J290="","Alamat kosong",IF(AND($M290&lt;&gt;"",$M290&lt;17),"Usia di bawah 17",""))))))))))</f>
        <v/>
      </c>
      <c r="U290" s="40" t="str">
        <f aca="false">IF($B290="","",IF(AND(OR(CARI!$C$5="",ISNUMBER(SEARCH(CARI!$C$5,$B290&amp;" "&amp;$C290&amp;" "&amp;$I290&amp;" "&amp;$J290&amp;" "&amp;$Q290))),OR(CARI!$C$6="",$E290=CARI!$C$6),OR(CARI!$C$7="",$F290=CARI!$C$7),OR(CARI!$C$8="",$O290=CARI!$C$8)),MAX($U$3:U289)+1,""))</f>
        <v/>
      </c>
      <c r="V290" s="40" t="str">
        <f aca="false">IF($T290="","",MAX($V$3:V289)+1)</f>
        <v/>
      </c>
      <c r="W290" s="40" t="str">
        <f aca="false">IF($E290="","",$E290&amp;"#"&amp;COUNTIF($E$4:$E290,$E290))</f>
        <v/>
      </c>
      <c r="X290" s="40" t="str">
        <f aca="false">IF($B290="","",IF(AND(OR(CETAK!$J$10="",$E290=CETAK!$J$10),OR(CETAK!$J$11="",$F290=CETAK!$J$11),OR(CETAK!$J$12="",$K290=CETAK!$J$12),OR(CETAK!$J$13="",$H290=CETAK!$J$13),OR(CETAK!$J$14="",$O290=CETAK!$J$14)),MAX($X$3:X289)+1,""))</f>
        <v/>
      </c>
      <c r="Y290" s="40" t="str">
        <f aca="false">IF($B290="","",IF(AND(OR(ABSENSI!$H$10="",$E290=ABSENSI!$H$10),OR(ABSENSI!$H$11="",$F290=ABSENSI!$H$11),OR(ABSENSI!$H$12="",$K290=ABSENSI!$H$12)),MAX($Y$3:Y289)+1,""))</f>
        <v/>
      </c>
      <c r="Z290" s="40" t="str">
        <f aca="false">IF($B290="","",IF(AND(OR(KARTU!$K$6="",$E290=KARTU!$K$6),OR(KARTU!$K$7="",$F290=KARTU!$K$7),OR(KARTU!$K$8="",$K290=KARTU!$K$8)),MAX($Z$3:Z289)+1,""))</f>
        <v/>
      </c>
    </row>
    <row r="291" customFormat="false" ht="15" hidden="false" customHeight="false" outlineLevel="0" collapsed="false">
      <c r="A291" s="36" t="str">
        <f aca="false">IF($B291="","",COUNTA($B$4:$B291))</f>
        <v/>
      </c>
      <c r="B291" s="37"/>
      <c r="C291" s="38"/>
      <c r="D291" s="39"/>
      <c r="E291" s="37"/>
      <c r="F291" s="39"/>
      <c r="G291" s="40" t="str">
        <f aca="false">IF(OR($E291="",$F291=""),"",$E291&amp;" - RT "&amp;$F291)</f>
        <v/>
      </c>
      <c r="H291" s="37"/>
      <c r="I291" s="38"/>
      <c r="J291" s="37"/>
      <c r="K291" s="39"/>
      <c r="L291" s="41"/>
      <c r="M291" s="36" t="str">
        <f aca="true">IF(OR($B291="",$L291=""),"",DATEDIF($L291,TODAY(),"Y"))</f>
        <v/>
      </c>
      <c r="N291" s="40" t="str">
        <f aca="false">IF($M291="","",INDEX(usia_label,MATCH($M291,usia_min,1)))</f>
        <v/>
      </c>
      <c r="O291" s="37"/>
      <c r="P291" s="41"/>
      <c r="Q291" s="37"/>
      <c r="R291" s="37"/>
      <c r="S291" s="40" t="str">
        <f aca="false">IF($G291="","",$G291&amp;"#"&amp;COUNTIF($G$4:$G291,$G291))</f>
        <v/>
      </c>
      <c r="T291" s="40" t="str">
        <f aca="false">IF($B291="","",IF($C291="","NIK kosong",IF(LEN($C291)&lt;&gt;16,"NIK bukan 16 digit",IF(COUNTIF($C$4:$C$2003,$C291&amp;"*")&gt;1,"NIK ganda",IF($E291="","Kadus kosong",IF($F291="","RT kosong",IF($H291="","Jabatan kosong",IF($I291="","No. HP kosong",IF($J291="","Alamat kosong",IF(AND($M291&lt;&gt;"",$M291&lt;17),"Usia di bawah 17",""))))))))))</f>
        <v/>
      </c>
      <c r="U291" s="40" t="str">
        <f aca="false">IF($B291="","",IF(AND(OR(CARI!$C$5="",ISNUMBER(SEARCH(CARI!$C$5,$B291&amp;" "&amp;$C291&amp;" "&amp;$I291&amp;" "&amp;$J291&amp;" "&amp;$Q291))),OR(CARI!$C$6="",$E291=CARI!$C$6),OR(CARI!$C$7="",$F291=CARI!$C$7),OR(CARI!$C$8="",$O291=CARI!$C$8)),MAX($U$3:U290)+1,""))</f>
        <v/>
      </c>
      <c r="V291" s="40" t="str">
        <f aca="false">IF($T291="","",MAX($V$3:V290)+1)</f>
        <v/>
      </c>
      <c r="W291" s="40" t="str">
        <f aca="false">IF($E291="","",$E291&amp;"#"&amp;COUNTIF($E$4:$E291,$E291))</f>
        <v/>
      </c>
      <c r="X291" s="40" t="str">
        <f aca="false">IF($B291="","",IF(AND(OR(CETAK!$J$10="",$E291=CETAK!$J$10),OR(CETAK!$J$11="",$F291=CETAK!$J$11),OR(CETAK!$J$12="",$K291=CETAK!$J$12),OR(CETAK!$J$13="",$H291=CETAK!$J$13),OR(CETAK!$J$14="",$O291=CETAK!$J$14)),MAX($X$3:X290)+1,""))</f>
        <v/>
      </c>
      <c r="Y291" s="40" t="str">
        <f aca="false">IF($B291="","",IF(AND(OR(ABSENSI!$H$10="",$E291=ABSENSI!$H$10),OR(ABSENSI!$H$11="",$F291=ABSENSI!$H$11),OR(ABSENSI!$H$12="",$K291=ABSENSI!$H$12)),MAX($Y$3:Y290)+1,""))</f>
        <v/>
      </c>
      <c r="Z291" s="40" t="str">
        <f aca="false">IF($B291="","",IF(AND(OR(KARTU!$K$6="",$E291=KARTU!$K$6),OR(KARTU!$K$7="",$F291=KARTU!$K$7),OR(KARTU!$K$8="",$K291=KARTU!$K$8)),MAX($Z$3:Z290)+1,""))</f>
        <v/>
      </c>
    </row>
    <row r="292" customFormat="false" ht="15" hidden="false" customHeight="false" outlineLevel="0" collapsed="false">
      <c r="A292" s="36" t="str">
        <f aca="false">IF($B292="","",COUNTA($B$4:$B292))</f>
        <v/>
      </c>
      <c r="B292" s="37"/>
      <c r="C292" s="38"/>
      <c r="D292" s="39"/>
      <c r="E292" s="37"/>
      <c r="F292" s="39"/>
      <c r="G292" s="40" t="str">
        <f aca="false">IF(OR($E292="",$F292=""),"",$E292&amp;" - RT "&amp;$F292)</f>
        <v/>
      </c>
      <c r="H292" s="37"/>
      <c r="I292" s="38"/>
      <c r="J292" s="37"/>
      <c r="K292" s="39"/>
      <c r="L292" s="41"/>
      <c r="M292" s="36" t="str">
        <f aca="true">IF(OR($B292="",$L292=""),"",DATEDIF($L292,TODAY(),"Y"))</f>
        <v/>
      </c>
      <c r="N292" s="40" t="str">
        <f aca="false">IF($M292="","",INDEX(usia_label,MATCH($M292,usia_min,1)))</f>
        <v/>
      </c>
      <c r="O292" s="37"/>
      <c r="P292" s="41"/>
      <c r="Q292" s="37"/>
      <c r="R292" s="37"/>
      <c r="S292" s="40" t="str">
        <f aca="false">IF($G292="","",$G292&amp;"#"&amp;COUNTIF($G$4:$G292,$G292))</f>
        <v/>
      </c>
      <c r="T292" s="40" t="str">
        <f aca="false">IF($B292="","",IF($C292="","NIK kosong",IF(LEN($C292)&lt;&gt;16,"NIK bukan 16 digit",IF(COUNTIF($C$4:$C$2003,$C292&amp;"*")&gt;1,"NIK ganda",IF($E292="","Kadus kosong",IF($F292="","RT kosong",IF($H292="","Jabatan kosong",IF($I292="","No. HP kosong",IF($J292="","Alamat kosong",IF(AND($M292&lt;&gt;"",$M292&lt;17),"Usia di bawah 17",""))))))))))</f>
        <v/>
      </c>
      <c r="U292" s="40" t="str">
        <f aca="false">IF($B292="","",IF(AND(OR(CARI!$C$5="",ISNUMBER(SEARCH(CARI!$C$5,$B292&amp;" "&amp;$C292&amp;" "&amp;$I292&amp;" "&amp;$J292&amp;" "&amp;$Q292))),OR(CARI!$C$6="",$E292=CARI!$C$6),OR(CARI!$C$7="",$F292=CARI!$C$7),OR(CARI!$C$8="",$O292=CARI!$C$8)),MAX($U$3:U291)+1,""))</f>
        <v/>
      </c>
      <c r="V292" s="40" t="str">
        <f aca="false">IF($T292="","",MAX($V$3:V291)+1)</f>
        <v/>
      </c>
      <c r="W292" s="40" t="str">
        <f aca="false">IF($E292="","",$E292&amp;"#"&amp;COUNTIF($E$4:$E292,$E292))</f>
        <v/>
      </c>
      <c r="X292" s="40" t="str">
        <f aca="false">IF($B292="","",IF(AND(OR(CETAK!$J$10="",$E292=CETAK!$J$10),OR(CETAK!$J$11="",$F292=CETAK!$J$11),OR(CETAK!$J$12="",$K292=CETAK!$J$12),OR(CETAK!$J$13="",$H292=CETAK!$J$13),OR(CETAK!$J$14="",$O292=CETAK!$J$14)),MAX($X$3:X291)+1,""))</f>
        <v/>
      </c>
      <c r="Y292" s="40" t="str">
        <f aca="false">IF($B292="","",IF(AND(OR(ABSENSI!$H$10="",$E292=ABSENSI!$H$10),OR(ABSENSI!$H$11="",$F292=ABSENSI!$H$11),OR(ABSENSI!$H$12="",$K292=ABSENSI!$H$12)),MAX($Y$3:Y291)+1,""))</f>
        <v/>
      </c>
      <c r="Z292" s="40" t="str">
        <f aca="false">IF($B292="","",IF(AND(OR(KARTU!$K$6="",$E292=KARTU!$K$6),OR(KARTU!$K$7="",$F292=KARTU!$K$7),OR(KARTU!$K$8="",$K292=KARTU!$K$8)),MAX($Z$3:Z291)+1,""))</f>
        <v/>
      </c>
    </row>
    <row r="293" customFormat="false" ht="15" hidden="false" customHeight="false" outlineLevel="0" collapsed="false">
      <c r="A293" s="36" t="str">
        <f aca="false">IF($B293="","",COUNTA($B$4:$B293))</f>
        <v/>
      </c>
      <c r="B293" s="37"/>
      <c r="C293" s="38"/>
      <c r="D293" s="39"/>
      <c r="E293" s="37"/>
      <c r="F293" s="39"/>
      <c r="G293" s="40" t="str">
        <f aca="false">IF(OR($E293="",$F293=""),"",$E293&amp;" - RT "&amp;$F293)</f>
        <v/>
      </c>
      <c r="H293" s="37"/>
      <c r="I293" s="38"/>
      <c r="J293" s="37"/>
      <c r="K293" s="39"/>
      <c r="L293" s="41"/>
      <c r="M293" s="36" t="str">
        <f aca="true">IF(OR($B293="",$L293=""),"",DATEDIF($L293,TODAY(),"Y"))</f>
        <v/>
      </c>
      <c r="N293" s="40" t="str">
        <f aca="false">IF($M293="","",INDEX(usia_label,MATCH($M293,usia_min,1)))</f>
        <v/>
      </c>
      <c r="O293" s="37"/>
      <c r="P293" s="41"/>
      <c r="Q293" s="37"/>
      <c r="R293" s="37"/>
      <c r="S293" s="40" t="str">
        <f aca="false">IF($G293="","",$G293&amp;"#"&amp;COUNTIF($G$4:$G293,$G293))</f>
        <v/>
      </c>
      <c r="T293" s="40" t="str">
        <f aca="false">IF($B293="","",IF($C293="","NIK kosong",IF(LEN($C293)&lt;&gt;16,"NIK bukan 16 digit",IF(COUNTIF($C$4:$C$2003,$C293&amp;"*")&gt;1,"NIK ganda",IF($E293="","Kadus kosong",IF($F293="","RT kosong",IF($H293="","Jabatan kosong",IF($I293="","No. HP kosong",IF($J293="","Alamat kosong",IF(AND($M293&lt;&gt;"",$M293&lt;17),"Usia di bawah 17",""))))))))))</f>
        <v/>
      </c>
      <c r="U293" s="40" t="str">
        <f aca="false">IF($B293="","",IF(AND(OR(CARI!$C$5="",ISNUMBER(SEARCH(CARI!$C$5,$B293&amp;" "&amp;$C293&amp;" "&amp;$I293&amp;" "&amp;$J293&amp;" "&amp;$Q293))),OR(CARI!$C$6="",$E293=CARI!$C$6),OR(CARI!$C$7="",$F293=CARI!$C$7),OR(CARI!$C$8="",$O293=CARI!$C$8)),MAX($U$3:U292)+1,""))</f>
        <v/>
      </c>
      <c r="V293" s="40" t="str">
        <f aca="false">IF($T293="","",MAX($V$3:V292)+1)</f>
        <v/>
      </c>
      <c r="W293" s="40" t="str">
        <f aca="false">IF($E293="","",$E293&amp;"#"&amp;COUNTIF($E$4:$E293,$E293))</f>
        <v/>
      </c>
      <c r="X293" s="40" t="str">
        <f aca="false">IF($B293="","",IF(AND(OR(CETAK!$J$10="",$E293=CETAK!$J$10),OR(CETAK!$J$11="",$F293=CETAK!$J$11),OR(CETAK!$J$12="",$K293=CETAK!$J$12),OR(CETAK!$J$13="",$H293=CETAK!$J$13),OR(CETAK!$J$14="",$O293=CETAK!$J$14)),MAX($X$3:X292)+1,""))</f>
        <v/>
      </c>
      <c r="Y293" s="40" t="str">
        <f aca="false">IF($B293="","",IF(AND(OR(ABSENSI!$H$10="",$E293=ABSENSI!$H$10),OR(ABSENSI!$H$11="",$F293=ABSENSI!$H$11),OR(ABSENSI!$H$12="",$K293=ABSENSI!$H$12)),MAX($Y$3:Y292)+1,""))</f>
        <v/>
      </c>
      <c r="Z293" s="40" t="str">
        <f aca="false">IF($B293="","",IF(AND(OR(KARTU!$K$6="",$E293=KARTU!$K$6),OR(KARTU!$K$7="",$F293=KARTU!$K$7),OR(KARTU!$K$8="",$K293=KARTU!$K$8)),MAX($Z$3:Z292)+1,""))</f>
        <v/>
      </c>
    </row>
    <row r="294" customFormat="false" ht="15" hidden="false" customHeight="false" outlineLevel="0" collapsed="false">
      <c r="A294" s="36" t="str">
        <f aca="false">IF($B294="","",COUNTA($B$4:$B294))</f>
        <v/>
      </c>
      <c r="B294" s="37"/>
      <c r="C294" s="38"/>
      <c r="D294" s="39"/>
      <c r="E294" s="37"/>
      <c r="F294" s="39"/>
      <c r="G294" s="40" t="str">
        <f aca="false">IF(OR($E294="",$F294=""),"",$E294&amp;" - RT "&amp;$F294)</f>
        <v/>
      </c>
      <c r="H294" s="37"/>
      <c r="I294" s="38"/>
      <c r="J294" s="37"/>
      <c r="K294" s="39"/>
      <c r="L294" s="41"/>
      <c r="M294" s="36" t="str">
        <f aca="true">IF(OR($B294="",$L294=""),"",DATEDIF($L294,TODAY(),"Y"))</f>
        <v/>
      </c>
      <c r="N294" s="40" t="str">
        <f aca="false">IF($M294="","",INDEX(usia_label,MATCH($M294,usia_min,1)))</f>
        <v/>
      </c>
      <c r="O294" s="37"/>
      <c r="P294" s="41"/>
      <c r="Q294" s="37"/>
      <c r="R294" s="37"/>
      <c r="S294" s="40" t="str">
        <f aca="false">IF($G294="","",$G294&amp;"#"&amp;COUNTIF($G$4:$G294,$G294))</f>
        <v/>
      </c>
      <c r="T294" s="40" t="str">
        <f aca="false">IF($B294="","",IF($C294="","NIK kosong",IF(LEN($C294)&lt;&gt;16,"NIK bukan 16 digit",IF(COUNTIF($C$4:$C$2003,$C294&amp;"*")&gt;1,"NIK ganda",IF($E294="","Kadus kosong",IF($F294="","RT kosong",IF($H294="","Jabatan kosong",IF($I294="","No. HP kosong",IF($J294="","Alamat kosong",IF(AND($M294&lt;&gt;"",$M294&lt;17),"Usia di bawah 17",""))))))))))</f>
        <v/>
      </c>
      <c r="U294" s="40" t="str">
        <f aca="false">IF($B294="","",IF(AND(OR(CARI!$C$5="",ISNUMBER(SEARCH(CARI!$C$5,$B294&amp;" "&amp;$C294&amp;" "&amp;$I294&amp;" "&amp;$J294&amp;" "&amp;$Q294))),OR(CARI!$C$6="",$E294=CARI!$C$6),OR(CARI!$C$7="",$F294=CARI!$C$7),OR(CARI!$C$8="",$O294=CARI!$C$8)),MAX($U$3:U293)+1,""))</f>
        <v/>
      </c>
      <c r="V294" s="40" t="str">
        <f aca="false">IF($T294="","",MAX($V$3:V293)+1)</f>
        <v/>
      </c>
      <c r="W294" s="40" t="str">
        <f aca="false">IF($E294="","",$E294&amp;"#"&amp;COUNTIF($E$4:$E294,$E294))</f>
        <v/>
      </c>
      <c r="X294" s="40" t="str">
        <f aca="false">IF($B294="","",IF(AND(OR(CETAK!$J$10="",$E294=CETAK!$J$10),OR(CETAK!$J$11="",$F294=CETAK!$J$11),OR(CETAK!$J$12="",$K294=CETAK!$J$12),OR(CETAK!$J$13="",$H294=CETAK!$J$13),OR(CETAK!$J$14="",$O294=CETAK!$J$14)),MAX($X$3:X293)+1,""))</f>
        <v/>
      </c>
      <c r="Y294" s="40" t="str">
        <f aca="false">IF($B294="","",IF(AND(OR(ABSENSI!$H$10="",$E294=ABSENSI!$H$10),OR(ABSENSI!$H$11="",$F294=ABSENSI!$H$11),OR(ABSENSI!$H$12="",$K294=ABSENSI!$H$12)),MAX($Y$3:Y293)+1,""))</f>
        <v/>
      </c>
      <c r="Z294" s="40" t="str">
        <f aca="false">IF($B294="","",IF(AND(OR(KARTU!$K$6="",$E294=KARTU!$K$6),OR(KARTU!$K$7="",$F294=KARTU!$K$7),OR(KARTU!$K$8="",$K294=KARTU!$K$8)),MAX($Z$3:Z293)+1,""))</f>
        <v/>
      </c>
    </row>
    <row r="295" customFormat="false" ht="15" hidden="false" customHeight="false" outlineLevel="0" collapsed="false">
      <c r="A295" s="36" t="str">
        <f aca="false">IF($B295="","",COUNTA($B$4:$B295))</f>
        <v/>
      </c>
      <c r="B295" s="37"/>
      <c r="C295" s="38"/>
      <c r="D295" s="39"/>
      <c r="E295" s="37"/>
      <c r="F295" s="39"/>
      <c r="G295" s="40" t="str">
        <f aca="false">IF(OR($E295="",$F295=""),"",$E295&amp;" - RT "&amp;$F295)</f>
        <v/>
      </c>
      <c r="H295" s="37"/>
      <c r="I295" s="38"/>
      <c r="J295" s="37"/>
      <c r="K295" s="39"/>
      <c r="L295" s="41"/>
      <c r="M295" s="36" t="str">
        <f aca="true">IF(OR($B295="",$L295=""),"",DATEDIF($L295,TODAY(),"Y"))</f>
        <v/>
      </c>
      <c r="N295" s="40" t="str">
        <f aca="false">IF($M295="","",INDEX(usia_label,MATCH($M295,usia_min,1)))</f>
        <v/>
      </c>
      <c r="O295" s="37"/>
      <c r="P295" s="41"/>
      <c r="Q295" s="37"/>
      <c r="R295" s="37"/>
      <c r="S295" s="40" t="str">
        <f aca="false">IF($G295="","",$G295&amp;"#"&amp;COUNTIF($G$4:$G295,$G295))</f>
        <v/>
      </c>
      <c r="T295" s="40" t="str">
        <f aca="false">IF($B295="","",IF($C295="","NIK kosong",IF(LEN($C295)&lt;&gt;16,"NIK bukan 16 digit",IF(COUNTIF($C$4:$C$2003,$C295&amp;"*")&gt;1,"NIK ganda",IF($E295="","Kadus kosong",IF($F295="","RT kosong",IF($H295="","Jabatan kosong",IF($I295="","No. HP kosong",IF($J295="","Alamat kosong",IF(AND($M295&lt;&gt;"",$M295&lt;17),"Usia di bawah 17",""))))))))))</f>
        <v/>
      </c>
      <c r="U295" s="40" t="str">
        <f aca="false">IF($B295="","",IF(AND(OR(CARI!$C$5="",ISNUMBER(SEARCH(CARI!$C$5,$B295&amp;" "&amp;$C295&amp;" "&amp;$I295&amp;" "&amp;$J295&amp;" "&amp;$Q295))),OR(CARI!$C$6="",$E295=CARI!$C$6),OR(CARI!$C$7="",$F295=CARI!$C$7),OR(CARI!$C$8="",$O295=CARI!$C$8)),MAX($U$3:U294)+1,""))</f>
        <v/>
      </c>
      <c r="V295" s="40" t="str">
        <f aca="false">IF($T295="","",MAX($V$3:V294)+1)</f>
        <v/>
      </c>
      <c r="W295" s="40" t="str">
        <f aca="false">IF($E295="","",$E295&amp;"#"&amp;COUNTIF($E$4:$E295,$E295))</f>
        <v/>
      </c>
      <c r="X295" s="40" t="str">
        <f aca="false">IF($B295="","",IF(AND(OR(CETAK!$J$10="",$E295=CETAK!$J$10),OR(CETAK!$J$11="",$F295=CETAK!$J$11),OR(CETAK!$J$12="",$K295=CETAK!$J$12),OR(CETAK!$J$13="",$H295=CETAK!$J$13),OR(CETAK!$J$14="",$O295=CETAK!$J$14)),MAX($X$3:X294)+1,""))</f>
        <v/>
      </c>
      <c r="Y295" s="40" t="str">
        <f aca="false">IF($B295="","",IF(AND(OR(ABSENSI!$H$10="",$E295=ABSENSI!$H$10),OR(ABSENSI!$H$11="",$F295=ABSENSI!$H$11),OR(ABSENSI!$H$12="",$K295=ABSENSI!$H$12)),MAX($Y$3:Y294)+1,""))</f>
        <v/>
      </c>
      <c r="Z295" s="40" t="str">
        <f aca="false">IF($B295="","",IF(AND(OR(KARTU!$K$6="",$E295=KARTU!$K$6),OR(KARTU!$K$7="",$F295=KARTU!$K$7),OR(KARTU!$K$8="",$K295=KARTU!$K$8)),MAX($Z$3:Z294)+1,""))</f>
        <v/>
      </c>
    </row>
    <row r="296" customFormat="false" ht="15" hidden="false" customHeight="false" outlineLevel="0" collapsed="false">
      <c r="A296" s="36" t="str">
        <f aca="false">IF($B296="","",COUNTA($B$4:$B296))</f>
        <v/>
      </c>
      <c r="B296" s="37"/>
      <c r="C296" s="38"/>
      <c r="D296" s="39"/>
      <c r="E296" s="37"/>
      <c r="F296" s="39"/>
      <c r="G296" s="40" t="str">
        <f aca="false">IF(OR($E296="",$F296=""),"",$E296&amp;" - RT "&amp;$F296)</f>
        <v/>
      </c>
      <c r="H296" s="37"/>
      <c r="I296" s="38"/>
      <c r="J296" s="37"/>
      <c r="K296" s="39"/>
      <c r="L296" s="41"/>
      <c r="M296" s="36" t="str">
        <f aca="true">IF(OR($B296="",$L296=""),"",DATEDIF($L296,TODAY(),"Y"))</f>
        <v/>
      </c>
      <c r="N296" s="40" t="str">
        <f aca="false">IF($M296="","",INDEX(usia_label,MATCH($M296,usia_min,1)))</f>
        <v/>
      </c>
      <c r="O296" s="37"/>
      <c r="P296" s="41"/>
      <c r="Q296" s="37"/>
      <c r="R296" s="37"/>
      <c r="S296" s="40" t="str">
        <f aca="false">IF($G296="","",$G296&amp;"#"&amp;COUNTIF($G$4:$G296,$G296))</f>
        <v/>
      </c>
      <c r="T296" s="40" t="str">
        <f aca="false">IF($B296="","",IF($C296="","NIK kosong",IF(LEN($C296)&lt;&gt;16,"NIK bukan 16 digit",IF(COUNTIF($C$4:$C$2003,$C296&amp;"*")&gt;1,"NIK ganda",IF($E296="","Kadus kosong",IF($F296="","RT kosong",IF($H296="","Jabatan kosong",IF($I296="","No. HP kosong",IF($J296="","Alamat kosong",IF(AND($M296&lt;&gt;"",$M296&lt;17),"Usia di bawah 17",""))))))))))</f>
        <v/>
      </c>
      <c r="U296" s="40" t="str">
        <f aca="false">IF($B296="","",IF(AND(OR(CARI!$C$5="",ISNUMBER(SEARCH(CARI!$C$5,$B296&amp;" "&amp;$C296&amp;" "&amp;$I296&amp;" "&amp;$J296&amp;" "&amp;$Q296))),OR(CARI!$C$6="",$E296=CARI!$C$6),OR(CARI!$C$7="",$F296=CARI!$C$7),OR(CARI!$C$8="",$O296=CARI!$C$8)),MAX($U$3:U295)+1,""))</f>
        <v/>
      </c>
      <c r="V296" s="40" t="str">
        <f aca="false">IF($T296="","",MAX($V$3:V295)+1)</f>
        <v/>
      </c>
      <c r="W296" s="40" t="str">
        <f aca="false">IF($E296="","",$E296&amp;"#"&amp;COUNTIF($E$4:$E296,$E296))</f>
        <v/>
      </c>
      <c r="X296" s="40" t="str">
        <f aca="false">IF($B296="","",IF(AND(OR(CETAK!$J$10="",$E296=CETAK!$J$10),OR(CETAK!$J$11="",$F296=CETAK!$J$11),OR(CETAK!$J$12="",$K296=CETAK!$J$12),OR(CETAK!$J$13="",$H296=CETAK!$J$13),OR(CETAK!$J$14="",$O296=CETAK!$J$14)),MAX($X$3:X295)+1,""))</f>
        <v/>
      </c>
      <c r="Y296" s="40" t="str">
        <f aca="false">IF($B296="","",IF(AND(OR(ABSENSI!$H$10="",$E296=ABSENSI!$H$10),OR(ABSENSI!$H$11="",$F296=ABSENSI!$H$11),OR(ABSENSI!$H$12="",$K296=ABSENSI!$H$12)),MAX($Y$3:Y295)+1,""))</f>
        <v/>
      </c>
      <c r="Z296" s="40" t="str">
        <f aca="false">IF($B296="","",IF(AND(OR(KARTU!$K$6="",$E296=KARTU!$K$6),OR(KARTU!$K$7="",$F296=KARTU!$K$7),OR(KARTU!$K$8="",$K296=KARTU!$K$8)),MAX($Z$3:Z295)+1,""))</f>
        <v/>
      </c>
    </row>
    <row r="297" customFormat="false" ht="15" hidden="false" customHeight="false" outlineLevel="0" collapsed="false">
      <c r="A297" s="36" t="str">
        <f aca="false">IF($B297="","",COUNTA($B$4:$B297))</f>
        <v/>
      </c>
      <c r="B297" s="37"/>
      <c r="C297" s="38"/>
      <c r="D297" s="39"/>
      <c r="E297" s="37"/>
      <c r="F297" s="39"/>
      <c r="G297" s="40" t="str">
        <f aca="false">IF(OR($E297="",$F297=""),"",$E297&amp;" - RT "&amp;$F297)</f>
        <v/>
      </c>
      <c r="H297" s="37"/>
      <c r="I297" s="38"/>
      <c r="J297" s="37"/>
      <c r="K297" s="39"/>
      <c r="L297" s="41"/>
      <c r="M297" s="36" t="str">
        <f aca="true">IF(OR($B297="",$L297=""),"",DATEDIF($L297,TODAY(),"Y"))</f>
        <v/>
      </c>
      <c r="N297" s="40" t="str">
        <f aca="false">IF($M297="","",INDEX(usia_label,MATCH($M297,usia_min,1)))</f>
        <v/>
      </c>
      <c r="O297" s="37"/>
      <c r="P297" s="41"/>
      <c r="Q297" s="37"/>
      <c r="R297" s="37"/>
      <c r="S297" s="40" t="str">
        <f aca="false">IF($G297="","",$G297&amp;"#"&amp;COUNTIF($G$4:$G297,$G297))</f>
        <v/>
      </c>
      <c r="T297" s="40" t="str">
        <f aca="false">IF($B297="","",IF($C297="","NIK kosong",IF(LEN($C297)&lt;&gt;16,"NIK bukan 16 digit",IF(COUNTIF($C$4:$C$2003,$C297&amp;"*")&gt;1,"NIK ganda",IF($E297="","Kadus kosong",IF($F297="","RT kosong",IF($H297="","Jabatan kosong",IF($I297="","No. HP kosong",IF($J297="","Alamat kosong",IF(AND($M297&lt;&gt;"",$M297&lt;17),"Usia di bawah 17",""))))))))))</f>
        <v/>
      </c>
      <c r="U297" s="40" t="str">
        <f aca="false">IF($B297="","",IF(AND(OR(CARI!$C$5="",ISNUMBER(SEARCH(CARI!$C$5,$B297&amp;" "&amp;$C297&amp;" "&amp;$I297&amp;" "&amp;$J297&amp;" "&amp;$Q297))),OR(CARI!$C$6="",$E297=CARI!$C$6),OR(CARI!$C$7="",$F297=CARI!$C$7),OR(CARI!$C$8="",$O297=CARI!$C$8)),MAX($U$3:U296)+1,""))</f>
        <v/>
      </c>
      <c r="V297" s="40" t="str">
        <f aca="false">IF($T297="","",MAX($V$3:V296)+1)</f>
        <v/>
      </c>
      <c r="W297" s="40" t="str">
        <f aca="false">IF($E297="","",$E297&amp;"#"&amp;COUNTIF($E$4:$E297,$E297))</f>
        <v/>
      </c>
      <c r="X297" s="40" t="str">
        <f aca="false">IF($B297="","",IF(AND(OR(CETAK!$J$10="",$E297=CETAK!$J$10),OR(CETAK!$J$11="",$F297=CETAK!$J$11),OR(CETAK!$J$12="",$K297=CETAK!$J$12),OR(CETAK!$J$13="",$H297=CETAK!$J$13),OR(CETAK!$J$14="",$O297=CETAK!$J$14)),MAX($X$3:X296)+1,""))</f>
        <v/>
      </c>
      <c r="Y297" s="40" t="str">
        <f aca="false">IF($B297="","",IF(AND(OR(ABSENSI!$H$10="",$E297=ABSENSI!$H$10),OR(ABSENSI!$H$11="",$F297=ABSENSI!$H$11),OR(ABSENSI!$H$12="",$K297=ABSENSI!$H$12)),MAX($Y$3:Y296)+1,""))</f>
        <v/>
      </c>
      <c r="Z297" s="40" t="str">
        <f aca="false">IF($B297="","",IF(AND(OR(KARTU!$K$6="",$E297=KARTU!$K$6),OR(KARTU!$K$7="",$F297=KARTU!$K$7),OR(KARTU!$K$8="",$K297=KARTU!$K$8)),MAX($Z$3:Z296)+1,""))</f>
        <v/>
      </c>
    </row>
    <row r="298" customFormat="false" ht="15" hidden="false" customHeight="false" outlineLevel="0" collapsed="false">
      <c r="A298" s="36" t="str">
        <f aca="false">IF($B298="","",COUNTA($B$4:$B298))</f>
        <v/>
      </c>
      <c r="B298" s="37"/>
      <c r="C298" s="38"/>
      <c r="D298" s="39"/>
      <c r="E298" s="37"/>
      <c r="F298" s="39"/>
      <c r="G298" s="40" t="str">
        <f aca="false">IF(OR($E298="",$F298=""),"",$E298&amp;" - RT "&amp;$F298)</f>
        <v/>
      </c>
      <c r="H298" s="37"/>
      <c r="I298" s="38"/>
      <c r="J298" s="37"/>
      <c r="K298" s="39"/>
      <c r="L298" s="41"/>
      <c r="M298" s="36" t="str">
        <f aca="true">IF(OR($B298="",$L298=""),"",DATEDIF($L298,TODAY(),"Y"))</f>
        <v/>
      </c>
      <c r="N298" s="40" t="str">
        <f aca="false">IF($M298="","",INDEX(usia_label,MATCH($M298,usia_min,1)))</f>
        <v/>
      </c>
      <c r="O298" s="37"/>
      <c r="P298" s="41"/>
      <c r="Q298" s="37"/>
      <c r="R298" s="37"/>
      <c r="S298" s="40" t="str">
        <f aca="false">IF($G298="","",$G298&amp;"#"&amp;COUNTIF($G$4:$G298,$G298))</f>
        <v/>
      </c>
      <c r="T298" s="40" t="str">
        <f aca="false">IF($B298="","",IF($C298="","NIK kosong",IF(LEN($C298)&lt;&gt;16,"NIK bukan 16 digit",IF(COUNTIF($C$4:$C$2003,$C298&amp;"*")&gt;1,"NIK ganda",IF($E298="","Kadus kosong",IF($F298="","RT kosong",IF($H298="","Jabatan kosong",IF($I298="","No. HP kosong",IF($J298="","Alamat kosong",IF(AND($M298&lt;&gt;"",$M298&lt;17),"Usia di bawah 17",""))))))))))</f>
        <v/>
      </c>
      <c r="U298" s="40" t="str">
        <f aca="false">IF($B298="","",IF(AND(OR(CARI!$C$5="",ISNUMBER(SEARCH(CARI!$C$5,$B298&amp;" "&amp;$C298&amp;" "&amp;$I298&amp;" "&amp;$J298&amp;" "&amp;$Q298))),OR(CARI!$C$6="",$E298=CARI!$C$6),OR(CARI!$C$7="",$F298=CARI!$C$7),OR(CARI!$C$8="",$O298=CARI!$C$8)),MAX($U$3:U297)+1,""))</f>
        <v/>
      </c>
      <c r="V298" s="40" t="str">
        <f aca="false">IF($T298="","",MAX($V$3:V297)+1)</f>
        <v/>
      </c>
      <c r="W298" s="40" t="str">
        <f aca="false">IF($E298="","",$E298&amp;"#"&amp;COUNTIF($E$4:$E298,$E298))</f>
        <v/>
      </c>
      <c r="X298" s="40" t="str">
        <f aca="false">IF($B298="","",IF(AND(OR(CETAK!$J$10="",$E298=CETAK!$J$10),OR(CETAK!$J$11="",$F298=CETAK!$J$11),OR(CETAK!$J$12="",$K298=CETAK!$J$12),OR(CETAK!$J$13="",$H298=CETAK!$J$13),OR(CETAK!$J$14="",$O298=CETAK!$J$14)),MAX($X$3:X297)+1,""))</f>
        <v/>
      </c>
      <c r="Y298" s="40" t="str">
        <f aca="false">IF($B298="","",IF(AND(OR(ABSENSI!$H$10="",$E298=ABSENSI!$H$10),OR(ABSENSI!$H$11="",$F298=ABSENSI!$H$11),OR(ABSENSI!$H$12="",$K298=ABSENSI!$H$12)),MAX($Y$3:Y297)+1,""))</f>
        <v/>
      </c>
      <c r="Z298" s="40" t="str">
        <f aca="false">IF($B298="","",IF(AND(OR(KARTU!$K$6="",$E298=KARTU!$K$6),OR(KARTU!$K$7="",$F298=KARTU!$K$7),OR(KARTU!$K$8="",$K298=KARTU!$K$8)),MAX($Z$3:Z297)+1,""))</f>
        <v/>
      </c>
    </row>
    <row r="299" customFormat="false" ht="15" hidden="false" customHeight="false" outlineLevel="0" collapsed="false">
      <c r="A299" s="36" t="str">
        <f aca="false">IF($B299="","",COUNTA($B$4:$B299))</f>
        <v/>
      </c>
      <c r="B299" s="37"/>
      <c r="C299" s="38"/>
      <c r="D299" s="39"/>
      <c r="E299" s="37"/>
      <c r="F299" s="39"/>
      <c r="G299" s="40" t="str">
        <f aca="false">IF(OR($E299="",$F299=""),"",$E299&amp;" - RT "&amp;$F299)</f>
        <v/>
      </c>
      <c r="H299" s="37"/>
      <c r="I299" s="38"/>
      <c r="J299" s="37"/>
      <c r="K299" s="39"/>
      <c r="L299" s="41"/>
      <c r="M299" s="36" t="str">
        <f aca="true">IF(OR($B299="",$L299=""),"",DATEDIF($L299,TODAY(),"Y"))</f>
        <v/>
      </c>
      <c r="N299" s="40" t="str">
        <f aca="false">IF($M299="","",INDEX(usia_label,MATCH($M299,usia_min,1)))</f>
        <v/>
      </c>
      <c r="O299" s="37"/>
      <c r="P299" s="41"/>
      <c r="Q299" s="37"/>
      <c r="R299" s="37"/>
      <c r="S299" s="40" t="str">
        <f aca="false">IF($G299="","",$G299&amp;"#"&amp;COUNTIF($G$4:$G299,$G299))</f>
        <v/>
      </c>
      <c r="T299" s="40" t="str">
        <f aca="false">IF($B299="","",IF($C299="","NIK kosong",IF(LEN($C299)&lt;&gt;16,"NIK bukan 16 digit",IF(COUNTIF($C$4:$C$2003,$C299&amp;"*")&gt;1,"NIK ganda",IF($E299="","Kadus kosong",IF($F299="","RT kosong",IF($H299="","Jabatan kosong",IF($I299="","No. HP kosong",IF($J299="","Alamat kosong",IF(AND($M299&lt;&gt;"",$M299&lt;17),"Usia di bawah 17",""))))))))))</f>
        <v/>
      </c>
      <c r="U299" s="40" t="str">
        <f aca="false">IF($B299="","",IF(AND(OR(CARI!$C$5="",ISNUMBER(SEARCH(CARI!$C$5,$B299&amp;" "&amp;$C299&amp;" "&amp;$I299&amp;" "&amp;$J299&amp;" "&amp;$Q299))),OR(CARI!$C$6="",$E299=CARI!$C$6),OR(CARI!$C$7="",$F299=CARI!$C$7),OR(CARI!$C$8="",$O299=CARI!$C$8)),MAX($U$3:U298)+1,""))</f>
        <v/>
      </c>
      <c r="V299" s="40" t="str">
        <f aca="false">IF($T299="","",MAX($V$3:V298)+1)</f>
        <v/>
      </c>
      <c r="W299" s="40" t="str">
        <f aca="false">IF($E299="","",$E299&amp;"#"&amp;COUNTIF($E$4:$E299,$E299))</f>
        <v/>
      </c>
      <c r="X299" s="40" t="str">
        <f aca="false">IF($B299="","",IF(AND(OR(CETAK!$J$10="",$E299=CETAK!$J$10),OR(CETAK!$J$11="",$F299=CETAK!$J$11),OR(CETAK!$J$12="",$K299=CETAK!$J$12),OR(CETAK!$J$13="",$H299=CETAK!$J$13),OR(CETAK!$J$14="",$O299=CETAK!$J$14)),MAX($X$3:X298)+1,""))</f>
        <v/>
      </c>
      <c r="Y299" s="40" t="str">
        <f aca="false">IF($B299="","",IF(AND(OR(ABSENSI!$H$10="",$E299=ABSENSI!$H$10),OR(ABSENSI!$H$11="",$F299=ABSENSI!$H$11),OR(ABSENSI!$H$12="",$K299=ABSENSI!$H$12)),MAX($Y$3:Y298)+1,""))</f>
        <v/>
      </c>
      <c r="Z299" s="40" t="str">
        <f aca="false">IF($B299="","",IF(AND(OR(KARTU!$K$6="",$E299=KARTU!$K$6),OR(KARTU!$K$7="",$F299=KARTU!$K$7),OR(KARTU!$K$8="",$K299=KARTU!$K$8)),MAX($Z$3:Z298)+1,""))</f>
        <v/>
      </c>
    </row>
    <row r="300" customFormat="false" ht="15" hidden="false" customHeight="false" outlineLevel="0" collapsed="false">
      <c r="A300" s="36" t="str">
        <f aca="false">IF($B300="","",COUNTA($B$4:$B300))</f>
        <v/>
      </c>
      <c r="B300" s="37"/>
      <c r="C300" s="38"/>
      <c r="D300" s="39"/>
      <c r="E300" s="37"/>
      <c r="F300" s="39"/>
      <c r="G300" s="40" t="str">
        <f aca="false">IF(OR($E300="",$F300=""),"",$E300&amp;" - RT "&amp;$F300)</f>
        <v/>
      </c>
      <c r="H300" s="37"/>
      <c r="I300" s="38"/>
      <c r="J300" s="37"/>
      <c r="K300" s="39"/>
      <c r="L300" s="41"/>
      <c r="M300" s="36" t="str">
        <f aca="true">IF(OR($B300="",$L300=""),"",DATEDIF($L300,TODAY(),"Y"))</f>
        <v/>
      </c>
      <c r="N300" s="40" t="str">
        <f aca="false">IF($M300="","",INDEX(usia_label,MATCH($M300,usia_min,1)))</f>
        <v/>
      </c>
      <c r="O300" s="37"/>
      <c r="P300" s="41"/>
      <c r="Q300" s="37"/>
      <c r="R300" s="37"/>
      <c r="S300" s="40" t="str">
        <f aca="false">IF($G300="","",$G300&amp;"#"&amp;COUNTIF($G$4:$G300,$G300))</f>
        <v/>
      </c>
      <c r="T300" s="40" t="str">
        <f aca="false">IF($B300="","",IF($C300="","NIK kosong",IF(LEN($C300)&lt;&gt;16,"NIK bukan 16 digit",IF(COUNTIF($C$4:$C$2003,$C300&amp;"*")&gt;1,"NIK ganda",IF($E300="","Kadus kosong",IF($F300="","RT kosong",IF($H300="","Jabatan kosong",IF($I300="","No. HP kosong",IF($J300="","Alamat kosong",IF(AND($M300&lt;&gt;"",$M300&lt;17),"Usia di bawah 17",""))))))))))</f>
        <v/>
      </c>
      <c r="U300" s="40" t="str">
        <f aca="false">IF($B300="","",IF(AND(OR(CARI!$C$5="",ISNUMBER(SEARCH(CARI!$C$5,$B300&amp;" "&amp;$C300&amp;" "&amp;$I300&amp;" "&amp;$J300&amp;" "&amp;$Q300))),OR(CARI!$C$6="",$E300=CARI!$C$6),OR(CARI!$C$7="",$F300=CARI!$C$7),OR(CARI!$C$8="",$O300=CARI!$C$8)),MAX($U$3:U299)+1,""))</f>
        <v/>
      </c>
      <c r="V300" s="40" t="str">
        <f aca="false">IF($T300="","",MAX($V$3:V299)+1)</f>
        <v/>
      </c>
      <c r="W300" s="40" t="str">
        <f aca="false">IF($E300="","",$E300&amp;"#"&amp;COUNTIF($E$4:$E300,$E300))</f>
        <v/>
      </c>
      <c r="X300" s="40" t="str">
        <f aca="false">IF($B300="","",IF(AND(OR(CETAK!$J$10="",$E300=CETAK!$J$10),OR(CETAK!$J$11="",$F300=CETAK!$J$11),OR(CETAK!$J$12="",$K300=CETAK!$J$12),OR(CETAK!$J$13="",$H300=CETAK!$J$13),OR(CETAK!$J$14="",$O300=CETAK!$J$14)),MAX($X$3:X299)+1,""))</f>
        <v/>
      </c>
      <c r="Y300" s="40" t="str">
        <f aca="false">IF($B300="","",IF(AND(OR(ABSENSI!$H$10="",$E300=ABSENSI!$H$10),OR(ABSENSI!$H$11="",$F300=ABSENSI!$H$11),OR(ABSENSI!$H$12="",$K300=ABSENSI!$H$12)),MAX($Y$3:Y299)+1,""))</f>
        <v/>
      </c>
      <c r="Z300" s="40" t="str">
        <f aca="false">IF($B300="","",IF(AND(OR(KARTU!$K$6="",$E300=KARTU!$K$6),OR(KARTU!$K$7="",$F300=KARTU!$K$7),OR(KARTU!$K$8="",$K300=KARTU!$K$8)),MAX($Z$3:Z299)+1,""))</f>
        <v/>
      </c>
    </row>
    <row r="301" customFormat="false" ht="15" hidden="false" customHeight="false" outlineLevel="0" collapsed="false">
      <c r="A301" s="36" t="str">
        <f aca="false">IF($B301="","",COUNTA($B$4:$B301))</f>
        <v/>
      </c>
      <c r="B301" s="37"/>
      <c r="C301" s="38"/>
      <c r="D301" s="39"/>
      <c r="E301" s="37"/>
      <c r="F301" s="39"/>
      <c r="G301" s="40" t="str">
        <f aca="false">IF(OR($E301="",$F301=""),"",$E301&amp;" - RT "&amp;$F301)</f>
        <v/>
      </c>
      <c r="H301" s="37"/>
      <c r="I301" s="38"/>
      <c r="J301" s="37"/>
      <c r="K301" s="39"/>
      <c r="L301" s="41"/>
      <c r="M301" s="36" t="str">
        <f aca="true">IF(OR($B301="",$L301=""),"",DATEDIF($L301,TODAY(),"Y"))</f>
        <v/>
      </c>
      <c r="N301" s="40" t="str">
        <f aca="false">IF($M301="","",INDEX(usia_label,MATCH($M301,usia_min,1)))</f>
        <v/>
      </c>
      <c r="O301" s="37"/>
      <c r="P301" s="41"/>
      <c r="Q301" s="37"/>
      <c r="R301" s="37"/>
      <c r="S301" s="40" t="str">
        <f aca="false">IF($G301="","",$G301&amp;"#"&amp;COUNTIF($G$4:$G301,$G301))</f>
        <v/>
      </c>
      <c r="T301" s="40" t="str">
        <f aca="false">IF($B301="","",IF($C301="","NIK kosong",IF(LEN($C301)&lt;&gt;16,"NIK bukan 16 digit",IF(COUNTIF($C$4:$C$2003,$C301&amp;"*")&gt;1,"NIK ganda",IF($E301="","Kadus kosong",IF($F301="","RT kosong",IF($H301="","Jabatan kosong",IF($I301="","No. HP kosong",IF($J301="","Alamat kosong",IF(AND($M301&lt;&gt;"",$M301&lt;17),"Usia di bawah 17",""))))))))))</f>
        <v/>
      </c>
      <c r="U301" s="40" t="str">
        <f aca="false">IF($B301="","",IF(AND(OR(CARI!$C$5="",ISNUMBER(SEARCH(CARI!$C$5,$B301&amp;" "&amp;$C301&amp;" "&amp;$I301&amp;" "&amp;$J301&amp;" "&amp;$Q301))),OR(CARI!$C$6="",$E301=CARI!$C$6),OR(CARI!$C$7="",$F301=CARI!$C$7),OR(CARI!$C$8="",$O301=CARI!$C$8)),MAX($U$3:U300)+1,""))</f>
        <v/>
      </c>
      <c r="V301" s="40" t="str">
        <f aca="false">IF($T301="","",MAX($V$3:V300)+1)</f>
        <v/>
      </c>
      <c r="W301" s="40" t="str">
        <f aca="false">IF($E301="","",$E301&amp;"#"&amp;COUNTIF($E$4:$E301,$E301))</f>
        <v/>
      </c>
      <c r="X301" s="40" t="str">
        <f aca="false">IF($B301="","",IF(AND(OR(CETAK!$J$10="",$E301=CETAK!$J$10),OR(CETAK!$J$11="",$F301=CETAK!$J$11),OR(CETAK!$J$12="",$K301=CETAK!$J$12),OR(CETAK!$J$13="",$H301=CETAK!$J$13),OR(CETAK!$J$14="",$O301=CETAK!$J$14)),MAX($X$3:X300)+1,""))</f>
        <v/>
      </c>
      <c r="Y301" s="40" t="str">
        <f aca="false">IF($B301="","",IF(AND(OR(ABSENSI!$H$10="",$E301=ABSENSI!$H$10),OR(ABSENSI!$H$11="",$F301=ABSENSI!$H$11),OR(ABSENSI!$H$12="",$K301=ABSENSI!$H$12)),MAX($Y$3:Y300)+1,""))</f>
        <v/>
      </c>
      <c r="Z301" s="40" t="str">
        <f aca="false">IF($B301="","",IF(AND(OR(KARTU!$K$6="",$E301=KARTU!$K$6),OR(KARTU!$K$7="",$F301=KARTU!$K$7),OR(KARTU!$K$8="",$K301=KARTU!$K$8)),MAX($Z$3:Z300)+1,""))</f>
        <v/>
      </c>
    </row>
    <row r="302" customFormat="false" ht="15" hidden="false" customHeight="false" outlineLevel="0" collapsed="false">
      <c r="A302" s="36" t="str">
        <f aca="false">IF($B302="","",COUNTA($B$4:$B302))</f>
        <v/>
      </c>
      <c r="B302" s="37"/>
      <c r="C302" s="38"/>
      <c r="D302" s="39"/>
      <c r="E302" s="37"/>
      <c r="F302" s="39"/>
      <c r="G302" s="40" t="str">
        <f aca="false">IF(OR($E302="",$F302=""),"",$E302&amp;" - RT "&amp;$F302)</f>
        <v/>
      </c>
      <c r="H302" s="37"/>
      <c r="I302" s="38"/>
      <c r="J302" s="37"/>
      <c r="K302" s="39"/>
      <c r="L302" s="41"/>
      <c r="M302" s="36" t="str">
        <f aca="true">IF(OR($B302="",$L302=""),"",DATEDIF($L302,TODAY(),"Y"))</f>
        <v/>
      </c>
      <c r="N302" s="40" t="str">
        <f aca="false">IF($M302="","",INDEX(usia_label,MATCH($M302,usia_min,1)))</f>
        <v/>
      </c>
      <c r="O302" s="37"/>
      <c r="P302" s="41"/>
      <c r="Q302" s="37"/>
      <c r="R302" s="37"/>
      <c r="S302" s="40" t="str">
        <f aca="false">IF($G302="","",$G302&amp;"#"&amp;COUNTIF($G$4:$G302,$G302))</f>
        <v/>
      </c>
      <c r="T302" s="40" t="str">
        <f aca="false">IF($B302="","",IF($C302="","NIK kosong",IF(LEN($C302)&lt;&gt;16,"NIK bukan 16 digit",IF(COUNTIF($C$4:$C$2003,$C302&amp;"*")&gt;1,"NIK ganda",IF($E302="","Kadus kosong",IF($F302="","RT kosong",IF($H302="","Jabatan kosong",IF($I302="","No. HP kosong",IF($J302="","Alamat kosong",IF(AND($M302&lt;&gt;"",$M302&lt;17),"Usia di bawah 17",""))))))))))</f>
        <v/>
      </c>
      <c r="U302" s="40" t="str">
        <f aca="false">IF($B302="","",IF(AND(OR(CARI!$C$5="",ISNUMBER(SEARCH(CARI!$C$5,$B302&amp;" "&amp;$C302&amp;" "&amp;$I302&amp;" "&amp;$J302&amp;" "&amp;$Q302))),OR(CARI!$C$6="",$E302=CARI!$C$6),OR(CARI!$C$7="",$F302=CARI!$C$7),OR(CARI!$C$8="",$O302=CARI!$C$8)),MAX($U$3:U301)+1,""))</f>
        <v/>
      </c>
      <c r="V302" s="40" t="str">
        <f aca="false">IF($T302="","",MAX($V$3:V301)+1)</f>
        <v/>
      </c>
      <c r="W302" s="40" t="str">
        <f aca="false">IF($E302="","",$E302&amp;"#"&amp;COUNTIF($E$4:$E302,$E302))</f>
        <v/>
      </c>
      <c r="X302" s="40" t="str">
        <f aca="false">IF($B302="","",IF(AND(OR(CETAK!$J$10="",$E302=CETAK!$J$10),OR(CETAK!$J$11="",$F302=CETAK!$J$11),OR(CETAK!$J$12="",$K302=CETAK!$J$12),OR(CETAK!$J$13="",$H302=CETAK!$J$13),OR(CETAK!$J$14="",$O302=CETAK!$J$14)),MAX($X$3:X301)+1,""))</f>
        <v/>
      </c>
      <c r="Y302" s="40" t="str">
        <f aca="false">IF($B302="","",IF(AND(OR(ABSENSI!$H$10="",$E302=ABSENSI!$H$10),OR(ABSENSI!$H$11="",$F302=ABSENSI!$H$11),OR(ABSENSI!$H$12="",$K302=ABSENSI!$H$12)),MAX($Y$3:Y301)+1,""))</f>
        <v/>
      </c>
      <c r="Z302" s="40" t="str">
        <f aca="false">IF($B302="","",IF(AND(OR(KARTU!$K$6="",$E302=KARTU!$K$6),OR(KARTU!$K$7="",$F302=KARTU!$K$7),OR(KARTU!$K$8="",$K302=KARTU!$K$8)),MAX($Z$3:Z301)+1,""))</f>
        <v/>
      </c>
    </row>
    <row r="303" customFormat="false" ht="15" hidden="false" customHeight="false" outlineLevel="0" collapsed="false">
      <c r="A303" s="36" t="str">
        <f aca="false">IF($B303="","",COUNTA($B$4:$B303))</f>
        <v/>
      </c>
      <c r="B303" s="37"/>
      <c r="C303" s="38"/>
      <c r="D303" s="39"/>
      <c r="E303" s="37"/>
      <c r="F303" s="39"/>
      <c r="G303" s="40" t="str">
        <f aca="false">IF(OR($E303="",$F303=""),"",$E303&amp;" - RT "&amp;$F303)</f>
        <v/>
      </c>
      <c r="H303" s="37"/>
      <c r="I303" s="38"/>
      <c r="J303" s="37"/>
      <c r="K303" s="39"/>
      <c r="L303" s="41"/>
      <c r="M303" s="36" t="str">
        <f aca="true">IF(OR($B303="",$L303=""),"",DATEDIF($L303,TODAY(),"Y"))</f>
        <v/>
      </c>
      <c r="N303" s="40" t="str">
        <f aca="false">IF($M303="","",INDEX(usia_label,MATCH($M303,usia_min,1)))</f>
        <v/>
      </c>
      <c r="O303" s="37"/>
      <c r="P303" s="41"/>
      <c r="Q303" s="37"/>
      <c r="R303" s="37"/>
      <c r="S303" s="40" t="str">
        <f aca="false">IF($G303="","",$G303&amp;"#"&amp;COUNTIF($G$4:$G303,$G303))</f>
        <v/>
      </c>
      <c r="T303" s="40" t="str">
        <f aca="false">IF($B303="","",IF($C303="","NIK kosong",IF(LEN($C303)&lt;&gt;16,"NIK bukan 16 digit",IF(COUNTIF($C$4:$C$2003,$C303&amp;"*")&gt;1,"NIK ganda",IF($E303="","Kadus kosong",IF($F303="","RT kosong",IF($H303="","Jabatan kosong",IF($I303="","No. HP kosong",IF($J303="","Alamat kosong",IF(AND($M303&lt;&gt;"",$M303&lt;17),"Usia di bawah 17",""))))))))))</f>
        <v/>
      </c>
      <c r="U303" s="40" t="str">
        <f aca="false">IF($B303="","",IF(AND(OR(CARI!$C$5="",ISNUMBER(SEARCH(CARI!$C$5,$B303&amp;" "&amp;$C303&amp;" "&amp;$I303&amp;" "&amp;$J303&amp;" "&amp;$Q303))),OR(CARI!$C$6="",$E303=CARI!$C$6),OR(CARI!$C$7="",$F303=CARI!$C$7),OR(CARI!$C$8="",$O303=CARI!$C$8)),MAX($U$3:U302)+1,""))</f>
        <v/>
      </c>
      <c r="V303" s="40" t="str">
        <f aca="false">IF($T303="","",MAX($V$3:V302)+1)</f>
        <v/>
      </c>
      <c r="W303" s="40" t="str">
        <f aca="false">IF($E303="","",$E303&amp;"#"&amp;COUNTIF($E$4:$E303,$E303))</f>
        <v/>
      </c>
      <c r="X303" s="40" t="str">
        <f aca="false">IF($B303="","",IF(AND(OR(CETAK!$J$10="",$E303=CETAK!$J$10),OR(CETAK!$J$11="",$F303=CETAK!$J$11),OR(CETAK!$J$12="",$K303=CETAK!$J$12),OR(CETAK!$J$13="",$H303=CETAK!$J$13),OR(CETAK!$J$14="",$O303=CETAK!$J$14)),MAX($X$3:X302)+1,""))</f>
        <v/>
      </c>
      <c r="Y303" s="40" t="str">
        <f aca="false">IF($B303="","",IF(AND(OR(ABSENSI!$H$10="",$E303=ABSENSI!$H$10),OR(ABSENSI!$H$11="",$F303=ABSENSI!$H$11),OR(ABSENSI!$H$12="",$K303=ABSENSI!$H$12)),MAX($Y$3:Y302)+1,""))</f>
        <v/>
      </c>
      <c r="Z303" s="40" t="str">
        <f aca="false">IF($B303="","",IF(AND(OR(KARTU!$K$6="",$E303=KARTU!$K$6),OR(KARTU!$K$7="",$F303=KARTU!$K$7),OR(KARTU!$K$8="",$K303=KARTU!$K$8)),MAX($Z$3:Z302)+1,""))</f>
        <v/>
      </c>
    </row>
    <row r="304" customFormat="false" ht="15" hidden="false" customHeight="false" outlineLevel="0" collapsed="false">
      <c r="A304" s="36" t="str">
        <f aca="false">IF($B304="","",COUNTA($B$4:$B304))</f>
        <v/>
      </c>
      <c r="B304" s="37"/>
      <c r="C304" s="38"/>
      <c r="D304" s="39"/>
      <c r="E304" s="37"/>
      <c r="F304" s="39"/>
      <c r="G304" s="40" t="str">
        <f aca="false">IF(OR($E304="",$F304=""),"",$E304&amp;" - RT "&amp;$F304)</f>
        <v/>
      </c>
      <c r="H304" s="37"/>
      <c r="I304" s="38"/>
      <c r="J304" s="37"/>
      <c r="K304" s="39"/>
      <c r="L304" s="41"/>
      <c r="M304" s="36" t="str">
        <f aca="true">IF(OR($B304="",$L304=""),"",DATEDIF($L304,TODAY(),"Y"))</f>
        <v/>
      </c>
      <c r="N304" s="40" t="str">
        <f aca="false">IF($M304="","",INDEX(usia_label,MATCH($M304,usia_min,1)))</f>
        <v/>
      </c>
      <c r="O304" s="37"/>
      <c r="P304" s="41"/>
      <c r="Q304" s="37"/>
      <c r="R304" s="37"/>
      <c r="S304" s="40" t="str">
        <f aca="false">IF($G304="","",$G304&amp;"#"&amp;COUNTIF($G$4:$G304,$G304))</f>
        <v/>
      </c>
      <c r="T304" s="40" t="str">
        <f aca="false">IF($B304="","",IF($C304="","NIK kosong",IF(LEN($C304)&lt;&gt;16,"NIK bukan 16 digit",IF(COUNTIF($C$4:$C$2003,$C304&amp;"*")&gt;1,"NIK ganda",IF($E304="","Kadus kosong",IF($F304="","RT kosong",IF($H304="","Jabatan kosong",IF($I304="","No. HP kosong",IF($J304="","Alamat kosong",IF(AND($M304&lt;&gt;"",$M304&lt;17),"Usia di bawah 17",""))))))))))</f>
        <v/>
      </c>
      <c r="U304" s="40" t="str">
        <f aca="false">IF($B304="","",IF(AND(OR(CARI!$C$5="",ISNUMBER(SEARCH(CARI!$C$5,$B304&amp;" "&amp;$C304&amp;" "&amp;$I304&amp;" "&amp;$J304&amp;" "&amp;$Q304))),OR(CARI!$C$6="",$E304=CARI!$C$6),OR(CARI!$C$7="",$F304=CARI!$C$7),OR(CARI!$C$8="",$O304=CARI!$C$8)),MAX($U$3:U303)+1,""))</f>
        <v/>
      </c>
      <c r="V304" s="40" t="str">
        <f aca="false">IF($T304="","",MAX($V$3:V303)+1)</f>
        <v/>
      </c>
      <c r="W304" s="40" t="str">
        <f aca="false">IF($E304="","",$E304&amp;"#"&amp;COUNTIF($E$4:$E304,$E304))</f>
        <v/>
      </c>
      <c r="X304" s="40" t="str">
        <f aca="false">IF($B304="","",IF(AND(OR(CETAK!$J$10="",$E304=CETAK!$J$10),OR(CETAK!$J$11="",$F304=CETAK!$J$11),OR(CETAK!$J$12="",$K304=CETAK!$J$12),OR(CETAK!$J$13="",$H304=CETAK!$J$13),OR(CETAK!$J$14="",$O304=CETAK!$J$14)),MAX($X$3:X303)+1,""))</f>
        <v/>
      </c>
      <c r="Y304" s="40" t="str">
        <f aca="false">IF($B304="","",IF(AND(OR(ABSENSI!$H$10="",$E304=ABSENSI!$H$10),OR(ABSENSI!$H$11="",$F304=ABSENSI!$H$11),OR(ABSENSI!$H$12="",$K304=ABSENSI!$H$12)),MAX($Y$3:Y303)+1,""))</f>
        <v/>
      </c>
      <c r="Z304" s="40" t="str">
        <f aca="false">IF($B304="","",IF(AND(OR(KARTU!$K$6="",$E304=KARTU!$K$6),OR(KARTU!$K$7="",$F304=KARTU!$K$7),OR(KARTU!$K$8="",$K304=KARTU!$K$8)),MAX($Z$3:Z303)+1,""))</f>
        <v/>
      </c>
    </row>
    <row r="305" customFormat="false" ht="15" hidden="false" customHeight="false" outlineLevel="0" collapsed="false">
      <c r="A305" s="36" t="str">
        <f aca="false">IF($B305="","",COUNTA($B$4:$B305))</f>
        <v/>
      </c>
      <c r="B305" s="37"/>
      <c r="C305" s="38"/>
      <c r="D305" s="39"/>
      <c r="E305" s="37"/>
      <c r="F305" s="39"/>
      <c r="G305" s="40" t="str">
        <f aca="false">IF(OR($E305="",$F305=""),"",$E305&amp;" - RT "&amp;$F305)</f>
        <v/>
      </c>
      <c r="H305" s="37"/>
      <c r="I305" s="38"/>
      <c r="J305" s="37"/>
      <c r="K305" s="39"/>
      <c r="L305" s="41"/>
      <c r="M305" s="36" t="str">
        <f aca="true">IF(OR($B305="",$L305=""),"",DATEDIF($L305,TODAY(),"Y"))</f>
        <v/>
      </c>
      <c r="N305" s="40" t="str">
        <f aca="false">IF($M305="","",INDEX(usia_label,MATCH($M305,usia_min,1)))</f>
        <v/>
      </c>
      <c r="O305" s="37"/>
      <c r="P305" s="41"/>
      <c r="Q305" s="37"/>
      <c r="R305" s="37"/>
      <c r="S305" s="40" t="str">
        <f aca="false">IF($G305="","",$G305&amp;"#"&amp;COUNTIF($G$4:$G305,$G305))</f>
        <v/>
      </c>
      <c r="T305" s="40" t="str">
        <f aca="false">IF($B305="","",IF($C305="","NIK kosong",IF(LEN($C305)&lt;&gt;16,"NIK bukan 16 digit",IF(COUNTIF($C$4:$C$2003,$C305&amp;"*")&gt;1,"NIK ganda",IF($E305="","Kadus kosong",IF($F305="","RT kosong",IF($H305="","Jabatan kosong",IF($I305="","No. HP kosong",IF($J305="","Alamat kosong",IF(AND($M305&lt;&gt;"",$M305&lt;17),"Usia di bawah 17",""))))))))))</f>
        <v/>
      </c>
      <c r="U305" s="40" t="str">
        <f aca="false">IF($B305="","",IF(AND(OR(CARI!$C$5="",ISNUMBER(SEARCH(CARI!$C$5,$B305&amp;" "&amp;$C305&amp;" "&amp;$I305&amp;" "&amp;$J305&amp;" "&amp;$Q305))),OR(CARI!$C$6="",$E305=CARI!$C$6),OR(CARI!$C$7="",$F305=CARI!$C$7),OR(CARI!$C$8="",$O305=CARI!$C$8)),MAX($U$3:U304)+1,""))</f>
        <v/>
      </c>
      <c r="V305" s="40" t="str">
        <f aca="false">IF($T305="","",MAX($V$3:V304)+1)</f>
        <v/>
      </c>
      <c r="W305" s="40" t="str">
        <f aca="false">IF($E305="","",$E305&amp;"#"&amp;COUNTIF($E$4:$E305,$E305))</f>
        <v/>
      </c>
      <c r="X305" s="40" t="str">
        <f aca="false">IF($B305="","",IF(AND(OR(CETAK!$J$10="",$E305=CETAK!$J$10),OR(CETAK!$J$11="",$F305=CETAK!$J$11),OR(CETAK!$J$12="",$K305=CETAK!$J$12),OR(CETAK!$J$13="",$H305=CETAK!$J$13),OR(CETAK!$J$14="",$O305=CETAK!$J$14)),MAX($X$3:X304)+1,""))</f>
        <v/>
      </c>
      <c r="Y305" s="40" t="str">
        <f aca="false">IF($B305="","",IF(AND(OR(ABSENSI!$H$10="",$E305=ABSENSI!$H$10),OR(ABSENSI!$H$11="",$F305=ABSENSI!$H$11),OR(ABSENSI!$H$12="",$K305=ABSENSI!$H$12)),MAX($Y$3:Y304)+1,""))</f>
        <v/>
      </c>
      <c r="Z305" s="40" t="str">
        <f aca="false">IF($B305="","",IF(AND(OR(KARTU!$K$6="",$E305=KARTU!$K$6),OR(KARTU!$K$7="",$F305=KARTU!$K$7),OR(KARTU!$K$8="",$K305=KARTU!$K$8)),MAX($Z$3:Z304)+1,""))</f>
        <v/>
      </c>
    </row>
    <row r="306" customFormat="false" ht="15" hidden="false" customHeight="false" outlineLevel="0" collapsed="false">
      <c r="A306" s="36" t="str">
        <f aca="false">IF($B306="","",COUNTA($B$4:$B306))</f>
        <v/>
      </c>
      <c r="B306" s="37"/>
      <c r="C306" s="38"/>
      <c r="D306" s="39"/>
      <c r="E306" s="37"/>
      <c r="F306" s="39"/>
      <c r="G306" s="40" t="str">
        <f aca="false">IF(OR($E306="",$F306=""),"",$E306&amp;" - RT "&amp;$F306)</f>
        <v/>
      </c>
      <c r="H306" s="37"/>
      <c r="I306" s="38"/>
      <c r="J306" s="37"/>
      <c r="K306" s="39"/>
      <c r="L306" s="41"/>
      <c r="M306" s="36" t="str">
        <f aca="true">IF(OR($B306="",$L306=""),"",DATEDIF($L306,TODAY(),"Y"))</f>
        <v/>
      </c>
      <c r="N306" s="40" t="str">
        <f aca="false">IF($M306="","",INDEX(usia_label,MATCH($M306,usia_min,1)))</f>
        <v/>
      </c>
      <c r="O306" s="37"/>
      <c r="P306" s="41"/>
      <c r="Q306" s="37"/>
      <c r="R306" s="37"/>
      <c r="S306" s="40" t="str">
        <f aca="false">IF($G306="","",$G306&amp;"#"&amp;COUNTIF($G$4:$G306,$G306))</f>
        <v/>
      </c>
      <c r="T306" s="40" t="str">
        <f aca="false">IF($B306="","",IF($C306="","NIK kosong",IF(LEN($C306)&lt;&gt;16,"NIK bukan 16 digit",IF(COUNTIF($C$4:$C$2003,$C306&amp;"*")&gt;1,"NIK ganda",IF($E306="","Kadus kosong",IF($F306="","RT kosong",IF($H306="","Jabatan kosong",IF($I306="","No. HP kosong",IF($J306="","Alamat kosong",IF(AND($M306&lt;&gt;"",$M306&lt;17),"Usia di bawah 17",""))))))))))</f>
        <v/>
      </c>
      <c r="U306" s="40" t="str">
        <f aca="false">IF($B306="","",IF(AND(OR(CARI!$C$5="",ISNUMBER(SEARCH(CARI!$C$5,$B306&amp;" "&amp;$C306&amp;" "&amp;$I306&amp;" "&amp;$J306&amp;" "&amp;$Q306))),OR(CARI!$C$6="",$E306=CARI!$C$6),OR(CARI!$C$7="",$F306=CARI!$C$7),OR(CARI!$C$8="",$O306=CARI!$C$8)),MAX($U$3:U305)+1,""))</f>
        <v/>
      </c>
      <c r="V306" s="40" t="str">
        <f aca="false">IF($T306="","",MAX($V$3:V305)+1)</f>
        <v/>
      </c>
      <c r="W306" s="40" t="str">
        <f aca="false">IF($E306="","",$E306&amp;"#"&amp;COUNTIF($E$4:$E306,$E306))</f>
        <v/>
      </c>
      <c r="X306" s="40" t="str">
        <f aca="false">IF($B306="","",IF(AND(OR(CETAK!$J$10="",$E306=CETAK!$J$10),OR(CETAK!$J$11="",$F306=CETAK!$J$11),OR(CETAK!$J$12="",$K306=CETAK!$J$12),OR(CETAK!$J$13="",$H306=CETAK!$J$13),OR(CETAK!$J$14="",$O306=CETAK!$J$14)),MAX($X$3:X305)+1,""))</f>
        <v/>
      </c>
      <c r="Y306" s="40" t="str">
        <f aca="false">IF($B306="","",IF(AND(OR(ABSENSI!$H$10="",$E306=ABSENSI!$H$10),OR(ABSENSI!$H$11="",$F306=ABSENSI!$H$11),OR(ABSENSI!$H$12="",$K306=ABSENSI!$H$12)),MAX($Y$3:Y305)+1,""))</f>
        <v/>
      </c>
      <c r="Z306" s="40" t="str">
        <f aca="false">IF($B306="","",IF(AND(OR(KARTU!$K$6="",$E306=KARTU!$K$6),OR(KARTU!$K$7="",$F306=KARTU!$K$7),OR(KARTU!$K$8="",$K306=KARTU!$K$8)),MAX($Z$3:Z305)+1,""))</f>
        <v/>
      </c>
    </row>
    <row r="307" customFormat="false" ht="15" hidden="false" customHeight="false" outlineLevel="0" collapsed="false">
      <c r="A307" s="36" t="str">
        <f aca="false">IF($B307="","",COUNTA($B$4:$B307))</f>
        <v/>
      </c>
      <c r="B307" s="37"/>
      <c r="C307" s="38"/>
      <c r="D307" s="39"/>
      <c r="E307" s="37"/>
      <c r="F307" s="39"/>
      <c r="G307" s="40" t="str">
        <f aca="false">IF(OR($E307="",$F307=""),"",$E307&amp;" - RT "&amp;$F307)</f>
        <v/>
      </c>
      <c r="H307" s="37"/>
      <c r="I307" s="38"/>
      <c r="J307" s="37"/>
      <c r="K307" s="39"/>
      <c r="L307" s="41"/>
      <c r="M307" s="36" t="str">
        <f aca="true">IF(OR($B307="",$L307=""),"",DATEDIF($L307,TODAY(),"Y"))</f>
        <v/>
      </c>
      <c r="N307" s="40" t="str">
        <f aca="false">IF($M307="","",INDEX(usia_label,MATCH($M307,usia_min,1)))</f>
        <v/>
      </c>
      <c r="O307" s="37"/>
      <c r="P307" s="41"/>
      <c r="Q307" s="37"/>
      <c r="R307" s="37"/>
      <c r="S307" s="40" t="str">
        <f aca="false">IF($G307="","",$G307&amp;"#"&amp;COUNTIF($G$4:$G307,$G307))</f>
        <v/>
      </c>
      <c r="T307" s="40" t="str">
        <f aca="false">IF($B307="","",IF($C307="","NIK kosong",IF(LEN($C307)&lt;&gt;16,"NIK bukan 16 digit",IF(COUNTIF($C$4:$C$2003,$C307&amp;"*")&gt;1,"NIK ganda",IF($E307="","Kadus kosong",IF($F307="","RT kosong",IF($H307="","Jabatan kosong",IF($I307="","No. HP kosong",IF($J307="","Alamat kosong",IF(AND($M307&lt;&gt;"",$M307&lt;17),"Usia di bawah 17",""))))))))))</f>
        <v/>
      </c>
      <c r="U307" s="40" t="str">
        <f aca="false">IF($B307="","",IF(AND(OR(CARI!$C$5="",ISNUMBER(SEARCH(CARI!$C$5,$B307&amp;" "&amp;$C307&amp;" "&amp;$I307&amp;" "&amp;$J307&amp;" "&amp;$Q307))),OR(CARI!$C$6="",$E307=CARI!$C$6),OR(CARI!$C$7="",$F307=CARI!$C$7),OR(CARI!$C$8="",$O307=CARI!$C$8)),MAX($U$3:U306)+1,""))</f>
        <v/>
      </c>
      <c r="V307" s="40" t="str">
        <f aca="false">IF($T307="","",MAX($V$3:V306)+1)</f>
        <v/>
      </c>
      <c r="W307" s="40" t="str">
        <f aca="false">IF($E307="","",$E307&amp;"#"&amp;COUNTIF($E$4:$E307,$E307))</f>
        <v/>
      </c>
      <c r="X307" s="40" t="str">
        <f aca="false">IF($B307="","",IF(AND(OR(CETAK!$J$10="",$E307=CETAK!$J$10),OR(CETAK!$J$11="",$F307=CETAK!$J$11),OR(CETAK!$J$12="",$K307=CETAK!$J$12),OR(CETAK!$J$13="",$H307=CETAK!$J$13),OR(CETAK!$J$14="",$O307=CETAK!$J$14)),MAX($X$3:X306)+1,""))</f>
        <v/>
      </c>
      <c r="Y307" s="40" t="str">
        <f aca="false">IF($B307="","",IF(AND(OR(ABSENSI!$H$10="",$E307=ABSENSI!$H$10),OR(ABSENSI!$H$11="",$F307=ABSENSI!$H$11),OR(ABSENSI!$H$12="",$K307=ABSENSI!$H$12)),MAX($Y$3:Y306)+1,""))</f>
        <v/>
      </c>
      <c r="Z307" s="40" t="str">
        <f aca="false">IF($B307="","",IF(AND(OR(KARTU!$K$6="",$E307=KARTU!$K$6),OR(KARTU!$K$7="",$F307=KARTU!$K$7),OR(KARTU!$K$8="",$K307=KARTU!$K$8)),MAX($Z$3:Z306)+1,""))</f>
        <v/>
      </c>
    </row>
    <row r="308" customFormat="false" ht="15" hidden="false" customHeight="false" outlineLevel="0" collapsed="false">
      <c r="A308" s="36" t="str">
        <f aca="false">IF($B308="","",COUNTA($B$4:$B308))</f>
        <v/>
      </c>
      <c r="B308" s="37"/>
      <c r="C308" s="38"/>
      <c r="D308" s="39"/>
      <c r="E308" s="37"/>
      <c r="F308" s="39"/>
      <c r="G308" s="40" t="str">
        <f aca="false">IF(OR($E308="",$F308=""),"",$E308&amp;" - RT "&amp;$F308)</f>
        <v/>
      </c>
      <c r="H308" s="37"/>
      <c r="I308" s="38"/>
      <c r="J308" s="37"/>
      <c r="K308" s="39"/>
      <c r="L308" s="41"/>
      <c r="M308" s="36" t="str">
        <f aca="true">IF(OR($B308="",$L308=""),"",DATEDIF($L308,TODAY(),"Y"))</f>
        <v/>
      </c>
      <c r="N308" s="40" t="str">
        <f aca="false">IF($M308="","",INDEX(usia_label,MATCH($M308,usia_min,1)))</f>
        <v/>
      </c>
      <c r="O308" s="37"/>
      <c r="P308" s="41"/>
      <c r="Q308" s="37"/>
      <c r="R308" s="37"/>
      <c r="S308" s="40" t="str">
        <f aca="false">IF($G308="","",$G308&amp;"#"&amp;COUNTIF($G$4:$G308,$G308))</f>
        <v/>
      </c>
      <c r="T308" s="40" t="str">
        <f aca="false">IF($B308="","",IF($C308="","NIK kosong",IF(LEN($C308)&lt;&gt;16,"NIK bukan 16 digit",IF(COUNTIF($C$4:$C$2003,$C308&amp;"*")&gt;1,"NIK ganda",IF($E308="","Kadus kosong",IF($F308="","RT kosong",IF($H308="","Jabatan kosong",IF($I308="","No. HP kosong",IF($J308="","Alamat kosong",IF(AND($M308&lt;&gt;"",$M308&lt;17),"Usia di bawah 17",""))))))))))</f>
        <v/>
      </c>
      <c r="U308" s="40" t="str">
        <f aca="false">IF($B308="","",IF(AND(OR(CARI!$C$5="",ISNUMBER(SEARCH(CARI!$C$5,$B308&amp;" "&amp;$C308&amp;" "&amp;$I308&amp;" "&amp;$J308&amp;" "&amp;$Q308))),OR(CARI!$C$6="",$E308=CARI!$C$6),OR(CARI!$C$7="",$F308=CARI!$C$7),OR(CARI!$C$8="",$O308=CARI!$C$8)),MAX($U$3:U307)+1,""))</f>
        <v/>
      </c>
      <c r="V308" s="40" t="str">
        <f aca="false">IF($T308="","",MAX($V$3:V307)+1)</f>
        <v/>
      </c>
      <c r="W308" s="40" t="str">
        <f aca="false">IF($E308="","",$E308&amp;"#"&amp;COUNTIF($E$4:$E308,$E308))</f>
        <v/>
      </c>
      <c r="X308" s="40" t="str">
        <f aca="false">IF($B308="","",IF(AND(OR(CETAK!$J$10="",$E308=CETAK!$J$10),OR(CETAK!$J$11="",$F308=CETAK!$J$11),OR(CETAK!$J$12="",$K308=CETAK!$J$12),OR(CETAK!$J$13="",$H308=CETAK!$J$13),OR(CETAK!$J$14="",$O308=CETAK!$J$14)),MAX($X$3:X307)+1,""))</f>
        <v/>
      </c>
      <c r="Y308" s="40" t="str">
        <f aca="false">IF($B308="","",IF(AND(OR(ABSENSI!$H$10="",$E308=ABSENSI!$H$10),OR(ABSENSI!$H$11="",$F308=ABSENSI!$H$11),OR(ABSENSI!$H$12="",$K308=ABSENSI!$H$12)),MAX($Y$3:Y307)+1,""))</f>
        <v/>
      </c>
      <c r="Z308" s="40" t="str">
        <f aca="false">IF($B308="","",IF(AND(OR(KARTU!$K$6="",$E308=KARTU!$K$6),OR(KARTU!$K$7="",$F308=KARTU!$K$7),OR(KARTU!$K$8="",$K308=KARTU!$K$8)),MAX($Z$3:Z307)+1,""))</f>
        <v/>
      </c>
    </row>
    <row r="309" customFormat="false" ht="15" hidden="false" customHeight="false" outlineLevel="0" collapsed="false">
      <c r="A309" s="36" t="str">
        <f aca="false">IF($B309="","",COUNTA($B$4:$B309))</f>
        <v/>
      </c>
      <c r="B309" s="37"/>
      <c r="C309" s="38"/>
      <c r="D309" s="39"/>
      <c r="E309" s="37"/>
      <c r="F309" s="39"/>
      <c r="G309" s="40" t="str">
        <f aca="false">IF(OR($E309="",$F309=""),"",$E309&amp;" - RT "&amp;$F309)</f>
        <v/>
      </c>
      <c r="H309" s="37"/>
      <c r="I309" s="38"/>
      <c r="J309" s="37"/>
      <c r="K309" s="39"/>
      <c r="L309" s="41"/>
      <c r="M309" s="36" t="str">
        <f aca="true">IF(OR($B309="",$L309=""),"",DATEDIF($L309,TODAY(),"Y"))</f>
        <v/>
      </c>
      <c r="N309" s="40" t="str">
        <f aca="false">IF($M309="","",INDEX(usia_label,MATCH($M309,usia_min,1)))</f>
        <v/>
      </c>
      <c r="O309" s="37"/>
      <c r="P309" s="41"/>
      <c r="Q309" s="37"/>
      <c r="R309" s="37"/>
      <c r="S309" s="40" t="str">
        <f aca="false">IF($G309="","",$G309&amp;"#"&amp;COUNTIF($G$4:$G309,$G309))</f>
        <v/>
      </c>
      <c r="T309" s="40" t="str">
        <f aca="false">IF($B309="","",IF($C309="","NIK kosong",IF(LEN($C309)&lt;&gt;16,"NIK bukan 16 digit",IF(COUNTIF($C$4:$C$2003,$C309&amp;"*")&gt;1,"NIK ganda",IF($E309="","Kadus kosong",IF($F309="","RT kosong",IF($H309="","Jabatan kosong",IF($I309="","No. HP kosong",IF($J309="","Alamat kosong",IF(AND($M309&lt;&gt;"",$M309&lt;17),"Usia di bawah 17",""))))))))))</f>
        <v/>
      </c>
      <c r="U309" s="40" t="str">
        <f aca="false">IF($B309="","",IF(AND(OR(CARI!$C$5="",ISNUMBER(SEARCH(CARI!$C$5,$B309&amp;" "&amp;$C309&amp;" "&amp;$I309&amp;" "&amp;$J309&amp;" "&amp;$Q309))),OR(CARI!$C$6="",$E309=CARI!$C$6),OR(CARI!$C$7="",$F309=CARI!$C$7),OR(CARI!$C$8="",$O309=CARI!$C$8)),MAX($U$3:U308)+1,""))</f>
        <v/>
      </c>
      <c r="V309" s="40" t="str">
        <f aca="false">IF($T309="","",MAX($V$3:V308)+1)</f>
        <v/>
      </c>
      <c r="W309" s="40" t="str">
        <f aca="false">IF($E309="","",$E309&amp;"#"&amp;COUNTIF($E$4:$E309,$E309))</f>
        <v/>
      </c>
      <c r="X309" s="40" t="str">
        <f aca="false">IF($B309="","",IF(AND(OR(CETAK!$J$10="",$E309=CETAK!$J$10),OR(CETAK!$J$11="",$F309=CETAK!$J$11),OR(CETAK!$J$12="",$K309=CETAK!$J$12),OR(CETAK!$J$13="",$H309=CETAK!$J$13),OR(CETAK!$J$14="",$O309=CETAK!$J$14)),MAX($X$3:X308)+1,""))</f>
        <v/>
      </c>
      <c r="Y309" s="40" t="str">
        <f aca="false">IF($B309="","",IF(AND(OR(ABSENSI!$H$10="",$E309=ABSENSI!$H$10),OR(ABSENSI!$H$11="",$F309=ABSENSI!$H$11),OR(ABSENSI!$H$12="",$K309=ABSENSI!$H$12)),MAX($Y$3:Y308)+1,""))</f>
        <v/>
      </c>
      <c r="Z309" s="40" t="str">
        <f aca="false">IF($B309="","",IF(AND(OR(KARTU!$K$6="",$E309=KARTU!$K$6),OR(KARTU!$K$7="",$F309=KARTU!$K$7),OR(KARTU!$K$8="",$K309=KARTU!$K$8)),MAX($Z$3:Z308)+1,""))</f>
        <v/>
      </c>
    </row>
    <row r="310" customFormat="false" ht="15" hidden="false" customHeight="false" outlineLevel="0" collapsed="false">
      <c r="A310" s="36" t="str">
        <f aca="false">IF($B310="","",COUNTA($B$4:$B310))</f>
        <v/>
      </c>
      <c r="B310" s="37"/>
      <c r="C310" s="38"/>
      <c r="D310" s="39"/>
      <c r="E310" s="37"/>
      <c r="F310" s="39"/>
      <c r="G310" s="40" t="str">
        <f aca="false">IF(OR($E310="",$F310=""),"",$E310&amp;" - RT "&amp;$F310)</f>
        <v/>
      </c>
      <c r="H310" s="37"/>
      <c r="I310" s="38"/>
      <c r="J310" s="37"/>
      <c r="K310" s="39"/>
      <c r="L310" s="41"/>
      <c r="M310" s="36" t="str">
        <f aca="true">IF(OR($B310="",$L310=""),"",DATEDIF($L310,TODAY(),"Y"))</f>
        <v/>
      </c>
      <c r="N310" s="40" t="str">
        <f aca="false">IF($M310="","",INDEX(usia_label,MATCH($M310,usia_min,1)))</f>
        <v/>
      </c>
      <c r="O310" s="37"/>
      <c r="P310" s="41"/>
      <c r="Q310" s="37"/>
      <c r="R310" s="37"/>
      <c r="S310" s="40" t="str">
        <f aca="false">IF($G310="","",$G310&amp;"#"&amp;COUNTIF($G$4:$G310,$G310))</f>
        <v/>
      </c>
      <c r="T310" s="40" t="str">
        <f aca="false">IF($B310="","",IF($C310="","NIK kosong",IF(LEN($C310)&lt;&gt;16,"NIK bukan 16 digit",IF(COUNTIF($C$4:$C$2003,$C310&amp;"*")&gt;1,"NIK ganda",IF($E310="","Kadus kosong",IF($F310="","RT kosong",IF($H310="","Jabatan kosong",IF($I310="","No. HP kosong",IF($J310="","Alamat kosong",IF(AND($M310&lt;&gt;"",$M310&lt;17),"Usia di bawah 17",""))))))))))</f>
        <v/>
      </c>
      <c r="U310" s="40" t="str">
        <f aca="false">IF($B310="","",IF(AND(OR(CARI!$C$5="",ISNUMBER(SEARCH(CARI!$C$5,$B310&amp;" "&amp;$C310&amp;" "&amp;$I310&amp;" "&amp;$J310&amp;" "&amp;$Q310))),OR(CARI!$C$6="",$E310=CARI!$C$6),OR(CARI!$C$7="",$F310=CARI!$C$7),OR(CARI!$C$8="",$O310=CARI!$C$8)),MAX($U$3:U309)+1,""))</f>
        <v/>
      </c>
      <c r="V310" s="40" t="str">
        <f aca="false">IF($T310="","",MAX($V$3:V309)+1)</f>
        <v/>
      </c>
      <c r="W310" s="40" t="str">
        <f aca="false">IF($E310="","",$E310&amp;"#"&amp;COUNTIF($E$4:$E310,$E310))</f>
        <v/>
      </c>
      <c r="X310" s="40" t="str">
        <f aca="false">IF($B310="","",IF(AND(OR(CETAK!$J$10="",$E310=CETAK!$J$10),OR(CETAK!$J$11="",$F310=CETAK!$J$11),OR(CETAK!$J$12="",$K310=CETAK!$J$12),OR(CETAK!$J$13="",$H310=CETAK!$J$13),OR(CETAK!$J$14="",$O310=CETAK!$J$14)),MAX($X$3:X309)+1,""))</f>
        <v/>
      </c>
      <c r="Y310" s="40" t="str">
        <f aca="false">IF($B310="","",IF(AND(OR(ABSENSI!$H$10="",$E310=ABSENSI!$H$10),OR(ABSENSI!$H$11="",$F310=ABSENSI!$H$11),OR(ABSENSI!$H$12="",$K310=ABSENSI!$H$12)),MAX($Y$3:Y309)+1,""))</f>
        <v/>
      </c>
      <c r="Z310" s="40" t="str">
        <f aca="false">IF($B310="","",IF(AND(OR(KARTU!$K$6="",$E310=KARTU!$K$6),OR(KARTU!$K$7="",$F310=KARTU!$K$7),OR(KARTU!$K$8="",$K310=KARTU!$K$8)),MAX($Z$3:Z309)+1,""))</f>
        <v/>
      </c>
    </row>
    <row r="311" customFormat="false" ht="15" hidden="false" customHeight="false" outlineLevel="0" collapsed="false">
      <c r="A311" s="36" t="str">
        <f aca="false">IF($B311="","",COUNTA($B$4:$B311))</f>
        <v/>
      </c>
      <c r="B311" s="37"/>
      <c r="C311" s="38"/>
      <c r="D311" s="39"/>
      <c r="E311" s="37"/>
      <c r="F311" s="39"/>
      <c r="G311" s="40" t="str">
        <f aca="false">IF(OR($E311="",$F311=""),"",$E311&amp;" - RT "&amp;$F311)</f>
        <v/>
      </c>
      <c r="H311" s="37"/>
      <c r="I311" s="38"/>
      <c r="J311" s="37"/>
      <c r="K311" s="39"/>
      <c r="L311" s="41"/>
      <c r="M311" s="36" t="str">
        <f aca="true">IF(OR($B311="",$L311=""),"",DATEDIF($L311,TODAY(),"Y"))</f>
        <v/>
      </c>
      <c r="N311" s="40" t="str">
        <f aca="false">IF($M311="","",INDEX(usia_label,MATCH($M311,usia_min,1)))</f>
        <v/>
      </c>
      <c r="O311" s="37"/>
      <c r="P311" s="41"/>
      <c r="Q311" s="37"/>
      <c r="R311" s="37"/>
      <c r="S311" s="40" t="str">
        <f aca="false">IF($G311="","",$G311&amp;"#"&amp;COUNTIF($G$4:$G311,$G311))</f>
        <v/>
      </c>
      <c r="T311" s="40" t="str">
        <f aca="false">IF($B311="","",IF($C311="","NIK kosong",IF(LEN($C311)&lt;&gt;16,"NIK bukan 16 digit",IF(COUNTIF($C$4:$C$2003,$C311&amp;"*")&gt;1,"NIK ganda",IF($E311="","Kadus kosong",IF($F311="","RT kosong",IF($H311="","Jabatan kosong",IF($I311="","No. HP kosong",IF($J311="","Alamat kosong",IF(AND($M311&lt;&gt;"",$M311&lt;17),"Usia di bawah 17",""))))))))))</f>
        <v/>
      </c>
      <c r="U311" s="40" t="str">
        <f aca="false">IF($B311="","",IF(AND(OR(CARI!$C$5="",ISNUMBER(SEARCH(CARI!$C$5,$B311&amp;" "&amp;$C311&amp;" "&amp;$I311&amp;" "&amp;$J311&amp;" "&amp;$Q311))),OR(CARI!$C$6="",$E311=CARI!$C$6),OR(CARI!$C$7="",$F311=CARI!$C$7),OR(CARI!$C$8="",$O311=CARI!$C$8)),MAX($U$3:U310)+1,""))</f>
        <v/>
      </c>
      <c r="V311" s="40" t="str">
        <f aca="false">IF($T311="","",MAX($V$3:V310)+1)</f>
        <v/>
      </c>
      <c r="W311" s="40" t="str">
        <f aca="false">IF($E311="","",$E311&amp;"#"&amp;COUNTIF($E$4:$E311,$E311))</f>
        <v/>
      </c>
      <c r="X311" s="40" t="str">
        <f aca="false">IF($B311="","",IF(AND(OR(CETAK!$J$10="",$E311=CETAK!$J$10),OR(CETAK!$J$11="",$F311=CETAK!$J$11),OR(CETAK!$J$12="",$K311=CETAK!$J$12),OR(CETAK!$J$13="",$H311=CETAK!$J$13),OR(CETAK!$J$14="",$O311=CETAK!$J$14)),MAX($X$3:X310)+1,""))</f>
        <v/>
      </c>
      <c r="Y311" s="40" t="str">
        <f aca="false">IF($B311="","",IF(AND(OR(ABSENSI!$H$10="",$E311=ABSENSI!$H$10),OR(ABSENSI!$H$11="",$F311=ABSENSI!$H$11),OR(ABSENSI!$H$12="",$K311=ABSENSI!$H$12)),MAX($Y$3:Y310)+1,""))</f>
        <v/>
      </c>
      <c r="Z311" s="40" t="str">
        <f aca="false">IF($B311="","",IF(AND(OR(KARTU!$K$6="",$E311=KARTU!$K$6),OR(KARTU!$K$7="",$F311=KARTU!$K$7),OR(KARTU!$K$8="",$K311=KARTU!$K$8)),MAX($Z$3:Z310)+1,""))</f>
        <v/>
      </c>
    </row>
    <row r="312" customFormat="false" ht="15" hidden="false" customHeight="false" outlineLevel="0" collapsed="false">
      <c r="A312" s="36" t="str">
        <f aca="false">IF($B312="","",COUNTA($B$4:$B312))</f>
        <v/>
      </c>
      <c r="B312" s="37"/>
      <c r="C312" s="38"/>
      <c r="D312" s="39"/>
      <c r="E312" s="37"/>
      <c r="F312" s="39"/>
      <c r="G312" s="40" t="str">
        <f aca="false">IF(OR($E312="",$F312=""),"",$E312&amp;" - RT "&amp;$F312)</f>
        <v/>
      </c>
      <c r="H312" s="37"/>
      <c r="I312" s="38"/>
      <c r="J312" s="37"/>
      <c r="K312" s="39"/>
      <c r="L312" s="41"/>
      <c r="M312" s="36" t="str">
        <f aca="true">IF(OR($B312="",$L312=""),"",DATEDIF($L312,TODAY(),"Y"))</f>
        <v/>
      </c>
      <c r="N312" s="40" t="str">
        <f aca="false">IF($M312="","",INDEX(usia_label,MATCH($M312,usia_min,1)))</f>
        <v/>
      </c>
      <c r="O312" s="37"/>
      <c r="P312" s="41"/>
      <c r="Q312" s="37"/>
      <c r="R312" s="37"/>
      <c r="S312" s="40" t="str">
        <f aca="false">IF($G312="","",$G312&amp;"#"&amp;COUNTIF($G$4:$G312,$G312))</f>
        <v/>
      </c>
      <c r="T312" s="40" t="str">
        <f aca="false">IF($B312="","",IF($C312="","NIK kosong",IF(LEN($C312)&lt;&gt;16,"NIK bukan 16 digit",IF(COUNTIF($C$4:$C$2003,$C312&amp;"*")&gt;1,"NIK ganda",IF($E312="","Kadus kosong",IF($F312="","RT kosong",IF($H312="","Jabatan kosong",IF($I312="","No. HP kosong",IF($J312="","Alamat kosong",IF(AND($M312&lt;&gt;"",$M312&lt;17),"Usia di bawah 17",""))))))))))</f>
        <v/>
      </c>
      <c r="U312" s="40" t="str">
        <f aca="false">IF($B312="","",IF(AND(OR(CARI!$C$5="",ISNUMBER(SEARCH(CARI!$C$5,$B312&amp;" "&amp;$C312&amp;" "&amp;$I312&amp;" "&amp;$J312&amp;" "&amp;$Q312))),OR(CARI!$C$6="",$E312=CARI!$C$6),OR(CARI!$C$7="",$F312=CARI!$C$7),OR(CARI!$C$8="",$O312=CARI!$C$8)),MAX($U$3:U311)+1,""))</f>
        <v/>
      </c>
      <c r="V312" s="40" t="str">
        <f aca="false">IF($T312="","",MAX($V$3:V311)+1)</f>
        <v/>
      </c>
      <c r="W312" s="40" t="str">
        <f aca="false">IF($E312="","",$E312&amp;"#"&amp;COUNTIF($E$4:$E312,$E312))</f>
        <v/>
      </c>
      <c r="X312" s="40" t="str">
        <f aca="false">IF($B312="","",IF(AND(OR(CETAK!$J$10="",$E312=CETAK!$J$10),OR(CETAK!$J$11="",$F312=CETAK!$J$11),OR(CETAK!$J$12="",$K312=CETAK!$J$12),OR(CETAK!$J$13="",$H312=CETAK!$J$13),OR(CETAK!$J$14="",$O312=CETAK!$J$14)),MAX($X$3:X311)+1,""))</f>
        <v/>
      </c>
      <c r="Y312" s="40" t="str">
        <f aca="false">IF($B312="","",IF(AND(OR(ABSENSI!$H$10="",$E312=ABSENSI!$H$10),OR(ABSENSI!$H$11="",$F312=ABSENSI!$H$11),OR(ABSENSI!$H$12="",$K312=ABSENSI!$H$12)),MAX($Y$3:Y311)+1,""))</f>
        <v/>
      </c>
      <c r="Z312" s="40" t="str">
        <f aca="false">IF($B312="","",IF(AND(OR(KARTU!$K$6="",$E312=KARTU!$K$6),OR(KARTU!$K$7="",$F312=KARTU!$K$7),OR(KARTU!$K$8="",$K312=KARTU!$K$8)),MAX($Z$3:Z311)+1,""))</f>
        <v/>
      </c>
    </row>
    <row r="313" customFormat="false" ht="15" hidden="false" customHeight="false" outlineLevel="0" collapsed="false">
      <c r="A313" s="36" t="str">
        <f aca="false">IF($B313="","",COUNTA($B$4:$B313))</f>
        <v/>
      </c>
      <c r="B313" s="37"/>
      <c r="C313" s="38"/>
      <c r="D313" s="39"/>
      <c r="E313" s="37"/>
      <c r="F313" s="39"/>
      <c r="G313" s="40" t="str">
        <f aca="false">IF(OR($E313="",$F313=""),"",$E313&amp;" - RT "&amp;$F313)</f>
        <v/>
      </c>
      <c r="H313" s="37"/>
      <c r="I313" s="38"/>
      <c r="J313" s="37"/>
      <c r="K313" s="39"/>
      <c r="L313" s="41"/>
      <c r="M313" s="36" t="str">
        <f aca="true">IF(OR($B313="",$L313=""),"",DATEDIF($L313,TODAY(),"Y"))</f>
        <v/>
      </c>
      <c r="N313" s="40" t="str">
        <f aca="false">IF($M313="","",INDEX(usia_label,MATCH($M313,usia_min,1)))</f>
        <v/>
      </c>
      <c r="O313" s="37"/>
      <c r="P313" s="41"/>
      <c r="Q313" s="37"/>
      <c r="R313" s="37"/>
      <c r="S313" s="40" t="str">
        <f aca="false">IF($G313="","",$G313&amp;"#"&amp;COUNTIF($G$4:$G313,$G313))</f>
        <v/>
      </c>
      <c r="T313" s="40" t="str">
        <f aca="false">IF($B313="","",IF($C313="","NIK kosong",IF(LEN($C313)&lt;&gt;16,"NIK bukan 16 digit",IF(COUNTIF($C$4:$C$2003,$C313&amp;"*")&gt;1,"NIK ganda",IF($E313="","Kadus kosong",IF($F313="","RT kosong",IF($H313="","Jabatan kosong",IF($I313="","No. HP kosong",IF($J313="","Alamat kosong",IF(AND($M313&lt;&gt;"",$M313&lt;17),"Usia di bawah 17",""))))))))))</f>
        <v/>
      </c>
      <c r="U313" s="40" t="str">
        <f aca="false">IF($B313="","",IF(AND(OR(CARI!$C$5="",ISNUMBER(SEARCH(CARI!$C$5,$B313&amp;" "&amp;$C313&amp;" "&amp;$I313&amp;" "&amp;$J313&amp;" "&amp;$Q313))),OR(CARI!$C$6="",$E313=CARI!$C$6),OR(CARI!$C$7="",$F313=CARI!$C$7),OR(CARI!$C$8="",$O313=CARI!$C$8)),MAX($U$3:U312)+1,""))</f>
        <v/>
      </c>
      <c r="V313" s="40" t="str">
        <f aca="false">IF($T313="","",MAX($V$3:V312)+1)</f>
        <v/>
      </c>
      <c r="W313" s="40" t="str">
        <f aca="false">IF($E313="","",$E313&amp;"#"&amp;COUNTIF($E$4:$E313,$E313))</f>
        <v/>
      </c>
      <c r="X313" s="40" t="str">
        <f aca="false">IF($B313="","",IF(AND(OR(CETAK!$J$10="",$E313=CETAK!$J$10),OR(CETAK!$J$11="",$F313=CETAK!$J$11),OR(CETAK!$J$12="",$K313=CETAK!$J$12),OR(CETAK!$J$13="",$H313=CETAK!$J$13),OR(CETAK!$J$14="",$O313=CETAK!$J$14)),MAX($X$3:X312)+1,""))</f>
        <v/>
      </c>
      <c r="Y313" s="40" t="str">
        <f aca="false">IF($B313="","",IF(AND(OR(ABSENSI!$H$10="",$E313=ABSENSI!$H$10),OR(ABSENSI!$H$11="",$F313=ABSENSI!$H$11),OR(ABSENSI!$H$12="",$K313=ABSENSI!$H$12)),MAX($Y$3:Y312)+1,""))</f>
        <v/>
      </c>
      <c r="Z313" s="40" t="str">
        <f aca="false">IF($B313="","",IF(AND(OR(KARTU!$K$6="",$E313=KARTU!$K$6),OR(KARTU!$K$7="",$F313=KARTU!$K$7),OR(KARTU!$K$8="",$K313=KARTU!$K$8)),MAX($Z$3:Z312)+1,""))</f>
        <v/>
      </c>
    </row>
    <row r="314" customFormat="false" ht="15" hidden="false" customHeight="false" outlineLevel="0" collapsed="false">
      <c r="A314" s="36" t="str">
        <f aca="false">IF($B314="","",COUNTA($B$4:$B314))</f>
        <v/>
      </c>
      <c r="B314" s="37"/>
      <c r="C314" s="38"/>
      <c r="D314" s="39"/>
      <c r="E314" s="37"/>
      <c r="F314" s="39"/>
      <c r="G314" s="40" t="str">
        <f aca="false">IF(OR($E314="",$F314=""),"",$E314&amp;" - RT "&amp;$F314)</f>
        <v/>
      </c>
      <c r="H314" s="37"/>
      <c r="I314" s="38"/>
      <c r="J314" s="37"/>
      <c r="K314" s="39"/>
      <c r="L314" s="41"/>
      <c r="M314" s="36" t="str">
        <f aca="true">IF(OR($B314="",$L314=""),"",DATEDIF($L314,TODAY(),"Y"))</f>
        <v/>
      </c>
      <c r="N314" s="40" t="str">
        <f aca="false">IF($M314="","",INDEX(usia_label,MATCH($M314,usia_min,1)))</f>
        <v/>
      </c>
      <c r="O314" s="37"/>
      <c r="P314" s="41"/>
      <c r="Q314" s="37"/>
      <c r="R314" s="37"/>
      <c r="S314" s="40" t="str">
        <f aca="false">IF($G314="","",$G314&amp;"#"&amp;COUNTIF($G$4:$G314,$G314))</f>
        <v/>
      </c>
      <c r="T314" s="40" t="str">
        <f aca="false">IF($B314="","",IF($C314="","NIK kosong",IF(LEN($C314)&lt;&gt;16,"NIK bukan 16 digit",IF(COUNTIF($C$4:$C$2003,$C314&amp;"*")&gt;1,"NIK ganda",IF($E314="","Kadus kosong",IF($F314="","RT kosong",IF($H314="","Jabatan kosong",IF($I314="","No. HP kosong",IF($J314="","Alamat kosong",IF(AND($M314&lt;&gt;"",$M314&lt;17),"Usia di bawah 17",""))))))))))</f>
        <v/>
      </c>
      <c r="U314" s="40" t="str">
        <f aca="false">IF($B314="","",IF(AND(OR(CARI!$C$5="",ISNUMBER(SEARCH(CARI!$C$5,$B314&amp;" "&amp;$C314&amp;" "&amp;$I314&amp;" "&amp;$J314&amp;" "&amp;$Q314))),OR(CARI!$C$6="",$E314=CARI!$C$6),OR(CARI!$C$7="",$F314=CARI!$C$7),OR(CARI!$C$8="",$O314=CARI!$C$8)),MAX($U$3:U313)+1,""))</f>
        <v/>
      </c>
      <c r="V314" s="40" t="str">
        <f aca="false">IF($T314="","",MAX($V$3:V313)+1)</f>
        <v/>
      </c>
      <c r="W314" s="40" t="str">
        <f aca="false">IF($E314="","",$E314&amp;"#"&amp;COUNTIF($E$4:$E314,$E314))</f>
        <v/>
      </c>
      <c r="X314" s="40" t="str">
        <f aca="false">IF($B314="","",IF(AND(OR(CETAK!$J$10="",$E314=CETAK!$J$10),OR(CETAK!$J$11="",$F314=CETAK!$J$11),OR(CETAK!$J$12="",$K314=CETAK!$J$12),OR(CETAK!$J$13="",$H314=CETAK!$J$13),OR(CETAK!$J$14="",$O314=CETAK!$J$14)),MAX($X$3:X313)+1,""))</f>
        <v/>
      </c>
      <c r="Y314" s="40" t="str">
        <f aca="false">IF($B314="","",IF(AND(OR(ABSENSI!$H$10="",$E314=ABSENSI!$H$10),OR(ABSENSI!$H$11="",$F314=ABSENSI!$H$11),OR(ABSENSI!$H$12="",$K314=ABSENSI!$H$12)),MAX($Y$3:Y313)+1,""))</f>
        <v/>
      </c>
      <c r="Z314" s="40" t="str">
        <f aca="false">IF($B314="","",IF(AND(OR(KARTU!$K$6="",$E314=KARTU!$K$6),OR(KARTU!$K$7="",$F314=KARTU!$K$7),OR(KARTU!$K$8="",$K314=KARTU!$K$8)),MAX($Z$3:Z313)+1,""))</f>
        <v/>
      </c>
    </row>
    <row r="315" customFormat="false" ht="15" hidden="false" customHeight="false" outlineLevel="0" collapsed="false">
      <c r="A315" s="36" t="str">
        <f aca="false">IF($B315="","",COUNTA($B$4:$B315))</f>
        <v/>
      </c>
      <c r="B315" s="37"/>
      <c r="C315" s="38"/>
      <c r="D315" s="39"/>
      <c r="E315" s="37"/>
      <c r="F315" s="39"/>
      <c r="G315" s="40" t="str">
        <f aca="false">IF(OR($E315="",$F315=""),"",$E315&amp;" - RT "&amp;$F315)</f>
        <v/>
      </c>
      <c r="H315" s="37"/>
      <c r="I315" s="38"/>
      <c r="J315" s="37"/>
      <c r="K315" s="39"/>
      <c r="L315" s="41"/>
      <c r="M315" s="36" t="str">
        <f aca="true">IF(OR($B315="",$L315=""),"",DATEDIF($L315,TODAY(),"Y"))</f>
        <v/>
      </c>
      <c r="N315" s="40" t="str">
        <f aca="false">IF($M315="","",INDEX(usia_label,MATCH($M315,usia_min,1)))</f>
        <v/>
      </c>
      <c r="O315" s="37"/>
      <c r="P315" s="41"/>
      <c r="Q315" s="37"/>
      <c r="R315" s="37"/>
      <c r="S315" s="40" t="str">
        <f aca="false">IF($G315="","",$G315&amp;"#"&amp;COUNTIF($G$4:$G315,$G315))</f>
        <v/>
      </c>
      <c r="T315" s="40" t="str">
        <f aca="false">IF($B315="","",IF($C315="","NIK kosong",IF(LEN($C315)&lt;&gt;16,"NIK bukan 16 digit",IF(COUNTIF($C$4:$C$2003,$C315&amp;"*")&gt;1,"NIK ganda",IF($E315="","Kadus kosong",IF($F315="","RT kosong",IF($H315="","Jabatan kosong",IF($I315="","No. HP kosong",IF($J315="","Alamat kosong",IF(AND($M315&lt;&gt;"",$M315&lt;17),"Usia di bawah 17",""))))))))))</f>
        <v/>
      </c>
      <c r="U315" s="40" t="str">
        <f aca="false">IF($B315="","",IF(AND(OR(CARI!$C$5="",ISNUMBER(SEARCH(CARI!$C$5,$B315&amp;" "&amp;$C315&amp;" "&amp;$I315&amp;" "&amp;$J315&amp;" "&amp;$Q315))),OR(CARI!$C$6="",$E315=CARI!$C$6),OR(CARI!$C$7="",$F315=CARI!$C$7),OR(CARI!$C$8="",$O315=CARI!$C$8)),MAX($U$3:U314)+1,""))</f>
        <v/>
      </c>
      <c r="V315" s="40" t="str">
        <f aca="false">IF($T315="","",MAX($V$3:V314)+1)</f>
        <v/>
      </c>
      <c r="W315" s="40" t="str">
        <f aca="false">IF($E315="","",$E315&amp;"#"&amp;COUNTIF($E$4:$E315,$E315))</f>
        <v/>
      </c>
      <c r="X315" s="40" t="str">
        <f aca="false">IF($B315="","",IF(AND(OR(CETAK!$J$10="",$E315=CETAK!$J$10),OR(CETAK!$J$11="",$F315=CETAK!$J$11),OR(CETAK!$J$12="",$K315=CETAK!$J$12),OR(CETAK!$J$13="",$H315=CETAK!$J$13),OR(CETAK!$J$14="",$O315=CETAK!$J$14)),MAX($X$3:X314)+1,""))</f>
        <v/>
      </c>
      <c r="Y315" s="40" t="str">
        <f aca="false">IF($B315="","",IF(AND(OR(ABSENSI!$H$10="",$E315=ABSENSI!$H$10),OR(ABSENSI!$H$11="",$F315=ABSENSI!$H$11),OR(ABSENSI!$H$12="",$K315=ABSENSI!$H$12)),MAX($Y$3:Y314)+1,""))</f>
        <v/>
      </c>
      <c r="Z315" s="40" t="str">
        <f aca="false">IF($B315="","",IF(AND(OR(KARTU!$K$6="",$E315=KARTU!$K$6),OR(KARTU!$K$7="",$F315=KARTU!$K$7),OR(KARTU!$K$8="",$K315=KARTU!$K$8)),MAX($Z$3:Z314)+1,""))</f>
        <v/>
      </c>
    </row>
    <row r="316" customFormat="false" ht="15" hidden="false" customHeight="false" outlineLevel="0" collapsed="false">
      <c r="A316" s="36" t="str">
        <f aca="false">IF($B316="","",COUNTA($B$4:$B316))</f>
        <v/>
      </c>
      <c r="B316" s="37"/>
      <c r="C316" s="38"/>
      <c r="D316" s="39"/>
      <c r="E316" s="37"/>
      <c r="F316" s="39"/>
      <c r="G316" s="40" t="str">
        <f aca="false">IF(OR($E316="",$F316=""),"",$E316&amp;" - RT "&amp;$F316)</f>
        <v/>
      </c>
      <c r="H316" s="37"/>
      <c r="I316" s="38"/>
      <c r="J316" s="37"/>
      <c r="K316" s="39"/>
      <c r="L316" s="41"/>
      <c r="M316" s="36" t="str">
        <f aca="true">IF(OR($B316="",$L316=""),"",DATEDIF($L316,TODAY(),"Y"))</f>
        <v/>
      </c>
      <c r="N316" s="40" t="str">
        <f aca="false">IF($M316="","",INDEX(usia_label,MATCH($M316,usia_min,1)))</f>
        <v/>
      </c>
      <c r="O316" s="37"/>
      <c r="P316" s="41"/>
      <c r="Q316" s="37"/>
      <c r="R316" s="37"/>
      <c r="S316" s="40" t="str">
        <f aca="false">IF($G316="","",$G316&amp;"#"&amp;COUNTIF($G$4:$G316,$G316))</f>
        <v/>
      </c>
      <c r="T316" s="40" t="str">
        <f aca="false">IF($B316="","",IF($C316="","NIK kosong",IF(LEN($C316)&lt;&gt;16,"NIK bukan 16 digit",IF(COUNTIF($C$4:$C$2003,$C316&amp;"*")&gt;1,"NIK ganda",IF($E316="","Kadus kosong",IF($F316="","RT kosong",IF($H316="","Jabatan kosong",IF($I316="","No. HP kosong",IF($J316="","Alamat kosong",IF(AND($M316&lt;&gt;"",$M316&lt;17),"Usia di bawah 17",""))))))))))</f>
        <v/>
      </c>
      <c r="U316" s="40" t="str">
        <f aca="false">IF($B316="","",IF(AND(OR(CARI!$C$5="",ISNUMBER(SEARCH(CARI!$C$5,$B316&amp;" "&amp;$C316&amp;" "&amp;$I316&amp;" "&amp;$J316&amp;" "&amp;$Q316))),OR(CARI!$C$6="",$E316=CARI!$C$6),OR(CARI!$C$7="",$F316=CARI!$C$7),OR(CARI!$C$8="",$O316=CARI!$C$8)),MAX($U$3:U315)+1,""))</f>
        <v/>
      </c>
      <c r="V316" s="40" t="str">
        <f aca="false">IF($T316="","",MAX($V$3:V315)+1)</f>
        <v/>
      </c>
      <c r="W316" s="40" t="str">
        <f aca="false">IF($E316="","",$E316&amp;"#"&amp;COUNTIF($E$4:$E316,$E316))</f>
        <v/>
      </c>
      <c r="X316" s="40" t="str">
        <f aca="false">IF($B316="","",IF(AND(OR(CETAK!$J$10="",$E316=CETAK!$J$10),OR(CETAK!$J$11="",$F316=CETAK!$J$11),OR(CETAK!$J$12="",$K316=CETAK!$J$12),OR(CETAK!$J$13="",$H316=CETAK!$J$13),OR(CETAK!$J$14="",$O316=CETAK!$J$14)),MAX($X$3:X315)+1,""))</f>
        <v/>
      </c>
      <c r="Y316" s="40" t="str">
        <f aca="false">IF($B316="","",IF(AND(OR(ABSENSI!$H$10="",$E316=ABSENSI!$H$10),OR(ABSENSI!$H$11="",$F316=ABSENSI!$H$11),OR(ABSENSI!$H$12="",$K316=ABSENSI!$H$12)),MAX($Y$3:Y315)+1,""))</f>
        <v/>
      </c>
      <c r="Z316" s="40" t="str">
        <f aca="false">IF($B316="","",IF(AND(OR(KARTU!$K$6="",$E316=KARTU!$K$6),OR(KARTU!$K$7="",$F316=KARTU!$K$7),OR(KARTU!$K$8="",$K316=KARTU!$K$8)),MAX($Z$3:Z315)+1,""))</f>
        <v/>
      </c>
    </row>
    <row r="317" customFormat="false" ht="15" hidden="false" customHeight="false" outlineLevel="0" collapsed="false">
      <c r="A317" s="36" t="str">
        <f aca="false">IF($B317="","",COUNTA($B$4:$B317))</f>
        <v/>
      </c>
      <c r="B317" s="37"/>
      <c r="C317" s="38"/>
      <c r="D317" s="39"/>
      <c r="E317" s="37"/>
      <c r="F317" s="39"/>
      <c r="G317" s="40" t="str">
        <f aca="false">IF(OR($E317="",$F317=""),"",$E317&amp;" - RT "&amp;$F317)</f>
        <v/>
      </c>
      <c r="H317" s="37"/>
      <c r="I317" s="38"/>
      <c r="J317" s="37"/>
      <c r="K317" s="39"/>
      <c r="L317" s="41"/>
      <c r="M317" s="36" t="str">
        <f aca="true">IF(OR($B317="",$L317=""),"",DATEDIF($L317,TODAY(),"Y"))</f>
        <v/>
      </c>
      <c r="N317" s="40" t="str">
        <f aca="false">IF($M317="","",INDEX(usia_label,MATCH($M317,usia_min,1)))</f>
        <v/>
      </c>
      <c r="O317" s="37"/>
      <c r="P317" s="41"/>
      <c r="Q317" s="37"/>
      <c r="R317" s="37"/>
      <c r="S317" s="40" t="str">
        <f aca="false">IF($G317="","",$G317&amp;"#"&amp;COUNTIF($G$4:$G317,$G317))</f>
        <v/>
      </c>
      <c r="T317" s="40" t="str">
        <f aca="false">IF($B317="","",IF($C317="","NIK kosong",IF(LEN($C317)&lt;&gt;16,"NIK bukan 16 digit",IF(COUNTIF($C$4:$C$2003,$C317&amp;"*")&gt;1,"NIK ganda",IF($E317="","Kadus kosong",IF($F317="","RT kosong",IF($H317="","Jabatan kosong",IF($I317="","No. HP kosong",IF($J317="","Alamat kosong",IF(AND($M317&lt;&gt;"",$M317&lt;17),"Usia di bawah 17",""))))))))))</f>
        <v/>
      </c>
      <c r="U317" s="40" t="str">
        <f aca="false">IF($B317="","",IF(AND(OR(CARI!$C$5="",ISNUMBER(SEARCH(CARI!$C$5,$B317&amp;" "&amp;$C317&amp;" "&amp;$I317&amp;" "&amp;$J317&amp;" "&amp;$Q317))),OR(CARI!$C$6="",$E317=CARI!$C$6),OR(CARI!$C$7="",$F317=CARI!$C$7),OR(CARI!$C$8="",$O317=CARI!$C$8)),MAX($U$3:U316)+1,""))</f>
        <v/>
      </c>
      <c r="V317" s="40" t="str">
        <f aca="false">IF($T317="","",MAX($V$3:V316)+1)</f>
        <v/>
      </c>
      <c r="W317" s="40" t="str">
        <f aca="false">IF($E317="","",$E317&amp;"#"&amp;COUNTIF($E$4:$E317,$E317))</f>
        <v/>
      </c>
      <c r="X317" s="40" t="str">
        <f aca="false">IF($B317="","",IF(AND(OR(CETAK!$J$10="",$E317=CETAK!$J$10),OR(CETAK!$J$11="",$F317=CETAK!$J$11),OR(CETAK!$J$12="",$K317=CETAK!$J$12),OR(CETAK!$J$13="",$H317=CETAK!$J$13),OR(CETAK!$J$14="",$O317=CETAK!$J$14)),MAX($X$3:X316)+1,""))</f>
        <v/>
      </c>
      <c r="Y317" s="40" t="str">
        <f aca="false">IF($B317="","",IF(AND(OR(ABSENSI!$H$10="",$E317=ABSENSI!$H$10),OR(ABSENSI!$H$11="",$F317=ABSENSI!$H$11),OR(ABSENSI!$H$12="",$K317=ABSENSI!$H$12)),MAX($Y$3:Y316)+1,""))</f>
        <v/>
      </c>
      <c r="Z317" s="40" t="str">
        <f aca="false">IF($B317="","",IF(AND(OR(KARTU!$K$6="",$E317=KARTU!$K$6),OR(KARTU!$K$7="",$F317=KARTU!$K$7),OR(KARTU!$K$8="",$K317=KARTU!$K$8)),MAX($Z$3:Z316)+1,""))</f>
        <v/>
      </c>
    </row>
    <row r="318" customFormat="false" ht="15" hidden="false" customHeight="false" outlineLevel="0" collapsed="false">
      <c r="A318" s="36" t="str">
        <f aca="false">IF($B318="","",COUNTA($B$4:$B318))</f>
        <v/>
      </c>
      <c r="B318" s="37"/>
      <c r="C318" s="38"/>
      <c r="D318" s="39"/>
      <c r="E318" s="37"/>
      <c r="F318" s="39"/>
      <c r="G318" s="40" t="str">
        <f aca="false">IF(OR($E318="",$F318=""),"",$E318&amp;" - RT "&amp;$F318)</f>
        <v/>
      </c>
      <c r="H318" s="37"/>
      <c r="I318" s="38"/>
      <c r="J318" s="37"/>
      <c r="K318" s="39"/>
      <c r="L318" s="41"/>
      <c r="M318" s="36" t="str">
        <f aca="true">IF(OR($B318="",$L318=""),"",DATEDIF($L318,TODAY(),"Y"))</f>
        <v/>
      </c>
      <c r="N318" s="40" t="str">
        <f aca="false">IF($M318="","",INDEX(usia_label,MATCH($M318,usia_min,1)))</f>
        <v/>
      </c>
      <c r="O318" s="37"/>
      <c r="P318" s="41"/>
      <c r="Q318" s="37"/>
      <c r="R318" s="37"/>
      <c r="S318" s="40" t="str">
        <f aca="false">IF($G318="","",$G318&amp;"#"&amp;COUNTIF($G$4:$G318,$G318))</f>
        <v/>
      </c>
      <c r="T318" s="40" t="str">
        <f aca="false">IF($B318="","",IF($C318="","NIK kosong",IF(LEN($C318)&lt;&gt;16,"NIK bukan 16 digit",IF(COUNTIF($C$4:$C$2003,$C318&amp;"*")&gt;1,"NIK ganda",IF($E318="","Kadus kosong",IF($F318="","RT kosong",IF($H318="","Jabatan kosong",IF($I318="","No. HP kosong",IF($J318="","Alamat kosong",IF(AND($M318&lt;&gt;"",$M318&lt;17),"Usia di bawah 17",""))))))))))</f>
        <v/>
      </c>
      <c r="U318" s="40" t="str">
        <f aca="false">IF($B318="","",IF(AND(OR(CARI!$C$5="",ISNUMBER(SEARCH(CARI!$C$5,$B318&amp;" "&amp;$C318&amp;" "&amp;$I318&amp;" "&amp;$J318&amp;" "&amp;$Q318))),OR(CARI!$C$6="",$E318=CARI!$C$6),OR(CARI!$C$7="",$F318=CARI!$C$7),OR(CARI!$C$8="",$O318=CARI!$C$8)),MAX($U$3:U317)+1,""))</f>
        <v/>
      </c>
      <c r="V318" s="40" t="str">
        <f aca="false">IF($T318="","",MAX($V$3:V317)+1)</f>
        <v/>
      </c>
      <c r="W318" s="40" t="str">
        <f aca="false">IF($E318="","",$E318&amp;"#"&amp;COUNTIF($E$4:$E318,$E318))</f>
        <v/>
      </c>
      <c r="X318" s="40" t="str">
        <f aca="false">IF($B318="","",IF(AND(OR(CETAK!$J$10="",$E318=CETAK!$J$10),OR(CETAK!$J$11="",$F318=CETAK!$J$11),OR(CETAK!$J$12="",$K318=CETAK!$J$12),OR(CETAK!$J$13="",$H318=CETAK!$J$13),OR(CETAK!$J$14="",$O318=CETAK!$J$14)),MAX($X$3:X317)+1,""))</f>
        <v/>
      </c>
      <c r="Y318" s="40" t="str">
        <f aca="false">IF($B318="","",IF(AND(OR(ABSENSI!$H$10="",$E318=ABSENSI!$H$10),OR(ABSENSI!$H$11="",$F318=ABSENSI!$H$11),OR(ABSENSI!$H$12="",$K318=ABSENSI!$H$12)),MAX($Y$3:Y317)+1,""))</f>
        <v/>
      </c>
      <c r="Z318" s="40" t="str">
        <f aca="false">IF($B318="","",IF(AND(OR(KARTU!$K$6="",$E318=KARTU!$K$6),OR(KARTU!$K$7="",$F318=KARTU!$K$7),OR(KARTU!$K$8="",$K318=KARTU!$K$8)),MAX($Z$3:Z317)+1,""))</f>
        <v/>
      </c>
    </row>
    <row r="319" customFormat="false" ht="15" hidden="false" customHeight="false" outlineLevel="0" collapsed="false">
      <c r="A319" s="36" t="str">
        <f aca="false">IF($B319="","",COUNTA($B$4:$B319))</f>
        <v/>
      </c>
      <c r="B319" s="37"/>
      <c r="C319" s="38"/>
      <c r="D319" s="39"/>
      <c r="E319" s="37"/>
      <c r="F319" s="39"/>
      <c r="G319" s="40" t="str">
        <f aca="false">IF(OR($E319="",$F319=""),"",$E319&amp;" - RT "&amp;$F319)</f>
        <v/>
      </c>
      <c r="H319" s="37"/>
      <c r="I319" s="38"/>
      <c r="J319" s="37"/>
      <c r="K319" s="39"/>
      <c r="L319" s="41"/>
      <c r="M319" s="36" t="str">
        <f aca="true">IF(OR($B319="",$L319=""),"",DATEDIF($L319,TODAY(),"Y"))</f>
        <v/>
      </c>
      <c r="N319" s="40" t="str">
        <f aca="false">IF($M319="","",INDEX(usia_label,MATCH($M319,usia_min,1)))</f>
        <v/>
      </c>
      <c r="O319" s="37"/>
      <c r="P319" s="41"/>
      <c r="Q319" s="37"/>
      <c r="R319" s="37"/>
      <c r="S319" s="40" t="str">
        <f aca="false">IF($G319="","",$G319&amp;"#"&amp;COUNTIF($G$4:$G319,$G319))</f>
        <v/>
      </c>
      <c r="T319" s="40" t="str">
        <f aca="false">IF($B319="","",IF($C319="","NIK kosong",IF(LEN($C319)&lt;&gt;16,"NIK bukan 16 digit",IF(COUNTIF($C$4:$C$2003,$C319&amp;"*")&gt;1,"NIK ganda",IF($E319="","Kadus kosong",IF($F319="","RT kosong",IF($H319="","Jabatan kosong",IF($I319="","No. HP kosong",IF($J319="","Alamat kosong",IF(AND($M319&lt;&gt;"",$M319&lt;17),"Usia di bawah 17",""))))))))))</f>
        <v/>
      </c>
      <c r="U319" s="40" t="str">
        <f aca="false">IF($B319="","",IF(AND(OR(CARI!$C$5="",ISNUMBER(SEARCH(CARI!$C$5,$B319&amp;" "&amp;$C319&amp;" "&amp;$I319&amp;" "&amp;$J319&amp;" "&amp;$Q319))),OR(CARI!$C$6="",$E319=CARI!$C$6),OR(CARI!$C$7="",$F319=CARI!$C$7),OR(CARI!$C$8="",$O319=CARI!$C$8)),MAX($U$3:U318)+1,""))</f>
        <v/>
      </c>
      <c r="V319" s="40" t="str">
        <f aca="false">IF($T319="","",MAX($V$3:V318)+1)</f>
        <v/>
      </c>
      <c r="W319" s="40" t="str">
        <f aca="false">IF($E319="","",$E319&amp;"#"&amp;COUNTIF($E$4:$E319,$E319))</f>
        <v/>
      </c>
      <c r="X319" s="40" t="str">
        <f aca="false">IF($B319="","",IF(AND(OR(CETAK!$J$10="",$E319=CETAK!$J$10),OR(CETAK!$J$11="",$F319=CETAK!$J$11),OR(CETAK!$J$12="",$K319=CETAK!$J$12),OR(CETAK!$J$13="",$H319=CETAK!$J$13),OR(CETAK!$J$14="",$O319=CETAK!$J$14)),MAX($X$3:X318)+1,""))</f>
        <v/>
      </c>
      <c r="Y319" s="40" t="str">
        <f aca="false">IF($B319="","",IF(AND(OR(ABSENSI!$H$10="",$E319=ABSENSI!$H$10),OR(ABSENSI!$H$11="",$F319=ABSENSI!$H$11),OR(ABSENSI!$H$12="",$K319=ABSENSI!$H$12)),MAX($Y$3:Y318)+1,""))</f>
        <v/>
      </c>
      <c r="Z319" s="40" t="str">
        <f aca="false">IF($B319="","",IF(AND(OR(KARTU!$K$6="",$E319=KARTU!$K$6),OR(KARTU!$K$7="",$F319=KARTU!$K$7),OR(KARTU!$K$8="",$K319=KARTU!$K$8)),MAX($Z$3:Z318)+1,""))</f>
        <v/>
      </c>
    </row>
    <row r="320" customFormat="false" ht="15" hidden="false" customHeight="false" outlineLevel="0" collapsed="false">
      <c r="A320" s="36" t="str">
        <f aca="false">IF($B320="","",COUNTA($B$4:$B320))</f>
        <v/>
      </c>
      <c r="B320" s="37"/>
      <c r="C320" s="38"/>
      <c r="D320" s="39"/>
      <c r="E320" s="37"/>
      <c r="F320" s="39"/>
      <c r="G320" s="40" t="str">
        <f aca="false">IF(OR($E320="",$F320=""),"",$E320&amp;" - RT "&amp;$F320)</f>
        <v/>
      </c>
      <c r="H320" s="37"/>
      <c r="I320" s="38"/>
      <c r="J320" s="37"/>
      <c r="K320" s="39"/>
      <c r="L320" s="41"/>
      <c r="M320" s="36" t="str">
        <f aca="true">IF(OR($B320="",$L320=""),"",DATEDIF($L320,TODAY(),"Y"))</f>
        <v/>
      </c>
      <c r="N320" s="40" t="str">
        <f aca="false">IF($M320="","",INDEX(usia_label,MATCH($M320,usia_min,1)))</f>
        <v/>
      </c>
      <c r="O320" s="37"/>
      <c r="P320" s="41"/>
      <c r="Q320" s="37"/>
      <c r="R320" s="37"/>
      <c r="S320" s="40" t="str">
        <f aca="false">IF($G320="","",$G320&amp;"#"&amp;COUNTIF($G$4:$G320,$G320))</f>
        <v/>
      </c>
      <c r="T320" s="40" t="str">
        <f aca="false">IF($B320="","",IF($C320="","NIK kosong",IF(LEN($C320)&lt;&gt;16,"NIK bukan 16 digit",IF(COUNTIF($C$4:$C$2003,$C320&amp;"*")&gt;1,"NIK ganda",IF($E320="","Kadus kosong",IF($F320="","RT kosong",IF($H320="","Jabatan kosong",IF($I320="","No. HP kosong",IF($J320="","Alamat kosong",IF(AND($M320&lt;&gt;"",$M320&lt;17),"Usia di bawah 17",""))))))))))</f>
        <v/>
      </c>
      <c r="U320" s="40" t="str">
        <f aca="false">IF($B320="","",IF(AND(OR(CARI!$C$5="",ISNUMBER(SEARCH(CARI!$C$5,$B320&amp;" "&amp;$C320&amp;" "&amp;$I320&amp;" "&amp;$J320&amp;" "&amp;$Q320))),OR(CARI!$C$6="",$E320=CARI!$C$6),OR(CARI!$C$7="",$F320=CARI!$C$7),OR(CARI!$C$8="",$O320=CARI!$C$8)),MAX($U$3:U319)+1,""))</f>
        <v/>
      </c>
      <c r="V320" s="40" t="str">
        <f aca="false">IF($T320="","",MAX($V$3:V319)+1)</f>
        <v/>
      </c>
      <c r="W320" s="40" t="str">
        <f aca="false">IF($E320="","",$E320&amp;"#"&amp;COUNTIF($E$4:$E320,$E320))</f>
        <v/>
      </c>
      <c r="X320" s="40" t="str">
        <f aca="false">IF($B320="","",IF(AND(OR(CETAK!$J$10="",$E320=CETAK!$J$10),OR(CETAK!$J$11="",$F320=CETAK!$J$11),OR(CETAK!$J$12="",$K320=CETAK!$J$12),OR(CETAK!$J$13="",$H320=CETAK!$J$13),OR(CETAK!$J$14="",$O320=CETAK!$J$14)),MAX($X$3:X319)+1,""))</f>
        <v/>
      </c>
      <c r="Y320" s="40" t="str">
        <f aca="false">IF($B320="","",IF(AND(OR(ABSENSI!$H$10="",$E320=ABSENSI!$H$10),OR(ABSENSI!$H$11="",$F320=ABSENSI!$H$11),OR(ABSENSI!$H$12="",$K320=ABSENSI!$H$12)),MAX($Y$3:Y319)+1,""))</f>
        <v/>
      </c>
      <c r="Z320" s="40" t="str">
        <f aca="false">IF($B320="","",IF(AND(OR(KARTU!$K$6="",$E320=KARTU!$K$6),OR(KARTU!$K$7="",$F320=KARTU!$K$7),OR(KARTU!$K$8="",$K320=KARTU!$K$8)),MAX($Z$3:Z319)+1,""))</f>
        <v/>
      </c>
    </row>
    <row r="321" customFormat="false" ht="15" hidden="false" customHeight="false" outlineLevel="0" collapsed="false">
      <c r="A321" s="36" t="str">
        <f aca="false">IF($B321="","",COUNTA($B$4:$B321))</f>
        <v/>
      </c>
      <c r="B321" s="37"/>
      <c r="C321" s="38"/>
      <c r="D321" s="39"/>
      <c r="E321" s="37"/>
      <c r="F321" s="39"/>
      <c r="G321" s="40" t="str">
        <f aca="false">IF(OR($E321="",$F321=""),"",$E321&amp;" - RT "&amp;$F321)</f>
        <v/>
      </c>
      <c r="H321" s="37"/>
      <c r="I321" s="38"/>
      <c r="J321" s="37"/>
      <c r="K321" s="39"/>
      <c r="L321" s="41"/>
      <c r="M321" s="36" t="str">
        <f aca="true">IF(OR($B321="",$L321=""),"",DATEDIF($L321,TODAY(),"Y"))</f>
        <v/>
      </c>
      <c r="N321" s="40" t="str">
        <f aca="false">IF($M321="","",INDEX(usia_label,MATCH($M321,usia_min,1)))</f>
        <v/>
      </c>
      <c r="O321" s="37"/>
      <c r="P321" s="41"/>
      <c r="Q321" s="37"/>
      <c r="R321" s="37"/>
      <c r="S321" s="40" t="str">
        <f aca="false">IF($G321="","",$G321&amp;"#"&amp;COUNTIF($G$4:$G321,$G321))</f>
        <v/>
      </c>
      <c r="T321" s="40" t="str">
        <f aca="false">IF($B321="","",IF($C321="","NIK kosong",IF(LEN($C321)&lt;&gt;16,"NIK bukan 16 digit",IF(COUNTIF($C$4:$C$2003,$C321&amp;"*")&gt;1,"NIK ganda",IF($E321="","Kadus kosong",IF($F321="","RT kosong",IF($H321="","Jabatan kosong",IF($I321="","No. HP kosong",IF($J321="","Alamat kosong",IF(AND($M321&lt;&gt;"",$M321&lt;17),"Usia di bawah 17",""))))))))))</f>
        <v/>
      </c>
      <c r="U321" s="40" t="str">
        <f aca="false">IF($B321="","",IF(AND(OR(CARI!$C$5="",ISNUMBER(SEARCH(CARI!$C$5,$B321&amp;" "&amp;$C321&amp;" "&amp;$I321&amp;" "&amp;$J321&amp;" "&amp;$Q321))),OR(CARI!$C$6="",$E321=CARI!$C$6),OR(CARI!$C$7="",$F321=CARI!$C$7),OR(CARI!$C$8="",$O321=CARI!$C$8)),MAX($U$3:U320)+1,""))</f>
        <v/>
      </c>
      <c r="V321" s="40" t="str">
        <f aca="false">IF($T321="","",MAX($V$3:V320)+1)</f>
        <v/>
      </c>
      <c r="W321" s="40" t="str">
        <f aca="false">IF($E321="","",$E321&amp;"#"&amp;COUNTIF($E$4:$E321,$E321))</f>
        <v/>
      </c>
      <c r="X321" s="40" t="str">
        <f aca="false">IF($B321="","",IF(AND(OR(CETAK!$J$10="",$E321=CETAK!$J$10),OR(CETAK!$J$11="",$F321=CETAK!$J$11),OR(CETAK!$J$12="",$K321=CETAK!$J$12),OR(CETAK!$J$13="",$H321=CETAK!$J$13),OR(CETAK!$J$14="",$O321=CETAK!$J$14)),MAX($X$3:X320)+1,""))</f>
        <v/>
      </c>
      <c r="Y321" s="40" t="str">
        <f aca="false">IF($B321="","",IF(AND(OR(ABSENSI!$H$10="",$E321=ABSENSI!$H$10),OR(ABSENSI!$H$11="",$F321=ABSENSI!$H$11),OR(ABSENSI!$H$12="",$K321=ABSENSI!$H$12)),MAX($Y$3:Y320)+1,""))</f>
        <v/>
      </c>
      <c r="Z321" s="40" t="str">
        <f aca="false">IF($B321="","",IF(AND(OR(KARTU!$K$6="",$E321=KARTU!$K$6),OR(KARTU!$K$7="",$F321=KARTU!$K$7),OR(KARTU!$K$8="",$K321=KARTU!$K$8)),MAX($Z$3:Z320)+1,""))</f>
        <v/>
      </c>
    </row>
    <row r="322" customFormat="false" ht="15" hidden="false" customHeight="false" outlineLevel="0" collapsed="false">
      <c r="A322" s="36" t="str">
        <f aca="false">IF($B322="","",COUNTA($B$4:$B322))</f>
        <v/>
      </c>
      <c r="B322" s="37"/>
      <c r="C322" s="38"/>
      <c r="D322" s="39"/>
      <c r="E322" s="37"/>
      <c r="F322" s="39"/>
      <c r="G322" s="40" t="str">
        <f aca="false">IF(OR($E322="",$F322=""),"",$E322&amp;" - RT "&amp;$F322)</f>
        <v/>
      </c>
      <c r="H322" s="37"/>
      <c r="I322" s="38"/>
      <c r="J322" s="37"/>
      <c r="K322" s="39"/>
      <c r="L322" s="41"/>
      <c r="M322" s="36" t="str">
        <f aca="true">IF(OR($B322="",$L322=""),"",DATEDIF($L322,TODAY(),"Y"))</f>
        <v/>
      </c>
      <c r="N322" s="40" t="str">
        <f aca="false">IF($M322="","",INDEX(usia_label,MATCH($M322,usia_min,1)))</f>
        <v/>
      </c>
      <c r="O322" s="37"/>
      <c r="P322" s="41"/>
      <c r="Q322" s="37"/>
      <c r="R322" s="37"/>
      <c r="S322" s="40" t="str">
        <f aca="false">IF($G322="","",$G322&amp;"#"&amp;COUNTIF($G$4:$G322,$G322))</f>
        <v/>
      </c>
      <c r="T322" s="40" t="str">
        <f aca="false">IF($B322="","",IF($C322="","NIK kosong",IF(LEN($C322)&lt;&gt;16,"NIK bukan 16 digit",IF(COUNTIF($C$4:$C$2003,$C322&amp;"*")&gt;1,"NIK ganda",IF($E322="","Kadus kosong",IF($F322="","RT kosong",IF($H322="","Jabatan kosong",IF($I322="","No. HP kosong",IF($J322="","Alamat kosong",IF(AND($M322&lt;&gt;"",$M322&lt;17),"Usia di bawah 17",""))))))))))</f>
        <v/>
      </c>
      <c r="U322" s="40" t="str">
        <f aca="false">IF($B322="","",IF(AND(OR(CARI!$C$5="",ISNUMBER(SEARCH(CARI!$C$5,$B322&amp;" "&amp;$C322&amp;" "&amp;$I322&amp;" "&amp;$J322&amp;" "&amp;$Q322))),OR(CARI!$C$6="",$E322=CARI!$C$6),OR(CARI!$C$7="",$F322=CARI!$C$7),OR(CARI!$C$8="",$O322=CARI!$C$8)),MAX($U$3:U321)+1,""))</f>
        <v/>
      </c>
      <c r="V322" s="40" t="str">
        <f aca="false">IF($T322="","",MAX($V$3:V321)+1)</f>
        <v/>
      </c>
      <c r="W322" s="40" t="str">
        <f aca="false">IF($E322="","",$E322&amp;"#"&amp;COUNTIF($E$4:$E322,$E322))</f>
        <v/>
      </c>
      <c r="X322" s="40" t="str">
        <f aca="false">IF($B322="","",IF(AND(OR(CETAK!$J$10="",$E322=CETAK!$J$10),OR(CETAK!$J$11="",$F322=CETAK!$J$11),OR(CETAK!$J$12="",$K322=CETAK!$J$12),OR(CETAK!$J$13="",$H322=CETAK!$J$13),OR(CETAK!$J$14="",$O322=CETAK!$J$14)),MAX($X$3:X321)+1,""))</f>
        <v/>
      </c>
      <c r="Y322" s="40" t="str">
        <f aca="false">IF($B322="","",IF(AND(OR(ABSENSI!$H$10="",$E322=ABSENSI!$H$10),OR(ABSENSI!$H$11="",$F322=ABSENSI!$H$11),OR(ABSENSI!$H$12="",$K322=ABSENSI!$H$12)),MAX($Y$3:Y321)+1,""))</f>
        <v/>
      </c>
      <c r="Z322" s="40" t="str">
        <f aca="false">IF($B322="","",IF(AND(OR(KARTU!$K$6="",$E322=KARTU!$K$6),OR(KARTU!$K$7="",$F322=KARTU!$K$7),OR(KARTU!$K$8="",$K322=KARTU!$K$8)),MAX($Z$3:Z321)+1,""))</f>
        <v/>
      </c>
    </row>
    <row r="323" customFormat="false" ht="15" hidden="false" customHeight="false" outlineLevel="0" collapsed="false">
      <c r="A323" s="36" t="str">
        <f aca="false">IF($B323="","",COUNTA($B$4:$B323))</f>
        <v/>
      </c>
      <c r="B323" s="37"/>
      <c r="C323" s="38"/>
      <c r="D323" s="39"/>
      <c r="E323" s="37"/>
      <c r="F323" s="39"/>
      <c r="G323" s="40" t="str">
        <f aca="false">IF(OR($E323="",$F323=""),"",$E323&amp;" - RT "&amp;$F323)</f>
        <v/>
      </c>
      <c r="H323" s="37"/>
      <c r="I323" s="38"/>
      <c r="J323" s="37"/>
      <c r="K323" s="39"/>
      <c r="L323" s="41"/>
      <c r="M323" s="36" t="str">
        <f aca="true">IF(OR($B323="",$L323=""),"",DATEDIF($L323,TODAY(),"Y"))</f>
        <v/>
      </c>
      <c r="N323" s="40" t="str">
        <f aca="false">IF($M323="","",INDEX(usia_label,MATCH($M323,usia_min,1)))</f>
        <v/>
      </c>
      <c r="O323" s="37"/>
      <c r="P323" s="41"/>
      <c r="Q323" s="37"/>
      <c r="R323" s="37"/>
      <c r="S323" s="40" t="str">
        <f aca="false">IF($G323="","",$G323&amp;"#"&amp;COUNTIF($G$4:$G323,$G323))</f>
        <v/>
      </c>
      <c r="T323" s="40" t="str">
        <f aca="false">IF($B323="","",IF($C323="","NIK kosong",IF(LEN($C323)&lt;&gt;16,"NIK bukan 16 digit",IF(COUNTIF($C$4:$C$2003,$C323&amp;"*")&gt;1,"NIK ganda",IF($E323="","Kadus kosong",IF($F323="","RT kosong",IF($H323="","Jabatan kosong",IF($I323="","No. HP kosong",IF($J323="","Alamat kosong",IF(AND($M323&lt;&gt;"",$M323&lt;17),"Usia di bawah 17",""))))))))))</f>
        <v/>
      </c>
      <c r="U323" s="40" t="str">
        <f aca="false">IF($B323="","",IF(AND(OR(CARI!$C$5="",ISNUMBER(SEARCH(CARI!$C$5,$B323&amp;" "&amp;$C323&amp;" "&amp;$I323&amp;" "&amp;$J323&amp;" "&amp;$Q323))),OR(CARI!$C$6="",$E323=CARI!$C$6),OR(CARI!$C$7="",$F323=CARI!$C$7),OR(CARI!$C$8="",$O323=CARI!$C$8)),MAX($U$3:U322)+1,""))</f>
        <v/>
      </c>
      <c r="V323" s="40" t="str">
        <f aca="false">IF($T323="","",MAX($V$3:V322)+1)</f>
        <v/>
      </c>
      <c r="W323" s="40" t="str">
        <f aca="false">IF($E323="","",$E323&amp;"#"&amp;COUNTIF($E$4:$E323,$E323))</f>
        <v/>
      </c>
      <c r="X323" s="40" t="str">
        <f aca="false">IF($B323="","",IF(AND(OR(CETAK!$J$10="",$E323=CETAK!$J$10),OR(CETAK!$J$11="",$F323=CETAK!$J$11),OR(CETAK!$J$12="",$K323=CETAK!$J$12),OR(CETAK!$J$13="",$H323=CETAK!$J$13),OR(CETAK!$J$14="",$O323=CETAK!$J$14)),MAX($X$3:X322)+1,""))</f>
        <v/>
      </c>
      <c r="Y323" s="40" t="str">
        <f aca="false">IF($B323="","",IF(AND(OR(ABSENSI!$H$10="",$E323=ABSENSI!$H$10),OR(ABSENSI!$H$11="",$F323=ABSENSI!$H$11),OR(ABSENSI!$H$12="",$K323=ABSENSI!$H$12)),MAX($Y$3:Y322)+1,""))</f>
        <v/>
      </c>
      <c r="Z323" s="40" t="str">
        <f aca="false">IF($B323="","",IF(AND(OR(KARTU!$K$6="",$E323=KARTU!$K$6),OR(KARTU!$K$7="",$F323=KARTU!$K$7),OR(KARTU!$K$8="",$K323=KARTU!$K$8)),MAX($Z$3:Z322)+1,""))</f>
        <v/>
      </c>
    </row>
    <row r="324" customFormat="false" ht="15" hidden="false" customHeight="false" outlineLevel="0" collapsed="false">
      <c r="A324" s="36" t="str">
        <f aca="false">IF($B324="","",COUNTA($B$4:$B324))</f>
        <v/>
      </c>
      <c r="B324" s="37"/>
      <c r="C324" s="38"/>
      <c r="D324" s="39"/>
      <c r="E324" s="37"/>
      <c r="F324" s="39"/>
      <c r="G324" s="40" t="str">
        <f aca="false">IF(OR($E324="",$F324=""),"",$E324&amp;" - RT "&amp;$F324)</f>
        <v/>
      </c>
      <c r="H324" s="37"/>
      <c r="I324" s="38"/>
      <c r="J324" s="37"/>
      <c r="K324" s="39"/>
      <c r="L324" s="41"/>
      <c r="M324" s="36" t="str">
        <f aca="true">IF(OR($B324="",$L324=""),"",DATEDIF($L324,TODAY(),"Y"))</f>
        <v/>
      </c>
      <c r="N324" s="40" t="str">
        <f aca="false">IF($M324="","",INDEX(usia_label,MATCH($M324,usia_min,1)))</f>
        <v/>
      </c>
      <c r="O324" s="37"/>
      <c r="P324" s="41"/>
      <c r="Q324" s="37"/>
      <c r="R324" s="37"/>
      <c r="S324" s="40" t="str">
        <f aca="false">IF($G324="","",$G324&amp;"#"&amp;COUNTIF($G$4:$G324,$G324))</f>
        <v/>
      </c>
      <c r="T324" s="40" t="str">
        <f aca="false">IF($B324="","",IF($C324="","NIK kosong",IF(LEN($C324)&lt;&gt;16,"NIK bukan 16 digit",IF(COUNTIF($C$4:$C$2003,$C324&amp;"*")&gt;1,"NIK ganda",IF($E324="","Kadus kosong",IF($F324="","RT kosong",IF($H324="","Jabatan kosong",IF($I324="","No. HP kosong",IF($J324="","Alamat kosong",IF(AND($M324&lt;&gt;"",$M324&lt;17),"Usia di bawah 17",""))))))))))</f>
        <v/>
      </c>
      <c r="U324" s="40" t="str">
        <f aca="false">IF($B324="","",IF(AND(OR(CARI!$C$5="",ISNUMBER(SEARCH(CARI!$C$5,$B324&amp;" "&amp;$C324&amp;" "&amp;$I324&amp;" "&amp;$J324&amp;" "&amp;$Q324))),OR(CARI!$C$6="",$E324=CARI!$C$6),OR(CARI!$C$7="",$F324=CARI!$C$7),OR(CARI!$C$8="",$O324=CARI!$C$8)),MAX($U$3:U323)+1,""))</f>
        <v/>
      </c>
      <c r="V324" s="40" t="str">
        <f aca="false">IF($T324="","",MAX($V$3:V323)+1)</f>
        <v/>
      </c>
      <c r="W324" s="40" t="str">
        <f aca="false">IF($E324="","",$E324&amp;"#"&amp;COUNTIF($E$4:$E324,$E324))</f>
        <v/>
      </c>
      <c r="X324" s="40" t="str">
        <f aca="false">IF($B324="","",IF(AND(OR(CETAK!$J$10="",$E324=CETAK!$J$10),OR(CETAK!$J$11="",$F324=CETAK!$J$11),OR(CETAK!$J$12="",$K324=CETAK!$J$12),OR(CETAK!$J$13="",$H324=CETAK!$J$13),OR(CETAK!$J$14="",$O324=CETAK!$J$14)),MAX($X$3:X323)+1,""))</f>
        <v/>
      </c>
      <c r="Y324" s="40" t="str">
        <f aca="false">IF($B324="","",IF(AND(OR(ABSENSI!$H$10="",$E324=ABSENSI!$H$10),OR(ABSENSI!$H$11="",$F324=ABSENSI!$H$11),OR(ABSENSI!$H$12="",$K324=ABSENSI!$H$12)),MAX($Y$3:Y323)+1,""))</f>
        <v/>
      </c>
      <c r="Z324" s="40" t="str">
        <f aca="false">IF($B324="","",IF(AND(OR(KARTU!$K$6="",$E324=KARTU!$K$6),OR(KARTU!$K$7="",$F324=KARTU!$K$7),OR(KARTU!$K$8="",$K324=KARTU!$K$8)),MAX($Z$3:Z323)+1,""))</f>
        <v/>
      </c>
    </row>
    <row r="325" customFormat="false" ht="15" hidden="false" customHeight="false" outlineLevel="0" collapsed="false">
      <c r="A325" s="36" t="str">
        <f aca="false">IF($B325="","",COUNTA($B$4:$B325))</f>
        <v/>
      </c>
      <c r="B325" s="37"/>
      <c r="C325" s="38"/>
      <c r="D325" s="39"/>
      <c r="E325" s="37"/>
      <c r="F325" s="39"/>
      <c r="G325" s="40" t="str">
        <f aca="false">IF(OR($E325="",$F325=""),"",$E325&amp;" - RT "&amp;$F325)</f>
        <v/>
      </c>
      <c r="H325" s="37"/>
      <c r="I325" s="38"/>
      <c r="J325" s="37"/>
      <c r="K325" s="39"/>
      <c r="L325" s="41"/>
      <c r="M325" s="36" t="str">
        <f aca="true">IF(OR($B325="",$L325=""),"",DATEDIF($L325,TODAY(),"Y"))</f>
        <v/>
      </c>
      <c r="N325" s="40" t="str">
        <f aca="false">IF($M325="","",INDEX(usia_label,MATCH($M325,usia_min,1)))</f>
        <v/>
      </c>
      <c r="O325" s="37"/>
      <c r="P325" s="41"/>
      <c r="Q325" s="37"/>
      <c r="R325" s="37"/>
      <c r="S325" s="40" t="str">
        <f aca="false">IF($G325="","",$G325&amp;"#"&amp;COUNTIF($G$4:$G325,$G325))</f>
        <v/>
      </c>
      <c r="T325" s="40" t="str">
        <f aca="false">IF($B325="","",IF($C325="","NIK kosong",IF(LEN($C325)&lt;&gt;16,"NIK bukan 16 digit",IF(COUNTIF($C$4:$C$2003,$C325&amp;"*")&gt;1,"NIK ganda",IF($E325="","Kadus kosong",IF($F325="","RT kosong",IF($H325="","Jabatan kosong",IF($I325="","No. HP kosong",IF($J325="","Alamat kosong",IF(AND($M325&lt;&gt;"",$M325&lt;17),"Usia di bawah 17",""))))))))))</f>
        <v/>
      </c>
      <c r="U325" s="40" t="str">
        <f aca="false">IF($B325="","",IF(AND(OR(CARI!$C$5="",ISNUMBER(SEARCH(CARI!$C$5,$B325&amp;" "&amp;$C325&amp;" "&amp;$I325&amp;" "&amp;$J325&amp;" "&amp;$Q325))),OR(CARI!$C$6="",$E325=CARI!$C$6),OR(CARI!$C$7="",$F325=CARI!$C$7),OR(CARI!$C$8="",$O325=CARI!$C$8)),MAX($U$3:U324)+1,""))</f>
        <v/>
      </c>
      <c r="V325" s="40" t="str">
        <f aca="false">IF($T325="","",MAX($V$3:V324)+1)</f>
        <v/>
      </c>
      <c r="W325" s="40" t="str">
        <f aca="false">IF($E325="","",$E325&amp;"#"&amp;COUNTIF($E$4:$E325,$E325))</f>
        <v/>
      </c>
      <c r="X325" s="40" t="str">
        <f aca="false">IF($B325="","",IF(AND(OR(CETAK!$J$10="",$E325=CETAK!$J$10),OR(CETAK!$J$11="",$F325=CETAK!$J$11),OR(CETAK!$J$12="",$K325=CETAK!$J$12),OR(CETAK!$J$13="",$H325=CETAK!$J$13),OR(CETAK!$J$14="",$O325=CETAK!$J$14)),MAX($X$3:X324)+1,""))</f>
        <v/>
      </c>
      <c r="Y325" s="40" t="str">
        <f aca="false">IF($B325="","",IF(AND(OR(ABSENSI!$H$10="",$E325=ABSENSI!$H$10),OR(ABSENSI!$H$11="",$F325=ABSENSI!$H$11),OR(ABSENSI!$H$12="",$K325=ABSENSI!$H$12)),MAX($Y$3:Y324)+1,""))</f>
        <v/>
      </c>
      <c r="Z325" s="40" t="str">
        <f aca="false">IF($B325="","",IF(AND(OR(KARTU!$K$6="",$E325=KARTU!$K$6),OR(KARTU!$K$7="",$F325=KARTU!$K$7),OR(KARTU!$K$8="",$K325=KARTU!$K$8)),MAX($Z$3:Z324)+1,""))</f>
        <v/>
      </c>
    </row>
    <row r="326" customFormat="false" ht="15" hidden="false" customHeight="false" outlineLevel="0" collapsed="false">
      <c r="A326" s="36" t="str">
        <f aca="false">IF($B326="","",COUNTA($B$4:$B326))</f>
        <v/>
      </c>
      <c r="B326" s="37"/>
      <c r="C326" s="38"/>
      <c r="D326" s="39"/>
      <c r="E326" s="37"/>
      <c r="F326" s="39"/>
      <c r="G326" s="40" t="str">
        <f aca="false">IF(OR($E326="",$F326=""),"",$E326&amp;" - RT "&amp;$F326)</f>
        <v/>
      </c>
      <c r="H326" s="37"/>
      <c r="I326" s="38"/>
      <c r="J326" s="37"/>
      <c r="K326" s="39"/>
      <c r="L326" s="41"/>
      <c r="M326" s="36" t="str">
        <f aca="true">IF(OR($B326="",$L326=""),"",DATEDIF($L326,TODAY(),"Y"))</f>
        <v/>
      </c>
      <c r="N326" s="40" t="str">
        <f aca="false">IF($M326="","",INDEX(usia_label,MATCH($M326,usia_min,1)))</f>
        <v/>
      </c>
      <c r="O326" s="37"/>
      <c r="P326" s="41"/>
      <c r="Q326" s="37"/>
      <c r="R326" s="37"/>
      <c r="S326" s="40" t="str">
        <f aca="false">IF($G326="","",$G326&amp;"#"&amp;COUNTIF($G$4:$G326,$G326))</f>
        <v/>
      </c>
      <c r="T326" s="40" t="str">
        <f aca="false">IF($B326="","",IF($C326="","NIK kosong",IF(LEN($C326)&lt;&gt;16,"NIK bukan 16 digit",IF(COUNTIF($C$4:$C$2003,$C326&amp;"*")&gt;1,"NIK ganda",IF($E326="","Kadus kosong",IF($F326="","RT kosong",IF($H326="","Jabatan kosong",IF($I326="","No. HP kosong",IF($J326="","Alamat kosong",IF(AND($M326&lt;&gt;"",$M326&lt;17),"Usia di bawah 17",""))))))))))</f>
        <v/>
      </c>
      <c r="U326" s="40" t="str">
        <f aca="false">IF($B326="","",IF(AND(OR(CARI!$C$5="",ISNUMBER(SEARCH(CARI!$C$5,$B326&amp;" "&amp;$C326&amp;" "&amp;$I326&amp;" "&amp;$J326&amp;" "&amp;$Q326))),OR(CARI!$C$6="",$E326=CARI!$C$6),OR(CARI!$C$7="",$F326=CARI!$C$7),OR(CARI!$C$8="",$O326=CARI!$C$8)),MAX($U$3:U325)+1,""))</f>
        <v/>
      </c>
      <c r="V326" s="40" t="str">
        <f aca="false">IF($T326="","",MAX($V$3:V325)+1)</f>
        <v/>
      </c>
      <c r="W326" s="40" t="str">
        <f aca="false">IF($E326="","",$E326&amp;"#"&amp;COUNTIF($E$4:$E326,$E326))</f>
        <v/>
      </c>
      <c r="X326" s="40" t="str">
        <f aca="false">IF($B326="","",IF(AND(OR(CETAK!$J$10="",$E326=CETAK!$J$10),OR(CETAK!$J$11="",$F326=CETAK!$J$11),OR(CETAK!$J$12="",$K326=CETAK!$J$12),OR(CETAK!$J$13="",$H326=CETAK!$J$13),OR(CETAK!$J$14="",$O326=CETAK!$J$14)),MAX($X$3:X325)+1,""))</f>
        <v/>
      </c>
      <c r="Y326" s="40" t="str">
        <f aca="false">IF($B326="","",IF(AND(OR(ABSENSI!$H$10="",$E326=ABSENSI!$H$10),OR(ABSENSI!$H$11="",$F326=ABSENSI!$H$11),OR(ABSENSI!$H$12="",$K326=ABSENSI!$H$12)),MAX($Y$3:Y325)+1,""))</f>
        <v/>
      </c>
      <c r="Z326" s="40" t="str">
        <f aca="false">IF($B326="","",IF(AND(OR(KARTU!$K$6="",$E326=KARTU!$K$6),OR(KARTU!$K$7="",$F326=KARTU!$K$7),OR(KARTU!$K$8="",$K326=KARTU!$K$8)),MAX($Z$3:Z325)+1,""))</f>
        <v/>
      </c>
    </row>
    <row r="327" customFormat="false" ht="15" hidden="false" customHeight="false" outlineLevel="0" collapsed="false">
      <c r="A327" s="36" t="str">
        <f aca="false">IF($B327="","",COUNTA($B$4:$B327))</f>
        <v/>
      </c>
      <c r="B327" s="37"/>
      <c r="C327" s="38"/>
      <c r="D327" s="39"/>
      <c r="E327" s="37"/>
      <c r="F327" s="39"/>
      <c r="G327" s="40" t="str">
        <f aca="false">IF(OR($E327="",$F327=""),"",$E327&amp;" - RT "&amp;$F327)</f>
        <v/>
      </c>
      <c r="H327" s="37"/>
      <c r="I327" s="38"/>
      <c r="J327" s="37"/>
      <c r="K327" s="39"/>
      <c r="L327" s="41"/>
      <c r="M327" s="36" t="str">
        <f aca="true">IF(OR($B327="",$L327=""),"",DATEDIF($L327,TODAY(),"Y"))</f>
        <v/>
      </c>
      <c r="N327" s="40" t="str">
        <f aca="false">IF($M327="","",INDEX(usia_label,MATCH($M327,usia_min,1)))</f>
        <v/>
      </c>
      <c r="O327" s="37"/>
      <c r="P327" s="41"/>
      <c r="Q327" s="37"/>
      <c r="R327" s="37"/>
      <c r="S327" s="40" t="str">
        <f aca="false">IF($G327="","",$G327&amp;"#"&amp;COUNTIF($G$4:$G327,$G327))</f>
        <v/>
      </c>
      <c r="T327" s="40" t="str">
        <f aca="false">IF($B327="","",IF($C327="","NIK kosong",IF(LEN($C327)&lt;&gt;16,"NIK bukan 16 digit",IF(COUNTIF($C$4:$C$2003,$C327&amp;"*")&gt;1,"NIK ganda",IF($E327="","Kadus kosong",IF($F327="","RT kosong",IF($H327="","Jabatan kosong",IF($I327="","No. HP kosong",IF($J327="","Alamat kosong",IF(AND($M327&lt;&gt;"",$M327&lt;17),"Usia di bawah 17",""))))))))))</f>
        <v/>
      </c>
      <c r="U327" s="40" t="str">
        <f aca="false">IF($B327="","",IF(AND(OR(CARI!$C$5="",ISNUMBER(SEARCH(CARI!$C$5,$B327&amp;" "&amp;$C327&amp;" "&amp;$I327&amp;" "&amp;$J327&amp;" "&amp;$Q327))),OR(CARI!$C$6="",$E327=CARI!$C$6),OR(CARI!$C$7="",$F327=CARI!$C$7),OR(CARI!$C$8="",$O327=CARI!$C$8)),MAX($U$3:U326)+1,""))</f>
        <v/>
      </c>
      <c r="V327" s="40" t="str">
        <f aca="false">IF($T327="","",MAX($V$3:V326)+1)</f>
        <v/>
      </c>
      <c r="W327" s="40" t="str">
        <f aca="false">IF($E327="","",$E327&amp;"#"&amp;COUNTIF($E$4:$E327,$E327))</f>
        <v/>
      </c>
      <c r="X327" s="40" t="str">
        <f aca="false">IF($B327="","",IF(AND(OR(CETAK!$J$10="",$E327=CETAK!$J$10),OR(CETAK!$J$11="",$F327=CETAK!$J$11),OR(CETAK!$J$12="",$K327=CETAK!$J$12),OR(CETAK!$J$13="",$H327=CETAK!$J$13),OR(CETAK!$J$14="",$O327=CETAK!$J$14)),MAX($X$3:X326)+1,""))</f>
        <v/>
      </c>
      <c r="Y327" s="40" t="str">
        <f aca="false">IF($B327="","",IF(AND(OR(ABSENSI!$H$10="",$E327=ABSENSI!$H$10),OR(ABSENSI!$H$11="",$F327=ABSENSI!$H$11),OR(ABSENSI!$H$12="",$K327=ABSENSI!$H$12)),MAX($Y$3:Y326)+1,""))</f>
        <v/>
      </c>
      <c r="Z327" s="40" t="str">
        <f aca="false">IF($B327="","",IF(AND(OR(KARTU!$K$6="",$E327=KARTU!$K$6),OR(KARTU!$K$7="",$F327=KARTU!$K$7),OR(KARTU!$K$8="",$K327=KARTU!$K$8)),MAX($Z$3:Z326)+1,""))</f>
        <v/>
      </c>
    </row>
    <row r="328" customFormat="false" ht="15" hidden="false" customHeight="false" outlineLevel="0" collapsed="false">
      <c r="A328" s="36" t="str">
        <f aca="false">IF($B328="","",COUNTA($B$4:$B328))</f>
        <v/>
      </c>
      <c r="B328" s="37"/>
      <c r="C328" s="38"/>
      <c r="D328" s="39"/>
      <c r="E328" s="37"/>
      <c r="F328" s="39"/>
      <c r="G328" s="40" t="str">
        <f aca="false">IF(OR($E328="",$F328=""),"",$E328&amp;" - RT "&amp;$F328)</f>
        <v/>
      </c>
      <c r="H328" s="37"/>
      <c r="I328" s="38"/>
      <c r="J328" s="37"/>
      <c r="K328" s="39"/>
      <c r="L328" s="41"/>
      <c r="M328" s="36" t="str">
        <f aca="true">IF(OR($B328="",$L328=""),"",DATEDIF($L328,TODAY(),"Y"))</f>
        <v/>
      </c>
      <c r="N328" s="40" t="str">
        <f aca="false">IF($M328="","",INDEX(usia_label,MATCH($M328,usia_min,1)))</f>
        <v/>
      </c>
      <c r="O328" s="37"/>
      <c r="P328" s="41"/>
      <c r="Q328" s="37"/>
      <c r="R328" s="37"/>
      <c r="S328" s="40" t="str">
        <f aca="false">IF($G328="","",$G328&amp;"#"&amp;COUNTIF($G$4:$G328,$G328))</f>
        <v/>
      </c>
      <c r="T328" s="40" t="str">
        <f aca="false">IF($B328="","",IF($C328="","NIK kosong",IF(LEN($C328)&lt;&gt;16,"NIK bukan 16 digit",IF(COUNTIF($C$4:$C$2003,$C328&amp;"*")&gt;1,"NIK ganda",IF($E328="","Kadus kosong",IF($F328="","RT kosong",IF($H328="","Jabatan kosong",IF($I328="","No. HP kosong",IF($J328="","Alamat kosong",IF(AND($M328&lt;&gt;"",$M328&lt;17),"Usia di bawah 17",""))))))))))</f>
        <v/>
      </c>
      <c r="U328" s="40" t="str">
        <f aca="false">IF($B328="","",IF(AND(OR(CARI!$C$5="",ISNUMBER(SEARCH(CARI!$C$5,$B328&amp;" "&amp;$C328&amp;" "&amp;$I328&amp;" "&amp;$J328&amp;" "&amp;$Q328))),OR(CARI!$C$6="",$E328=CARI!$C$6),OR(CARI!$C$7="",$F328=CARI!$C$7),OR(CARI!$C$8="",$O328=CARI!$C$8)),MAX($U$3:U327)+1,""))</f>
        <v/>
      </c>
      <c r="V328" s="40" t="str">
        <f aca="false">IF($T328="","",MAX($V$3:V327)+1)</f>
        <v/>
      </c>
      <c r="W328" s="40" t="str">
        <f aca="false">IF($E328="","",$E328&amp;"#"&amp;COUNTIF($E$4:$E328,$E328))</f>
        <v/>
      </c>
      <c r="X328" s="40" t="str">
        <f aca="false">IF($B328="","",IF(AND(OR(CETAK!$J$10="",$E328=CETAK!$J$10),OR(CETAK!$J$11="",$F328=CETAK!$J$11),OR(CETAK!$J$12="",$K328=CETAK!$J$12),OR(CETAK!$J$13="",$H328=CETAK!$J$13),OR(CETAK!$J$14="",$O328=CETAK!$J$14)),MAX($X$3:X327)+1,""))</f>
        <v/>
      </c>
      <c r="Y328" s="40" t="str">
        <f aca="false">IF($B328="","",IF(AND(OR(ABSENSI!$H$10="",$E328=ABSENSI!$H$10),OR(ABSENSI!$H$11="",$F328=ABSENSI!$H$11),OR(ABSENSI!$H$12="",$K328=ABSENSI!$H$12)),MAX($Y$3:Y327)+1,""))</f>
        <v/>
      </c>
      <c r="Z328" s="40" t="str">
        <f aca="false">IF($B328="","",IF(AND(OR(KARTU!$K$6="",$E328=KARTU!$K$6),OR(KARTU!$K$7="",$F328=KARTU!$K$7),OR(KARTU!$K$8="",$K328=KARTU!$K$8)),MAX($Z$3:Z327)+1,""))</f>
        <v/>
      </c>
    </row>
    <row r="329" customFormat="false" ht="15" hidden="false" customHeight="false" outlineLevel="0" collapsed="false">
      <c r="A329" s="36" t="str">
        <f aca="false">IF($B329="","",COUNTA($B$4:$B329))</f>
        <v/>
      </c>
      <c r="B329" s="37"/>
      <c r="C329" s="38"/>
      <c r="D329" s="39"/>
      <c r="E329" s="37"/>
      <c r="F329" s="39"/>
      <c r="G329" s="40" t="str">
        <f aca="false">IF(OR($E329="",$F329=""),"",$E329&amp;" - RT "&amp;$F329)</f>
        <v/>
      </c>
      <c r="H329" s="37"/>
      <c r="I329" s="38"/>
      <c r="J329" s="37"/>
      <c r="K329" s="39"/>
      <c r="L329" s="41"/>
      <c r="M329" s="36" t="str">
        <f aca="true">IF(OR($B329="",$L329=""),"",DATEDIF($L329,TODAY(),"Y"))</f>
        <v/>
      </c>
      <c r="N329" s="40" t="str">
        <f aca="false">IF($M329="","",INDEX(usia_label,MATCH($M329,usia_min,1)))</f>
        <v/>
      </c>
      <c r="O329" s="37"/>
      <c r="P329" s="41"/>
      <c r="Q329" s="37"/>
      <c r="R329" s="37"/>
      <c r="S329" s="40" t="str">
        <f aca="false">IF($G329="","",$G329&amp;"#"&amp;COUNTIF($G$4:$G329,$G329))</f>
        <v/>
      </c>
      <c r="T329" s="40" t="str">
        <f aca="false">IF($B329="","",IF($C329="","NIK kosong",IF(LEN($C329)&lt;&gt;16,"NIK bukan 16 digit",IF(COUNTIF($C$4:$C$2003,$C329&amp;"*")&gt;1,"NIK ganda",IF($E329="","Kadus kosong",IF($F329="","RT kosong",IF($H329="","Jabatan kosong",IF($I329="","No. HP kosong",IF($J329="","Alamat kosong",IF(AND($M329&lt;&gt;"",$M329&lt;17),"Usia di bawah 17",""))))))))))</f>
        <v/>
      </c>
      <c r="U329" s="40" t="str">
        <f aca="false">IF($B329="","",IF(AND(OR(CARI!$C$5="",ISNUMBER(SEARCH(CARI!$C$5,$B329&amp;" "&amp;$C329&amp;" "&amp;$I329&amp;" "&amp;$J329&amp;" "&amp;$Q329))),OR(CARI!$C$6="",$E329=CARI!$C$6),OR(CARI!$C$7="",$F329=CARI!$C$7),OR(CARI!$C$8="",$O329=CARI!$C$8)),MAX($U$3:U328)+1,""))</f>
        <v/>
      </c>
      <c r="V329" s="40" t="str">
        <f aca="false">IF($T329="","",MAX($V$3:V328)+1)</f>
        <v/>
      </c>
      <c r="W329" s="40" t="str">
        <f aca="false">IF($E329="","",$E329&amp;"#"&amp;COUNTIF($E$4:$E329,$E329))</f>
        <v/>
      </c>
      <c r="X329" s="40" t="str">
        <f aca="false">IF($B329="","",IF(AND(OR(CETAK!$J$10="",$E329=CETAK!$J$10),OR(CETAK!$J$11="",$F329=CETAK!$J$11),OR(CETAK!$J$12="",$K329=CETAK!$J$12),OR(CETAK!$J$13="",$H329=CETAK!$J$13),OR(CETAK!$J$14="",$O329=CETAK!$J$14)),MAX($X$3:X328)+1,""))</f>
        <v/>
      </c>
      <c r="Y329" s="40" t="str">
        <f aca="false">IF($B329="","",IF(AND(OR(ABSENSI!$H$10="",$E329=ABSENSI!$H$10),OR(ABSENSI!$H$11="",$F329=ABSENSI!$H$11),OR(ABSENSI!$H$12="",$K329=ABSENSI!$H$12)),MAX($Y$3:Y328)+1,""))</f>
        <v/>
      </c>
      <c r="Z329" s="40" t="str">
        <f aca="false">IF($B329="","",IF(AND(OR(KARTU!$K$6="",$E329=KARTU!$K$6),OR(KARTU!$K$7="",$F329=KARTU!$K$7),OR(KARTU!$K$8="",$K329=KARTU!$K$8)),MAX($Z$3:Z328)+1,""))</f>
        <v/>
      </c>
    </row>
    <row r="330" customFormat="false" ht="15" hidden="false" customHeight="false" outlineLevel="0" collapsed="false">
      <c r="A330" s="36" t="str">
        <f aca="false">IF($B330="","",COUNTA($B$4:$B330))</f>
        <v/>
      </c>
      <c r="B330" s="37"/>
      <c r="C330" s="38"/>
      <c r="D330" s="39"/>
      <c r="E330" s="37"/>
      <c r="F330" s="39"/>
      <c r="G330" s="40" t="str">
        <f aca="false">IF(OR($E330="",$F330=""),"",$E330&amp;" - RT "&amp;$F330)</f>
        <v/>
      </c>
      <c r="H330" s="37"/>
      <c r="I330" s="38"/>
      <c r="J330" s="37"/>
      <c r="K330" s="39"/>
      <c r="L330" s="41"/>
      <c r="M330" s="36" t="str">
        <f aca="true">IF(OR($B330="",$L330=""),"",DATEDIF($L330,TODAY(),"Y"))</f>
        <v/>
      </c>
      <c r="N330" s="40" t="str">
        <f aca="false">IF($M330="","",INDEX(usia_label,MATCH($M330,usia_min,1)))</f>
        <v/>
      </c>
      <c r="O330" s="37"/>
      <c r="P330" s="41"/>
      <c r="Q330" s="37"/>
      <c r="R330" s="37"/>
      <c r="S330" s="40" t="str">
        <f aca="false">IF($G330="","",$G330&amp;"#"&amp;COUNTIF($G$4:$G330,$G330))</f>
        <v/>
      </c>
      <c r="T330" s="40" t="str">
        <f aca="false">IF($B330="","",IF($C330="","NIK kosong",IF(LEN($C330)&lt;&gt;16,"NIK bukan 16 digit",IF(COUNTIF($C$4:$C$2003,$C330&amp;"*")&gt;1,"NIK ganda",IF($E330="","Kadus kosong",IF($F330="","RT kosong",IF($H330="","Jabatan kosong",IF($I330="","No. HP kosong",IF($J330="","Alamat kosong",IF(AND($M330&lt;&gt;"",$M330&lt;17),"Usia di bawah 17",""))))))))))</f>
        <v/>
      </c>
      <c r="U330" s="40" t="str">
        <f aca="false">IF($B330="","",IF(AND(OR(CARI!$C$5="",ISNUMBER(SEARCH(CARI!$C$5,$B330&amp;" "&amp;$C330&amp;" "&amp;$I330&amp;" "&amp;$J330&amp;" "&amp;$Q330))),OR(CARI!$C$6="",$E330=CARI!$C$6),OR(CARI!$C$7="",$F330=CARI!$C$7),OR(CARI!$C$8="",$O330=CARI!$C$8)),MAX($U$3:U329)+1,""))</f>
        <v/>
      </c>
      <c r="V330" s="40" t="str">
        <f aca="false">IF($T330="","",MAX($V$3:V329)+1)</f>
        <v/>
      </c>
      <c r="W330" s="40" t="str">
        <f aca="false">IF($E330="","",$E330&amp;"#"&amp;COUNTIF($E$4:$E330,$E330))</f>
        <v/>
      </c>
      <c r="X330" s="40" t="str">
        <f aca="false">IF($B330="","",IF(AND(OR(CETAK!$J$10="",$E330=CETAK!$J$10),OR(CETAK!$J$11="",$F330=CETAK!$J$11),OR(CETAK!$J$12="",$K330=CETAK!$J$12),OR(CETAK!$J$13="",$H330=CETAK!$J$13),OR(CETAK!$J$14="",$O330=CETAK!$J$14)),MAX($X$3:X329)+1,""))</f>
        <v/>
      </c>
      <c r="Y330" s="40" t="str">
        <f aca="false">IF($B330="","",IF(AND(OR(ABSENSI!$H$10="",$E330=ABSENSI!$H$10),OR(ABSENSI!$H$11="",$F330=ABSENSI!$H$11),OR(ABSENSI!$H$12="",$K330=ABSENSI!$H$12)),MAX($Y$3:Y329)+1,""))</f>
        <v/>
      </c>
      <c r="Z330" s="40" t="str">
        <f aca="false">IF($B330="","",IF(AND(OR(KARTU!$K$6="",$E330=KARTU!$K$6),OR(KARTU!$K$7="",$F330=KARTU!$K$7),OR(KARTU!$K$8="",$K330=KARTU!$K$8)),MAX($Z$3:Z329)+1,""))</f>
        <v/>
      </c>
    </row>
    <row r="331" customFormat="false" ht="15" hidden="false" customHeight="false" outlineLevel="0" collapsed="false">
      <c r="A331" s="36" t="str">
        <f aca="false">IF($B331="","",COUNTA($B$4:$B331))</f>
        <v/>
      </c>
      <c r="B331" s="37"/>
      <c r="C331" s="38"/>
      <c r="D331" s="39"/>
      <c r="E331" s="37"/>
      <c r="F331" s="39"/>
      <c r="G331" s="40" t="str">
        <f aca="false">IF(OR($E331="",$F331=""),"",$E331&amp;" - RT "&amp;$F331)</f>
        <v/>
      </c>
      <c r="H331" s="37"/>
      <c r="I331" s="38"/>
      <c r="J331" s="37"/>
      <c r="K331" s="39"/>
      <c r="L331" s="41"/>
      <c r="M331" s="36" t="str">
        <f aca="true">IF(OR($B331="",$L331=""),"",DATEDIF($L331,TODAY(),"Y"))</f>
        <v/>
      </c>
      <c r="N331" s="40" t="str">
        <f aca="false">IF($M331="","",INDEX(usia_label,MATCH($M331,usia_min,1)))</f>
        <v/>
      </c>
      <c r="O331" s="37"/>
      <c r="P331" s="41"/>
      <c r="Q331" s="37"/>
      <c r="R331" s="37"/>
      <c r="S331" s="40" t="str">
        <f aca="false">IF($G331="","",$G331&amp;"#"&amp;COUNTIF($G$4:$G331,$G331))</f>
        <v/>
      </c>
      <c r="T331" s="40" t="str">
        <f aca="false">IF($B331="","",IF($C331="","NIK kosong",IF(LEN($C331)&lt;&gt;16,"NIK bukan 16 digit",IF(COUNTIF($C$4:$C$2003,$C331&amp;"*")&gt;1,"NIK ganda",IF($E331="","Kadus kosong",IF($F331="","RT kosong",IF($H331="","Jabatan kosong",IF($I331="","No. HP kosong",IF($J331="","Alamat kosong",IF(AND($M331&lt;&gt;"",$M331&lt;17),"Usia di bawah 17",""))))))))))</f>
        <v/>
      </c>
      <c r="U331" s="40" t="str">
        <f aca="false">IF($B331="","",IF(AND(OR(CARI!$C$5="",ISNUMBER(SEARCH(CARI!$C$5,$B331&amp;" "&amp;$C331&amp;" "&amp;$I331&amp;" "&amp;$J331&amp;" "&amp;$Q331))),OR(CARI!$C$6="",$E331=CARI!$C$6),OR(CARI!$C$7="",$F331=CARI!$C$7),OR(CARI!$C$8="",$O331=CARI!$C$8)),MAX($U$3:U330)+1,""))</f>
        <v/>
      </c>
      <c r="V331" s="40" t="str">
        <f aca="false">IF($T331="","",MAX($V$3:V330)+1)</f>
        <v/>
      </c>
      <c r="W331" s="40" t="str">
        <f aca="false">IF($E331="","",$E331&amp;"#"&amp;COUNTIF($E$4:$E331,$E331))</f>
        <v/>
      </c>
      <c r="X331" s="40" t="str">
        <f aca="false">IF($B331="","",IF(AND(OR(CETAK!$J$10="",$E331=CETAK!$J$10),OR(CETAK!$J$11="",$F331=CETAK!$J$11),OR(CETAK!$J$12="",$K331=CETAK!$J$12),OR(CETAK!$J$13="",$H331=CETAK!$J$13),OR(CETAK!$J$14="",$O331=CETAK!$J$14)),MAX($X$3:X330)+1,""))</f>
        <v/>
      </c>
      <c r="Y331" s="40" t="str">
        <f aca="false">IF($B331="","",IF(AND(OR(ABSENSI!$H$10="",$E331=ABSENSI!$H$10),OR(ABSENSI!$H$11="",$F331=ABSENSI!$H$11),OR(ABSENSI!$H$12="",$K331=ABSENSI!$H$12)),MAX($Y$3:Y330)+1,""))</f>
        <v/>
      </c>
      <c r="Z331" s="40" t="str">
        <f aca="false">IF($B331="","",IF(AND(OR(KARTU!$K$6="",$E331=KARTU!$K$6),OR(KARTU!$K$7="",$F331=KARTU!$K$7),OR(KARTU!$K$8="",$K331=KARTU!$K$8)),MAX($Z$3:Z330)+1,""))</f>
        <v/>
      </c>
    </row>
    <row r="332" customFormat="false" ht="15" hidden="false" customHeight="false" outlineLevel="0" collapsed="false">
      <c r="A332" s="36" t="str">
        <f aca="false">IF($B332="","",COUNTA($B$4:$B332))</f>
        <v/>
      </c>
      <c r="B332" s="37"/>
      <c r="C332" s="38"/>
      <c r="D332" s="39"/>
      <c r="E332" s="37"/>
      <c r="F332" s="39"/>
      <c r="G332" s="40" t="str">
        <f aca="false">IF(OR($E332="",$F332=""),"",$E332&amp;" - RT "&amp;$F332)</f>
        <v/>
      </c>
      <c r="H332" s="37"/>
      <c r="I332" s="38"/>
      <c r="J332" s="37"/>
      <c r="K332" s="39"/>
      <c r="L332" s="41"/>
      <c r="M332" s="36" t="str">
        <f aca="true">IF(OR($B332="",$L332=""),"",DATEDIF($L332,TODAY(),"Y"))</f>
        <v/>
      </c>
      <c r="N332" s="40" t="str">
        <f aca="false">IF($M332="","",INDEX(usia_label,MATCH($M332,usia_min,1)))</f>
        <v/>
      </c>
      <c r="O332" s="37"/>
      <c r="P332" s="41"/>
      <c r="Q332" s="37"/>
      <c r="R332" s="37"/>
      <c r="S332" s="40" t="str">
        <f aca="false">IF($G332="","",$G332&amp;"#"&amp;COUNTIF($G$4:$G332,$G332))</f>
        <v/>
      </c>
      <c r="T332" s="40" t="str">
        <f aca="false">IF($B332="","",IF($C332="","NIK kosong",IF(LEN($C332)&lt;&gt;16,"NIK bukan 16 digit",IF(COUNTIF($C$4:$C$2003,$C332&amp;"*")&gt;1,"NIK ganda",IF($E332="","Kadus kosong",IF($F332="","RT kosong",IF($H332="","Jabatan kosong",IF($I332="","No. HP kosong",IF($J332="","Alamat kosong",IF(AND($M332&lt;&gt;"",$M332&lt;17),"Usia di bawah 17",""))))))))))</f>
        <v/>
      </c>
      <c r="U332" s="40" t="str">
        <f aca="false">IF($B332="","",IF(AND(OR(CARI!$C$5="",ISNUMBER(SEARCH(CARI!$C$5,$B332&amp;" "&amp;$C332&amp;" "&amp;$I332&amp;" "&amp;$J332&amp;" "&amp;$Q332))),OR(CARI!$C$6="",$E332=CARI!$C$6),OR(CARI!$C$7="",$F332=CARI!$C$7),OR(CARI!$C$8="",$O332=CARI!$C$8)),MAX($U$3:U331)+1,""))</f>
        <v/>
      </c>
      <c r="V332" s="40" t="str">
        <f aca="false">IF($T332="","",MAX($V$3:V331)+1)</f>
        <v/>
      </c>
      <c r="W332" s="40" t="str">
        <f aca="false">IF($E332="","",$E332&amp;"#"&amp;COUNTIF($E$4:$E332,$E332))</f>
        <v/>
      </c>
      <c r="X332" s="40" t="str">
        <f aca="false">IF($B332="","",IF(AND(OR(CETAK!$J$10="",$E332=CETAK!$J$10),OR(CETAK!$J$11="",$F332=CETAK!$J$11),OR(CETAK!$J$12="",$K332=CETAK!$J$12),OR(CETAK!$J$13="",$H332=CETAK!$J$13),OR(CETAK!$J$14="",$O332=CETAK!$J$14)),MAX($X$3:X331)+1,""))</f>
        <v/>
      </c>
      <c r="Y332" s="40" t="str">
        <f aca="false">IF($B332="","",IF(AND(OR(ABSENSI!$H$10="",$E332=ABSENSI!$H$10),OR(ABSENSI!$H$11="",$F332=ABSENSI!$H$11),OR(ABSENSI!$H$12="",$K332=ABSENSI!$H$12)),MAX($Y$3:Y331)+1,""))</f>
        <v/>
      </c>
      <c r="Z332" s="40" t="str">
        <f aca="false">IF($B332="","",IF(AND(OR(KARTU!$K$6="",$E332=KARTU!$K$6),OR(KARTU!$K$7="",$F332=KARTU!$K$7),OR(KARTU!$K$8="",$K332=KARTU!$K$8)),MAX($Z$3:Z331)+1,""))</f>
        <v/>
      </c>
    </row>
    <row r="333" customFormat="false" ht="15" hidden="false" customHeight="false" outlineLevel="0" collapsed="false">
      <c r="A333" s="36" t="str">
        <f aca="false">IF($B333="","",COUNTA($B$4:$B333))</f>
        <v/>
      </c>
      <c r="B333" s="37"/>
      <c r="C333" s="38"/>
      <c r="D333" s="39"/>
      <c r="E333" s="37"/>
      <c r="F333" s="39"/>
      <c r="G333" s="40" t="str">
        <f aca="false">IF(OR($E333="",$F333=""),"",$E333&amp;" - RT "&amp;$F333)</f>
        <v/>
      </c>
      <c r="H333" s="37"/>
      <c r="I333" s="38"/>
      <c r="J333" s="37"/>
      <c r="K333" s="39"/>
      <c r="L333" s="41"/>
      <c r="M333" s="36" t="str">
        <f aca="true">IF(OR($B333="",$L333=""),"",DATEDIF($L333,TODAY(),"Y"))</f>
        <v/>
      </c>
      <c r="N333" s="40" t="str">
        <f aca="false">IF($M333="","",INDEX(usia_label,MATCH($M333,usia_min,1)))</f>
        <v/>
      </c>
      <c r="O333" s="37"/>
      <c r="P333" s="41"/>
      <c r="Q333" s="37"/>
      <c r="R333" s="37"/>
      <c r="S333" s="40" t="str">
        <f aca="false">IF($G333="","",$G333&amp;"#"&amp;COUNTIF($G$4:$G333,$G333))</f>
        <v/>
      </c>
      <c r="T333" s="40" t="str">
        <f aca="false">IF($B333="","",IF($C333="","NIK kosong",IF(LEN($C333)&lt;&gt;16,"NIK bukan 16 digit",IF(COUNTIF($C$4:$C$2003,$C333&amp;"*")&gt;1,"NIK ganda",IF($E333="","Kadus kosong",IF($F333="","RT kosong",IF($H333="","Jabatan kosong",IF($I333="","No. HP kosong",IF($J333="","Alamat kosong",IF(AND($M333&lt;&gt;"",$M333&lt;17),"Usia di bawah 17",""))))))))))</f>
        <v/>
      </c>
      <c r="U333" s="40" t="str">
        <f aca="false">IF($B333="","",IF(AND(OR(CARI!$C$5="",ISNUMBER(SEARCH(CARI!$C$5,$B333&amp;" "&amp;$C333&amp;" "&amp;$I333&amp;" "&amp;$J333&amp;" "&amp;$Q333))),OR(CARI!$C$6="",$E333=CARI!$C$6),OR(CARI!$C$7="",$F333=CARI!$C$7),OR(CARI!$C$8="",$O333=CARI!$C$8)),MAX($U$3:U332)+1,""))</f>
        <v/>
      </c>
      <c r="V333" s="40" t="str">
        <f aca="false">IF($T333="","",MAX($V$3:V332)+1)</f>
        <v/>
      </c>
      <c r="W333" s="40" t="str">
        <f aca="false">IF($E333="","",$E333&amp;"#"&amp;COUNTIF($E$4:$E333,$E333))</f>
        <v/>
      </c>
      <c r="X333" s="40" t="str">
        <f aca="false">IF($B333="","",IF(AND(OR(CETAK!$J$10="",$E333=CETAK!$J$10),OR(CETAK!$J$11="",$F333=CETAK!$J$11),OR(CETAK!$J$12="",$K333=CETAK!$J$12),OR(CETAK!$J$13="",$H333=CETAK!$J$13),OR(CETAK!$J$14="",$O333=CETAK!$J$14)),MAX($X$3:X332)+1,""))</f>
        <v/>
      </c>
      <c r="Y333" s="40" t="str">
        <f aca="false">IF($B333="","",IF(AND(OR(ABSENSI!$H$10="",$E333=ABSENSI!$H$10),OR(ABSENSI!$H$11="",$F333=ABSENSI!$H$11),OR(ABSENSI!$H$12="",$K333=ABSENSI!$H$12)),MAX($Y$3:Y332)+1,""))</f>
        <v/>
      </c>
      <c r="Z333" s="40" t="str">
        <f aca="false">IF($B333="","",IF(AND(OR(KARTU!$K$6="",$E333=KARTU!$K$6),OR(KARTU!$K$7="",$F333=KARTU!$K$7),OR(KARTU!$K$8="",$K333=KARTU!$K$8)),MAX($Z$3:Z332)+1,""))</f>
        <v/>
      </c>
    </row>
    <row r="334" customFormat="false" ht="15" hidden="false" customHeight="false" outlineLevel="0" collapsed="false">
      <c r="A334" s="36" t="str">
        <f aca="false">IF($B334="","",COUNTA($B$4:$B334))</f>
        <v/>
      </c>
      <c r="B334" s="37"/>
      <c r="C334" s="38"/>
      <c r="D334" s="39"/>
      <c r="E334" s="37"/>
      <c r="F334" s="39"/>
      <c r="G334" s="40" t="str">
        <f aca="false">IF(OR($E334="",$F334=""),"",$E334&amp;" - RT "&amp;$F334)</f>
        <v/>
      </c>
      <c r="H334" s="37"/>
      <c r="I334" s="38"/>
      <c r="J334" s="37"/>
      <c r="K334" s="39"/>
      <c r="L334" s="41"/>
      <c r="M334" s="36" t="str">
        <f aca="true">IF(OR($B334="",$L334=""),"",DATEDIF($L334,TODAY(),"Y"))</f>
        <v/>
      </c>
      <c r="N334" s="40" t="str">
        <f aca="false">IF($M334="","",INDEX(usia_label,MATCH($M334,usia_min,1)))</f>
        <v/>
      </c>
      <c r="O334" s="37"/>
      <c r="P334" s="41"/>
      <c r="Q334" s="37"/>
      <c r="R334" s="37"/>
      <c r="S334" s="40" t="str">
        <f aca="false">IF($G334="","",$G334&amp;"#"&amp;COUNTIF($G$4:$G334,$G334))</f>
        <v/>
      </c>
      <c r="T334" s="40" t="str">
        <f aca="false">IF($B334="","",IF($C334="","NIK kosong",IF(LEN($C334)&lt;&gt;16,"NIK bukan 16 digit",IF(COUNTIF($C$4:$C$2003,$C334&amp;"*")&gt;1,"NIK ganda",IF($E334="","Kadus kosong",IF($F334="","RT kosong",IF($H334="","Jabatan kosong",IF($I334="","No. HP kosong",IF($J334="","Alamat kosong",IF(AND($M334&lt;&gt;"",$M334&lt;17),"Usia di bawah 17",""))))))))))</f>
        <v/>
      </c>
      <c r="U334" s="40" t="str">
        <f aca="false">IF($B334="","",IF(AND(OR(CARI!$C$5="",ISNUMBER(SEARCH(CARI!$C$5,$B334&amp;" "&amp;$C334&amp;" "&amp;$I334&amp;" "&amp;$J334&amp;" "&amp;$Q334))),OR(CARI!$C$6="",$E334=CARI!$C$6),OR(CARI!$C$7="",$F334=CARI!$C$7),OR(CARI!$C$8="",$O334=CARI!$C$8)),MAX($U$3:U333)+1,""))</f>
        <v/>
      </c>
      <c r="V334" s="40" t="str">
        <f aca="false">IF($T334="","",MAX($V$3:V333)+1)</f>
        <v/>
      </c>
      <c r="W334" s="40" t="str">
        <f aca="false">IF($E334="","",$E334&amp;"#"&amp;COUNTIF($E$4:$E334,$E334))</f>
        <v/>
      </c>
      <c r="X334" s="40" t="str">
        <f aca="false">IF($B334="","",IF(AND(OR(CETAK!$J$10="",$E334=CETAK!$J$10),OR(CETAK!$J$11="",$F334=CETAK!$J$11),OR(CETAK!$J$12="",$K334=CETAK!$J$12),OR(CETAK!$J$13="",$H334=CETAK!$J$13),OR(CETAK!$J$14="",$O334=CETAK!$J$14)),MAX($X$3:X333)+1,""))</f>
        <v/>
      </c>
      <c r="Y334" s="40" t="str">
        <f aca="false">IF($B334="","",IF(AND(OR(ABSENSI!$H$10="",$E334=ABSENSI!$H$10),OR(ABSENSI!$H$11="",$F334=ABSENSI!$H$11),OR(ABSENSI!$H$12="",$K334=ABSENSI!$H$12)),MAX($Y$3:Y333)+1,""))</f>
        <v/>
      </c>
      <c r="Z334" s="40" t="str">
        <f aca="false">IF($B334="","",IF(AND(OR(KARTU!$K$6="",$E334=KARTU!$K$6),OR(KARTU!$K$7="",$F334=KARTU!$K$7),OR(KARTU!$K$8="",$K334=KARTU!$K$8)),MAX($Z$3:Z333)+1,""))</f>
        <v/>
      </c>
    </row>
    <row r="335" customFormat="false" ht="15" hidden="false" customHeight="false" outlineLevel="0" collapsed="false">
      <c r="A335" s="36" t="str">
        <f aca="false">IF($B335="","",COUNTA($B$4:$B335))</f>
        <v/>
      </c>
      <c r="B335" s="37"/>
      <c r="C335" s="38"/>
      <c r="D335" s="39"/>
      <c r="E335" s="37"/>
      <c r="F335" s="39"/>
      <c r="G335" s="40" t="str">
        <f aca="false">IF(OR($E335="",$F335=""),"",$E335&amp;" - RT "&amp;$F335)</f>
        <v/>
      </c>
      <c r="H335" s="37"/>
      <c r="I335" s="38"/>
      <c r="J335" s="37"/>
      <c r="K335" s="39"/>
      <c r="L335" s="41"/>
      <c r="M335" s="36" t="str">
        <f aca="true">IF(OR($B335="",$L335=""),"",DATEDIF($L335,TODAY(),"Y"))</f>
        <v/>
      </c>
      <c r="N335" s="40" t="str">
        <f aca="false">IF($M335="","",INDEX(usia_label,MATCH($M335,usia_min,1)))</f>
        <v/>
      </c>
      <c r="O335" s="37"/>
      <c r="P335" s="41"/>
      <c r="Q335" s="37"/>
      <c r="R335" s="37"/>
      <c r="S335" s="40" t="str">
        <f aca="false">IF($G335="","",$G335&amp;"#"&amp;COUNTIF($G$4:$G335,$G335))</f>
        <v/>
      </c>
      <c r="T335" s="40" t="str">
        <f aca="false">IF($B335="","",IF($C335="","NIK kosong",IF(LEN($C335)&lt;&gt;16,"NIK bukan 16 digit",IF(COUNTIF($C$4:$C$2003,$C335&amp;"*")&gt;1,"NIK ganda",IF($E335="","Kadus kosong",IF($F335="","RT kosong",IF($H335="","Jabatan kosong",IF($I335="","No. HP kosong",IF($J335="","Alamat kosong",IF(AND($M335&lt;&gt;"",$M335&lt;17),"Usia di bawah 17",""))))))))))</f>
        <v/>
      </c>
      <c r="U335" s="40" t="str">
        <f aca="false">IF($B335="","",IF(AND(OR(CARI!$C$5="",ISNUMBER(SEARCH(CARI!$C$5,$B335&amp;" "&amp;$C335&amp;" "&amp;$I335&amp;" "&amp;$J335&amp;" "&amp;$Q335))),OR(CARI!$C$6="",$E335=CARI!$C$6),OR(CARI!$C$7="",$F335=CARI!$C$7),OR(CARI!$C$8="",$O335=CARI!$C$8)),MAX($U$3:U334)+1,""))</f>
        <v/>
      </c>
      <c r="V335" s="40" t="str">
        <f aca="false">IF($T335="","",MAX($V$3:V334)+1)</f>
        <v/>
      </c>
      <c r="W335" s="40" t="str">
        <f aca="false">IF($E335="","",$E335&amp;"#"&amp;COUNTIF($E$4:$E335,$E335))</f>
        <v/>
      </c>
      <c r="X335" s="40" t="str">
        <f aca="false">IF($B335="","",IF(AND(OR(CETAK!$J$10="",$E335=CETAK!$J$10),OR(CETAK!$J$11="",$F335=CETAK!$J$11),OR(CETAK!$J$12="",$K335=CETAK!$J$12),OR(CETAK!$J$13="",$H335=CETAK!$J$13),OR(CETAK!$J$14="",$O335=CETAK!$J$14)),MAX($X$3:X334)+1,""))</f>
        <v/>
      </c>
      <c r="Y335" s="40" t="str">
        <f aca="false">IF($B335="","",IF(AND(OR(ABSENSI!$H$10="",$E335=ABSENSI!$H$10),OR(ABSENSI!$H$11="",$F335=ABSENSI!$H$11),OR(ABSENSI!$H$12="",$K335=ABSENSI!$H$12)),MAX($Y$3:Y334)+1,""))</f>
        <v/>
      </c>
      <c r="Z335" s="40" t="str">
        <f aca="false">IF($B335="","",IF(AND(OR(KARTU!$K$6="",$E335=KARTU!$K$6),OR(KARTU!$K$7="",$F335=KARTU!$K$7),OR(KARTU!$K$8="",$K335=KARTU!$K$8)),MAX($Z$3:Z334)+1,""))</f>
        <v/>
      </c>
    </row>
    <row r="336" customFormat="false" ht="15" hidden="false" customHeight="false" outlineLevel="0" collapsed="false">
      <c r="A336" s="36" t="str">
        <f aca="false">IF($B336="","",COUNTA($B$4:$B336))</f>
        <v/>
      </c>
      <c r="B336" s="37"/>
      <c r="C336" s="38"/>
      <c r="D336" s="39"/>
      <c r="E336" s="37"/>
      <c r="F336" s="39"/>
      <c r="G336" s="40" t="str">
        <f aca="false">IF(OR($E336="",$F336=""),"",$E336&amp;" - RT "&amp;$F336)</f>
        <v/>
      </c>
      <c r="H336" s="37"/>
      <c r="I336" s="38"/>
      <c r="J336" s="37"/>
      <c r="K336" s="39"/>
      <c r="L336" s="41"/>
      <c r="M336" s="36" t="str">
        <f aca="true">IF(OR($B336="",$L336=""),"",DATEDIF($L336,TODAY(),"Y"))</f>
        <v/>
      </c>
      <c r="N336" s="40" t="str">
        <f aca="false">IF($M336="","",INDEX(usia_label,MATCH($M336,usia_min,1)))</f>
        <v/>
      </c>
      <c r="O336" s="37"/>
      <c r="P336" s="41"/>
      <c r="Q336" s="37"/>
      <c r="R336" s="37"/>
      <c r="S336" s="40" t="str">
        <f aca="false">IF($G336="","",$G336&amp;"#"&amp;COUNTIF($G$4:$G336,$G336))</f>
        <v/>
      </c>
      <c r="T336" s="40" t="str">
        <f aca="false">IF($B336="","",IF($C336="","NIK kosong",IF(LEN($C336)&lt;&gt;16,"NIK bukan 16 digit",IF(COUNTIF($C$4:$C$2003,$C336&amp;"*")&gt;1,"NIK ganda",IF($E336="","Kadus kosong",IF($F336="","RT kosong",IF($H336="","Jabatan kosong",IF($I336="","No. HP kosong",IF($J336="","Alamat kosong",IF(AND($M336&lt;&gt;"",$M336&lt;17),"Usia di bawah 17",""))))))))))</f>
        <v/>
      </c>
      <c r="U336" s="40" t="str">
        <f aca="false">IF($B336="","",IF(AND(OR(CARI!$C$5="",ISNUMBER(SEARCH(CARI!$C$5,$B336&amp;" "&amp;$C336&amp;" "&amp;$I336&amp;" "&amp;$J336&amp;" "&amp;$Q336))),OR(CARI!$C$6="",$E336=CARI!$C$6),OR(CARI!$C$7="",$F336=CARI!$C$7),OR(CARI!$C$8="",$O336=CARI!$C$8)),MAX($U$3:U335)+1,""))</f>
        <v/>
      </c>
      <c r="V336" s="40" t="str">
        <f aca="false">IF($T336="","",MAX($V$3:V335)+1)</f>
        <v/>
      </c>
      <c r="W336" s="40" t="str">
        <f aca="false">IF($E336="","",$E336&amp;"#"&amp;COUNTIF($E$4:$E336,$E336))</f>
        <v/>
      </c>
      <c r="X336" s="40" t="str">
        <f aca="false">IF($B336="","",IF(AND(OR(CETAK!$J$10="",$E336=CETAK!$J$10),OR(CETAK!$J$11="",$F336=CETAK!$J$11),OR(CETAK!$J$12="",$K336=CETAK!$J$12),OR(CETAK!$J$13="",$H336=CETAK!$J$13),OR(CETAK!$J$14="",$O336=CETAK!$J$14)),MAX($X$3:X335)+1,""))</f>
        <v/>
      </c>
      <c r="Y336" s="40" t="str">
        <f aca="false">IF($B336="","",IF(AND(OR(ABSENSI!$H$10="",$E336=ABSENSI!$H$10),OR(ABSENSI!$H$11="",$F336=ABSENSI!$H$11),OR(ABSENSI!$H$12="",$K336=ABSENSI!$H$12)),MAX($Y$3:Y335)+1,""))</f>
        <v/>
      </c>
      <c r="Z336" s="40" t="str">
        <f aca="false">IF($B336="","",IF(AND(OR(KARTU!$K$6="",$E336=KARTU!$K$6),OR(KARTU!$K$7="",$F336=KARTU!$K$7),OR(KARTU!$K$8="",$K336=KARTU!$K$8)),MAX($Z$3:Z335)+1,""))</f>
        <v/>
      </c>
    </row>
    <row r="337" customFormat="false" ht="15" hidden="false" customHeight="false" outlineLevel="0" collapsed="false">
      <c r="A337" s="36" t="str">
        <f aca="false">IF($B337="","",COUNTA($B$4:$B337))</f>
        <v/>
      </c>
      <c r="B337" s="37"/>
      <c r="C337" s="38"/>
      <c r="D337" s="39"/>
      <c r="E337" s="37"/>
      <c r="F337" s="39"/>
      <c r="G337" s="40" t="str">
        <f aca="false">IF(OR($E337="",$F337=""),"",$E337&amp;" - RT "&amp;$F337)</f>
        <v/>
      </c>
      <c r="H337" s="37"/>
      <c r="I337" s="38"/>
      <c r="J337" s="37"/>
      <c r="K337" s="39"/>
      <c r="L337" s="41"/>
      <c r="M337" s="36" t="str">
        <f aca="true">IF(OR($B337="",$L337=""),"",DATEDIF($L337,TODAY(),"Y"))</f>
        <v/>
      </c>
      <c r="N337" s="40" t="str">
        <f aca="false">IF($M337="","",INDEX(usia_label,MATCH($M337,usia_min,1)))</f>
        <v/>
      </c>
      <c r="O337" s="37"/>
      <c r="P337" s="41"/>
      <c r="Q337" s="37"/>
      <c r="R337" s="37"/>
      <c r="S337" s="40" t="str">
        <f aca="false">IF($G337="","",$G337&amp;"#"&amp;COUNTIF($G$4:$G337,$G337))</f>
        <v/>
      </c>
      <c r="T337" s="40" t="str">
        <f aca="false">IF($B337="","",IF($C337="","NIK kosong",IF(LEN($C337)&lt;&gt;16,"NIK bukan 16 digit",IF(COUNTIF($C$4:$C$2003,$C337&amp;"*")&gt;1,"NIK ganda",IF($E337="","Kadus kosong",IF($F337="","RT kosong",IF($H337="","Jabatan kosong",IF($I337="","No. HP kosong",IF($J337="","Alamat kosong",IF(AND($M337&lt;&gt;"",$M337&lt;17),"Usia di bawah 17",""))))))))))</f>
        <v/>
      </c>
      <c r="U337" s="40" t="str">
        <f aca="false">IF($B337="","",IF(AND(OR(CARI!$C$5="",ISNUMBER(SEARCH(CARI!$C$5,$B337&amp;" "&amp;$C337&amp;" "&amp;$I337&amp;" "&amp;$J337&amp;" "&amp;$Q337))),OR(CARI!$C$6="",$E337=CARI!$C$6),OR(CARI!$C$7="",$F337=CARI!$C$7),OR(CARI!$C$8="",$O337=CARI!$C$8)),MAX($U$3:U336)+1,""))</f>
        <v/>
      </c>
      <c r="V337" s="40" t="str">
        <f aca="false">IF($T337="","",MAX($V$3:V336)+1)</f>
        <v/>
      </c>
      <c r="W337" s="40" t="str">
        <f aca="false">IF($E337="","",$E337&amp;"#"&amp;COUNTIF($E$4:$E337,$E337))</f>
        <v/>
      </c>
      <c r="X337" s="40" t="str">
        <f aca="false">IF($B337="","",IF(AND(OR(CETAK!$J$10="",$E337=CETAK!$J$10),OR(CETAK!$J$11="",$F337=CETAK!$J$11),OR(CETAK!$J$12="",$K337=CETAK!$J$12),OR(CETAK!$J$13="",$H337=CETAK!$J$13),OR(CETAK!$J$14="",$O337=CETAK!$J$14)),MAX($X$3:X336)+1,""))</f>
        <v/>
      </c>
      <c r="Y337" s="40" t="str">
        <f aca="false">IF($B337="","",IF(AND(OR(ABSENSI!$H$10="",$E337=ABSENSI!$H$10),OR(ABSENSI!$H$11="",$F337=ABSENSI!$H$11),OR(ABSENSI!$H$12="",$K337=ABSENSI!$H$12)),MAX($Y$3:Y336)+1,""))</f>
        <v/>
      </c>
      <c r="Z337" s="40" t="str">
        <f aca="false">IF($B337="","",IF(AND(OR(KARTU!$K$6="",$E337=KARTU!$K$6),OR(KARTU!$K$7="",$F337=KARTU!$K$7),OR(KARTU!$K$8="",$K337=KARTU!$K$8)),MAX($Z$3:Z336)+1,""))</f>
        <v/>
      </c>
    </row>
    <row r="338" customFormat="false" ht="15" hidden="false" customHeight="false" outlineLevel="0" collapsed="false">
      <c r="A338" s="36" t="str">
        <f aca="false">IF($B338="","",COUNTA($B$4:$B338))</f>
        <v/>
      </c>
      <c r="B338" s="37"/>
      <c r="C338" s="38"/>
      <c r="D338" s="39"/>
      <c r="E338" s="37"/>
      <c r="F338" s="39"/>
      <c r="G338" s="40" t="str">
        <f aca="false">IF(OR($E338="",$F338=""),"",$E338&amp;" - RT "&amp;$F338)</f>
        <v/>
      </c>
      <c r="H338" s="37"/>
      <c r="I338" s="38"/>
      <c r="J338" s="37"/>
      <c r="K338" s="39"/>
      <c r="L338" s="41"/>
      <c r="M338" s="36" t="str">
        <f aca="true">IF(OR($B338="",$L338=""),"",DATEDIF($L338,TODAY(),"Y"))</f>
        <v/>
      </c>
      <c r="N338" s="40" t="str">
        <f aca="false">IF($M338="","",INDEX(usia_label,MATCH($M338,usia_min,1)))</f>
        <v/>
      </c>
      <c r="O338" s="37"/>
      <c r="P338" s="41"/>
      <c r="Q338" s="37"/>
      <c r="R338" s="37"/>
      <c r="S338" s="40" t="str">
        <f aca="false">IF($G338="","",$G338&amp;"#"&amp;COUNTIF($G$4:$G338,$G338))</f>
        <v/>
      </c>
      <c r="T338" s="40" t="str">
        <f aca="false">IF($B338="","",IF($C338="","NIK kosong",IF(LEN($C338)&lt;&gt;16,"NIK bukan 16 digit",IF(COUNTIF($C$4:$C$2003,$C338&amp;"*")&gt;1,"NIK ganda",IF($E338="","Kadus kosong",IF($F338="","RT kosong",IF($H338="","Jabatan kosong",IF($I338="","No. HP kosong",IF($J338="","Alamat kosong",IF(AND($M338&lt;&gt;"",$M338&lt;17),"Usia di bawah 17",""))))))))))</f>
        <v/>
      </c>
      <c r="U338" s="40" t="str">
        <f aca="false">IF($B338="","",IF(AND(OR(CARI!$C$5="",ISNUMBER(SEARCH(CARI!$C$5,$B338&amp;" "&amp;$C338&amp;" "&amp;$I338&amp;" "&amp;$J338&amp;" "&amp;$Q338))),OR(CARI!$C$6="",$E338=CARI!$C$6),OR(CARI!$C$7="",$F338=CARI!$C$7),OR(CARI!$C$8="",$O338=CARI!$C$8)),MAX($U$3:U337)+1,""))</f>
        <v/>
      </c>
      <c r="V338" s="40" t="str">
        <f aca="false">IF($T338="","",MAX($V$3:V337)+1)</f>
        <v/>
      </c>
      <c r="W338" s="40" t="str">
        <f aca="false">IF($E338="","",$E338&amp;"#"&amp;COUNTIF($E$4:$E338,$E338))</f>
        <v/>
      </c>
      <c r="X338" s="40" t="str">
        <f aca="false">IF($B338="","",IF(AND(OR(CETAK!$J$10="",$E338=CETAK!$J$10),OR(CETAK!$J$11="",$F338=CETAK!$J$11),OR(CETAK!$J$12="",$K338=CETAK!$J$12),OR(CETAK!$J$13="",$H338=CETAK!$J$13),OR(CETAK!$J$14="",$O338=CETAK!$J$14)),MAX($X$3:X337)+1,""))</f>
        <v/>
      </c>
      <c r="Y338" s="40" t="str">
        <f aca="false">IF($B338="","",IF(AND(OR(ABSENSI!$H$10="",$E338=ABSENSI!$H$10),OR(ABSENSI!$H$11="",$F338=ABSENSI!$H$11),OR(ABSENSI!$H$12="",$K338=ABSENSI!$H$12)),MAX($Y$3:Y337)+1,""))</f>
        <v/>
      </c>
      <c r="Z338" s="40" t="str">
        <f aca="false">IF($B338="","",IF(AND(OR(KARTU!$K$6="",$E338=KARTU!$K$6),OR(KARTU!$K$7="",$F338=KARTU!$K$7),OR(KARTU!$K$8="",$K338=KARTU!$K$8)),MAX($Z$3:Z337)+1,""))</f>
        <v/>
      </c>
    </row>
    <row r="339" customFormat="false" ht="15" hidden="false" customHeight="false" outlineLevel="0" collapsed="false">
      <c r="A339" s="36" t="str">
        <f aca="false">IF($B339="","",COUNTA($B$4:$B339))</f>
        <v/>
      </c>
      <c r="B339" s="37"/>
      <c r="C339" s="38"/>
      <c r="D339" s="39"/>
      <c r="E339" s="37"/>
      <c r="F339" s="39"/>
      <c r="G339" s="40" t="str">
        <f aca="false">IF(OR($E339="",$F339=""),"",$E339&amp;" - RT "&amp;$F339)</f>
        <v/>
      </c>
      <c r="H339" s="37"/>
      <c r="I339" s="38"/>
      <c r="J339" s="37"/>
      <c r="K339" s="39"/>
      <c r="L339" s="41"/>
      <c r="M339" s="36" t="str">
        <f aca="true">IF(OR($B339="",$L339=""),"",DATEDIF($L339,TODAY(),"Y"))</f>
        <v/>
      </c>
      <c r="N339" s="40" t="str">
        <f aca="false">IF($M339="","",INDEX(usia_label,MATCH($M339,usia_min,1)))</f>
        <v/>
      </c>
      <c r="O339" s="37"/>
      <c r="P339" s="41"/>
      <c r="Q339" s="37"/>
      <c r="R339" s="37"/>
      <c r="S339" s="40" t="str">
        <f aca="false">IF($G339="","",$G339&amp;"#"&amp;COUNTIF($G$4:$G339,$G339))</f>
        <v/>
      </c>
      <c r="T339" s="40" t="str">
        <f aca="false">IF($B339="","",IF($C339="","NIK kosong",IF(LEN($C339)&lt;&gt;16,"NIK bukan 16 digit",IF(COUNTIF($C$4:$C$2003,$C339&amp;"*")&gt;1,"NIK ganda",IF($E339="","Kadus kosong",IF($F339="","RT kosong",IF($H339="","Jabatan kosong",IF($I339="","No. HP kosong",IF($J339="","Alamat kosong",IF(AND($M339&lt;&gt;"",$M339&lt;17),"Usia di bawah 17",""))))))))))</f>
        <v/>
      </c>
      <c r="U339" s="40" t="str">
        <f aca="false">IF($B339="","",IF(AND(OR(CARI!$C$5="",ISNUMBER(SEARCH(CARI!$C$5,$B339&amp;" "&amp;$C339&amp;" "&amp;$I339&amp;" "&amp;$J339&amp;" "&amp;$Q339))),OR(CARI!$C$6="",$E339=CARI!$C$6),OR(CARI!$C$7="",$F339=CARI!$C$7),OR(CARI!$C$8="",$O339=CARI!$C$8)),MAX($U$3:U338)+1,""))</f>
        <v/>
      </c>
      <c r="V339" s="40" t="str">
        <f aca="false">IF($T339="","",MAX($V$3:V338)+1)</f>
        <v/>
      </c>
      <c r="W339" s="40" t="str">
        <f aca="false">IF($E339="","",$E339&amp;"#"&amp;COUNTIF($E$4:$E339,$E339))</f>
        <v/>
      </c>
      <c r="X339" s="40" t="str">
        <f aca="false">IF($B339="","",IF(AND(OR(CETAK!$J$10="",$E339=CETAK!$J$10),OR(CETAK!$J$11="",$F339=CETAK!$J$11),OR(CETAK!$J$12="",$K339=CETAK!$J$12),OR(CETAK!$J$13="",$H339=CETAK!$J$13),OR(CETAK!$J$14="",$O339=CETAK!$J$14)),MAX($X$3:X338)+1,""))</f>
        <v/>
      </c>
      <c r="Y339" s="40" t="str">
        <f aca="false">IF($B339="","",IF(AND(OR(ABSENSI!$H$10="",$E339=ABSENSI!$H$10),OR(ABSENSI!$H$11="",$F339=ABSENSI!$H$11),OR(ABSENSI!$H$12="",$K339=ABSENSI!$H$12)),MAX($Y$3:Y338)+1,""))</f>
        <v/>
      </c>
      <c r="Z339" s="40" t="str">
        <f aca="false">IF($B339="","",IF(AND(OR(KARTU!$K$6="",$E339=KARTU!$K$6),OR(KARTU!$K$7="",$F339=KARTU!$K$7),OR(KARTU!$K$8="",$K339=KARTU!$K$8)),MAX($Z$3:Z338)+1,""))</f>
        <v/>
      </c>
    </row>
    <row r="340" customFormat="false" ht="15" hidden="false" customHeight="false" outlineLevel="0" collapsed="false">
      <c r="A340" s="36" t="str">
        <f aca="false">IF($B340="","",COUNTA($B$4:$B340))</f>
        <v/>
      </c>
      <c r="B340" s="37"/>
      <c r="C340" s="38"/>
      <c r="D340" s="39"/>
      <c r="E340" s="37"/>
      <c r="F340" s="39"/>
      <c r="G340" s="40" t="str">
        <f aca="false">IF(OR($E340="",$F340=""),"",$E340&amp;" - RT "&amp;$F340)</f>
        <v/>
      </c>
      <c r="H340" s="37"/>
      <c r="I340" s="38"/>
      <c r="J340" s="37"/>
      <c r="K340" s="39"/>
      <c r="L340" s="41"/>
      <c r="M340" s="36" t="str">
        <f aca="true">IF(OR($B340="",$L340=""),"",DATEDIF($L340,TODAY(),"Y"))</f>
        <v/>
      </c>
      <c r="N340" s="40" t="str">
        <f aca="false">IF($M340="","",INDEX(usia_label,MATCH($M340,usia_min,1)))</f>
        <v/>
      </c>
      <c r="O340" s="37"/>
      <c r="P340" s="41"/>
      <c r="Q340" s="37"/>
      <c r="R340" s="37"/>
      <c r="S340" s="40" t="str">
        <f aca="false">IF($G340="","",$G340&amp;"#"&amp;COUNTIF($G$4:$G340,$G340))</f>
        <v/>
      </c>
      <c r="T340" s="40" t="str">
        <f aca="false">IF($B340="","",IF($C340="","NIK kosong",IF(LEN($C340)&lt;&gt;16,"NIK bukan 16 digit",IF(COUNTIF($C$4:$C$2003,$C340&amp;"*")&gt;1,"NIK ganda",IF($E340="","Kadus kosong",IF($F340="","RT kosong",IF($H340="","Jabatan kosong",IF($I340="","No. HP kosong",IF($J340="","Alamat kosong",IF(AND($M340&lt;&gt;"",$M340&lt;17),"Usia di bawah 17",""))))))))))</f>
        <v/>
      </c>
      <c r="U340" s="40" t="str">
        <f aca="false">IF($B340="","",IF(AND(OR(CARI!$C$5="",ISNUMBER(SEARCH(CARI!$C$5,$B340&amp;" "&amp;$C340&amp;" "&amp;$I340&amp;" "&amp;$J340&amp;" "&amp;$Q340))),OR(CARI!$C$6="",$E340=CARI!$C$6),OR(CARI!$C$7="",$F340=CARI!$C$7),OR(CARI!$C$8="",$O340=CARI!$C$8)),MAX($U$3:U339)+1,""))</f>
        <v/>
      </c>
      <c r="V340" s="40" t="str">
        <f aca="false">IF($T340="","",MAX($V$3:V339)+1)</f>
        <v/>
      </c>
      <c r="W340" s="40" t="str">
        <f aca="false">IF($E340="","",$E340&amp;"#"&amp;COUNTIF($E$4:$E340,$E340))</f>
        <v/>
      </c>
      <c r="X340" s="40" t="str">
        <f aca="false">IF($B340="","",IF(AND(OR(CETAK!$J$10="",$E340=CETAK!$J$10),OR(CETAK!$J$11="",$F340=CETAK!$J$11),OR(CETAK!$J$12="",$K340=CETAK!$J$12),OR(CETAK!$J$13="",$H340=CETAK!$J$13),OR(CETAK!$J$14="",$O340=CETAK!$J$14)),MAX($X$3:X339)+1,""))</f>
        <v/>
      </c>
      <c r="Y340" s="40" t="str">
        <f aca="false">IF($B340="","",IF(AND(OR(ABSENSI!$H$10="",$E340=ABSENSI!$H$10),OR(ABSENSI!$H$11="",$F340=ABSENSI!$H$11),OR(ABSENSI!$H$12="",$K340=ABSENSI!$H$12)),MAX($Y$3:Y339)+1,""))</f>
        <v/>
      </c>
      <c r="Z340" s="40" t="str">
        <f aca="false">IF($B340="","",IF(AND(OR(KARTU!$K$6="",$E340=KARTU!$K$6),OR(KARTU!$K$7="",$F340=KARTU!$K$7),OR(KARTU!$K$8="",$K340=KARTU!$K$8)),MAX($Z$3:Z339)+1,""))</f>
        <v/>
      </c>
    </row>
    <row r="341" customFormat="false" ht="15" hidden="false" customHeight="false" outlineLevel="0" collapsed="false">
      <c r="A341" s="36" t="str">
        <f aca="false">IF($B341="","",COUNTA($B$4:$B341))</f>
        <v/>
      </c>
      <c r="B341" s="37"/>
      <c r="C341" s="38"/>
      <c r="D341" s="39"/>
      <c r="E341" s="37"/>
      <c r="F341" s="39"/>
      <c r="G341" s="40" t="str">
        <f aca="false">IF(OR($E341="",$F341=""),"",$E341&amp;" - RT "&amp;$F341)</f>
        <v/>
      </c>
      <c r="H341" s="37"/>
      <c r="I341" s="38"/>
      <c r="J341" s="37"/>
      <c r="K341" s="39"/>
      <c r="L341" s="41"/>
      <c r="M341" s="36" t="str">
        <f aca="true">IF(OR($B341="",$L341=""),"",DATEDIF($L341,TODAY(),"Y"))</f>
        <v/>
      </c>
      <c r="N341" s="40" t="str">
        <f aca="false">IF($M341="","",INDEX(usia_label,MATCH($M341,usia_min,1)))</f>
        <v/>
      </c>
      <c r="O341" s="37"/>
      <c r="P341" s="41"/>
      <c r="Q341" s="37"/>
      <c r="R341" s="37"/>
      <c r="S341" s="40" t="str">
        <f aca="false">IF($G341="","",$G341&amp;"#"&amp;COUNTIF($G$4:$G341,$G341))</f>
        <v/>
      </c>
      <c r="T341" s="40" t="str">
        <f aca="false">IF($B341="","",IF($C341="","NIK kosong",IF(LEN($C341)&lt;&gt;16,"NIK bukan 16 digit",IF(COUNTIF($C$4:$C$2003,$C341&amp;"*")&gt;1,"NIK ganda",IF($E341="","Kadus kosong",IF($F341="","RT kosong",IF($H341="","Jabatan kosong",IF($I341="","No. HP kosong",IF($J341="","Alamat kosong",IF(AND($M341&lt;&gt;"",$M341&lt;17),"Usia di bawah 17",""))))))))))</f>
        <v/>
      </c>
      <c r="U341" s="40" t="str">
        <f aca="false">IF($B341="","",IF(AND(OR(CARI!$C$5="",ISNUMBER(SEARCH(CARI!$C$5,$B341&amp;" "&amp;$C341&amp;" "&amp;$I341&amp;" "&amp;$J341&amp;" "&amp;$Q341))),OR(CARI!$C$6="",$E341=CARI!$C$6),OR(CARI!$C$7="",$F341=CARI!$C$7),OR(CARI!$C$8="",$O341=CARI!$C$8)),MAX($U$3:U340)+1,""))</f>
        <v/>
      </c>
      <c r="V341" s="40" t="str">
        <f aca="false">IF($T341="","",MAX($V$3:V340)+1)</f>
        <v/>
      </c>
      <c r="W341" s="40" t="str">
        <f aca="false">IF($E341="","",$E341&amp;"#"&amp;COUNTIF($E$4:$E341,$E341))</f>
        <v/>
      </c>
      <c r="X341" s="40" t="str">
        <f aca="false">IF($B341="","",IF(AND(OR(CETAK!$J$10="",$E341=CETAK!$J$10),OR(CETAK!$J$11="",$F341=CETAK!$J$11),OR(CETAK!$J$12="",$K341=CETAK!$J$12),OR(CETAK!$J$13="",$H341=CETAK!$J$13),OR(CETAK!$J$14="",$O341=CETAK!$J$14)),MAX($X$3:X340)+1,""))</f>
        <v/>
      </c>
      <c r="Y341" s="40" t="str">
        <f aca="false">IF($B341="","",IF(AND(OR(ABSENSI!$H$10="",$E341=ABSENSI!$H$10),OR(ABSENSI!$H$11="",$F341=ABSENSI!$H$11),OR(ABSENSI!$H$12="",$K341=ABSENSI!$H$12)),MAX($Y$3:Y340)+1,""))</f>
        <v/>
      </c>
      <c r="Z341" s="40" t="str">
        <f aca="false">IF($B341="","",IF(AND(OR(KARTU!$K$6="",$E341=KARTU!$K$6),OR(KARTU!$K$7="",$F341=KARTU!$K$7),OR(KARTU!$K$8="",$K341=KARTU!$K$8)),MAX($Z$3:Z340)+1,""))</f>
        <v/>
      </c>
    </row>
    <row r="342" customFormat="false" ht="15" hidden="false" customHeight="false" outlineLevel="0" collapsed="false">
      <c r="A342" s="36" t="str">
        <f aca="false">IF($B342="","",COUNTA($B$4:$B342))</f>
        <v/>
      </c>
      <c r="B342" s="37"/>
      <c r="C342" s="38"/>
      <c r="D342" s="39"/>
      <c r="E342" s="37"/>
      <c r="F342" s="39"/>
      <c r="G342" s="40" t="str">
        <f aca="false">IF(OR($E342="",$F342=""),"",$E342&amp;" - RT "&amp;$F342)</f>
        <v/>
      </c>
      <c r="H342" s="37"/>
      <c r="I342" s="38"/>
      <c r="J342" s="37"/>
      <c r="K342" s="39"/>
      <c r="L342" s="41"/>
      <c r="M342" s="36" t="str">
        <f aca="true">IF(OR($B342="",$L342=""),"",DATEDIF($L342,TODAY(),"Y"))</f>
        <v/>
      </c>
      <c r="N342" s="40" t="str">
        <f aca="false">IF($M342="","",INDEX(usia_label,MATCH($M342,usia_min,1)))</f>
        <v/>
      </c>
      <c r="O342" s="37"/>
      <c r="P342" s="41"/>
      <c r="Q342" s="37"/>
      <c r="R342" s="37"/>
      <c r="S342" s="40" t="str">
        <f aca="false">IF($G342="","",$G342&amp;"#"&amp;COUNTIF($G$4:$G342,$G342))</f>
        <v/>
      </c>
      <c r="T342" s="40" t="str">
        <f aca="false">IF($B342="","",IF($C342="","NIK kosong",IF(LEN($C342)&lt;&gt;16,"NIK bukan 16 digit",IF(COUNTIF($C$4:$C$2003,$C342&amp;"*")&gt;1,"NIK ganda",IF($E342="","Kadus kosong",IF($F342="","RT kosong",IF($H342="","Jabatan kosong",IF($I342="","No. HP kosong",IF($J342="","Alamat kosong",IF(AND($M342&lt;&gt;"",$M342&lt;17),"Usia di bawah 17",""))))))))))</f>
        <v/>
      </c>
      <c r="U342" s="40" t="str">
        <f aca="false">IF($B342="","",IF(AND(OR(CARI!$C$5="",ISNUMBER(SEARCH(CARI!$C$5,$B342&amp;" "&amp;$C342&amp;" "&amp;$I342&amp;" "&amp;$J342&amp;" "&amp;$Q342))),OR(CARI!$C$6="",$E342=CARI!$C$6),OR(CARI!$C$7="",$F342=CARI!$C$7),OR(CARI!$C$8="",$O342=CARI!$C$8)),MAX($U$3:U341)+1,""))</f>
        <v/>
      </c>
      <c r="V342" s="40" t="str">
        <f aca="false">IF($T342="","",MAX($V$3:V341)+1)</f>
        <v/>
      </c>
      <c r="W342" s="40" t="str">
        <f aca="false">IF($E342="","",$E342&amp;"#"&amp;COUNTIF($E$4:$E342,$E342))</f>
        <v/>
      </c>
      <c r="X342" s="40" t="str">
        <f aca="false">IF($B342="","",IF(AND(OR(CETAK!$J$10="",$E342=CETAK!$J$10),OR(CETAK!$J$11="",$F342=CETAK!$J$11),OR(CETAK!$J$12="",$K342=CETAK!$J$12),OR(CETAK!$J$13="",$H342=CETAK!$J$13),OR(CETAK!$J$14="",$O342=CETAK!$J$14)),MAX($X$3:X341)+1,""))</f>
        <v/>
      </c>
      <c r="Y342" s="40" t="str">
        <f aca="false">IF($B342="","",IF(AND(OR(ABSENSI!$H$10="",$E342=ABSENSI!$H$10),OR(ABSENSI!$H$11="",$F342=ABSENSI!$H$11),OR(ABSENSI!$H$12="",$K342=ABSENSI!$H$12)),MAX($Y$3:Y341)+1,""))</f>
        <v/>
      </c>
      <c r="Z342" s="40" t="str">
        <f aca="false">IF($B342="","",IF(AND(OR(KARTU!$K$6="",$E342=KARTU!$K$6),OR(KARTU!$K$7="",$F342=KARTU!$K$7),OR(KARTU!$K$8="",$K342=KARTU!$K$8)),MAX($Z$3:Z341)+1,""))</f>
        <v/>
      </c>
    </row>
    <row r="343" customFormat="false" ht="15" hidden="false" customHeight="false" outlineLevel="0" collapsed="false">
      <c r="A343" s="36" t="str">
        <f aca="false">IF($B343="","",COUNTA($B$4:$B343))</f>
        <v/>
      </c>
      <c r="B343" s="37"/>
      <c r="C343" s="38"/>
      <c r="D343" s="39"/>
      <c r="E343" s="37"/>
      <c r="F343" s="39"/>
      <c r="G343" s="40" t="str">
        <f aca="false">IF(OR($E343="",$F343=""),"",$E343&amp;" - RT "&amp;$F343)</f>
        <v/>
      </c>
      <c r="H343" s="37"/>
      <c r="I343" s="38"/>
      <c r="J343" s="37"/>
      <c r="K343" s="39"/>
      <c r="L343" s="41"/>
      <c r="M343" s="36" t="str">
        <f aca="true">IF(OR($B343="",$L343=""),"",DATEDIF($L343,TODAY(),"Y"))</f>
        <v/>
      </c>
      <c r="N343" s="40" t="str">
        <f aca="false">IF($M343="","",INDEX(usia_label,MATCH($M343,usia_min,1)))</f>
        <v/>
      </c>
      <c r="O343" s="37"/>
      <c r="P343" s="41"/>
      <c r="Q343" s="37"/>
      <c r="R343" s="37"/>
      <c r="S343" s="40" t="str">
        <f aca="false">IF($G343="","",$G343&amp;"#"&amp;COUNTIF($G$4:$G343,$G343))</f>
        <v/>
      </c>
      <c r="T343" s="40" t="str">
        <f aca="false">IF($B343="","",IF($C343="","NIK kosong",IF(LEN($C343)&lt;&gt;16,"NIK bukan 16 digit",IF(COUNTIF($C$4:$C$2003,$C343&amp;"*")&gt;1,"NIK ganda",IF($E343="","Kadus kosong",IF($F343="","RT kosong",IF($H343="","Jabatan kosong",IF($I343="","No. HP kosong",IF($J343="","Alamat kosong",IF(AND($M343&lt;&gt;"",$M343&lt;17),"Usia di bawah 17",""))))))))))</f>
        <v/>
      </c>
      <c r="U343" s="40" t="str">
        <f aca="false">IF($B343="","",IF(AND(OR(CARI!$C$5="",ISNUMBER(SEARCH(CARI!$C$5,$B343&amp;" "&amp;$C343&amp;" "&amp;$I343&amp;" "&amp;$J343&amp;" "&amp;$Q343))),OR(CARI!$C$6="",$E343=CARI!$C$6),OR(CARI!$C$7="",$F343=CARI!$C$7),OR(CARI!$C$8="",$O343=CARI!$C$8)),MAX($U$3:U342)+1,""))</f>
        <v/>
      </c>
      <c r="V343" s="40" t="str">
        <f aca="false">IF($T343="","",MAX($V$3:V342)+1)</f>
        <v/>
      </c>
      <c r="W343" s="40" t="str">
        <f aca="false">IF($E343="","",$E343&amp;"#"&amp;COUNTIF($E$4:$E343,$E343))</f>
        <v/>
      </c>
      <c r="X343" s="40" t="str">
        <f aca="false">IF($B343="","",IF(AND(OR(CETAK!$J$10="",$E343=CETAK!$J$10),OR(CETAK!$J$11="",$F343=CETAK!$J$11),OR(CETAK!$J$12="",$K343=CETAK!$J$12),OR(CETAK!$J$13="",$H343=CETAK!$J$13),OR(CETAK!$J$14="",$O343=CETAK!$J$14)),MAX($X$3:X342)+1,""))</f>
        <v/>
      </c>
      <c r="Y343" s="40" t="str">
        <f aca="false">IF($B343="","",IF(AND(OR(ABSENSI!$H$10="",$E343=ABSENSI!$H$10),OR(ABSENSI!$H$11="",$F343=ABSENSI!$H$11),OR(ABSENSI!$H$12="",$K343=ABSENSI!$H$12)),MAX($Y$3:Y342)+1,""))</f>
        <v/>
      </c>
      <c r="Z343" s="40" t="str">
        <f aca="false">IF($B343="","",IF(AND(OR(KARTU!$K$6="",$E343=KARTU!$K$6),OR(KARTU!$K$7="",$F343=KARTU!$K$7),OR(KARTU!$K$8="",$K343=KARTU!$K$8)),MAX($Z$3:Z342)+1,""))</f>
        <v/>
      </c>
    </row>
    <row r="344" customFormat="false" ht="15" hidden="false" customHeight="false" outlineLevel="0" collapsed="false">
      <c r="A344" s="36" t="str">
        <f aca="false">IF($B344="","",COUNTA($B$4:$B344))</f>
        <v/>
      </c>
      <c r="B344" s="37"/>
      <c r="C344" s="38"/>
      <c r="D344" s="39"/>
      <c r="E344" s="37"/>
      <c r="F344" s="39"/>
      <c r="G344" s="40" t="str">
        <f aca="false">IF(OR($E344="",$F344=""),"",$E344&amp;" - RT "&amp;$F344)</f>
        <v/>
      </c>
      <c r="H344" s="37"/>
      <c r="I344" s="38"/>
      <c r="J344" s="37"/>
      <c r="K344" s="39"/>
      <c r="L344" s="41"/>
      <c r="M344" s="36" t="str">
        <f aca="true">IF(OR($B344="",$L344=""),"",DATEDIF($L344,TODAY(),"Y"))</f>
        <v/>
      </c>
      <c r="N344" s="40" t="str">
        <f aca="false">IF($M344="","",INDEX(usia_label,MATCH($M344,usia_min,1)))</f>
        <v/>
      </c>
      <c r="O344" s="37"/>
      <c r="P344" s="41"/>
      <c r="Q344" s="37"/>
      <c r="R344" s="37"/>
      <c r="S344" s="40" t="str">
        <f aca="false">IF($G344="","",$G344&amp;"#"&amp;COUNTIF($G$4:$G344,$G344))</f>
        <v/>
      </c>
      <c r="T344" s="40" t="str">
        <f aca="false">IF($B344="","",IF($C344="","NIK kosong",IF(LEN($C344)&lt;&gt;16,"NIK bukan 16 digit",IF(COUNTIF($C$4:$C$2003,$C344&amp;"*")&gt;1,"NIK ganda",IF($E344="","Kadus kosong",IF($F344="","RT kosong",IF($H344="","Jabatan kosong",IF($I344="","No. HP kosong",IF($J344="","Alamat kosong",IF(AND($M344&lt;&gt;"",$M344&lt;17),"Usia di bawah 17",""))))))))))</f>
        <v/>
      </c>
      <c r="U344" s="40" t="str">
        <f aca="false">IF($B344="","",IF(AND(OR(CARI!$C$5="",ISNUMBER(SEARCH(CARI!$C$5,$B344&amp;" "&amp;$C344&amp;" "&amp;$I344&amp;" "&amp;$J344&amp;" "&amp;$Q344))),OR(CARI!$C$6="",$E344=CARI!$C$6),OR(CARI!$C$7="",$F344=CARI!$C$7),OR(CARI!$C$8="",$O344=CARI!$C$8)),MAX($U$3:U343)+1,""))</f>
        <v/>
      </c>
      <c r="V344" s="40" t="str">
        <f aca="false">IF($T344="","",MAX($V$3:V343)+1)</f>
        <v/>
      </c>
      <c r="W344" s="40" t="str">
        <f aca="false">IF($E344="","",$E344&amp;"#"&amp;COUNTIF($E$4:$E344,$E344))</f>
        <v/>
      </c>
      <c r="X344" s="40" t="str">
        <f aca="false">IF($B344="","",IF(AND(OR(CETAK!$J$10="",$E344=CETAK!$J$10),OR(CETAK!$J$11="",$F344=CETAK!$J$11),OR(CETAK!$J$12="",$K344=CETAK!$J$12),OR(CETAK!$J$13="",$H344=CETAK!$J$13),OR(CETAK!$J$14="",$O344=CETAK!$J$14)),MAX($X$3:X343)+1,""))</f>
        <v/>
      </c>
      <c r="Y344" s="40" t="str">
        <f aca="false">IF($B344="","",IF(AND(OR(ABSENSI!$H$10="",$E344=ABSENSI!$H$10),OR(ABSENSI!$H$11="",$F344=ABSENSI!$H$11),OR(ABSENSI!$H$12="",$K344=ABSENSI!$H$12)),MAX($Y$3:Y343)+1,""))</f>
        <v/>
      </c>
      <c r="Z344" s="40" t="str">
        <f aca="false">IF($B344="","",IF(AND(OR(KARTU!$K$6="",$E344=KARTU!$K$6),OR(KARTU!$K$7="",$F344=KARTU!$K$7),OR(KARTU!$K$8="",$K344=KARTU!$K$8)),MAX($Z$3:Z343)+1,""))</f>
        <v/>
      </c>
    </row>
    <row r="345" customFormat="false" ht="15" hidden="false" customHeight="false" outlineLevel="0" collapsed="false">
      <c r="A345" s="36" t="str">
        <f aca="false">IF($B345="","",COUNTA($B$4:$B345))</f>
        <v/>
      </c>
      <c r="B345" s="37"/>
      <c r="C345" s="38"/>
      <c r="D345" s="39"/>
      <c r="E345" s="37"/>
      <c r="F345" s="39"/>
      <c r="G345" s="40" t="str">
        <f aca="false">IF(OR($E345="",$F345=""),"",$E345&amp;" - RT "&amp;$F345)</f>
        <v/>
      </c>
      <c r="H345" s="37"/>
      <c r="I345" s="38"/>
      <c r="J345" s="37"/>
      <c r="K345" s="39"/>
      <c r="L345" s="41"/>
      <c r="M345" s="36" t="str">
        <f aca="true">IF(OR($B345="",$L345=""),"",DATEDIF($L345,TODAY(),"Y"))</f>
        <v/>
      </c>
      <c r="N345" s="40" t="str">
        <f aca="false">IF($M345="","",INDEX(usia_label,MATCH($M345,usia_min,1)))</f>
        <v/>
      </c>
      <c r="O345" s="37"/>
      <c r="P345" s="41"/>
      <c r="Q345" s="37"/>
      <c r="R345" s="37"/>
      <c r="S345" s="40" t="str">
        <f aca="false">IF($G345="","",$G345&amp;"#"&amp;COUNTIF($G$4:$G345,$G345))</f>
        <v/>
      </c>
      <c r="T345" s="40" t="str">
        <f aca="false">IF($B345="","",IF($C345="","NIK kosong",IF(LEN($C345)&lt;&gt;16,"NIK bukan 16 digit",IF(COUNTIF($C$4:$C$2003,$C345&amp;"*")&gt;1,"NIK ganda",IF($E345="","Kadus kosong",IF($F345="","RT kosong",IF($H345="","Jabatan kosong",IF($I345="","No. HP kosong",IF($J345="","Alamat kosong",IF(AND($M345&lt;&gt;"",$M345&lt;17),"Usia di bawah 17",""))))))))))</f>
        <v/>
      </c>
      <c r="U345" s="40" t="str">
        <f aca="false">IF($B345="","",IF(AND(OR(CARI!$C$5="",ISNUMBER(SEARCH(CARI!$C$5,$B345&amp;" "&amp;$C345&amp;" "&amp;$I345&amp;" "&amp;$J345&amp;" "&amp;$Q345))),OR(CARI!$C$6="",$E345=CARI!$C$6),OR(CARI!$C$7="",$F345=CARI!$C$7),OR(CARI!$C$8="",$O345=CARI!$C$8)),MAX($U$3:U344)+1,""))</f>
        <v/>
      </c>
      <c r="V345" s="40" t="str">
        <f aca="false">IF($T345="","",MAX($V$3:V344)+1)</f>
        <v/>
      </c>
      <c r="W345" s="40" t="str">
        <f aca="false">IF($E345="","",$E345&amp;"#"&amp;COUNTIF($E$4:$E345,$E345))</f>
        <v/>
      </c>
      <c r="X345" s="40" t="str">
        <f aca="false">IF($B345="","",IF(AND(OR(CETAK!$J$10="",$E345=CETAK!$J$10),OR(CETAK!$J$11="",$F345=CETAK!$J$11),OR(CETAK!$J$12="",$K345=CETAK!$J$12),OR(CETAK!$J$13="",$H345=CETAK!$J$13),OR(CETAK!$J$14="",$O345=CETAK!$J$14)),MAX($X$3:X344)+1,""))</f>
        <v/>
      </c>
      <c r="Y345" s="40" t="str">
        <f aca="false">IF($B345="","",IF(AND(OR(ABSENSI!$H$10="",$E345=ABSENSI!$H$10),OR(ABSENSI!$H$11="",$F345=ABSENSI!$H$11),OR(ABSENSI!$H$12="",$K345=ABSENSI!$H$12)),MAX($Y$3:Y344)+1,""))</f>
        <v/>
      </c>
      <c r="Z345" s="40" t="str">
        <f aca="false">IF($B345="","",IF(AND(OR(KARTU!$K$6="",$E345=KARTU!$K$6),OR(KARTU!$K$7="",$F345=KARTU!$K$7),OR(KARTU!$K$8="",$K345=KARTU!$K$8)),MAX($Z$3:Z344)+1,""))</f>
        <v/>
      </c>
    </row>
    <row r="346" customFormat="false" ht="15" hidden="false" customHeight="false" outlineLevel="0" collapsed="false">
      <c r="A346" s="36" t="str">
        <f aca="false">IF($B346="","",COUNTA($B$4:$B346))</f>
        <v/>
      </c>
      <c r="B346" s="37"/>
      <c r="C346" s="38"/>
      <c r="D346" s="39"/>
      <c r="E346" s="37"/>
      <c r="F346" s="39"/>
      <c r="G346" s="40" t="str">
        <f aca="false">IF(OR($E346="",$F346=""),"",$E346&amp;" - RT "&amp;$F346)</f>
        <v/>
      </c>
      <c r="H346" s="37"/>
      <c r="I346" s="38"/>
      <c r="J346" s="37"/>
      <c r="K346" s="39"/>
      <c r="L346" s="41"/>
      <c r="M346" s="36" t="str">
        <f aca="true">IF(OR($B346="",$L346=""),"",DATEDIF($L346,TODAY(),"Y"))</f>
        <v/>
      </c>
      <c r="N346" s="40" t="str">
        <f aca="false">IF($M346="","",INDEX(usia_label,MATCH($M346,usia_min,1)))</f>
        <v/>
      </c>
      <c r="O346" s="37"/>
      <c r="P346" s="41"/>
      <c r="Q346" s="37"/>
      <c r="R346" s="37"/>
      <c r="S346" s="40" t="str">
        <f aca="false">IF($G346="","",$G346&amp;"#"&amp;COUNTIF($G$4:$G346,$G346))</f>
        <v/>
      </c>
      <c r="T346" s="40" t="str">
        <f aca="false">IF($B346="","",IF($C346="","NIK kosong",IF(LEN($C346)&lt;&gt;16,"NIK bukan 16 digit",IF(COUNTIF($C$4:$C$2003,$C346&amp;"*")&gt;1,"NIK ganda",IF($E346="","Kadus kosong",IF($F346="","RT kosong",IF($H346="","Jabatan kosong",IF($I346="","No. HP kosong",IF($J346="","Alamat kosong",IF(AND($M346&lt;&gt;"",$M346&lt;17),"Usia di bawah 17",""))))))))))</f>
        <v/>
      </c>
      <c r="U346" s="40" t="str">
        <f aca="false">IF($B346="","",IF(AND(OR(CARI!$C$5="",ISNUMBER(SEARCH(CARI!$C$5,$B346&amp;" "&amp;$C346&amp;" "&amp;$I346&amp;" "&amp;$J346&amp;" "&amp;$Q346))),OR(CARI!$C$6="",$E346=CARI!$C$6),OR(CARI!$C$7="",$F346=CARI!$C$7),OR(CARI!$C$8="",$O346=CARI!$C$8)),MAX($U$3:U345)+1,""))</f>
        <v/>
      </c>
      <c r="V346" s="40" t="str">
        <f aca="false">IF($T346="","",MAX($V$3:V345)+1)</f>
        <v/>
      </c>
      <c r="W346" s="40" t="str">
        <f aca="false">IF($E346="","",$E346&amp;"#"&amp;COUNTIF($E$4:$E346,$E346))</f>
        <v/>
      </c>
      <c r="X346" s="40" t="str">
        <f aca="false">IF($B346="","",IF(AND(OR(CETAK!$J$10="",$E346=CETAK!$J$10),OR(CETAK!$J$11="",$F346=CETAK!$J$11),OR(CETAK!$J$12="",$K346=CETAK!$J$12),OR(CETAK!$J$13="",$H346=CETAK!$J$13),OR(CETAK!$J$14="",$O346=CETAK!$J$14)),MAX($X$3:X345)+1,""))</f>
        <v/>
      </c>
      <c r="Y346" s="40" t="str">
        <f aca="false">IF($B346="","",IF(AND(OR(ABSENSI!$H$10="",$E346=ABSENSI!$H$10),OR(ABSENSI!$H$11="",$F346=ABSENSI!$H$11),OR(ABSENSI!$H$12="",$K346=ABSENSI!$H$12)),MAX($Y$3:Y345)+1,""))</f>
        <v/>
      </c>
      <c r="Z346" s="40" t="str">
        <f aca="false">IF($B346="","",IF(AND(OR(KARTU!$K$6="",$E346=KARTU!$K$6),OR(KARTU!$K$7="",$F346=KARTU!$K$7),OR(KARTU!$K$8="",$K346=KARTU!$K$8)),MAX($Z$3:Z345)+1,""))</f>
        <v/>
      </c>
    </row>
    <row r="347" customFormat="false" ht="15" hidden="false" customHeight="false" outlineLevel="0" collapsed="false">
      <c r="A347" s="36" t="str">
        <f aca="false">IF($B347="","",COUNTA($B$4:$B347))</f>
        <v/>
      </c>
      <c r="B347" s="37"/>
      <c r="C347" s="38"/>
      <c r="D347" s="39"/>
      <c r="E347" s="37"/>
      <c r="F347" s="39"/>
      <c r="G347" s="40" t="str">
        <f aca="false">IF(OR($E347="",$F347=""),"",$E347&amp;" - RT "&amp;$F347)</f>
        <v/>
      </c>
      <c r="H347" s="37"/>
      <c r="I347" s="38"/>
      <c r="J347" s="37"/>
      <c r="K347" s="39"/>
      <c r="L347" s="41"/>
      <c r="M347" s="36" t="str">
        <f aca="true">IF(OR($B347="",$L347=""),"",DATEDIF($L347,TODAY(),"Y"))</f>
        <v/>
      </c>
      <c r="N347" s="40" t="str">
        <f aca="false">IF($M347="","",INDEX(usia_label,MATCH($M347,usia_min,1)))</f>
        <v/>
      </c>
      <c r="O347" s="37"/>
      <c r="P347" s="41"/>
      <c r="Q347" s="37"/>
      <c r="R347" s="37"/>
      <c r="S347" s="40" t="str">
        <f aca="false">IF($G347="","",$G347&amp;"#"&amp;COUNTIF($G$4:$G347,$G347))</f>
        <v/>
      </c>
      <c r="T347" s="40" t="str">
        <f aca="false">IF($B347="","",IF($C347="","NIK kosong",IF(LEN($C347)&lt;&gt;16,"NIK bukan 16 digit",IF(COUNTIF($C$4:$C$2003,$C347&amp;"*")&gt;1,"NIK ganda",IF($E347="","Kadus kosong",IF($F347="","RT kosong",IF($H347="","Jabatan kosong",IF($I347="","No. HP kosong",IF($J347="","Alamat kosong",IF(AND($M347&lt;&gt;"",$M347&lt;17),"Usia di bawah 17",""))))))))))</f>
        <v/>
      </c>
      <c r="U347" s="40" t="str">
        <f aca="false">IF($B347="","",IF(AND(OR(CARI!$C$5="",ISNUMBER(SEARCH(CARI!$C$5,$B347&amp;" "&amp;$C347&amp;" "&amp;$I347&amp;" "&amp;$J347&amp;" "&amp;$Q347))),OR(CARI!$C$6="",$E347=CARI!$C$6),OR(CARI!$C$7="",$F347=CARI!$C$7),OR(CARI!$C$8="",$O347=CARI!$C$8)),MAX($U$3:U346)+1,""))</f>
        <v/>
      </c>
      <c r="V347" s="40" t="str">
        <f aca="false">IF($T347="","",MAX($V$3:V346)+1)</f>
        <v/>
      </c>
      <c r="W347" s="40" t="str">
        <f aca="false">IF($E347="","",$E347&amp;"#"&amp;COUNTIF($E$4:$E347,$E347))</f>
        <v/>
      </c>
      <c r="X347" s="40" t="str">
        <f aca="false">IF($B347="","",IF(AND(OR(CETAK!$J$10="",$E347=CETAK!$J$10),OR(CETAK!$J$11="",$F347=CETAK!$J$11),OR(CETAK!$J$12="",$K347=CETAK!$J$12),OR(CETAK!$J$13="",$H347=CETAK!$J$13),OR(CETAK!$J$14="",$O347=CETAK!$J$14)),MAX($X$3:X346)+1,""))</f>
        <v/>
      </c>
      <c r="Y347" s="40" t="str">
        <f aca="false">IF($B347="","",IF(AND(OR(ABSENSI!$H$10="",$E347=ABSENSI!$H$10),OR(ABSENSI!$H$11="",$F347=ABSENSI!$H$11),OR(ABSENSI!$H$12="",$K347=ABSENSI!$H$12)),MAX($Y$3:Y346)+1,""))</f>
        <v/>
      </c>
      <c r="Z347" s="40" t="str">
        <f aca="false">IF($B347="","",IF(AND(OR(KARTU!$K$6="",$E347=KARTU!$K$6),OR(KARTU!$K$7="",$F347=KARTU!$K$7),OR(KARTU!$K$8="",$K347=KARTU!$K$8)),MAX($Z$3:Z346)+1,""))</f>
        <v/>
      </c>
    </row>
    <row r="348" customFormat="false" ht="15" hidden="false" customHeight="false" outlineLevel="0" collapsed="false">
      <c r="A348" s="36" t="str">
        <f aca="false">IF($B348="","",COUNTA($B$4:$B348))</f>
        <v/>
      </c>
      <c r="B348" s="37"/>
      <c r="C348" s="38"/>
      <c r="D348" s="39"/>
      <c r="E348" s="37"/>
      <c r="F348" s="39"/>
      <c r="G348" s="40" t="str">
        <f aca="false">IF(OR($E348="",$F348=""),"",$E348&amp;" - RT "&amp;$F348)</f>
        <v/>
      </c>
      <c r="H348" s="37"/>
      <c r="I348" s="38"/>
      <c r="J348" s="37"/>
      <c r="K348" s="39"/>
      <c r="L348" s="41"/>
      <c r="M348" s="36" t="str">
        <f aca="true">IF(OR($B348="",$L348=""),"",DATEDIF($L348,TODAY(),"Y"))</f>
        <v/>
      </c>
      <c r="N348" s="40" t="str">
        <f aca="false">IF($M348="","",INDEX(usia_label,MATCH($M348,usia_min,1)))</f>
        <v/>
      </c>
      <c r="O348" s="37"/>
      <c r="P348" s="41"/>
      <c r="Q348" s="37"/>
      <c r="R348" s="37"/>
      <c r="S348" s="40" t="str">
        <f aca="false">IF($G348="","",$G348&amp;"#"&amp;COUNTIF($G$4:$G348,$G348))</f>
        <v/>
      </c>
      <c r="T348" s="40" t="str">
        <f aca="false">IF($B348="","",IF($C348="","NIK kosong",IF(LEN($C348)&lt;&gt;16,"NIK bukan 16 digit",IF(COUNTIF($C$4:$C$2003,$C348&amp;"*")&gt;1,"NIK ganda",IF($E348="","Kadus kosong",IF($F348="","RT kosong",IF($H348="","Jabatan kosong",IF($I348="","No. HP kosong",IF($J348="","Alamat kosong",IF(AND($M348&lt;&gt;"",$M348&lt;17),"Usia di bawah 17",""))))))))))</f>
        <v/>
      </c>
      <c r="U348" s="40" t="str">
        <f aca="false">IF($B348="","",IF(AND(OR(CARI!$C$5="",ISNUMBER(SEARCH(CARI!$C$5,$B348&amp;" "&amp;$C348&amp;" "&amp;$I348&amp;" "&amp;$J348&amp;" "&amp;$Q348))),OR(CARI!$C$6="",$E348=CARI!$C$6),OR(CARI!$C$7="",$F348=CARI!$C$7),OR(CARI!$C$8="",$O348=CARI!$C$8)),MAX($U$3:U347)+1,""))</f>
        <v/>
      </c>
      <c r="V348" s="40" t="str">
        <f aca="false">IF($T348="","",MAX($V$3:V347)+1)</f>
        <v/>
      </c>
      <c r="W348" s="40" t="str">
        <f aca="false">IF($E348="","",$E348&amp;"#"&amp;COUNTIF($E$4:$E348,$E348))</f>
        <v/>
      </c>
      <c r="X348" s="40" t="str">
        <f aca="false">IF($B348="","",IF(AND(OR(CETAK!$J$10="",$E348=CETAK!$J$10),OR(CETAK!$J$11="",$F348=CETAK!$J$11),OR(CETAK!$J$12="",$K348=CETAK!$J$12),OR(CETAK!$J$13="",$H348=CETAK!$J$13),OR(CETAK!$J$14="",$O348=CETAK!$J$14)),MAX($X$3:X347)+1,""))</f>
        <v/>
      </c>
      <c r="Y348" s="40" t="str">
        <f aca="false">IF($B348="","",IF(AND(OR(ABSENSI!$H$10="",$E348=ABSENSI!$H$10),OR(ABSENSI!$H$11="",$F348=ABSENSI!$H$11),OR(ABSENSI!$H$12="",$K348=ABSENSI!$H$12)),MAX($Y$3:Y347)+1,""))</f>
        <v/>
      </c>
      <c r="Z348" s="40" t="str">
        <f aca="false">IF($B348="","",IF(AND(OR(KARTU!$K$6="",$E348=KARTU!$K$6),OR(KARTU!$K$7="",$F348=KARTU!$K$7),OR(KARTU!$K$8="",$K348=KARTU!$K$8)),MAX($Z$3:Z347)+1,""))</f>
        <v/>
      </c>
    </row>
    <row r="349" customFormat="false" ht="15" hidden="false" customHeight="false" outlineLevel="0" collapsed="false">
      <c r="A349" s="36" t="str">
        <f aca="false">IF($B349="","",COUNTA($B$4:$B349))</f>
        <v/>
      </c>
      <c r="B349" s="37"/>
      <c r="C349" s="38"/>
      <c r="D349" s="39"/>
      <c r="E349" s="37"/>
      <c r="F349" s="39"/>
      <c r="G349" s="40" t="str">
        <f aca="false">IF(OR($E349="",$F349=""),"",$E349&amp;" - RT "&amp;$F349)</f>
        <v/>
      </c>
      <c r="H349" s="37"/>
      <c r="I349" s="38"/>
      <c r="J349" s="37"/>
      <c r="K349" s="39"/>
      <c r="L349" s="41"/>
      <c r="M349" s="36" t="str">
        <f aca="true">IF(OR($B349="",$L349=""),"",DATEDIF($L349,TODAY(),"Y"))</f>
        <v/>
      </c>
      <c r="N349" s="40" t="str">
        <f aca="false">IF($M349="","",INDEX(usia_label,MATCH($M349,usia_min,1)))</f>
        <v/>
      </c>
      <c r="O349" s="37"/>
      <c r="P349" s="41"/>
      <c r="Q349" s="37"/>
      <c r="R349" s="37"/>
      <c r="S349" s="40" t="str">
        <f aca="false">IF($G349="","",$G349&amp;"#"&amp;COUNTIF($G$4:$G349,$G349))</f>
        <v/>
      </c>
      <c r="T349" s="40" t="str">
        <f aca="false">IF($B349="","",IF($C349="","NIK kosong",IF(LEN($C349)&lt;&gt;16,"NIK bukan 16 digit",IF(COUNTIF($C$4:$C$2003,$C349&amp;"*")&gt;1,"NIK ganda",IF($E349="","Kadus kosong",IF($F349="","RT kosong",IF($H349="","Jabatan kosong",IF($I349="","No. HP kosong",IF($J349="","Alamat kosong",IF(AND($M349&lt;&gt;"",$M349&lt;17),"Usia di bawah 17",""))))))))))</f>
        <v/>
      </c>
      <c r="U349" s="40" t="str">
        <f aca="false">IF($B349="","",IF(AND(OR(CARI!$C$5="",ISNUMBER(SEARCH(CARI!$C$5,$B349&amp;" "&amp;$C349&amp;" "&amp;$I349&amp;" "&amp;$J349&amp;" "&amp;$Q349))),OR(CARI!$C$6="",$E349=CARI!$C$6),OR(CARI!$C$7="",$F349=CARI!$C$7),OR(CARI!$C$8="",$O349=CARI!$C$8)),MAX($U$3:U348)+1,""))</f>
        <v/>
      </c>
      <c r="V349" s="40" t="str">
        <f aca="false">IF($T349="","",MAX($V$3:V348)+1)</f>
        <v/>
      </c>
      <c r="W349" s="40" t="str">
        <f aca="false">IF($E349="","",$E349&amp;"#"&amp;COUNTIF($E$4:$E349,$E349))</f>
        <v/>
      </c>
      <c r="X349" s="40" t="str">
        <f aca="false">IF($B349="","",IF(AND(OR(CETAK!$J$10="",$E349=CETAK!$J$10),OR(CETAK!$J$11="",$F349=CETAK!$J$11),OR(CETAK!$J$12="",$K349=CETAK!$J$12),OR(CETAK!$J$13="",$H349=CETAK!$J$13),OR(CETAK!$J$14="",$O349=CETAK!$J$14)),MAX($X$3:X348)+1,""))</f>
        <v/>
      </c>
      <c r="Y349" s="40" t="str">
        <f aca="false">IF($B349="","",IF(AND(OR(ABSENSI!$H$10="",$E349=ABSENSI!$H$10),OR(ABSENSI!$H$11="",$F349=ABSENSI!$H$11),OR(ABSENSI!$H$12="",$K349=ABSENSI!$H$12)),MAX($Y$3:Y348)+1,""))</f>
        <v/>
      </c>
      <c r="Z349" s="40" t="str">
        <f aca="false">IF($B349="","",IF(AND(OR(KARTU!$K$6="",$E349=KARTU!$K$6),OR(KARTU!$K$7="",$F349=KARTU!$K$7),OR(KARTU!$K$8="",$K349=KARTU!$K$8)),MAX($Z$3:Z348)+1,""))</f>
        <v/>
      </c>
    </row>
    <row r="350" customFormat="false" ht="15" hidden="false" customHeight="false" outlineLevel="0" collapsed="false">
      <c r="A350" s="36" t="str">
        <f aca="false">IF($B350="","",COUNTA($B$4:$B350))</f>
        <v/>
      </c>
      <c r="B350" s="37"/>
      <c r="C350" s="38"/>
      <c r="D350" s="39"/>
      <c r="E350" s="37"/>
      <c r="F350" s="39"/>
      <c r="G350" s="40" t="str">
        <f aca="false">IF(OR($E350="",$F350=""),"",$E350&amp;" - RT "&amp;$F350)</f>
        <v/>
      </c>
      <c r="H350" s="37"/>
      <c r="I350" s="38"/>
      <c r="J350" s="37"/>
      <c r="K350" s="39"/>
      <c r="L350" s="41"/>
      <c r="M350" s="36" t="str">
        <f aca="true">IF(OR($B350="",$L350=""),"",DATEDIF($L350,TODAY(),"Y"))</f>
        <v/>
      </c>
      <c r="N350" s="40" t="str">
        <f aca="false">IF($M350="","",INDEX(usia_label,MATCH($M350,usia_min,1)))</f>
        <v/>
      </c>
      <c r="O350" s="37"/>
      <c r="P350" s="41"/>
      <c r="Q350" s="37"/>
      <c r="R350" s="37"/>
      <c r="S350" s="40" t="str">
        <f aca="false">IF($G350="","",$G350&amp;"#"&amp;COUNTIF($G$4:$G350,$G350))</f>
        <v/>
      </c>
      <c r="T350" s="40" t="str">
        <f aca="false">IF($B350="","",IF($C350="","NIK kosong",IF(LEN($C350)&lt;&gt;16,"NIK bukan 16 digit",IF(COUNTIF($C$4:$C$2003,$C350&amp;"*")&gt;1,"NIK ganda",IF($E350="","Kadus kosong",IF($F350="","RT kosong",IF($H350="","Jabatan kosong",IF($I350="","No. HP kosong",IF($J350="","Alamat kosong",IF(AND($M350&lt;&gt;"",$M350&lt;17),"Usia di bawah 17",""))))))))))</f>
        <v/>
      </c>
      <c r="U350" s="40" t="str">
        <f aca="false">IF($B350="","",IF(AND(OR(CARI!$C$5="",ISNUMBER(SEARCH(CARI!$C$5,$B350&amp;" "&amp;$C350&amp;" "&amp;$I350&amp;" "&amp;$J350&amp;" "&amp;$Q350))),OR(CARI!$C$6="",$E350=CARI!$C$6),OR(CARI!$C$7="",$F350=CARI!$C$7),OR(CARI!$C$8="",$O350=CARI!$C$8)),MAX($U$3:U349)+1,""))</f>
        <v/>
      </c>
      <c r="V350" s="40" t="str">
        <f aca="false">IF($T350="","",MAX($V$3:V349)+1)</f>
        <v/>
      </c>
      <c r="W350" s="40" t="str">
        <f aca="false">IF($E350="","",$E350&amp;"#"&amp;COUNTIF($E$4:$E350,$E350))</f>
        <v/>
      </c>
      <c r="X350" s="40" t="str">
        <f aca="false">IF($B350="","",IF(AND(OR(CETAK!$J$10="",$E350=CETAK!$J$10),OR(CETAK!$J$11="",$F350=CETAK!$J$11),OR(CETAK!$J$12="",$K350=CETAK!$J$12),OR(CETAK!$J$13="",$H350=CETAK!$J$13),OR(CETAK!$J$14="",$O350=CETAK!$J$14)),MAX($X$3:X349)+1,""))</f>
        <v/>
      </c>
      <c r="Y350" s="40" t="str">
        <f aca="false">IF($B350="","",IF(AND(OR(ABSENSI!$H$10="",$E350=ABSENSI!$H$10),OR(ABSENSI!$H$11="",$F350=ABSENSI!$H$11),OR(ABSENSI!$H$12="",$K350=ABSENSI!$H$12)),MAX($Y$3:Y349)+1,""))</f>
        <v/>
      </c>
      <c r="Z350" s="40" t="str">
        <f aca="false">IF($B350="","",IF(AND(OR(KARTU!$K$6="",$E350=KARTU!$K$6),OR(KARTU!$K$7="",$F350=KARTU!$K$7),OR(KARTU!$K$8="",$K350=KARTU!$K$8)),MAX($Z$3:Z349)+1,""))</f>
        <v/>
      </c>
    </row>
    <row r="351" customFormat="false" ht="15" hidden="false" customHeight="false" outlineLevel="0" collapsed="false">
      <c r="A351" s="36" t="str">
        <f aca="false">IF($B351="","",COUNTA($B$4:$B351))</f>
        <v/>
      </c>
      <c r="B351" s="37"/>
      <c r="C351" s="38"/>
      <c r="D351" s="39"/>
      <c r="E351" s="37"/>
      <c r="F351" s="39"/>
      <c r="G351" s="40" t="str">
        <f aca="false">IF(OR($E351="",$F351=""),"",$E351&amp;" - RT "&amp;$F351)</f>
        <v/>
      </c>
      <c r="H351" s="37"/>
      <c r="I351" s="38"/>
      <c r="J351" s="37"/>
      <c r="K351" s="39"/>
      <c r="L351" s="41"/>
      <c r="M351" s="36" t="str">
        <f aca="true">IF(OR($B351="",$L351=""),"",DATEDIF($L351,TODAY(),"Y"))</f>
        <v/>
      </c>
      <c r="N351" s="40" t="str">
        <f aca="false">IF($M351="","",INDEX(usia_label,MATCH($M351,usia_min,1)))</f>
        <v/>
      </c>
      <c r="O351" s="37"/>
      <c r="P351" s="41"/>
      <c r="Q351" s="37"/>
      <c r="R351" s="37"/>
      <c r="S351" s="40" t="str">
        <f aca="false">IF($G351="","",$G351&amp;"#"&amp;COUNTIF($G$4:$G351,$G351))</f>
        <v/>
      </c>
      <c r="T351" s="40" t="str">
        <f aca="false">IF($B351="","",IF($C351="","NIK kosong",IF(LEN($C351)&lt;&gt;16,"NIK bukan 16 digit",IF(COUNTIF($C$4:$C$2003,$C351&amp;"*")&gt;1,"NIK ganda",IF($E351="","Kadus kosong",IF($F351="","RT kosong",IF($H351="","Jabatan kosong",IF($I351="","No. HP kosong",IF($J351="","Alamat kosong",IF(AND($M351&lt;&gt;"",$M351&lt;17),"Usia di bawah 17",""))))))))))</f>
        <v/>
      </c>
      <c r="U351" s="40" t="str">
        <f aca="false">IF($B351="","",IF(AND(OR(CARI!$C$5="",ISNUMBER(SEARCH(CARI!$C$5,$B351&amp;" "&amp;$C351&amp;" "&amp;$I351&amp;" "&amp;$J351&amp;" "&amp;$Q351))),OR(CARI!$C$6="",$E351=CARI!$C$6),OR(CARI!$C$7="",$F351=CARI!$C$7),OR(CARI!$C$8="",$O351=CARI!$C$8)),MAX($U$3:U350)+1,""))</f>
        <v/>
      </c>
      <c r="V351" s="40" t="str">
        <f aca="false">IF($T351="","",MAX($V$3:V350)+1)</f>
        <v/>
      </c>
      <c r="W351" s="40" t="str">
        <f aca="false">IF($E351="","",$E351&amp;"#"&amp;COUNTIF($E$4:$E351,$E351))</f>
        <v/>
      </c>
      <c r="X351" s="40" t="str">
        <f aca="false">IF($B351="","",IF(AND(OR(CETAK!$J$10="",$E351=CETAK!$J$10),OR(CETAK!$J$11="",$F351=CETAK!$J$11),OR(CETAK!$J$12="",$K351=CETAK!$J$12),OR(CETAK!$J$13="",$H351=CETAK!$J$13),OR(CETAK!$J$14="",$O351=CETAK!$J$14)),MAX($X$3:X350)+1,""))</f>
        <v/>
      </c>
      <c r="Y351" s="40" t="str">
        <f aca="false">IF($B351="","",IF(AND(OR(ABSENSI!$H$10="",$E351=ABSENSI!$H$10),OR(ABSENSI!$H$11="",$F351=ABSENSI!$H$11),OR(ABSENSI!$H$12="",$K351=ABSENSI!$H$12)),MAX($Y$3:Y350)+1,""))</f>
        <v/>
      </c>
      <c r="Z351" s="40" t="str">
        <f aca="false">IF($B351="","",IF(AND(OR(KARTU!$K$6="",$E351=KARTU!$K$6),OR(KARTU!$K$7="",$F351=KARTU!$K$7),OR(KARTU!$K$8="",$K351=KARTU!$K$8)),MAX($Z$3:Z350)+1,""))</f>
        <v/>
      </c>
    </row>
    <row r="352" customFormat="false" ht="15" hidden="false" customHeight="false" outlineLevel="0" collapsed="false">
      <c r="A352" s="36" t="str">
        <f aca="false">IF($B352="","",COUNTA($B$4:$B352))</f>
        <v/>
      </c>
      <c r="B352" s="37"/>
      <c r="C352" s="38"/>
      <c r="D352" s="39"/>
      <c r="E352" s="37"/>
      <c r="F352" s="39"/>
      <c r="G352" s="40" t="str">
        <f aca="false">IF(OR($E352="",$F352=""),"",$E352&amp;" - RT "&amp;$F352)</f>
        <v/>
      </c>
      <c r="H352" s="37"/>
      <c r="I352" s="38"/>
      <c r="J352" s="37"/>
      <c r="K352" s="39"/>
      <c r="L352" s="41"/>
      <c r="M352" s="36" t="str">
        <f aca="true">IF(OR($B352="",$L352=""),"",DATEDIF($L352,TODAY(),"Y"))</f>
        <v/>
      </c>
      <c r="N352" s="40" t="str">
        <f aca="false">IF($M352="","",INDEX(usia_label,MATCH($M352,usia_min,1)))</f>
        <v/>
      </c>
      <c r="O352" s="37"/>
      <c r="P352" s="41"/>
      <c r="Q352" s="37"/>
      <c r="R352" s="37"/>
      <c r="S352" s="40" t="str">
        <f aca="false">IF($G352="","",$G352&amp;"#"&amp;COUNTIF($G$4:$G352,$G352))</f>
        <v/>
      </c>
      <c r="T352" s="40" t="str">
        <f aca="false">IF($B352="","",IF($C352="","NIK kosong",IF(LEN($C352)&lt;&gt;16,"NIK bukan 16 digit",IF(COUNTIF($C$4:$C$2003,$C352&amp;"*")&gt;1,"NIK ganda",IF($E352="","Kadus kosong",IF($F352="","RT kosong",IF($H352="","Jabatan kosong",IF($I352="","No. HP kosong",IF($J352="","Alamat kosong",IF(AND($M352&lt;&gt;"",$M352&lt;17),"Usia di bawah 17",""))))))))))</f>
        <v/>
      </c>
      <c r="U352" s="40" t="str">
        <f aca="false">IF($B352="","",IF(AND(OR(CARI!$C$5="",ISNUMBER(SEARCH(CARI!$C$5,$B352&amp;" "&amp;$C352&amp;" "&amp;$I352&amp;" "&amp;$J352&amp;" "&amp;$Q352))),OR(CARI!$C$6="",$E352=CARI!$C$6),OR(CARI!$C$7="",$F352=CARI!$C$7),OR(CARI!$C$8="",$O352=CARI!$C$8)),MAX($U$3:U351)+1,""))</f>
        <v/>
      </c>
      <c r="V352" s="40" t="str">
        <f aca="false">IF($T352="","",MAX($V$3:V351)+1)</f>
        <v/>
      </c>
      <c r="W352" s="40" t="str">
        <f aca="false">IF($E352="","",$E352&amp;"#"&amp;COUNTIF($E$4:$E352,$E352))</f>
        <v/>
      </c>
      <c r="X352" s="40" t="str">
        <f aca="false">IF($B352="","",IF(AND(OR(CETAK!$J$10="",$E352=CETAK!$J$10),OR(CETAK!$J$11="",$F352=CETAK!$J$11),OR(CETAK!$J$12="",$K352=CETAK!$J$12),OR(CETAK!$J$13="",$H352=CETAK!$J$13),OR(CETAK!$J$14="",$O352=CETAK!$J$14)),MAX($X$3:X351)+1,""))</f>
        <v/>
      </c>
      <c r="Y352" s="40" t="str">
        <f aca="false">IF($B352="","",IF(AND(OR(ABSENSI!$H$10="",$E352=ABSENSI!$H$10),OR(ABSENSI!$H$11="",$F352=ABSENSI!$H$11),OR(ABSENSI!$H$12="",$K352=ABSENSI!$H$12)),MAX($Y$3:Y351)+1,""))</f>
        <v/>
      </c>
      <c r="Z352" s="40" t="str">
        <f aca="false">IF($B352="","",IF(AND(OR(KARTU!$K$6="",$E352=KARTU!$K$6),OR(KARTU!$K$7="",$F352=KARTU!$K$7),OR(KARTU!$K$8="",$K352=KARTU!$K$8)),MAX($Z$3:Z351)+1,""))</f>
        <v/>
      </c>
    </row>
    <row r="353" customFormat="false" ht="15" hidden="false" customHeight="false" outlineLevel="0" collapsed="false">
      <c r="A353" s="36" t="str">
        <f aca="false">IF($B353="","",COUNTA($B$4:$B353))</f>
        <v/>
      </c>
      <c r="B353" s="37"/>
      <c r="C353" s="38"/>
      <c r="D353" s="39"/>
      <c r="E353" s="37"/>
      <c r="F353" s="39"/>
      <c r="G353" s="40" t="str">
        <f aca="false">IF(OR($E353="",$F353=""),"",$E353&amp;" - RT "&amp;$F353)</f>
        <v/>
      </c>
      <c r="H353" s="37"/>
      <c r="I353" s="38"/>
      <c r="J353" s="37"/>
      <c r="K353" s="39"/>
      <c r="L353" s="41"/>
      <c r="M353" s="36" t="str">
        <f aca="true">IF(OR($B353="",$L353=""),"",DATEDIF($L353,TODAY(),"Y"))</f>
        <v/>
      </c>
      <c r="N353" s="40" t="str">
        <f aca="false">IF($M353="","",INDEX(usia_label,MATCH($M353,usia_min,1)))</f>
        <v/>
      </c>
      <c r="O353" s="37"/>
      <c r="P353" s="41"/>
      <c r="Q353" s="37"/>
      <c r="R353" s="37"/>
      <c r="S353" s="40" t="str">
        <f aca="false">IF($G353="","",$G353&amp;"#"&amp;COUNTIF($G$4:$G353,$G353))</f>
        <v/>
      </c>
      <c r="T353" s="40" t="str">
        <f aca="false">IF($B353="","",IF($C353="","NIK kosong",IF(LEN($C353)&lt;&gt;16,"NIK bukan 16 digit",IF(COUNTIF($C$4:$C$2003,$C353&amp;"*")&gt;1,"NIK ganda",IF($E353="","Kadus kosong",IF($F353="","RT kosong",IF($H353="","Jabatan kosong",IF($I353="","No. HP kosong",IF($J353="","Alamat kosong",IF(AND($M353&lt;&gt;"",$M353&lt;17),"Usia di bawah 17",""))))))))))</f>
        <v/>
      </c>
      <c r="U353" s="40" t="str">
        <f aca="false">IF($B353="","",IF(AND(OR(CARI!$C$5="",ISNUMBER(SEARCH(CARI!$C$5,$B353&amp;" "&amp;$C353&amp;" "&amp;$I353&amp;" "&amp;$J353&amp;" "&amp;$Q353))),OR(CARI!$C$6="",$E353=CARI!$C$6),OR(CARI!$C$7="",$F353=CARI!$C$7),OR(CARI!$C$8="",$O353=CARI!$C$8)),MAX($U$3:U352)+1,""))</f>
        <v/>
      </c>
      <c r="V353" s="40" t="str">
        <f aca="false">IF($T353="","",MAX($V$3:V352)+1)</f>
        <v/>
      </c>
      <c r="W353" s="40" t="str">
        <f aca="false">IF($E353="","",$E353&amp;"#"&amp;COUNTIF($E$4:$E353,$E353))</f>
        <v/>
      </c>
      <c r="X353" s="40" t="str">
        <f aca="false">IF($B353="","",IF(AND(OR(CETAK!$J$10="",$E353=CETAK!$J$10),OR(CETAK!$J$11="",$F353=CETAK!$J$11),OR(CETAK!$J$12="",$K353=CETAK!$J$12),OR(CETAK!$J$13="",$H353=CETAK!$J$13),OR(CETAK!$J$14="",$O353=CETAK!$J$14)),MAX($X$3:X352)+1,""))</f>
        <v/>
      </c>
      <c r="Y353" s="40" t="str">
        <f aca="false">IF($B353="","",IF(AND(OR(ABSENSI!$H$10="",$E353=ABSENSI!$H$10),OR(ABSENSI!$H$11="",$F353=ABSENSI!$H$11),OR(ABSENSI!$H$12="",$K353=ABSENSI!$H$12)),MAX($Y$3:Y352)+1,""))</f>
        <v/>
      </c>
      <c r="Z353" s="40" t="str">
        <f aca="false">IF($B353="","",IF(AND(OR(KARTU!$K$6="",$E353=KARTU!$K$6),OR(KARTU!$K$7="",$F353=KARTU!$K$7),OR(KARTU!$K$8="",$K353=KARTU!$K$8)),MAX($Z$3:Z352)+1,""))</f>
        <v/>
      </c>
    </row>
    <row r="354" customFormat="false" ht="15" hidden="false" customHeight="false" outlineLevel="0" collapsed="false">
      <c r="A354" s="36" t="str">
        <f aca="false">IF($B354="","",COUNTA($B$4:$B354))</f>
        <v/>
      </c>
      <c r="B354" s="37"/>
      <c r="C354" s="38"/>
      <c r="D354" s="39"/>
      <c r="E354" s="37"/>
      <c r="F354" s="39"/>
      <c r="G354" s="40" t="str">
        <f aca="false">IF(OR($E354="",$F354=""),"",$E354&amp;" - RT "&amp;$F354)</f>
        <v/>
      </c>
      <c r="H354" s="37"/>
      <c r="I354" s="38"/>
      <c r="J354" s="37"/>
      <c r="K354" s="39"/>
      <c r="L354" s="41"/>
      <c r="M354" s="36" t="str">
        <f aca="true">IF(OR($B354="",$L354=""),"",DATEDIF($L354,TODAY(),"Y"))</f>
        <v/>
      </c>
      <c r="N354" s="40" t="str">
        <f aca="false">IF($M354="","",INDEX(usia_label,MATCH($M354,usia_min,1)))</f>
        <v/>
      </c>
      <c r="O354" s="37"/>
      <c r="P354" s="41"/>
      <c r="Q354" s="37"/>
      <c r="R354" s="37"/>
      <c r="S354" s="40" t="str">
        <f aca="false">IF($G354="","",$G354&amp;"#"&amp;COUNTIF($G$4:$G354,$G354))</f>
        <v/>
      </c>
      <c r="T354" s="40" t="str">
        <f aca="false">IF($B354="","",IF($C354="","NIK kosong",IF(LEN($C354)&lt;&gt;16,"NIK bukan 16 digit",IF(COUNTIF($C$4:$C$2003,$C354&amp;"*")&gt;1,"NIK ganda",IF($E354="","Kadus kosong",IF($F354="","RT kosong",IF($H354="","Jabatan kosong",IF($I354="","No. HP kosong",IF($J354="","Alamat kosong",IF(AND($M354&lt;&gt;"",$M354&lt;17),"Usia di bawah 17",""))))))))))</f>
        <v/>
      </c>
      <c r="U354" s="40" t="str">
        <f aca="false">IF($B354="","",IF(AND(OR(CARI!$C$5="",ISNUMBER(SEARCH(CARI!$C$5,$B354&amp;" "&amp;$C354&amp;" "&amp;$I354&amp;" "&amp;$J354&amp;" "&amp;$Q354))),OR(CARI!$C$6="",$E354=CARI!$C$6),OR(CARI!$C$7="",$F354=CARI!$C$7),OR(CARI!$C$8="",$O354=CARI!$C$8)),MAX($U$3:U353)+1,""))</f>
        <v/>
      </c>
      <c r="V354" s="40" t="str">
        <f aca="false">IF($T354="","",MAX($V$3:V353)+1)</f>
        <v/>
      </c>
      <c r="W354" s="40" t="str">
        <f aca="false">IF($E354="","",$E354&amp;"#"&amp;COUNTIF($E$4:$E354,$E354))</f>
        <v/>
      </c>
      <c r="X354" s="40" t="str">
        <f aca="false">IF($B354="","",IF(AND(OR(CETAK!$J$10="",$E354=CETAK!$J$10),OR(CETAK!$J$11="",$F354=CETAK!$J$11),OR(CETAK!$J$12="",$K354=CETAK!$J$12),OR(CETAK!$J$13="",$H354=CETAK!$J$13),OR(CETAK!$J$14="",$O354=CETAK!$J$14)),MAX($X$3:X353)+1,""))</f>
        <v/>
      </c>
      <c r="Y354" s="40" t="str">
        <f aca="false">IF($B354="","",IF(AND(OR(ABSENSI!$H$10="",$E354=ABSENSI!$H$10),OR(ABSENSI!$H$11="",$F354=ABSENSI!$H$11),OR(ABSENSI!$H$12="",$K354=ABSENSI!$H$12)),MAX($Y$3:Y353)+1,""))</f>
        <v/>
      </c>
      <c r="Z354" s="40" t="str">
        <f aca="false">IF($B354="","",IF(AND(OR(KARTU!$K$6="",$E354=KARTU!$K$6),OR(KARTU!$K$7="",$F354=KARTU!$K$7),OR(KARTU!$K$8="",$K354=KARTU!$K$8)),MAX($Z$3:Z353)+1,""))</f>
        <v/>
      </c>
    </row>
    <row r="355" customFormat="false" ht="15" hidden="false" customHeight="false" outlineLevel="0" collapsed="false">
      <c r="A355" s="36" t="str">
        <f aca="false">IF($B355="","",COUNTA($B$4:$B355))</f>
        <v/>
      </c>
      <c r="B355" s="37"/>
      <c r="C355" s="38"/>
      <c r="D355" s="39"/>
      <c r="E355" s="37"/>
      <c r="F355" s="39"/>
      <c r="G355" s="40" t="str">
        <f aca="false">IF(OR($E355="",$F355=""),"",$E355&amp;" - RT "&amp;$F355)</f>
        <v/>
      </c>
      <c r="H355" s="37"/>
      <c r="I355" s="38"/>
      <c r="J355" s="37"/>
      <c r="K355" s="39"/>
      <c r="L355" s="41"/>
      <c r="M355" s="36" t="str">
        <f aca="true">IF(OR($B355="",$L355=""),"",DATEDIF($L355,TODAY(),"Y"))</f>
        <v/>
      </c>
      <c r="N355" s="40" t="str">
        <f aca="false">IF($M355="","",INDEX(usia_label,MATCH($M355,usia_min,1)))</f>
        <v/>
      </c>
      <c r="O355" s="37"/>
      <c r="P355" s="41"/>
      <c r="Q355" s="37"/>
      <c r="R355" s="37"/>
      <c r="S355" s="40" t="str">
        <f aca="false">IF($G355="","",$G355&amp;"#"&amp;COUNTIF($G$4:$G355,$G355))</f>
        <v/>
      </c>
      <c r="T355" s="40" t="str">
        <f aca="false">IF($B355="","",IF($C355="","NIK kosong",IF(LEN($C355)&lt;&gt;16,"NIK bukan 16 digit",IF(COUNTIF($C$4:$C$2003,$C355&amp;"*")&gt;1,"NIK ganda",IF($E355="","Kadus kosong",IF($F355="","RT kosong",IF($H355="","Jabatan kosong",IF($I355="","No. HP kosong",IF($J355="","Alamat kosong",IF(AND($M355&lt;&gt;"",$M355&lt;17),"Usia di bawah 17",""))))))))))</f>
        <v/>
      </c>
      <c r="U355" s="40" t="str">
        <f aca="false">IF($B355="","",IF(AND(OR(CARI!$C$5="",ISNUMBER(SEARCH(CARI!$C$5,$B355&amp;" "&amp;$C355&amp;" "&amp;$I355&amp;" "&amp;$J355&amp;" "&amp;$Q355))),OR(CARI!$C$6="",$E355=CARI!$C$6),OR(CARI!$C$7="",$F355=CARI!$C$7),OR(CARI!$C$8="",$O355=CARI!$C$8)),MAX($U$3:U354)+1,""))</f>
        <v/>
      </c>
      <c r="V355" s="40" t="str">
        <f aca="false">IF($T355="","",MAX($V$3:V354)+1)</f>
        <v/>
      </c>
      <c r="W355" s="40" t="str">
        <f aca="false">IF($E355="","",$E355&amp;"#"&amp;COUNTIF($E$4:$E355,$E355))</f>
        <v/>
      </c>
      <c r="X355" s="40" t="str">
        <f aca="false">IF($B355="","",IF(AND(OR(CETAK!$J$10="",$E355=CETAK!$J$10),OR(CETAK!$J$11="",$F355=CETAK!$J$11),OR(CETAK!$J$12="",$K355=CETAK!$J$12),OR(CETAK!$J$13="",$H355=CETAK!$J$13),OR(CETAK!$J$14="",$O355=CETAK!$J$14)),MAX($X$3:X354)+1,""))</f>
        <v/>
      </c>
      <c r="Y355" s="40" t="str">
        <f aca="false">IF($B355="","",IF(AND(OR(ABSENSI!$H$10="",$E355=ABSENSI!$H$10),OR(ABSENSI!$H$11="",$F355=ABSENSI!$H$11),OR(ABSENSI!$H$12="",$K355=ABSENSI!$H$12)),MAX($Y$3:Y354)+1,""))</f>
        <v/>
      </c>
      <c r="Z355" s="40" t="str">
        <f aca="false">IF($B355="","",IF(AND(OR(KARTU!$K$6="",$E355=KARTU!$K$6),OR(KARTU!$K$7="",$F355=KARTU!$K$7),OR(KARTU!$K$8="",$K355=KARTU!$K$8)),MAX($Z$3:Z354)+1,""))</f>
        <v/>
      </c>
    </row>
    <row r="356" customFormat="false" ht="15" hidden="false" customHeight="false" outlineLevel="0" collapsed="false">
      <c r="A356" s="36" t="str">
        <f aca="false">IF($B356="","",COUNTA($B$4:$B356))</f>
        <v/>
      </c>
      <c r="B356" s="37"/>
      <c r="C356" s="38"/>
      <c r="D356" s="39"/>
      <c r="E356" s="37"/>
      <c r="F356" s="39"/>
      <c r="G356" s="40" t="str">
        <f aca="false">IF(OR($E356="",$F356=""),"",$E356&amp;" - RT "&amp;$F356)</f>
        <v/>
      </c>
      <c r="H356" s="37"/>
      <c r="I356" s="38"/>
      <c r="J356" s="37"/>
      <c r="K356" s="39"/>
      <c r="L356" s="41"/>
      <c r="M356" s="36" t="str">
        <f aca="true">IF(OR($B356="",$L356=""),"",DATEDIF($L356,TODAY(),"Y"))</f>
        <v/>
      </c>
      <c r="N356" s="40" t="str">
        <f aca="false">IF($M356="","",INDEX(usia_label,MATCH($M356,usia_min,1)))</f>
        <v/>
      </c>
      <c r="O356" s="37"/>
      <c r="P356" s="41"/>
      <c r="Q356" s="37"/>
      <c r="R356" s="37"/>
      <c r="S356" s="40" t="str">
        <f aca="false">IF($G356="","",$G356&amp;"#"&amp;COUNTIF($G$4:$G356,$G356))</f>
        <v/>
      </c>
      <c r="T356" s="40" t="str">
        <f aca="false">IF($B356="","",IF($C356="","NIK kosong",IF(LEN($C356)&lt;&gt;16,"NIK bukan 16 digit",IF(COUNTIF($C$4:$C$2003,$C356&amp;"*")&gt;1,"NIK ganda",IF($E356="","Kadus kosong",IF($F356="","RT kosong",IF($H356="","Jabatan kosong",IF($I356="","No. HP kosong",IF($J356="","Alamat kosong",IF(AND($M356&lt;&gt;"",$M356&lt;17),"Usia di bawah 17",""))))))))))</f>
        <v/>
      </c>
      <c r="U356" s="40" t="str">
        <f aca="false">IF($B356="","",IF(AND(OR(CARI!$C$5="",ISNUMBER(SEARCH(CARI!$C$5,$B356&amp;" "&amp;$C356&amp;" "&amp;$I356&amp;" "&amp;$J356&amp;" "&amp;$Q356))),OR(CARI!$C$6="",$E356=CARI!$C$6),OR(CARI!$C$7="",$F356=CARI!$C$7),OR(CARI!$C$8="",$O356=CARI!$C$8)),MAX($U$3:U355)+1,""))</f>
        <v/>
      </c>
      <c r="V356" s="40" t="str">
        <f aca="false">IF($T356="","",MAX($V$3:V355)+1)</f>
        <v/>
      </c>
      <c r="W356" s="40" t="str">
        <f aca="false">IF($E356="","",$E356&amp;"#"&amp;COUNTIF($E$4:$E356,$E356))</f>
        <v/>
      </c>
      <c r="X356" s="40" t="str">
        <f aca="false">IF($B356="","",IF(AND(OR(CETAK!$J$10="",$E356=CETAK!$J$10),OR(CETAK!$J$11="",$F356=CETAK!$J$11),OR(CETAK!$J$12="",$K356=CETAK!$J$12),OR(CETAK!$J$13="",$H356=CETAK!$J$13),OR(CETAK!$J$14="",$O356=CETAK!$J$14)),MAX($X$3:X355)+1,""))</f>
        <v/>
      </c>
      <c r="Y356" s="40" t="str">
        <f aca="false">IF($B356="","",IF(AND(OR(ABSENSI!$H$10="",$E356=ABSENSI!$H$10),OR(ABSENSI!$H$11="",$F356=ABSENSI!$H$11),OR(ABSENSI!$H$12="",$K356=ABSENSI!$H$12)),MAX($Y$3:Y355)+1,""))</f>
        <v/>
      </c>
      <c r="Z356" s="40" t="str">
        <f aca="false">IF($B356="","",IF(AND(OR(KARTU!$K$6="",$E356=KARTU!$K$6),OR(KARTU!$K$7="",$F356=KARTU!$K$7),OR(KARTU!$K$8="",$K356=KARTU!$K$8)),MAX($Z$3:Z355)+1,""))</f>
        <v/>
      </c>
    </row>
    <row r="357" customFormat="false" ht="15" hidden="false" customHeight="false" outlineLevel="0" collapsed="false">
      <c r="A357" s="36" t="str">
        <f aca="false">IF($B357="","",COUNTA($B$4:$B357))</f>
        <v/>
      </c>
      <c r="B357" s="37"/>
      <c r="C357" s="38"/>
      <c r="D357" s="39"/>
      <c r="E357" s="37"/>
      <c r="F357" s="39"/>
      <c r="G357" s="40" t="str">
        <f aca="false">IF(OR($E357="",$F357=""),"",$E357&amp;" - RT "&amp;$F357)</f>
        <v/>
      </c>
      <c r="H357" s="37"/>
      <c r="I357" s="38"/>
      <c r="J357" s="37"/>
      <c r="K357" s="39"/>
      <c r="L357" s="41"/>
      <c r="M357" s="36" t="str">
        <f aca="true">IF(OR($B357="",$L357=""),"",DATEDIF($L357,TODAY(),"Y"))</f>
        <v/>
      </c>
      <c r="N357" s="40" t="str">
        <f aca="false">IF($M357="","",INDEX(usia_label,MATCH($M357,usia_min,1)))</f>
        <v/>
      </c>
      <c r="O357" s="37"/>
      <c r="P357" s="41"/>
      <c r="Q357" s="37"/>
      <c r="R357" s="37"/>
      <c r="S357" s="40" t="str">
        <f aca="false">IF($G357="","",$G357&amp;"#"&amp;COUNTIF($G$4:$G357,$G357))</f>
        <v/>
      </c>
      <c r="T357" s="40" t="str">
        <f aca="false">IF($B357="","",IF($C357="","NIK kosong",IF(LEN($C357)&lt;&gt;16,"NIK bukan 16 digit",IF(COUNTIF($C$4:$C$2003,$C357&amp;"*")&gt;1,"NIK ganda",IF($E357="","Kadus kosong",IF($F357="","RT kosong",IF($H357="","Jabatan kosong",IF($I357="","No. HP kosong",IF($J357="","Alamat kosong",IF(AND($M357&lt;&gt;"",$M357&lt;17),"Usia di bawah 17",""))))))))))</f>
        <v/>
      </c>
      <c r="U357" s="40" t="str">
        <f aca="false">IF($B357="","",IF(AND(OR(CARI!$C$5="",ISNUMBER(SEARCH(CARI!$C$5,$B357&amp;" "&amp;$C357&amp;" "&amp;$I357&amp;" "&amp;$J357&amp;" "&amp;$Q357))),OR(CARI!$C$6="",$E357=CARI!$C$6),OR(CARI!$C$7="",$F357=CARI!$C$7),OR(CARI!$C$8="",$O357=CARI!$C$8)),MAX($U$3:U356)+1,""))</f>
        <v/>
      </c>
      <c r="V357" s="40" t="str">
        <f aca="false">IF($T357="","",MAX($V$3:V356)+1)</f>
        <v/>
      </c>
      <c r="W357" s="40" t="str">
        <f aca="false">IF($E357="","",$E357&amp;"#"&amp;COUNTIF($E$4:$E357,$E357))</f>
        <v/>
      </c>
      <c r="X357" s="40" t="str">
        <f aca="false">IF($B357="","",IF(AND(OR(CETAK!$J$10="",$E357=CETAK!$J$10),OR(CETAK!$J$11="",$F357=CETAK!$J$11),OR(CETAK!$J$12="",$K357=CETAK!$J$12),OR(CETAK!$J$13="",$H357=CETAK!$J$13),OR(CETAK!$J$14="",$O357=CETAK!$J$14)),MAX($X$3:X356)+1,""))</f>
        <v/>
      </c>
      <c r="Y357" s="40" t="str">
        <f aca="false">IF($B357="","",IF(AND(OR(ABSENSI!$H$10="",$E357=ABSENSI!$H$10),OR(ABSENSI!$H$11="",$F357=ABSENSI!$H$11),OR(ABSENSI!$H$12="",$K357=ABSENSI!$H$12)),MAX($Y$3:Y356)+1,""))</f>
        <v/>
      </c>
      <c r="Z357" s="40" t="str">
        <f aca="false">IF($B357="","",IF(AND(OR(KARTU!$K$6="",$E357=KARTU!$K$6),OR(KARTU!$K$7="",$F357=KARTU!$K$7),OR(KARTU!$K$8="",$K357=KARTU!$K$8)),MAX($Z$3:Z356)+1,""))</f>
        <v/>
      </c>
    </row>
    <row r="358" customFormat="false" ht="15" hidden="false" customHeight="false" outlineLevel="0" collapsed="false">
      <c r="A358" s="36" t="str">
        <f aca="false">IF($B358="","",COUNTA($B$4:$B358))</f>
        <v/>
      </c>
      <c r="B358" s="37"/>
      <c r="C358" s="38"/>
      <c r="D358" s="39"/>
      <c r="E358" s="37"/>
      <c r="F358" s="39"/>
      <c r="G358" s="40" t="str">
        <f aca="false">IF(OR($E358="",$F358=""),"",$E358&amp;" - RT "&amp;$F358)</f>
        <v/>
      </c>
      <c r="H358" s="37"/>
      <c r="I358" s="38"/>
      <c r="J358" s="37"/>
      <c r="K358" s="39"/>
      <c r="L358" s="41"/>
      <c r="M358" s="36" t="str">
        <f aca="true">IF(OR($B358="",$L358=""),"",DATEDIF($L358,TODAY(),"Y"))</f>
        <v/>
      </c>
      <c r="N358" s="40" t="str">
        <f aca="false">IF($M358="","",INDEX(usia_label,MATCH($M358,usia_min,1)))</f>
        <v/>
      </c>
      <c r="O358" s="37"/>
      <c r="P358" s="41"/>
      <c r="Q358" s="37"/>
      <c r="R358" s="37"/>
      <c r="S358" s="40" t="str">
        <f aca="false">IF($G358="","",$G358&amp;"#"&amp;COUNTIF($G$4:$G358,$G358))</f>
        <v/>
      </c>
      <c r="T358" s="40" t="str">
        <f aca="false">IF($B358="","",IF($C358="","NIK kosong",IF(LEN($C358)&lt;&gt;16,"NIK bukan 16 digit",IF(COUNTIF($C$4:$C$2003,$C358&amp;"*")&gt;1,"NIK ganda",IF($E358="","Kadus kosong",IF($F358="","RT kosong",IF($H358="","Jabatan kosong",IF($I358="","No. HP kosong",IF($J358="","Alamat kosong",IF(AND($M358&lt;&gt;"",$M358&lt;17),"Usia di bawah 17",""))))))))))</f>
        <v/>
      </c>
      <c r="U358" s="40" t="str">
        <f aca="false">IF($B358="","",IF(AND(OR(CARI!$C$5="",ISNUMBER(SEARCH(CARI!$C$5,$B358&amp;" "&amp;$C358&amp;" "&amp;$I358&amp;" "&amp;$J358&amp;" "&amp;$Q358))),OR(CARI!$C$6="",$E358=CARI!$C$6),OR(CARI!$C$7="",$F358=CARI!$C$7),OR(CARI!$C$8="",$O358=CARI!$C$8)),MAX($U$3:U357)+1,""))</f>
        <v/>
      </c>
      <c r="V358" s="40" t="str">
        <f aca="false">IF($T358="","",MAX($V$3:V357)+1)</f>
        <v/>
      </c>
      <c r="W358" s="40" t="str">
        <f aca="false">IF($E358="","",$E358&amp;"#"&amp;COUNTIF($E$4:$E358,$E358))</f>
        <v/>
      </c>
      <c r="X358" s="40" t="str">
        <f aca="false">IF($B358="","",IF(AND(OR(CETAK!$J$10="",$E358=CETAK!$J$10),OR(CETAK!$J$11="",$F358=CETAK!$J$11),OR(CETAK!$J$12="",$K358=CETAK!$J$12),OR(CETAK!$J$13="",$H358=CETAK!$J$13),OR(CETAK!$J$14="",$O358=CETAK!$J$14)),MAX($X$3:X357)+1,""))</f>
        <v/>
      </c>
      <c r="Y358" s="40" t="str">
        <f aca="false">IF($B358="","",IF(AND(OR(ABSENSI!$H$10="",$E358=ABSENSI!$H$10),OR(ABSENSI!$H$11="",$F358=ABSENSI!$H$11),OR(ABSENSI!$H$12="",$K358=ABSENSI!$H$12)),MAX($Y$3:Y357)+1,""))</f>
        <v/>
      </c>
      <c r="Z358" s="40" t="str">
        <f aca="false">IF($B358="","",IF(AND(OR(KARTU!$K$6="",$E358=KARTU!$K$6),OR(KARTU!$K$7="",$F358=KARTU!$K$7),OR(KARTU!$K$8="",$K358=KARTU!$K$8)),MAX($Z$3:Z357)+1,""))</f>
        <v/>
      </c>
    </row>
    <row r="359" customFormat="false" ht="15" hidden="false" customHeight="false" outlineLevel="0" collapsed="false">
      <c r="A359" s="36" t="str">
        <f aca="false">IF($B359="","",COUNTA($B$4:$B359))</f>
        <v/>
      </c>
      <c r="B359" s="37"/>
      <c r="C359" s="38"/>
      <c r="D359" s="39"/>
      <c r="E359" s="37"/>
      <c r="F359" s="39"/>
      <c r="G359" s="40" t="str">
        <f aca="false">IF(OR($E359="",$F359=""),"",$E359&amp;" - RT "&amp;$F359)</f>
        <v/>
      </c>
      <c r="H359" s="37"/>
      <c r="I359" s="38"/>
      <c r="J359" s="37"/>
      <c r="K359" s="39"/>
      <c r="L359" s="41"/>
      <c r="M359" s="36" t="str">
        <f aca="true">IF(OR($B359="",$L359=""),"",DATEDIF($L359,TODAY(),"Y"))</f>
        <v/>
      </c>
      <c r="N359" s="40" t="str">
        <f aca="false">IF($M359="","",INDEX(usia_label,MATCH($M359,usia_min,1)))</f>
        <v/>
      </c>
      <c r="O359" s="37"/>
      <c r="P359" s="41"/>
      <c r="Q359" s="37"/>
      <c r="R359" s="37"/>
      <c r="S359" s="40" t="str">
        <f aca="false">IF($G359="","",$G359&amp;"#"&amp;COUNTIF($G$4:$G359,$G359))</f>
        <v/>
      </c>
      <c r="T359" s="40" t="str">
        <f aca="false">IF($B359="","",IF($C359="","NIK kosong",IF(LEN($C359)&lt;&gt;16,"NIK bukan 16 digit",IF(COUNTIF($C$4:$C$2003,$C359&amp;"*")&gt;1,"NIK ganda",IF($E359="","Kadus kosong",IF($F359="","RT kosong",IF($H359="","Jabatan kosong",IF($I359="","No. HP kosong",IF($J359="","Alamat kosong",IF(AND($M359&lt;&gt;"",$M359&lt;17),"Usia di bawah 17",""))))))))))</f>
        <v/>
      </c>
      <c r="U359" s="40" t="str">
        <f aca="false">IF($B359="","",IF(AND(OR(CARI!$C$5="",ISNUMBER(SEARCH(CARI!$C$5,$B359&amp;" "&amp;$C359&amp;" "&amp;$I359&amp;" "&amp;$J359&amp;" "&amp;$Q359))),OR(CARI!$C$6="",$E359=CARI!$C$6),OR(CARI!$C$7="",$F359=CARI!$C$7),OR(CARI!$C$8="",$O359=CARI!$C$8)),MAX($U$3:U358)+1,""))</f>
        <v/>
      </c>
      <c r="V359" s="40" t="str">
        <f aca="false">IF($T359="","",MAX($V$3:V358)+1)</f>
        <v/>
      </c>
      <c r="W359" s="40" t="str">
        <f aca="false">IF($E359="","",$E359&amp;"#"&amp;COUNTIF($E$4:$E359,$E359))</f>
        <v/>
      </c>
      <c r="X359" s="40" t="str">
        <f aca="false">IF($B359="","",IF(AND(OR(CETAK!$J$10="",$E359=CETAK!$J$10),OR(CETAK!$J$11="",$F359=CETAK!$J$11),OR(CETAK!$J$12="",$K359=CETAK!$J$12),OR(CETAK!$J$13="",$H359=CETAK!$J$13),OR(CETAK!$J$14="",$O359=CETAK!$J$14)),MAX($X$3:X358)+1,""))</f>
        <v/>
      </c>
      <c r="Y359" s="40" t="str">
        <f aca="false">IF($B359="","",IF(AND(OR(ABSENSI!$H$10="",$E359=ABSENSI!$H$10),OR(ABSENSI!$H$11="",$F359=ABSENSI!$H$11),OR(ABSENSI!$H$12="",$K359=ABSENSI!$H$12)),MAX($Y$3:Y358)+1,""))</f>
        <v/>
      </c>
      <c r="Z359" s="40" t="str">
        <f aca="false">IF($B359="","",IF(AND(OR(KARTU!$K$6="",$E359=KARTU!$K$6),OR(KARTU!$K$7="",$F359=KARTU!$K$7),OR(KARTU!$K$8="",$K359=KARTU!$K$8)),MAX($Z$3:Z358)+1,""))</f>
        <v/>
      </c>
    </row>
    <row r="360" customFormat="false" ht="15" hidden="false" customHeight="false" outlineLevel="0" collapsed="false">
      <c r="A360" s="36" t="str">
        <f aca="false">IF($B360="","",COUNTA($B$4:$B360))</f>
        <v/>
      </c>
      <c r="B360" s="37"/>
      <c r="C360" s="38"/>
      <c r="D360" s="39"/>
      <c r="E360" s="37"/>
      <c r="F360" s="39"/>
      <c r="G360" s="40" t="str">
        <f aca="false">IF(OR($E360="",$F360=""),"",$E360&amp;" - RT "&amp;$F360)</f>
        <v/>
      </c>
      <c r="H360" s="37"/>
      <c r="I360" s="38"/>
      <c r="J360" s="37"/>
      <c r="K360" s="39"/>
      <c r="L360" s="41"/>
      <c r="M360" s="36" t="str">
        <f aca="true">IF(OR($B360="",$L360=""),"",DATEDIF($L360,TODAY(),"Y"))</f>
        <v/>
      </c>
      <c r="N360" s="40" t="str">
        <f aca="false">IF($M360="","",INDEX(usia_label,MATCH($M360,usia_min,1)))</f>
        <v/>
      </c>
      <c r="O360" s="37"/>
      <c r="P360" s="41"/>
      <c r="Q360" s="37"/>
      <c r="R360" s="37"/>
      <c r="S360" s="40" t="str">
        <f aca="false">IF($G360="","",$G360&amp;"#"&amp;COUNTIF($G$4:$G360,$G360))</f>
        <v/>
      </c>
      <c r="T360" s="40" t="str">
        <f aca="false">IF($B360="","",IF($C360="","NIK kosong",IF(LEN($C360)&lt;&gt;16,"NIK bukan 16 digit",IF(COUNTIF($C$4:$C$2003,$C360&amp;"*")&gt;1,"NIK ganda",IF($E360="","Kadus kosong",IF($F360="","RT kosong",IF($H360="","Jabatan kosong",IF($I360="","No. HP kosong",IF($J360="","Alamat kosong",IF(AND($M360&lt;&gt;"",$M360&lt;17),"Usia di bawah 17",""))))))))))</f>
        <v/>
      </c>
      <c r="U360" s="40" t="str">
        <f aca="false">IF($B360="","",IF(AND(OR(CARI!$C$5="",ISNUMBER(SEARCH(CARI!$C$5,$B360&amp;" "&amp;$C360&amp;" "&amp;$I360&amp;" "&amp;$J360&amp;" "&amp;$Q360))),OR(CARI!$C$6="",$E360=CARI!$C$6),OR(CARI!$C$7="",$F360=CARI!$C$7),OR(CARI!$C$8="",$O360=CARI!$C$8)),MAX($U$3:U359)+1,""))</f>
        <v/>
      </c>
      <c r="V360" s="40" t="str">
        <f aca="false">IF($T360="","",MAX($V$3:V359)+1)</f>
        <v/>
      </c>
      <c r="W360" s="40" t="str">
        <f aca="false">IF($E360="","",$E360&amp;"#"&amp;COUNTIF($E$4:$E360,$E360))</f>
        <v/>
      </c>
      <c r="X360" s="40" t="str">
        <f aca="false">IF($B360="","",IF(AND(OR(CETAK!$J$10="",$E360=CETAK!$J$10),OR(CETAK!$J$11="",$F360=CETAK!$J$11),OR(CETAK!$J$12="",$K360=CETAK!$J$12),OR(CETAK!$J$13="",$H360=CETAK!$J$13),OR(CETAK!$J$14="",$O360=CETAK!$J$14)),MAX($X$3:X359)+1,""))</f>
        <v/>
      </c>
      <c r="Y360" s="40" t="str">
        <f aca="false">IF($B360="","",IF(AND(OR(ABSENSI!$H$10="",$E360=ABSENSI!$H$10),OR(ABSENSI!$H$11="",$F360=ABSENSI!$H$11),OR(ABSENSI!$H$12="",$K360=ABSENSI!$H$12)),MAX($Y$3:Y359)+1,""))</f>
        <v/>
      </c>
      <c r="Z360" s="40" t="str">
        <f aca="false">IF($B360="","",IF(AND(OR(KARTU!$K$6="",$E360=KARTU!$K$6),OR(KARTU!$K$7="",$F360=KARTU!$K$7),OR(KARTU!$K$8="",$K360=KARTU!$K$8)),MAX($Z$3:Z359)+1,""))</f>
        <v/>
      </c>
    </row>
    <row r="361" customFormat="false" ht="15" hidden="false" customHeight="false" outlineLevel="0" collapsed="false">
      <c r="A361" s="36" t="str">
        <f aca="false">IF($B361="","",COUNTA($B$4:$B361))</f>
        <v/>
      </c>
      <c r="B361" s="37"/>
      <c r="C361" s="38"/>
      <c r="D361" s="39"/>
      <c r="E361" s="37"/>
      <c r="F361" s="39"/>
      <c r="G361" s="40" t="str">
        <f aca="false">IF(OR($E361="",$F361=""),"",$E361&amp;" - RT "&amp;$F361)</f>
        <v/>
      </c>
      <c r="H361" s="37"/>
      <c r="I361" s="38"/>
      <c r="J361" s="37"/>
      <c r="K361" s="39"/>
      <c r="L361" s="41"/>
      <c r="M361" s="36" t="str">
        <f aca="true">IF(OR($B361="",$L361=""),"",DATEDIF($L361,TODAY(),"Y"))</f>
        <v/>
      </c>
      <c r="N361" s="40" t="str">
        <f aca="false">IF($M361="","",INDEX(usia_label,MATCH($M361,usia_min,1)))</f>
        <v/>
      </c>
      <c r="O361" s="37"/>
      <c r="P361" s="41"/>
      <c r="Q361" s="37"/>
      <c r="R361" s="37"/>
      <c r="S361" s="40" t="str">
        <f aca="false">IF($G361="","",$G361&amp;"#"&amp;COUNTIF($G$4:$G361,$G361))</f>
        <v/>
      </c>
      <c r="T361" s="40" t="str">
        <f aca="false">IF($B361="","",IF($C361="","NIK kosong",IF(LEN($C361)&lt;&gt;16,"NIK bukan 16 digit",IF(COUNTIF($C$4:$C$2003,$C361&amp;"*")&gt;1,"NIK ganda",IF($E361="","Kadus kosong",IF($F361="","RT kosong",IF($H361="","Jabatan kosong",IF($I361="","No. HP kosong",IF($J361="","Alamat kosong",IF(AND($M361&lt;&gt;"",$M361&lt;17),"Usia di bawah 17",""))))))))))</f>
        <v/>
      </c>
      <c r="U361" s="40" t="str">
        <f aca="false">IF($B361="","",IF(AND(OR(CARI!$C$5="",ISNUMBER(SEARCH(CARI!$C$5,$B361&amp;" "&amp;$C361&amp;" "&amp;$I361&amp;" "&amp;$J361&amp;" "&amp;$Q361))),OR(CARI!$C$6="",$E361=CARI!$C$6),OR(CARI!$C$7="",$F361=CARI!$C$7),OR(CARI!$C$8="",$O361=CARI!$C$8)),MAX($U$3:U360)+1,""))</f>
        <v/>
      </c>
      <c r="V361" s="40" t="str">
        <f aca="false">IF($T361="","",MAX($V$3:V360)+1)</f>
        <v/>
      </c>
      <c r="W361" s="40" t="str">
        <f aca="false">IF($E361="","",$E361&amp;"#"&amp;COUNTIF($E$4:$E361,$E361))</f>
        <v/>
      </c>
      <c r="X361" s="40" t="str">
        <f aca="false">IF($B361="","",IF(AND(OR(CETAK!$J$10="",$E361=CETAK!$J$10),OR(CETAK!$J$11="",$F361=CETAK!$J$11),OR(CETAK!$J$12="",$K361=CETAK!$J$12),OR(CETAK!$J$13="",$H361=CETAK!$J$13),OR(CETAK!$J$14="",$O361=CETAK!$J$14)),MAX($X$3:X360)+1,""))</f>
        <v/>
      </c>
      <c r="Y361" s="40" t="str">
        <f aca="false">IF($B361="","",IF(AND(OR(ABSENSI!$H$10="",$E361=ABSENSI!$H$10),OR(ABSENSI!$H$11="",$F361=ABSENSI!$H$11),OR(ABSENSI!$H$12="",$K361=ABSENSI!$H$12)),MAX($Y$3:Y360)+1,""))</f>
        <v/>
      </c>
      <c r="Z361" s="40" t="str">
        <f aca="false">IF($B361="","",IF(AND(OR(KARTU!$K$6="",$E361=KARTU!$K$6),OR(KARTU!$K$7="",$F361=KARTU!$K$7),OR(KARTU!$K$8="",$K361=KARTU!$K$8)),MAX($Z$3:Z360)+1,""))</f>
        <v/>
      </c>
    </row>
    <row r="362" customFormat="false" ht="15" hidden="false" customHeight="false" outlineLevel="0" collapsed="false">
      <c r="A362" s="36" t="str">
        <f aca="false">IF($B362="","",COUNTA($B$4:$B362))</f>
        <v/>
      </c>
      <c r="B362" s="37"/>
      <c r="C362" s="38"/>
      <c r="D362" s="39"/>
      <c r="E362" s="37"/>
      <c r="F362" s="39"/>
      <c r="G362" s="40" t="str">
        <f aca="false">IF(OR($E362="",$F362=""),"",$E362&amp;" - RT "&amp;$F362)</f>
        <v/>
      </c>
      <c r="H362" s="37"/>
      <c r="I362" s="38"/>
      <c r="J362" s="37"/>
      <c r="K362" s="39"/>
      <c r="L362" s="41"/>
      <c r="M362" s="36" t="str">
        <f aca="true">IF(OR($B362="",$L362=""),"",DATEDIF($L362,TODAY(),"Y"))</f>
        <v/>
      </c>
      <c r="N362" s="40" t="str">
        <f aca="false">IF($M362="","",INDEX(usia_label,MATCH($M362,usia_min,1)))</f>
        <v/>
      </c>
      <c r="O362" s="37"/>
      <c r="P362" s="41"/>
      <c r="Q362" s="37"/>
      <c r="R362" s="37"/>
      <c r="S362" s="40" t="str">
        <f aca="false">IF($G362="","",$G362&amp;"#"&amp;COUNTIF($G$4:$G362,$G362))</f>
        <v/>
      </c>
      <c r="T362" s="40" t="str">
        <f aca="false">IF($B362="","",IF($C362="","NIK kosong",IF(LEN($C362)&lt;&gt;16,"NIK bukan 16 digit",IF(COUNTIF($C$4:$C$2003,$C362&amp;"*")&gt;1,"NIK ganda",IF($E362="","Kadus kosong",IF($F362="","RT kosong",IF($H362="","Jabatan kosong",IF($I362="","No. HP kosong",IF($J362="","Alamat kosong",IF(AND($M362&lt;&gt;"",$M362&lt;17),"Usia di bawah 17",""))))))))))</f>
        <v/>
      </c>
      <c r="U362" s="40" t="str">
        <f aca="false">IF($B362="","",IF(AND(OR(CARI!$C$5="",ISNUMBER(SEARCH(CARI!$C$5,$B362&amp;" "&amp;$C362&amp;" "&amp;$I362&amp;" "&amp;$J362&amp;" "&amp;$Q362))),OR(CARI!$C$6="",$E362=CARI!$C$6),OR(CARI!$C$7="",$F362=CARI!$C$7),OR(CARI!$C$8="",$O362=CARI!$C$8)),MAX($U$3:U361)+1,""))</f>
        <v/>
      </c>
      <c r="V362" s="40" t="str">
        <f aca="false">IF($T362="","",MAX($V$3:V361)+1)</f>
        <v/>
      </c>
      <c r="W362" s="40" t="str">
        <f aca="false">IF($E362="","",$E362&amp;"#"&amp;COUNTIF($E$4:$E362,$E362))</f>
        <v/>
      </c>
      <c r="X362" s="40" t="str">
        <f aca="false">IF($B362="","",IF(AND(OR(CETAK!$J$10="",$E362=CETAK!$J$10),OR(CETAK!$J$11="",$F362=CETAK!$J$11),OR(CETAK!$J$12="",$K362=CETAK!$J$12),OR(CETAK!$J$13="",$H362=CETAK!$J$13),OR(CETAK!$J$14="",$O362=CETAK!$J$14)),MAX($X$3:X361)+1,""))</f>
        <v/>
      </c>
      <c r="Y362" s="40" t="str">
        <f aca="false">IF($B362="","",IF(AND(OR(ABSENSI!$H$10="",$E362=ABSENSI!$H$10),OR(ABSENSI!$H$11="",$F362=ABSENSI!$H$11),OR(ABSENSI!$H$12="",$K362=ABSENSI!$H$12)),MAX($Y$3:Y361)+1,""))</f>
        <v/>
      </c>
      <c r="Z362" s="40" t="str">
        <f aca="false">IF($B362="","",IF(AND(OR(KARTU!$K$6="",$E362=KARTU!$K$6),OR(KARTU!$K$7="",$F362=KARTU!$K$7),OR(KARTU!$K$8="",$K362=KARTU!$K$8)),MAX($Z$3:Z361)+1,""))</f>
        <v/>
      </c>
    </row>
    <row r="363" customFormat="false" ht="15" hidden="false" customHeight="false" outlineLevel="0" collapsed="false">
      <c r="A363" s="36" t="str">
        <f aca="false">IF($B363="","",COUNTA($B$4:$B363))</f>
        <v/>
      </c>
      <c r="B363" s="37"/>
      <c r="C363" s="38"/>
      <c r="D363" s="39"/>
      <c r="E363" s="37"/>
      <c r="F363" s="39"/>
      <c r="G363" s="40" t="str">
        <f aca="false">IF(OR($E363="",$F363=""),"",$E363&amp;" - RT "&amp;$F363)</f>
        <v/>
      </c>
      <c r="H363" s="37"/>
      <c r="I363" s="38"/>
      <c r="J363" s="37"/>
      <c r="K363" s="39"/>
      <c r="L363" s="41"/>
      <c r="M363" s="36" t="str">
        <f aca="true">IF(OR($B363="",$L363=""),"",DATEDIF($L363,TODAY(),"Y"))</f>
        <v/>
      </c>
      <c r="N363" s="40" t="str">
        <f aca="false">IF($M363="","",INDEX(usia_label,MATCH($M363,usia_min,1)))</f>
        <v/>
      </c>
      <c r="O363" s="37"/>
      <c r="P363" s="41"/>
      <c r="Q363" s="37"/>
      <c r="R363" s="37"/>
      <c r="S363" s="40" t="str">
        <f aca="false">IF($G363="","",$G363&amp;"#"&amp;COUNTIF($G$4:$G363,$G363))</f>
        <v/>
      </c>
      <c r="T363" s="40" t="str">
        <f aca="false">IF($B363="","",IF($C363="","NIK kosong",IF(LEN($C363)&lt;&gt;16,"NIK bukan 16 digit",IF(COUNTIF($C$4:$C$2003,$C363&amp;"*")&gt;1,"NIK ganda",IF($E363="","Kadus kosong",IF($F363="","RT kosong",IF($H363="","Jabatan kosong",IF($I363="","No. HP kosong",IF($J363="","Alamat kosong",IF(AND($M363&lt;&gt;"",$M363&lt;17),"Usia di bawah 17",""))))))))))</f>
        <v/>
      </c>
      <c r="U363" s="40" t="str">
        <f aca="false">IF($B363="","",IF(AND(OR(CARI!$C$5="",ISNUMBER(SEARCH(CARI!$C$5,$B363&amp;" "&amp;$C363&amp;" "&amp;$I363&amp;" "&amp;$J363&amp;" "&amp;$Q363))),OR(CARI!$C$6="",$E363=CARI!$C$6),OR(CARI!$C$7="",$F363=CARI!$C$7),OR(CARI!$C$8="",$O363=CARI!$C$8)),MAX($U$3:U362)+1,""))</f>
        <v/>
      </c>
      <c r="V363" s="40" t="str">
        <f aca="false">IF($T363="","",MAX($V$3:V362)+1)</f>
        <v/>
      </c>
      <c r="W363" s="40" t="str">
        <f aca="false">IF($E363="","",$E363&amp;"#"&amp;COUNTIF($E$4:$E363,$E363))</f>
        <v/>
      </c>
      <c r="X363" s="40" t="str">
        <f aca="false">IF($B363="","",IF(AND(OR(CETAK!$J$10="",$E363=CETAK!$J$10),OR(CETAK!$J$11="",$F363=CETAK!$J$11),OR(CETAK!$J$12="",$K363=CETAK!$J$12),OR(CETAK!$J$13="",$H363=CETAK!$J$13),OR(CETAK!$J$14="",$O363=CETAK!$J$14)),MAX($X$3:X362)+1,""))</f>
        <v/>
      </c>
      <c r="Y363" s="40" t="str">
        <f aca="false">IF($B363="","",IF(AND(OR(ABSENSI!$H$10="",$E363=ABSENSI!$H$10),OR(ABSENSI!$H$11="",$F363=ABSENSI!$H$11),OR(ABSENSI!$H$12="",$K363=ABSENSI!$H$12)),MAX($Y$3:Y362)+1,""))</f>
        <v/>
      </c>
      <c r="Z363" s="40" t="str">
        <f aca="false">IF($B363="","",IF(AND(OR(KARTU!$K$6="",$E363=KARTU!$K$6),OR(KARTU!$K$7="",$F363=KARTU!$K$7),OR(KARTU!$K$8="",$K363=KARTU!$K$8)),MAX($Z$3:Z362)+1,""))</f>
        <v/>
      </c>
    </row>
    <row r="364" customFormat="false" ht="15" hidden="false" customHeight="false" outlineLevel="0" collapsed="false">
      <c r="A364" s="36" t="str">
        <f aca="false">IF($B364="","",COUNTA($B$4:$B364))</f>
        <v/>
      </c>
      <c r="B364" s="37"/>
      <c r="C364" s="38"/>
      <c r="D364" s="39"/>
      <c r="E364" s="37"/>
      <c r="F364" s="39"/>
      <c r="G364" s="40" t="str">
        <f aca="false">IF(OR($E364="",$F364=""),"",$E364&amp;" - RT "&amp;$F364)</f>
        <v/>
      </c>
      <c r="H364" s="37"/>
      <c r="I364" s="38"/>
      <c r="J364" s="37"/>
      <c r="K364" s="39"/>
      <c r="L364" s="41"/>
      <c r="M364" s="36" t="str">
        <f aca="true">IF(OR($B364="",$L364=""),"",DATEDIF($L364,TODAY(),"Y"))</f>
        <v/>
      </c>
      <c r="N364" s="40" t="str">
        <f aca="false">IF($M364="","",INDEX(usia_label,MATCH($M364,usia_min,1)))</f>
        <v/>
      </c>
      <c r="O364" s="37"/>
      <c r="P364" s="41"/>
      <c r="Q364" s="37"/>
      <c r="R364" s="37"/>
      <c r="S364" s="40" t="str">
        <f aca="false">IF($G364="","",$G364&amp;"#"&amp;COUNTIF($G$4:$G364,$G364))</f>
        <v/>
      </c>
      <c r="T364" s="40" t="str">
        <f aca="false">IF($B364="","",IF($C364="","NIK kosong",IF(LEN($C364)&lt;&gt;16,"NIK bukan 16 digit",IF(COUNTIF($C$4:$C$2003,$C364&amp;"*")&gt;1,"NIK ganda",IF($E364="","Kadus kosong",IF($F364="","RT kosong",IF($H364="","Jabatan kosong",IF($I364="","No. HP kosong",IF($J364="","Alamat kosong",IF(AND($M364&lt;&gt;"",$M364&lt;17),"Usia di bawah 17",""))))))))))</f>
        <v/>
      </c>
      <c r="U364" s="40" t="str">
        <f aca="false">IF($B364="","",IF(AND(OR(CARI!$C$5="",ISNUMBER(SEARCH(CARI!$C$5,$B364&amp;" "&amp;$C364&amp;" "&amp;$I364&amp;" "&amp;$J364&amp;" "&amp;$Q364))),OR(CARI!$C$6="",$E364=CARI!$C$6),OR(CARI!$C$7="",$F364=CARI!$C$7),OR(CARI!$C$8="",$O364=CARI!$C$8)),MAX($U$3:U363)+1,""))</f>
        <v/>
      </c>
      <c r="V364" s="40" t="str">
        <f aca="false">IF($T364="","",MAX($V$3:V363)+1)</f>
        <v/>
      </c>
      <c r="W364" s="40" t="str">
        <f aca="false">IF($E364="","",$E364&amp;"#"&amp;COUNTIF($E$4:$E364,$E364))</f>
        <v/>
      </c>
      <c r="X364" s="40" t="str">
        <f aca="false">IF($B364="","",IF(AND(OR(CETAK!$J$10="",$E364=CETAK!$J$10),OR(CETAK!$J$11="",$F364=CETAK!$J$11),OR(CETAK!$J$12="",$K364=CETAK!$J$12),OR(CETAK!$J$13="",$H364=CETAK!$J$13),OR(CETAK!$J$14="",$O364=CETAK!$J$14)),MAX($X$3:X363)+1,""))</f>
        <v/>
      </c>
      <c r="Y364" s="40" t="str">
        <f aca="false">IF($B364="","",IF(AND(OR(ABSENSI!$H$10="",$E364=ABSENSI!$H$10),OR(ABSENSI!$H$11="",$F364=ABSENSI!$H$11),OR(ABSENSI!$H$12="",$K364=ABSENSI!$H$12)),MAX($Y$3:Y363)+1,""))</f>
        <v/>
      </c>
      <c r="Z364" s="40" t="str">
        <f aca="false">IF($B364="","",IF(AND(OR(KARTU!$K$6="",$E364=KARTU!$K$6),OR(KARTU!$K$7="",$F364=KARTU!$K$7),OR(KARTU!$K$8="",$K364=KARTU!$K$8)),MAX($Z$3:Z363)+1,""))</f>
        <v/>
      </c>
    </row>
    <row r="365" customFormat="false" ht="15" hidden="false" customHeight="false" outlineLevel="0" collapsed="false">
      <c r="A365" s="36" t="str">
        <f aca="false">IF($B365="","",COUNTA($B$4:$B365))</f>
        <v/>
      </c>
      <c r="B365" s="37"/>
      <c r="C365" s="38"/>
      <c r="D365" s="39"/>
      <c r="E365" s="37"/>
      <c r="F365" s="39"/>
      <c r="G365" s="40" t="str">
        <f aca="false">IF(OR($E365="",$F365=""),"",$E365&amp;" - RT "&amp;$F365)</f>
        <v/>
      </c>
      <c r="H365" s="37"/>
      <c r="I365" s="38"/>
      <c r="J365" s="37"/>
      <c r="K365" s="39"/>
      <c r="L365" s="41"/>
      <c r="M365" s="36" t="str">
        <f aca="true">IF(OR($B365="",$L365=""),"",DATEDIF($L365,TODAY(),"Y"))</f>
        <v/>
      </c>
      <c r="N365" s="40" t="str">
        <f aca="false">IF($M365="","",INDEX(usia_label,MATCH($M365,usia_min,1)))</f>
        <v/>
      </c>
      <c r="O365" s="37"/>
      <c r="P365" s="41"/>
      <c r="Q365" s="37"/>
      <c r="R365" s="37"/>
      <c r="S365" s="40" t="str">
        <f aca="false">IF($G365="","",$G365&amp;"#"&amp;COUNTIF($G$4:$G365,$G365))</f>
        <v/>
      </c>
      <c r="T365" s="40" t="str">
        <f aca="false">IF($B365="","",IF($C365="","NIK kosong",IF(LEN($C365)&lt;&gt;16,"NIK bukan 16 digit",IF(COUNTIF($C$4:$C$2003,$C365&amp;"*")&gt;1,"NIK ganda",IF($E365="","Kadus kosong",IF($F365="","RT kosong",IF($H365="","Jabatan kosong",IF($I365="","No. HP kosong",IF($J365="","Alamat kosong",IF(AND($M365&lt;&gt;"",$M365&lt;17),"Usia di bawah 17",""))))))))))</f>
        <v/>
      </c>
      <c r="U365" s="40" t="str">
        <f aca="false">IF($B365="","",IF(AND(OR(CARI!$C$5="",ISNUMBER(SEARCH(CARI!$C$5,$B365&amp;" "&amp;$C365&amp;" "&amp;$I365&amp;" "&amp;$J365&amp;" "&amp;$Q365))),OR(CARI!$C$6="",$E365=CARI!$C$6),OR(CARI!$C$7="",$F365=CARI!$C$7),OR(CARI!$C$8="",$O365=CARI!$C$8)),MAX($U$3:U364)+1,""))</f>
        <v/>
      </c>
      <c r="V365" s="40" t="str">
        <f aca="false">IF($T365="","",MAX($V$3:V364)+1)</f>
        <v/>
      </c>
      <c r="W365" s="40" t="str">
        <f aca="false">IF($E365="","",$E365&amp;"#"&amp;COUNTIF($E$4:$E365,$E365))</f>
        <v/>
      </c>
      <c r="X365" s="40" t="str">
        <f aca="false">IF($B365="","",IF(AND(OR(CETAK!$J$10="",$E365=CETAK!$J$10),OR(CETAK!$J$11="",$F365=CETAK!$J$11),OR(CETAK!$J$12="",$K365=CETAK!$J$12),OR(CETAK!$J$13="",$H365=CETAK!$J$13),OR(CETAK!$J$14="",$O365=CETAK!$J$14)),MAX($X$3:X364)+1,""))</f>
        <v/>
      </c>
      <c r="Y365" s="40" t="str">
        <f aca="false">IF($B365="","",IF(AND(OR(ABSENSI!$H$10="",$E365=ABSENSI!$H$10),OR(ABSENSI!$H$11="",$F365=ABSENSI!$H$11),OR(ABSENSI!$H$12="",$K365=ABSENSI!$H$12)),MAX($Y$3:Y364)+1,""))</f>
        <v/>
      </c>
      <c r="Z365" s="40" t="str">
        <f aca="false">IF($B365="","",IF(AND(OR(KARTU!$K$6="",$E365=KARTU!$K$6),OR(KARTU!$K$7="",$F365=KARTU!$K$7),OR(KARTU!$K$8="",$K365=KARTU!$K$8)),MAX($Z$3:Z364)+1,""))</f>
        <v/>
      </c>
    </row>
    <row r="366" customFormat="false" ht="15" hidden="false" customHeight="false" outlineLevel="0" collapsed="false">
      <c r="A366" s="36" t="str">
        <f aca="false">IF($B366="","",COUNTA($B$4:$B366))</f>
        <v/>
      </c>
      <c r="B366" s="37"/>
      <c r="C366" s="38"/>
      <c r="D366" s="39"/>
      <c r="E366" s="37"/>
      <c r="F366" s="39"/>
      <c r="G366" s="40" t="str">
        <f aca="false">IF(OR($E366="",$F366=""),"",$E366&amp;" - RT "&amp;$F366)</f>
        <v/>
      </c>
      <c r="H366" s="37"/>
      <c r="I366" s="38"/>
      <c r="J366" s="37"/>
      <c r="K366" s="39"/>
      <c r="L366" s="41"/>
      <c r="M366" s="36" t="str">
        <f aca="true">IF(OR($B366="",$L366=""),"",DATEDIF($L366,TODAY(),"Y"))</f>
        <v/>
      </c>
      <c r="N366" s="40" t="str">
        <f aca="false">IF($M366="","",INDEX(usia_label,MATCH($M366,usia_min,1)))</f>
        <v/>
      </c>
      <c r="O366" s="37"/>
      <c r="P366" s="41"/>
      <c r="Q366" s="37"/>
      <c r="R366" s="37"/>
      <c r="S366" s="40" t="str">
        <f aca="false">IF($G366="","",$G366&amp;"#"&amp;COUNTIF($G$4:$G366,$G366))</f>
        <v/>
      </c>
      <c r="T366" s="40" t="str">
        <f aca="false">IF($B366="","",IF($C366="","NIK kosong",IF(LEN($C366)&lt;&gt;16,"NIK bukan 16 digit",IF(COUNTIF($C$4:$C$2003,$C366&amp;"*")&gt;1,"NIK ganda",IF($E366="","Kadus kosong",IF($F366="","RT kosong",IF($H366="","Jabatan kosong",IF($I366="","No. HP kosong",IF($J366="","Alamat kosong",IF(AND($M366&lt;&gt;"",$M366&lt;17),"Usia di bawah 17",""))))))))))</f>
        <v/>
      </c>
      <c r="U366" s="40" t="str">
        <f aca="false">IF($B366="","",IF(AND(OR(CARI!$C$5="",ISNUMBER(SEARCH(CARI!$C$5,$B366&amp;" "&amp;$C366&amp;" "&amp;$I366&amp;" "&amp;$J366&amp;" "&amp;$Q366))),OR(CARI!$C$6="",$E366=CARI!$C$6),OR(CARI!$C$7="",$F366=CARI!$C$7),OR(CARI!$C$8="",$O366=CARI!$C$8)),MAX($U$3:U365)+1,""))</f>
        <v/>
      </c>
      <c r="V366" s="40" t="str">
        <f aca="false">IF($T366="","",MAX($V$3:V365)+1)</f>
        <v/>
      </c>
      <c r="W366" s="40" t="str">
        <f aca="false">IF($E366="","",$E366&amp;"#"&amp;COUNTIF($E$4:$E366,$E366))</f>
        <v/>
      </c>
      <c r="X366" s="40" t="str">
        <f aca="false">IF($B366="","",IF(AND(OR(CETAK!$J$10="",$E366=CETAK!$J$10),OR(CETAK!$J$11="",$F366=CETAK!$J$11),OR(CETAK!$J$12="",$K366=CETAK!$J$12),OR(CETAK!$J$13="",$H366=CETAK!$J$13),OR(CETAK!$J$14="",$O366=CETAK!$J$14)),MAX($X$3:X365)+1,""))</f>
        <v/>
      </c>
      <c r="Y366" s="40" t="str">
        <f aca="false">IF($B366="","",IF(AND(OR(ABSENSI!$H$10="",$E366=ABSENSI!$H$10),OR(ABSENSI!$H$11="",$F366=ABSENSI!$H$11),OR(ABSENSI!$H$12="",$K366=ABSENSI!$H$12)),MAX($Y$3:Y365)+1,""))</f>
        <v/>
      </c>
      <c r="Z366" s="40" t="str">
        <f aca="false">IF($B366="","",IF(AND(OR(KARTU!$K$6="",$E366=KARTU!$K$6),OR(KARTU!$K$7="",$F366=KARTU!$K$7),OR(KARTU!$K$8="",$K366=KARTU!$K$8)),MAX($Z$3:Z365)+1,""))</f>
        <v/>
      </c>
    </row>
    <row r="367" customFormat="false" ht="15" hidden="false" customHeight="false" outlineLevel="0" collapsed="false">
      <c r="A367" s="36" t="str">
        <f aca="false">IF($B367="","",COUNTA($B$4:$B367))</f>
        <v/>
      </c>
      <c r="B367" s="37"/>
      <c r="C367" s="38"/>
      <c r="D367" s="39"/>
      <c r="E367" s="37"/>
      <c r="F367" s="39"/>
      <c r="G367" s="40" t="str">
        <f aca="false">IF(OR($E367="",$F367=""),"",$E367&amp;" - RT "&amp;$F367)</f>
        <v/>
      </c>
      <c r="H367" s="37"/>
      <c r="I367" s="38"/>
      <c r="J367" s="37"/>
      <c r="K367" s="39"/>
      <c r="L367" s="41"/>
      <c r="M367" s="36" t="str">
        <f aca="true">IF(OR($B367="",$L367=""),"",DATEDIF($L367,TODAY(),"Y"))</f>
        <v/>
      </c>
      <c r="N367" s="40" t="str">
        <f aca="false">IF($M367="","",INDEX(usia_label,MATCH($M367,usia_min,1)))</f>
        <v/>
      </c>
      <c r="O367" s="37"/>
      <c r="P367" s="41"/>
      <c r="Q367" s="37"/>
      <c r="R367" s="37"/>
      <c r="S367" s="40" t="str">
        <f aca="false">IF($G367="","",$G367&amp;"#"&amp;COUNTIF($G$4:$G367,$G367))</f>
        <v/>
      </c>
      <c r="T367" s="40" t="str">
        <f aca="false">IF($B367="","",IF($C367="","NIK kosong",IF(LEN($C367)&lt;&gt;16,"NIK bukan 16 digit",IF(COUNTIF($C$4:$C$2003,$C367&amp;"*")&gt;1,"NIK ganda",IF($E367="","Kadus kosong",IF($F367="","RT kosong",IF($H367="","Jabatan kosong",IF($I367="","No. HP kosong",IF($J367="","Alamat kosong",IF(AND($M367&lt;&gt;"",$M367&lt;17),"Usia di bawah 17",""))))))))))</f>
        <v/>
      </c>
      <c r="U367" s="40" t="str">
        <f aca="false">IF($B367="","",IF(AND(OR(CARI!$C$5="",ISNUMBER(SEARCH(CARI!$C$5,$B367&amp;" "&amp;$C367&amp;" "&amp;$I367&amp;" "&amp;$J367&amp;" "&amp;$Q367))),OR(CARI!$C$6="",$E367=CARI!$C$6),OR(CARI!$C$7="",$F367=CARI!$C$7),OR(CARI!$C$8="",$O367=CARI!$C$8)),MAX($U$3:U366)+1,""))</f>
        <v/>
      </c>
      <c r="V367" s="40" t="str">
        <f aca="false">IF($T367="","",MAX($V$3:V366)+1)</f>
        <v/>
      </c>
      <c r="W367" s="40" t="str">
        <f aca="false">IF($E367="","",$E367&amp;"#"&amp;COUNTIF($E$4:$E367,$E367))</f>
        <v/>
      </c>
      <c r="X367" s="40" t="str">
        <f aca="false">IF($B367="","",IF(AND(OR(CETAK!$J$10="",$E367=CETAK!$J$10),OR(CETAK!$J$11="",$F367=CETAK!$J$11),OR(CETAK!$J$12="",$K367=CETAK!$J$12),OR(CETAK!$J$13="",$H367=CETAK!$J$13),OR(CETAK!$J$14="",$O367=CETAK!$J$14)),MAX($X$3:X366)+1,""))</f>
        <v/>
      </c>
      <c r="Y367" s="40" t="str">
        <f aca="false">IF($B367="","",IF(AND(OR(ABSENSI!$H$10="",$E367=ABSENSI!$H$10),OR(ABSENSI!$H$11="",$F367=ABSENSI!$H$11),OR(ABSENSI!$H$12="",$K367=ABSENSI!$H$12)),MAX($Y$3:Y366)+1,""))</f>
        <v/>
      </c>
      <c r="Z367" s="40" t="str">
        <f aca="false">IF($B367="","",IF(AND(OR(KARTU!$K$6="",$E367=KARTU!$K$6),OR(KARTU!$K$7="",$F367=KARTU!$K$7),OR(KARTU!$K$8="",$K367=KARTU!$K$8)),MAX($Z$3:Z366)+1,""))</f>
        <v/>
      </c>
    </row>
    <row r="368" customFormat="false" ht="15" hidden="false" customHeight="false" outlineLevel="0" collapsed="false">
      <c r="A368" s="36" t="str">
        <f aca="false">IF($B368="","",COUNTA($B$4:$B368))</f>
        <v/>
      </c>
      <c r="B368" s="37"/>
      <c r="C368" s="38"/>
      <c r="D368" s="39"/>
      <c r="E368" s="37"/>
      <c r="F368" s="39"/>
      <c r="G368" s="40" t="str">
        <f aca="false">IF(OR($E368="",$F368=""),"",$E368&amp;" - RT "&amp;$F368)</f>
        <v/>
      </c>
      <c r="H368" s="37"/>
      <c r="I368" s="38"/>
      <c r="J368" s="37"/>
      <c r="K368" s="39"/>
      <c r="L368" s="41"/>
      <c r="M368" s="36" t="str">
        <f aca="true">IF(OR($B368="",$L368=""),"",DATEDIF($L368,TODAY(),"Y"))</f>
        <v/>
      </c>
      <c r="N368" s="40" t="str">
        <f aca="false">IF($M368="","",INDEX(usia_label,MATCH($M368,usia_min,1)))</f>
        <v/>
      </c>
      <c r="O368" s="37"/>
      <c r="P368" s="41"/>
      <c r="Q368" s="37"/>
      <c r="R368" s="37"/>
      <c r="S368" s="40" t="str">
        <f aca="false">IF($G368="","",$G368&amp;"#"&amp;COUNTIF($G$4:$G368,$G368))</f>
        <v/>
      </c>
      <c r="T368" s="40" t="str">
        <f aca="false">IF($B368="","",IF($C368="","NIK kosong",IF(LEN($C368)&lt;&gt;16,"NIK bukan 16 digit",IF(COUNTIF($C$4:$C$2003,$C368&amp;"*")&gt;1,"NIK ganda",IF($E368="","Kadus kosong",IF($F368="","RT kosong",IF($H368="","Jabatan kosong",IF($I368="","No. HP kosong",IF($J368="","Alamat kosong",IF(AND($M368&lt;&gt;"",$M368&lt;17),"Usia di bawah 17",""))))))))))</f>
        <v/>
      </c>
      <c r="U368" s="40" t="str">
        <f aca="false">IF($B368="","",IF(AND(OR(CARI!$C$5="",ISNUMBER(SEARCH(CARI!$C$5,$B368&amp;" "&amp;$C368&amp;" "&amp;$I368&amp;" "&amp;$J368&amp;" "&amp;$Q368))),OR(CARI!$C$6="",$E368=CARI!$C$6),OR(CARI!$C$7="",$F368=CARI!$C$7),OR(CARI!$C$8="",$O368=CARI!$C$8)),MAX($U$3:U367)+1,""))</f>
        <v/>
      </c>
      <c r="V368" s="40" t="str">
        <f aca="false">IF($T368="","",MAX($V$3:V367)+1)</f>
        <v/>
      </c>
      <c r="W368" s="40" t="str">
        <f aca="false">IF($E368="","",$E368&amp;"#"&amp;COUNTIF($E$4:$E368,$E368))</f>
        <v/>
      </c>
      <c r="X368" s="40" t="str">
        <f aca="false">IF($B368="","",IF(AND(OR(CETAK!$J$10="",$E368=CETAK!$J$10),OR(CETAK!$J$11="",$F368=CETAK!$J$11),OR(CETAK!$J$12="",$K368=CETAK!$J$12),OR(CETAK!$J$13="",$H368=CETAK!$J$13),OR(CETAK!$J$14="",$O368=CETAK!$J$14)),MAX($X$3:X367)+1,""))</f>
        <v/>
      </c>
      <c r="Y368" s="40" t="str">
        <f aca="false">IF($B368="","",IF(AND(OR(ABSENSI!$H$10="",$E368=ABSENSI!$H$10),OR(ABSENSI!$H$11="",$F368=ABSENSI!$H$11),OR(ABSENSI!$H$12="",$K368=ABSENSI!$H$12)),MAX($Y$3:Y367)+1,""))</f>
        <v/>
      </c>
      <c r="Z368" s="40" t="str">
        <f aca="false">IF($B368="","",IF(AND(OR(KARTU!$K$6="",$E368=KARTU!$K$6),OR(KARTU!$K$7="",$F368=KARTU!$K$7),OR(KARTU!$K$8="",$K368=KARTU!$K$8)),MAX($Z$3:Z367)+1,""))</f>
        <v/>
      </c>
    </row>
    <row r="369" customFormat="false" ht="15" hidden="false" customHeight="false" outlineLevel="0" collapsed="false">
      <c r="A369" s="36" t="str">
        <f aca="false">IF($B369="","",COUNTA($B$4:$B369))</f>
        <v/>
      </c>
      <c r="B369" s="37"/>
      <c r="C369" s="38"/>
      <c r="D369" s="39"/>
      <c r="E369" s="37"/>
      <c r="F369" s="39"/>
      <c r="G369" s="40" t="str">
        <f aca="false">IF(OR($E369="",$F369=""),"",$E369&amp;" - RT "&amp;$F369)</f>
        <v/>
      </c>
      <c r="H369" s="37"/>
      <c r="I369" s="38"/>
      <c r="J369" s="37"/>
      <c r="K369" s="39"/>
      <c r="L369" s="41"/>
      <c r="M369" s="36" t="str">
        <f aca="true">IF(OR($B369="",$L369=""),"",DATEDIF($L369,TODAY(),"Y"))</f>
        <v/>
      </c>
      <c r="N369" s="40" t="str">
        <f aca="false">IF($M369="","",INDEX(usia_label,MATCH($M369,usia_min,1)))</f>
        <v/>
      </c>
      <c r="O369" s="37"/>
      <c r="P369" s="41"/>
      <c r="Q369" s="37"/>
      <c r="R369" s="37"/>
      <c r="S369" s="40" t="str">
        <f aca="false">IF($G369="","",$G369&amp;"#"&amp;COUNTIF($G$4:$G369,$G369))</f>
        <v/>
      </c>
      <c r="T369" s="40" t="str">
        <f aca="false">IF($B369="","",IF($C369="","NIK kosong",IF(LEN($C369)&lt;&gt;16,"NIK bukan 16 digit",IF(COUNTIF($C$4:$C$2003,$C369&amp;"*")&gt;1,"NIK ganda",IF($E369="","Kadus kosong",IF($F369="","RT kosong",IF($H369="","Jabatan kosong",IF($I369="","No. HP kosong",IF($J369="","Alamat kosong",IF(AND($M369&lt;&gt;"",$M369&lt;17),"Usia di bawah 17",""))))))))))</f>
        <v/>
      </c>
      <c r="U369" s="40" t="str">
        <f aca="false">IF($B369="","",IF(AND(OR(CARI!$C$5="",ISNUMBER(SEARCH(CARI!$C$5,$B369&amp;" "&amp;$C369&amp;" "&amp;$I369&amp;" "&amp;$J369&amp;" "&amp;$Q369))),OR(CARI!$C$6="",$E369=CARI!$C$6),OR(CARI!$C$7="",$F369=CARI!$C$7),OR(CARI!$C$8="",$O369=CARI!$C$8)),MAX($U$3:U368)+1,""))</f>
        <v/>
      </c>
      <c r="V369" s="40" t="str">
        <f aca="false">IF($T369="","",MAX($V$3:V368)+1)</f>
        <v/>
      </c>
      <c r="W369" s="40" t="str">
        <f aca="false">IF($E369="","",$E369&amp;"#"&amp;COUNTIF($E$4:$E369,$E369))</f>
        <v/>
      </c>
      <c r="X369" s="40" t="str">
        <f aca="false">IF($B369="","",IF(AND(OR(CETAK!$J$10="",$E369=CETAK!$J$10),OR(CETAK!$J$11="",$F369=CETAK!$J$11),OR(CETAK!$J$12="",$K369=CETAK!$J$12),OR(CETAK!$J$13="",$H369=CETAK!$J$13),OR(CETAK!$J$14="",$O369=CETAK!$J$14)),MAX($X$3:X368)+1,""))</f>
        <v/>
      </c>
      <c r="Y369" s="40" t="str">
        <f aca="false">IF($B369="","",IF(AND(OR(ABSENSI!$H$10="",$E369=ABSENSI!$H$10),OR(ABSENSI!$H$11="",$F369=ABSENSI!$H$11),OR(ABSENSI!$H$12="",$K369=ABSENSI!$H$12)),MAX($Y$3:Y368)+1,""))</f>
        <v/>
      </c>
      <c r="Z369" s="40" t="str">
        <f aca="false">IF($B369="","",IF(AND(OR(KARTU!$K$6="",$E369=KARTU!$K$6),OR(KARTU!$K$7="",$F369=KARTU!$K$7),OR(KARTU!$K$8="",$K369=KARTU!$K$8)),MAX($Z$3:Z368)+1,""))</f>
        <v/>
      </c>
    </row>
    <row r="370" customFormat="false" ht="15" hidden="false" customHeight="false" outlineLevel="0" collapsed="false">
      <c r="A370" s="36" t="str">
        <f aca="false">IF($B370="","",COUNTA($B$4:$B370))</f>
        <v/>
      </c>
      <c r="B370" s="37"/>
      <c r="C370" s="38"/>
      <c r="D370" s="39"/>
      <c r="E370" s="37"/>
      <c r="F370" s="39"/>
      <c r="G370" s="40" t="str">
        <f aca="false">IF(OR($E370="",$F370=""),"",$E370&amp;" - RT "&amp;$F370)</f>
        <v/>
      </c>
      <c r="H370" s="37"/>
      <c r="I370" s="38"/>
      <c r="J370" s="37"/>
      <c r="K370" s="39"/>
      <c r="L370" s="41"/>
      <c r="M370" s="36" t="str">
        <f aca="true">IF(OR($B370="",$L370=""),"",DATEDIF($L370,TODAY(),"Y"))</f>
        <v/>
      </c>
      <c r="N370" s="40" t="str">
        <f aca="false">IF($M370="","",INDEX(usia_label,MATCH($M370,usia_min,1)))</f>
        <v/>
      </c>
      <c r="O370" s="37"/>
      <c r="P370" s="41"/>
      <c r="Q370" s="37"/>
      <c r="R370" s="37"/>
      <c r="S370" s="40" t="str">
        <f aca="false">IF($G370="","",$G370&amp;"#"&amp;COUNTIF($G$4:$G370,$G370))</f>
        <v/>
      </c>
      <c r="T370" s="40" t="str">
        <f aca="false">IF($B370="","",IF($C370="","NIK kosong",IF(LEN($C370)&lt;&gt;16,"NIK bukan 16 digit",IF(COUNTIF($C$4:$C$2003,$C370&amp;"*")&gt;1,"NIK ganda",IF($E370="","Kadus kosong",IF($F370="","RT kosong",IF($H370="","Jabatan kosong",IF($I370="","No. HP kosong",IF($J370="","Alamat kosong",IF(AND($M370&lt;&gt;"",$M370&lt;17),"Usia di bawah 17",""))))))))))</f>
        <v/>
      </c>
      <c r="U370" s="40" t="str">
        <f aca="false">IF($B370="","",IF(AND(OR(CARI!$C$5="",ISNUMBER(SEARCH(CARI!$C$5,$B370&amp;" "&amp;$C370&amp;" "&amp;$I370&amp;" "&amp;$J370&amp;" "&amp;$Q370))),OR(CARI!$C$6="",$E370=CARI!$C$6),OR(CARI!$C$7="",$F370=CARI!$C$7),OR(CARI!$C$8="",$O370=CARI!$C$8)),MAX($U$3:U369)+1,""))</f>
        <v/>
      </c>
      <c r="V370" s="40" t="str">
        <f aca="false">IF($T370="","",MAX($V$3:V369)+1)</f>
        <v/>
      </c>
      <c r="W370" s="40" t="str">
        <f aca="false">IF($E370="","",$E370&amp;"#"&amp;COUNTIF($E$4:$E370,$E370))</f>
        <v/>
      </c>
      <c r="X370" s="40" t="str">
        <f aca="false">IF($B370="","",IF(AND(OR(CETAK!$J$10="",$E370=CETAK!$J$10),OR(CETAK!$J$11="",$F370=CETAK!$J$11),OR(CETAK!$J$12="",$K370=CETAK!$J$12),OR(CETAK!$J$13="",$H370=CETAK!$J$13),OR(CETAK!$J$14="",$O370=CETAK!$J$14)),MAX($X$3:X369)+1,""))</f>
        <v/>
      </c>
      <c r="Y370" s="40" t="str">
        <f aca="false">IF($B370="","",IF(AND(OR(ABSENSI!$H$10="",$E370=ABSENSI!$H$10),OR(ABSENSI!$H$11="",$F370=ABSENSI!$H$11),OR(ABSENSI!$H$12="",$K370=ABSENSI!$H$12)),MAX($Y$3:Y369)+1,""))</f>
        <v/>
      </c>
      <c r="Z370" s="40" t="str">
        <f aca="false">IF($B370="","",IF(AND(OR(KARTU!$K$6="",$E370=KARTU!$K$6),OR(KARTU!$K$7="",$F370=KARTU!$K$7),OR(KARTU!$K$8="",$K370=KARTU!$K$8)),MAX($Z$3:Z369)+1,""))</f>
        <v/>
      </c>
    </row>
    <row r="371" customFormat="false" ht="15" hidden="false" customHeight="false" outlineLevel="0" collapsed="false">
      <c r="A371" s="36" t="str">
        <f aca="false">IF($B371="","",COUNTA($B$4:$B371))</f>
        <v/>
      </c>
      <c r="B371" s="37"/>
      <c r="C371" s="38"/>
      <c r="D371" s="39"/>
      <c r="E371" s="37"/>
      <c r="F371" s="39"/>
      <c r="G371" s="40" t="str">
        <f aca="false">IF(OR($E371="",$F371=""),"",$E371&amp;" - RT "&amp;$F371)</f>
        <v/>
      </c>
      <c r="H371" s="37"/>
      <c r="I371" s="38"/>
      <c r="J371" s="37"/>
      <c r="K371" s="39"/>
      <c r="L371" s="41"/>
      <c r="M371" s="36" t="str">
        <f aca="true">IF(OR($B371="",$L371=""),"",DATEDIF($L371,TODAY(),"Y"))</f>
        <v/>
      </c>
      <c r="N371" s="40" t="str">
        <f aca="false">IF($M371="","",INDEX(usia_label,MATCH($M371,usia_min,1)))</f>
        <v/>
      </c>
      <c r="O371" s="37"/>
      <c r="P371" s="41"/>
      <c r="Q371" s="37"/>
      <c r="R371" s="37"/>
      <c r="S371" s="40" t="str">
        <f aca="false">IF($G371="","",$G371&amp;"#"&amp;COUNTIF($G$4:$G371,$G371))</f>
        <v/>
      </c>
      <c r="T371" s="40" t="str">
        <f aca="false">IF($B371="","",IF($C371="","NIK kosong",IF(LEN($C371)&lt;&gt;16,"NIK bukan 16 digit",IF(COUNTIF($C$4:$C$2003,$C371&amp;"*")&gt;1,"NIK ganda",IF($E371="","Kadus kosong",IF($F371="","RT kosong",IF($H371="","Jabatan kosong",IF($I371="","No. HP kosong",IF($J371="","Alamat kosong",IF(AND($M371&lt;&gt;"",$M371&lt;17),"Usia di bawah 17",""))))))))))</f>
        <v/>
      </c>
      <c r="U371" s="40" t="str">
        <f aca="false">IF($B371="","",IF(AND(OR(CARI!$C$5="",ISNUMBER(SEARCH(CARI!$C$5,$B371&amp;" "&amp;$C371&amp;" "&amp;$I371&amp;" "&amp;$J371&amp;" "&amp;$Q371))),OR(CARI!$C$6="",$E371=CARI!$C$6),OR(CARI!$C$7="",$F371=CARI!$C$7),OR(CARI!$C$8="",$O371=CARI!$C$8)),MAX($U$3:U370)+1,""))</f>
        <v/>
      </c>
      <c r="V371" s="40" t="str">
        <f aca="false">IF($T371="","",MAX($V$3:V370)+1)</f>
        <v/>
      </c>
      <c r="W371" s="40" t="str">
        <f aca="false">IF($E371="","",$E371&amp;"#"&amp;COUNTIF($E$4:$E371,$E371))</f>
        <v/>
      </c>
      <c r="X371" s="40" t="str">
        <f aca="false">IF($B371="","",IF(AND(OR(CETAK!$J$10="",$E371=CETAK!$J$10),OR(CETAK!$J$11="",$F371=CETAK!$J$11),OR(CETAK!$J$12="",$K371=CETAK!$J$12),OR(CETAK!$J$13="",$H371=CETAK!$J$13),OR(CETAK!$J$14="",$O371=CETAK!$J$14)),MAX($X$3:X370)+1,""))</f>
        <v/>
      </c>
      <c r="Y371" s="40" t="str">
        <f aca="false">IF($B371="","",IF(AND(OR(ABSENSI!$H$10="",$E371=ABSENSI!$H$10),OR(ABSENSI!$H$11="",$F371=ABSENSI!$H$11),OR(ABSENSI!$H$12="",$K371=ABSENSI!$H$12)),MAX($Y$3:Y370)+1,""))</f>
        <v/>
      </c>
      <c r="Z371" s="40" t="str">
        <f aca="false">IF($B371="","",IF(AND(OR(KARTU!$K$6="",$E371=KARTU!$K$6),OR(KARTU!$K$7="",$F371=KARTU!$K$7),OR(KARTU!$K$8="",$K371=KARTU!$K$8)),MAX($Z$3:Z370)+1,""))</f>
        <v/>
      </c>
    </row>
    <row r="372" customFormat="false" ht="15" hidden="false" customHeight="false" outlineLevel="0" collapsed="false">
      <c r="A372" s="36" t="str">
        <f aca="false">IF($B372="","",COUNTA($B$4:$B372))</f>
        <v/>
      </c>
      <c r="B372" s="37"/>
      <c r="C372" s="38"/>
      <c r="D372" s="39"/>
      <c r="E372" s="37"/>
      <c r="F372" s="39"/>
      <c r="G372" s="40" t="str">
        <f aca="false">IF(OR($E372="",$F372=""),"",$E372&amp;" - RT "&amp;$F372)</f>
        <v/>
      </c>
      <c r="H372" s="37"/>
      <c r="I372" s="38"/>
      <c r="J372" s="37"/>
      <c r="K372" s="39"/>
      <c r="L372" s="41"/>
      <c r="M372" s="36" t="str">
        <f aca="true">IF(OR($B372="",$L372=""),"",DATEDIF($L372,TODAY(),"Y"))</f>
        <v/>
      </c>
      <c r="N372" s="40" t="str">
        <f aca="false">IF($M372="","",INDEX(usia_label,MATCH($M372,usia_min,1)))</f>
        <v/>
      </c>
      <c r="O372" s="37"/>
      <c r="P372" s="41"/>
      <c r="Q372" s="37"/>
      <c r="R372" s="37"/>
      <c r="S372" s="40" t="str">
        <f aca="false">IF($G372="","",$G372&amp;"#"&amp;COUNTIF($G$4:$G372,$G372))</f>
        <v/>
      </c>
      <c r="T372" s="40" t="str">
        <f aca="false">IF($B372="","",IF($C372="","NIK kosong",IF(LEN($C372)&lt;&gt;16,"NIK bukan 16 digit",IF(COUNTIF($C$4:$C$2003,$C372&amp;"*")&gt;1,"NIK ganda",IF($E372="","Kadus kosong",IF($F372="","RT kosong",IF($H372="","Jabatan kosong",IF($I372="","No. HP kosong",IF($J372="","Alamat kosong",IF(AND($M372&lt;&gt;"",$M372&lt;17),"Usia di bawah 17",""))))))))))</f>
        <v/>
      </c>
      <c r="U372" s="40" t="str">
        <f aca="false">IF($B372="","",IF(AND(OR(CARI!$C$5="",ISNUMBER(SEARCH(CARI!$C$5,$B372&amp;" "&amp;$C372&amp;" "&amp;$I372&amp;" "&amp;$J372&amp;" "&amp;$Q372))),OR(CARI!$C$6="",$E372=CARI!$C$6),OR(CARI!$C$7="",$F372=CARI!$C$7),OR(CARI!$C$8="",$O372=CARI!$C$8)),MAX($U$3:U371)+1,""))</f>
        <v/>
      </c>
      <c r="V372" s="40" t="str">
        <f aca="false">IF($T372="","",MAX($V$3:V371)+1)</f>
        <v/>
      </c>
      <c r="W372" s="40" t="str">
        <f aca="false">IF($E372="","",$E372&amp;"#"&amp;COUNTIF($E$4:$E372,$E372))</f>
        <v/>
      </c>
      <c r="X372" s="40" t="str">
        <f aca="false">IF($B372="","",IF(AND(OR(CETAK!$J$10="",$E372=CETAK!$J$10),OR(CETAK!$J$11="",$F372=CETAK!$J$11),OR(CETAK!$J$12="",$K372=CETAK!$J$12),OR(CETAK!$J$13="",$H372=CETAK!$J$13),OR(CETAK!$J$14="",$O372=CETAK!$J$14)),MAX($X$3:X371)+1,""))</f>
        <v/>
      </c>
      <c r="Y372" s="40" t="str">
        <f aca="false">IF($B372="","",IF(AND(OR(ABSENSI!$H$10="",$E372=ABSENSI!$H$10),OR(ABSENSI!$H$11="",$F372=ABSENSI!$H$11),OR(ABSENSI!$H$12="",$K372=ABSENSI!$H$12)),MAX($Y$3:Y371)+1,""))</f>
        <v/>
      </c>
      <c r="Z372" s="40" t="str">
        <f aca="false">IF($B372="","",IF(AND(OR(KARTU!$K$6="",$E372=KARTU!$K$6),OR(KARTU!$K$7="",$F372=KARTU!$K$7),OR(KARTU!$K$8="",$K372=KARTU!$K$8)),MAX($Z$3:Z371)+1,""))</f>
        <v/>
      </c>
    </row>
    <row r="373" customFormat="false" ht="15" hidden="false" customHeight="false" outlineLevel="0" collapsed="false">
      <c r="A373" s="36" t="str">
        <f aca="false">IF($B373="","",COUNTA($B$4:$B373))</f>
        <v/>
      </c>
      <c r="B373" s="37"/>
      <c r="C373" s="38"/>
      <c r="D373" s="39"/>
      <c r="E373" s="37"/>
      <c r="F373" s="39"/>
      <c r="G373" s="40" t="str">
        <f aca="false">IF(OR($E373="",$F373=""),"",$E373&amp;" - RT "&amp;$F373)</f>
        <v/>
      </c>
      <c r="H373" s="37"/>
      <c r="I373" s="38"/>
      <c r="J373" s="37"/>
      <c r="K373" s="39"/>
      <c r="L373" s="41"/>
      <c r="M373" s="36" t="str">
        <f aca="true">IF(OR($B373="",$L373=""),"",DATEDIF($L373,TODAY(),"Y"))</f>
        <v/>
      </c>
      <c r="N373" s="40" t="str">
        <f aca="false">IF($M373="","",INDEX(usia_label,MATCH($M373,usia_min,1)))</f>
        <v/>
      </c>
      <c r="O373" s="37"/>
      <c r="P373" s="41"/>
      <c r="Q373" s="37"/>
      <c r="R373" s="37"/>
      <c r="S373" s="40" t="str">
        <f aca="false">IF($G373="","",$G373&amp;"#"&amp;COUNTIF($G$4:$G373,$G373))</f>
        <v/>
      </c>
      <c r="T373" s="40" t="str">
        <f aca="false">IF($B373="","",IF($C373="","NIK kosong",IF(LEN($C373)&lt;&gt;16,"NIK bukan 16 digit",IF(COUNTIF($C$4:$C$2003,$C373&amp;"*")&gt;1,"NIK ganda",IF($E373="","Kadus kosong",IF($F373="","RT kosong",IF($H373="","Jabatan kosong",IF($I373="","No. HP kosong",IF($J373="","Alamat kosong",IF(AND($M373&lt;&gt;"",$M373&lt;17),"Usia di bawah 17",""))))))))))</f>
        <v/>
      </c>
      <c r="U373" s="40" t="str">
        <f aca="false">IF($B373="","",IF(AND(OR(CARI!$C$5="",ISNUMBER(SEARCH(CARI!$C$5,$B373&amp;" "&amp;$C373&amp;" "&amp;$I373&amp;" "&amp;$J373&amp;" "&amp;$Q373))),OR(CARI!$C$6="",$E373=CARI!$C$6),OR(CARI!$C$7="",$F373=CARI!$C$7),OR(CARI!$C$8="",$O373=CARI!$C$8)),MAX($U$3:U372)+1,""))</f>
        <v/>
      </c>
      <c r="V373" s="40" t="str">
        <f aca="false">IF($T373="","",MAX($V$3:V372)+1)</f>
        <v/>
      </c>
      <c r="W373" s="40" t="str">
        <f aca="false">IF($E373="","",$E373&amp;"#"&amp;COUNTIF($E$4:$E373,$E373))</f>
        <v/>
      </c>
      <c r="X373" s="40" t="str">
        <f aca="false">IF($B373="","",IF(AND(OR(CETAK!$J$10="",$E373=CETAK!$J$10),OR(CETAK!$J$11="",$F373=CETAK!$J$11),OR(CETAK!$J$12="",$K373=CETAK!$J$12),OR(CETAK!$J$13="",$H373=CETAK!$J$13),OR(CETAK!$J$14="",$O373=CETAK!$J$14)),MAX($X$3:X372)+1,""))</f>
        <v/>
      </c>
      <c r="Y373" s="40" t="str">
        <f aca="false">IF($B373="","",IF(AND(OR(ABSENSI!$H$10="",$E373=ABSENSI!$H$10),OR(ABSENSI!$H$11="",$F373=ABSENSI!$H$11),OR(ABSENSI!$H$12="",$K373=ABSENSI!$H$12)),MAX($Y$3:Y372)+1,""))</f>
        <v/>
      </c>
      <c r="Z373" s="40" t="str">
        <f aca="false">IF($B373="","",IF(AND(OR(KARTU!$K$6="",$E373=KARTU!$K$6),OR(KARTU!$K$7="",$F373=KARTU!$K$7),OR(KARTU!$K$8="",$K373=KARTU!$K$8)),MAX($Z$3:Z372)+1,""))</f>
        <v/>
      </c>
    </row>
    <row r="374" customFormat="false" ht="15" hidden="false" customHeight="false" outlineLevel="0" collapsed="false">
      <c r="A374" s="36" t="str">
        <f aca="false">IF($B374="","",COUNTA($B$4:$B374))</f>
        <v/>
      </c>
      <c r="B374" s="37"/>
      <c r="C374" s="38"/>
      <c r="D374" s="39"/>
      <c r="E374" s="37"/>
      <c r="F374" s="39"/>
      <c r="G374" s="40" t="str">
        <f aca="false">IF(OR($E374="",$F374=""),"",$E374&amp;" - RT "&amp;$F374)</f>
        <v/>
      </c>
      <c r="H374" s="37"/>
      <c r="I374" s="38"/>
      <c r="J374" s="37"/>
      <c r="K374" s="39"/>
      <c r="L374" s="41"/>
      <c r="M374" s="36" t="str">
        <f aca="true">IF(OR($B374="",$L374=""),"",DATEDIF($L374,TODAY(),"Y"))</f>
        <v/>
      </c>
      <c r="N374" s="40" t="str">
        <f aca="false">IF($M374="","",INDEX(usia_label,MATCH($M374,usia_min,1)))</f>
        <v/>
      </c>
      <c r="O374" s="37"/>
      <c r="P374" s="41"/>
      <c r="Q374" s="37"/>
      <c r="R374" s="37"/>
      <c r="S374" s="40" t="str">
        <f aca="false">IF($G374="","",$G374&amp;"#"&amp;COUNTIF($G$4:$G374,$G374))</f>
        <v/>
      </c>
      <c r="T374" s="40" t="str">
        <f aca="false">IF($B374="","",IF($C374="","NIK kosong",IF(LEN($C374)&lt;&gt;16,"NIK bukan 16 digit",IF(COUNTIF($C$4:$C$2003,$C374&amp;"*")&gt;1,"NIK ganda",IF($E374="","Kadus kosong",IF($F374="","RT kosong",IF($H374="","Jabatan kosong",IF($I374="","No. HP kosong",IF($J374="","Alamat kosong",IF(AND($M374&lt;&gt;"",$M374&lt;17),"Usia di bawah 17",""))))))))))</f>
        <v/>
      </c>
      <c r="U374" s="40" t="str">
        <f aca="false">IF($B374="","",IF(AND(OR(CARI!$C$5="",ISNUMBER(SEARCH(CARI!$C$5,$B374&amp;" "&amp;$C374&amp;" "&amp;$I374&amp;" "&amp;$J374&amp;" "&amp;$Q374))),OR(CARI!$C$6="",$E374=CARI!$C$6),OR(CARI!$C$7="",$F374=CARI!$C$7),OR(CARI!$C$8="",$O374=CARI!$C$8)),MAX($U$3:U373)+1,""))</f>
        <v/>
      </c>
      <c r="V374" s="40" t="str">
        <f aca="false">IF($T374="","",MAX($V$3:V373)+1)</f>
        <v/>
      </c>
      <c r="W374" s="40" t="str">
        <f aca="false">IF($E374="","",$E374&amp;"#"&amp;COUNTIF($E$4:$E374,$E374))</f>
        <v/>
      </c>
      <c r="X374" s="40" t="str">
        <f aca="false">IF($B374="","",IF(AND(OR(CETAK!$J$10="",$E374=CETAK!$J$10),OR(CETAK!$J$11="",$F374=CETAK!$J$11),OR(CETAK!$J$12="",$K374=CETAK!$J$12),OR(CETAK!$J$13="",$H374=CETAK!$J$13),OR(CETAK!$J$14="",$O374=CETAK!$J$14)),MAX($X$3:X373)+1,""))</f>
        <v/>
      </c>
      <c r="Y374" s="40" t="str">
        <f aca="false">IF($B374="","",IF(AND(OR(ABSENSI!$H$10="",$E374=ABSENSI!$H$10),OR(ABSENSI!$H$11="",$F374=ABSENSI!$H$11),OR(ABSENSI!$H$12="",$K374=ABSENSI!$H$12)),MAX($Y$3:Y373)+1,""))</f>
        <v/>
      </c>
      <c r="Z374" s="40" t="str">
        <f aca="false">IF($B374="","",IF(AND(OR(KARTU!$K$6="",$E374=KARTU!$K$6),OR(KARTU!$K$7="",$F374=KARTU!$K$7),OR(KARTU!$K$8="",$K374=KARTU!$K$8)),MAX($Z$3:Z373)+1,""))</f>
        <v/>
      </c>
    </row>
    <row r="375" customFormat="false" ht="15" hidden="false" customHeight="false" outlineLevel="0" collapsed="false">
      <c r="A375" s="36" t="str">
        <f aca="false">IF($B375="","",COUNTA($B$4:$B375))</f>
        <v/>
      </c>
      <c r="B375" s="37"/>
      <c r="C375" s="38"/>
      <c r="D375" s="39"/>
      <c r="E375" s="37"/>
      <c r="F375" s="39"/>
      <c r="G375" s="40" t="str">
        <f aca="false">IF(OR($E375="",$F375=""),"",$E375&amp;" - RT "&amp;$F375)</f>
        <v/>
      </c>
      <c r="H375" s="37"/>
      <c r="I375" s="38"/>
      <c r="J375" s="37"/>
      <c r="K375" s="39"/>
      <c r="L375" s="41"/>
      <c r="M375" s="36" t="str">
        <f aca="true">IF(OR($B375="",$L375=""),"",DATEDIF($L375,TODAY(),"Y"))</f>
        <v/>
      </c>
      <c r="N375" s="40" t="str">
        <f aca="false">IF($M375="","",INDEX(usia_label,MATCH($M375,usia_min,1)))</f>
        <v/>
      </c>
      <c r="O375" s="37"/>
      <c r="P375" s="41"/>
      <c r="Q375" s="37"/>
      <c r="R375" s="37"/>
      <c r="S375" s="40" t="str">
        <f aca="false">IF($G375="","",$G375&amp;"#"&amp;COUNTIF($G$4:$G375,$G375))</f>
        <v/>
      </c>
      <c r="T375" s="40" t="str">
        <f aca="false">IF($B375="","",IF($C375="","NIK kosong",IF(LEN($C375)&lt;&gt;16,"NIK bukan 16 digit",IF(COUNTIF($C$4:$C$2003,$C375&amp;"*")&gt;1,"NIK ganda",IF($E375="","Kadus kosong",IF($F375="","RT kosong",IF($H375="","Jabatan kosong",IF($I375="","No. HP kosong",IF($J375="","Alamat kosong",IF(AND($M375&lt;&gt;"",$M375&lt;17),"Usia di bawah 17",""))))))))))</f>
        <v/>
      </c>
      <c r="U375" s="40" t="str">
        <f aca="false">IF($B375="","",IF(AND(OR(CARI!$C$5="",ISNUMBER(SEARCH(CARI!$C$5,$B375&amp;" "&amp;$C375&amp;" "&amp;$I375&amp;" "&amp;$J375&amp;" "&amp;$Q375))),OR(CARI!$C$6="",$E375=CARI!$C$6),OR(CARI!$C$7="",$F375=CARI!$C$7),OR(CARI!$C$8="",$O375=CARI!$C$8)),MAX($U$3:U374)+1,""))</f>
        <v/>
      </c>
      <c r="V375" s="40" t="str">
        <f aca="false">IF($T375="","",MAX($V$3:V374)+1)</f>
        <v/>
      </c>
      <c r="W375" s="40" t="str">
        <f aca="false">IF($E375="","",$E375&amp;"#"&amp;COUNTIF($E$4:$E375,$E375))</f>
        <v/>
      </c>
      <c r="X375" s="40" t="str">
        <f aca="false">IF($B375="","",IF(AND(OR(CETAK!$J$10="",$E375=CETAK!$J$10),OR(CETAK!$J$11="",$F375=CETAK!$J$11),OR(CETAK!$J$12="",$K375=CETAK!$J$12),OR(CETAK!$J$13="",$H375=CETAK!$J$13),OR(CETAK!$J$14="",$O375=CETAK!$J$14)),MAX($X$3:X374)+1,""))</f>
        <v/>
      </c>
      <c r="Y375" s="40" t="str">
        <f aca="false">IF($B375="","",IF(AND(OR(ABSENSI!$H$10="",$E375=ABSENSI!$H$10),OR(ABSENSI!$H$11="",$F375=ABSENSI!$H$11),OR(ABSENSI!$H$12="",$K375=ABSENSI!$H$12)),MAX($Y$3:Y374)+1,""))</f>
        <v/>
      </c>
      <c r="Z375" s="40" t="str">
        <f aca="false">IF($B375="","",IF(AND(OR(KARTU!$K$6="",$E375=KARTU!$K$6),OR(KARTU!$K$7="",$F375=KARTU!$K$7),OR(KARTU!$K$8="",$K375=KARTU!$K$8)),MAX($Z$3:Z374)+1,""))</f>
        <v/>
      </c>
    </row>
    <row r="376" customFormat="false" ht="15" hidden="false" customHeight="false" outlineLevel="0" collapsed="false">
      <c r="A376" s="36" t="str">
        <f aca="false">IF($B376="","",COUNTA($B$4:$B376))</f>
        <v/>
      </c>
      <c r="B376" s="37"/>
      <c r="C376" s="38"/>
      <c r="D376" s="39"/>
      <c r="E376" s="37"/>
      <c r="F376" s="39"/>
      <c r="G376" s="40" t="str">
        <f aca="false">IF(OR($E376="",$F376=""),"",$E376&amp;" - RT "&amp;$F376)</f>
        <v/>
      </c>
      <c r="H376" s="37"/>
      <c r="I376" s="38"/>
      <c r="J376" s="37"/>
      <c r="K376" s="39"/>
      <c r="L376" s="41"/>
      <c r="M376" s="36" t="str">
        <f aca="true">IF(OR($B376="",$L376=""),"",DATEDIF($L376,TODAY(),"Y"))</f>
        <v/>
      </c>
      <c r="N376" s="40" t="str">
        <f aca="false">IF($M376="","",INDEX(usia_label,MATCH($M376,usia_min,1)))</f>
        <v/>
      </c>
      <c r="O376" s="37"/>
      <c r="P376" s="41"/>
      <c r="Q376" s="37"/>
      <c r="R376" s="37"/>
      <c r="S376" s="40" t="str">
        <f aca="false">IF($G376="","",$G376&amp;"#"&amp;COUNTIF($G$4:$G376,$G376))</f>
        <v/>
      </c>
      <c r="T376" s="40" t="str">
        <f aca="false">IF($B376="","",IF($C376="","NIK kosong",IF(LEN($C376)&lt;&gt;16,"NIK bukan 16 digit",IF(COUNTIF($C$4:$C$2003,$C376&amp;"*")&gt;1,"NIK ganda",IF($E376="","Kadus kosong",IF($F376="","RT kosong",IF($H376="","Jabatan kosong",IF($I376="","No. HP kosong",IF($J376="","Alamat kosong",IF(AND($M376&lt;&gt;"",$M376&lt;17),"Usia di bawah 17",""))))))))))</f>
        <v/>
      </c>
      <c r="U376" s="40" t="str">
        <f aca="false">IF($B376="","",IF(AND(OR(CARI!$C$5="",ISNUMBER(SEARCH(CARI!$C$5,$B376&amp;" "&amp;$C376&amp;" "&amp;$I376&amp;" "&amp;$J376&amp;" "&amp;$Q376))),OR(CARI!$C$6="",$E376=CARI!$C$6),OR(CARI!$C$7="",$F376=CARI!$C$7),OR(CARI!$C$8="",$O376=CARI!$C$8)),MAX($U$3:U375)+1,""))</f>
        <v/>
      </c>
      <c r="V376" s="40" t="str">
        <f aca="false">IF($T376="","",MAX($V$3:V375)+1)</f>
        <v/>
      </c>
      <c r="W376" s="40" t="str">
        <f aca="false">IF($E376="","",$E376&amp;"#"&amp;COUNTIF($E$4:$E376,$E376))</f>
        <v/>
      </c>
      <c r="X376" s="40" t="str">
        <f aca="false">IF($B376="","",IF(AND(OR(CETAK!$J$10="",$E376=CETAK!$J$10),OR(CETAK!$J$11="",$F376=CETAK!$J$11),OR(CETAK!$J$12="",$K376=CETAK!$J$12),OR(CETAK!$J$13="",$H376=CETAK!$J$13),OR(CETAK!$J$14="",$O376=CETAK!$J$14)),MAX($X$3:X375)+1,""))</f>
        <v/>
      </c>
      <c r="Y376" s="40" t="str">
        <f aca="false">IF($B376="","",IF(AND(OR(ABSENSI!$H$10="",$E376=ABSENSI!$H$10),OR(ABSENSI!$H$11="",$F376=ABSENSI!$H$11),OR(ABSENSI!$H$12="",$K376=ABSENSI!$H$12)),MAX($Y$3:Y375)+1,""))</f>
        <v/>
      </c>
      <c r="Z376" s="40" t="str">
        <f aca="false">IF($B376="","",IF(AND(OR(KARTU!$K$6="",$E376=KARTU!$K$6),OR(KARTU!$K$7="",$F376=KARTU!$K$7),OR(KARTU!$K$8="",$K376=KARTU!$K$8)),MAX($Z$3:Z375)+1,""))</f>
        <v/>
      </c>
    </row>
    <row r="377" customFormat="false" ht="15" hidden="false" customHeight="false" outlineLevel="0" collapsed="false">
      <c r="A377" s="36" t="str">
        <f aca="false">IF($B377="","",COUNTA($B$4:$B377))</f>
        <v/>
      </c>
      <c r="B377" s="37"/>
      <c r="C377" s="38"/>
      <c r="D377" s="39"/>
      <c r="E377" s="37"/>
      <c r="F377" s="39"/>
      <c r="G377" s="40" t="str">
        <f aca="false">IF(OR($E377="",$F377=""),"",$E377&amp;" - RT "&amp;$F377)</f>
        <v/>
      </c>
      <c r="H377" s="37"/>
      <c r="I377" s="38"/>
      <c r="J377" s="37"/>
      <c r="K377" s="39"/>
      <c r="L377" s="41"/>
      <c r="M377" s="36" t="str">
        <f aca="true">IF(OR($B377="",$L377=""),"",DATEDIF($L377,TODAY(),"Y"))</f>
        <v/>
      </c>
      <c r="N377" s="40" t="str">
        <f aca="false">IF($M377="","",INDEX(usia_label,MATCH($M377,usia_min,1)))</f>
        <v/>
      </c>
      <c r="O377" s="37"/>
      <c r="P377" s="41"/>
      <c r="Q377" s="37"/>
      <c r="R377" s="37"/>
      <c r="S377" s="40" t="str">
        <f aca="false">IF($G377="","",$G377&amp;"#"&amp;COUNTIF($G$4:$G377,$G377))</f>
        <v/>
      </c>
      <c r="T377" s="40" t="str">
        <f aca="false">IF($B377="","",IF($C377="","NIK kosong",IF(LEN($C377)&lt;&gt;16,"NIK bukan 16 digit",IF(COUNTIF($C$4:$C$2003,$C377&amp;"*")&gt;1,"NIK ganda",IF($E377="","Kadus kosong",IF($F377="","RT kosong",IF($H377="","Jabatan kosong",IF($I377="","No. HP kosong",IF($J377="","Alamat kosong",IF(AND($M377&lt;&gt;"",$M377&lt;17),"Usia di bawah 17",""))))))))))</f>
        <v/>
      </c>
      <c r="U377" s="40" t="str">
        <f aca="false">IF($B377="","",IF(AND(OR(CARI!$C$5="",ISNUMBER(SEARCH(CARI!$C$5,$B377&amp;" "&amp;$C377&amp;" "&amp;$I377&amp;" "&amp;$J377&amp;" "&amp;$Q377))),OR(CARI!$C$6="",$E377=CARI!$C$6),OR(CARI!$C$7="",$F377=CARI!$C$7),OR(CARI!$C$8="",$O377=CARI!$C$8)),MAX($U$3:U376)+1,""))</f>
        <v/>
      </c>
      <c r="V377" s="40" t="str">
        <f aca="false">IF($T377="","",MAX($V$3:V376)+1)</f>
        <v/>
      </c>
      <c r="W377" s="40" t="str">
        <f aca="false">IF($E377="","",$E377&amp;"#"&amp;COUNTIF($E$4:$E377,$E377))</f>
        <v/>
      </c>
      <c r="X377" s="40" t="str">
        <f aca="false">IF($B377="","",IF(AND(OR(CETAK!$J$10="",$E377=CETAK!$J$10),OR(CETAK!$J$11="",$F377=CETAK!$J$11),OR(CETAK!$J$12="",$K377=CETAK!$J$12),OR(CETAK!$J$13="",$H377=CETAK!$J$13),OR(CETAK!$J$14="",$O377=CETAK!$J$14)),MAX($X$3:X376)+1,""))</f>
        <v/>
      </c>
      <c r="Y377" s="40" t="str">
        <f aca="false">IF($B377="","",IF(AND(OR(ABSENSI!$H$10="",$E377=ABSENSI!$H$10),OR(ABSENSI!$H$11="",$F377=ABSENSI!$H$11),OR(ABSENSI!$H$12="",$K377=ABSENSI!$H$12)),MAX($Y$3:Y376)+1,""))</f>
        <v/>
      </c>
      <c r="Z377" s="40" t="str">
        <f aca="false">IF($B377="","",IF(AND(OR(KARTU!$K$6="",$E377=KARTU!$K$6),OR(KARTU!$K$7="",$F377=KARTU!$K$7),OR(KARTU!$K$8="",$K377=KARTU!$K$8)),MAX($Z$3:Z376)+1,""))</f>
        <v/>
      </c>
    </row>
    <row r="378" customFormat="false" ht="15" hidden="false" customHeight="false" outlineLevel="0" collapsed="false">
      <c r="A378" s="36" t="str">
        <f aca="false">IF($B378="","",COUNTA($B$4:$B378))</f>
        <v/>
      </c>
      <c r="B378" s="37"/>
      <c r="C378" s="38"/>
      <c r="D378" s="39"/>
      <c r="E378" s="37"/>
      <c r="F378" s="39"/>
      <c r="G378" s="40" t="str">
        <f aca="false">IF(OR($E378="",$F378=""),"",$E378&amp;" - RT "&amp;$F378)</f>
        <v/>
      </c>
      <c r="H378" s="37"/>
      <c r="I378" s="38"/>
      <c r="J378" s="37"/>
      <c r="K378" s="39"/>
      <c r="L378" s="41"/>
      <c r="M378" s="36" t="str">
        <f aca="true">IF(OR($B378="",$L378=""),"",DATEDIF($L378,TODAY(),"Y"))</f>
        <v/>
      </c>
      <c r="N378" s="40" t="str">
        <f aca="false">IF($M378="","",INDEX(usia_label,MATCH($M378,usia_min,1)))</f>
        <v/>
      </c>
      <c r="O378" s="37"/>
      <c r="P378" s="41"/>
      <c r="Q378" s="37"/>
      <c r="R378" s="37"/>
      <c r="S378" s="40" t="str">
        <f aca="false">IF($G378="","",$G378&amp;"#"&amp;COUNTIF($G$4:$G378,$G378))</f>
        <v/>
      </c>
      <c r="T378" s="40" t="str">
        <f aca="false">IF($B378="","",IF($C378="","NIK kosong",IF(LEN($C378)&lt;&gt;16,"NIK bukan 16 digit",IF(COUNTIF($C$4:$C$2003,$C378&amp;"*")&gt;1,"NIK ganda",IF($E378="","Kadus kosong",IF($F378="","RT kosong",IF($H378="","Jabatan kosong",IF($I378="","No. HP kosong",IF($J378="","Alamat kosong",IF(AND($M378&lt;&gt;"",$M378&lt;17),"Usia di bawah 17",""))))))))))</f>
        <v/>
      </c>
      <c r="U378" s="40" t="str">
        <f aca="false">IF($B378="","",IF(AND(OR(CARI!$C$5="",ISNUMBER(SEARCH(CARI!$C$5,$B378&amp;" "&amp;$C378&amp;" "&amp;$I378&amp;" "&amp;$J378&amp;" "&amp;$Q378))),OR(CARI!$C$6="",$E378=CARI!$C$6),OR(CARI!$C$7="",$F378=CARI!$C$7),OR(CARI!$C$8="",$O378=CARI!$C$8)),MAX($U$3:U377)+1,""))</f>
        <v/>
      </c>
      <c r="V378" s="40" t="str">
        <f aca="false">IF($T378="","",MAX($V$3:V377)+1)</f>
        <v/>
      </c>
      <c r="W378" s="40" t="str">
        <f aca="false">IF($E378="","",$E378&amp;"#"&amp;COUNTIF($E$4:$E378,$E378))</f>
        <v/>
      </c>
      <c r="X378" s="40" t="str">
        <f aca="false">IF($B378="","",IF(AND(OR(CETAK!$J$10="",$E378=CETAK!$J$10),OR(CETAK!$J$11="",$F378=CETAK!$J$11),OR(CETAK!$J$12="",$K378=CETAK!$J$12),OR(CETAK!$J$13="",$H378=CETAK!$J$13),OR(CETAK!$J$14="",$O378=CETAK!$J$14)),MAX($X$3:X377)+1,""))</f>
        <v/>
      </c>
      <c r="Y378" s="40" t="str">
        <f aca="false">IF($B378="","",IF(AND(OR(ABSENSI!$H$10="",$E378=ABSENSI!$H$10),OR(ABSENSI!$H$11="",$F378=ABSENSI!$H$11),OR(ABSENSI!$H$12="",$K378=ABSENSI!$H$12)),MAX($Y$3:Y377)+1,""))</f>
        <v/>
      </c>
      <c r="Z378" s="40" t="str">
        <f aca="false">IF($B378="","",IF(AND(OR(KARTU!$K$6="",$E378=KARTU!$K$6),OR(KARTU!$K$7="",$F378=KARTU!$K$7),OR(KARTU!$K$8="",$K378=KARTU!$K$8)),MAX($Z$3:Z377)+1,""))</f>
        <v/>
      </c>
    </row>
    <row r="379" customFormat="false" ht="15" hidden="false" customHeight="false" outlineLevel="0" collapsed="false">
      <c r="A379" s="36" t="str">
        <f aca="false">IF($B379="","",COUNTA($B$4:$B379))</f>
        <v/>
      </c>
      <c r="B379" s="37"/>
      <c r="C379" s="38"/>
      <c r="D379" s="39"/>
      <c r="E379" s="37"/>
      <c r="F379" s="39"/>
      <c r="G379" s="40" t="str">
        <f aca="false">IF(OR($E379="",$F379=""),"",$E379&amp;" - RT "&amp;$F379)</f>
        <v/>
      </c>
      <c r="H379" s="37"/>
      <c r="I379" s="38"/>
      <c r="J379" s="37"/>
      <c r="K379" s="39"/>
      <c r="L379" s="41"/>
      <c r="M379" s="36" t="str">
        <f aca="true">IF(OR($B379="",$L379=""),"",DATEDIF($L379,TODAY(),"Y"))</f>
        <v/>
      </c>
      <c r="N379" s="40" t="str">
        <f aca="false">IF($M379="","",INDEX(usia_label,MATCH($M379,usia_min,1)))</f>
        <v/>
      </c>
      <c r="O379" s="37"/>
      <c r="P379" s="41"/>
      <c r="Q379" s="37"/>
      <c r="R379" s="37"/>
      <c r="S379" s="40" t="str">
        <f aca="false">IF($G379="","",$G379&amp;"#"&amp;COUNTIF($G$4:$G379,$G379))</f>
        <v/>
      </c>
      <c r="T379" s="40" t="str">
        <f aca="false">IF($B379="","",IF($C379="","NIK kosong",IF(LEN($C379)&lt;&gt;16,"NIK bukan 16 digit",IF(COUNTIF($C$4:$C$2003,$C379&amp;"*")&gt;1,"NIK ganda",IF($E379="","Kadus kosong",IF($F379="","RT kosong",IF($H379="","Jabatan kosong",IF($I379="","No. HP kosong",IF($J379="","Alamat kosong",IF(AND($M379&lt;&gt;"",$M379&lt;17),"Usia di bawah 17",""))))))))))</f>
        <v/>
      </c>
      <c r="U379" s="40" t="str">
        <f aca="false">IF($B379="","",IF(AND(OR(CARI!$C$5="",ISNUMBER(SEARCH(CARI!$C$5,$B379&amp;" "&amp;$C379&amp;" "&amp;$I379&amp;" "&amp;$J379&amp;" "&amp;$Q379))),OR(CARI!$C$6="",$E379=CARI!$C$6),OR(CARI!$C$7="",$F379=CARI!$C$7),OR(CARI!$C$8="",$O379=CARI!$C$8)),MAX($U$3:U378)+1,""))</f>
        <v/>
      </c>
      <c r="V379" s="40" t="str">
        <f aca="false">IF($T379="","",MAX($V$3:V378)+1)</f>
        <v/>
      </c>
      <c r="W379" s="40" t="str">
        <f aca="false">IF($E379="","",$E379&amp;"#"&amp;COUNTIF($E$4:$E379,$E379))</f>
        <v/>
      </c>
      <c r="X379" s="40" t="str">
        <f aca="false">IF($B379="","",IF(AND(OR(CETAK!$J$10="",$E379=CETAK!$J$10),OR(CETAK!$J$11="",$F379=CETAK!$J$11),OR(CETAK!$J$12="",$K379=CETAK!$J$12),OR(CETAK!$J$13="",$H379=CETAK!$J$13),OR(CETAK!$J$14="",$O379=CETAK!$J$14)),MAX($X$3:X378)+1,""))</f>
        <v/>
      </c>
      <c r="Y379" s="40" t="str">
        <f aca="false">IF($B379="","",IF(AND(OR(ABSENSI!$H$10="",$E379=ABSENSI!$H$10),OR(ABSENSI!$H$11="",$F379=ABSENSI!$H$11),OR(ABSENSI!$H$12="",$K379=ABSENSI!$H$12)),MAX($Y$3:Y378)+1,""))</f>
        <v/>
      </c>
      <c r="Z379" s="40" t="str">
        <f aca="false">IF($B379="","",IF(AND(OR(KARTU!$K$6="",$E379=KARTU!$K$6),OR(KARTU!$K$7="",$F379=KARTU!$K$7),OR(KARTU!$K$8="",$K379=KARTU!$K$8)),MAX($Z$3:Z378)+1,""))</f>
        <v/>
      </c>
    </row>
    <row r="380" customFormat="false" ht="15" hidden="false" customHeight="false" outlineLevel="0" collapsed="false">
      <c r="A380" s="36" t="str">
        <f aca="false">IF($B380="","",COUNTA($B$4:$B380))</f>
        <v/>
      </c>
      <c r="B380" s="37"/>
      <c r="C380" s="38"/>
      <c r="D380" s="39"/>
      <c r="E380" s="37"/>
      <c r="F380" s="39"/>
      <c r="G380" s="40" t="str">
        <f aca="false">IF(OR($E380="",$F380=""),"",$E380&amp;" - RT "&amp;$F380)</f>
        <v/>
      </c>
      <c r="H380" s="37"/>
      <c r="I380" s="38"/>
      <c r="J380" s="37"/>
      <c r="K380" s="39"/>
      <c r="L380" s="41"/>
      <c r="M380" s="36" t="str">
        <f aca="true">IF(OR($B380="",$L380=""),"",DATEDIF($L380,TODAY(),"Y"))</f>
        <v/>
      </c>
      <c r="N380" s="40" t="str">
        <f aca="false">IF($M380="","",INDEX(usia_label,MATCH($M380,usia_min,1)))</f>
        <v/>
      </c>
      <c r="O380" s="37"/>
      <c r="P380" s="41"/>
      <c r="Q380" s="37"/>
      <c r="R380" s="37"/>
      <c r="S380" s="40" t="str">
        <f aca="false">IF($G380="","",$G380&amp;"#"&amp;COUNTIF($G$4:$G380,$G380))</f>
        <v/>
      </c>
      <c r="T380" s="40" t="str">
        <f aca="false">IF($B380="","",IF($C380="","NIK kosong",IF(LEN($C380)&lt;&gt;16,"NIK bukan 16 digit",IF(COUNTIF($C$4:$C$2003,$C380&amp;"*")&gt;1,"NIK ganda",IF($E380="","Kadus kosong",IF($F380="","RT kosong",IF($H380="","Jabatan kosong",IF($I380="","No. HP kosong",IF($J380="","Alamat kosong",IF(AND($M380&lt;&gt;"",$M380&lt;17),"Usia di bawah 17",""))))))))))</f>
        <v/>
      </c>
      <c r="U380" s="40" t="str">
        <f aca="false">IF($B380="","",IF(AND(OR(CARI!$C$5="",ISNUMBER(SEARCH(CARI!$C$5,$B380&amp;" "&amp;$C380&amp;" "&amp;$I380&amp;" "&amp;$J380&amp;" "&amp;$Q380))),OR(CARI!$C$6="",$E380=CARI!$C$6),OR(CARI!$C$7="",$F380=CARI!$C$7),OR(CARI!$C$8="",$O380=CARI!$C$8)),MAX($U$3:U379)+1,""))</f>
        <v/>
      </c>
      <c r="V380" s="40" t="str">
        <f aca="false">IF($T380="","",MAX($V$3:V379)+1)</f>
        <v/>
      </c>
      <c r="W380" s="40" t="str">
        <f aca="false">IF($E380="","",$E380&amp;"#"&amp;COUNTIF($E$4:$E380,$E380))</f>
        <v/>
      </c>
      <c r="X380" s="40" t="str">
        <f aca="false">IF($B380="","",IF(AND(OR(CETAK!$J$10="",$E380=CETAK!$J$10),OR(CETAK!$J$11="",$F380=CETAK!$J$11),OR(CETAK!$J$12="",$K380=CETAK!$J$12),OR(CETAK!$J$13="",$H380=CETAK!$J$13),OR(CETAK!$J$14="",$O380=CETAK!$J$14)),MAX($X$3:X379)+1,""))</f>
        <v/>
      </c>
      <c r="Y380" s="40" t="str">
        <f aca="false">IF($B380="","",IF(AND(OR(ABSENSI!$H$10="",$E380=ABSENSI!$H$10),OR(ABSENSI!$H$11="",$F380=ABSENSI!$H$11),OR(ABSENSI!$H$12="",$K380=ABSENSI!$H$12)),MAX($Y$3:Y379)+1,""))</f>
        <v/>
      </c>
      <c r="Z380" s="40" t="str">
        <f aca="false">IF($B380="","",IF(AND(OR(KARTU!$K$6="",$E380=KARTU!$K$6),OR(KARTU!$K$7="",$F380=KARTU!$K$7),OR(KARTU!$K$8="",$K380=KARTU!$K$8)),MAX($Z$3:Z379)+1,""))</f>
        <v/>
      </c>
    </row>
    <row r="381" customFormat="false" ht="15" hidden="false" customHeight="false" outlineLevel="0" collapsed="false">
      <c r="A381" s="36" t="str">
        <f aca="false">IF($B381="","",COUNTA($B$4:$B381))</f>
        <v/>
      </c>
      <c r="B381" s="37"/>
      <c r="C381" s="38"/>
      <c r="D381" s="39"/>
      <c r="E381" s="37"/>
      <c r="F381" s="39"/>
      <c r="G381" s="40" t="str">
        <f aca="false">IF(OR($E381="",$F381=""),"",$E381&amp;" - RT "&amp;$F381)</f>
        <v/>
      </c>
      <c r="H381" s="37"/>
      <c r="I381" s="38"/>
      <c r="J381" s="37"/>
      <c r="K381" s="39"/>
      <c r="L381" s="41"/>
      <c r="M381" s="36" t="str">
        <f aca="true">IF(OR($B381="",$L381=""),"",DATEDIF($L381,TODAY(),"Y"))</f>
        <v/>
      </c>
      <c r="N381" s="40" t="str">
        <f aca="false">IF($M381="","",INDEX(usia_label,MATCH($M381,usia_min,1)))</f>
        <v/>
      </c>
      <c r="O381" s="37"/>
      <c r="P381" s="41"/>
      <c r="Q381" s="37"/>
      <c r="R381" s="37"/>
      <c r="S381" s="40" t="str">
        <f aca="false">IF($G381="","",$G381&amp;"#"&amp;COUNTIF($G$4:$G381,$G381))</f>
        <v/>
      </c>
      <c r="T381" s="40" t="str">
        <f aca="false">IF($B381="","",IF($C381="","NIK kosong",IF(LEN($C381)&lt;&gt;16,"NIK bukan 16 digit",IF(COUNTIF($C$4:$C$2003,$C381&amp;"*")&gt;1,"NIK ganda",IF($E381="","Kadus kosong",IF($F381="","RT kosong",IF($H381="","Jabatan kosong",IF($I381="","No. HP kosong",IF($J381="","Alamat kosong",IF(AND($M381&lt;&gt;"",$M381&lt;17),"Usia di bawah 17",""))))))))))</f>
        <v/>
      </c>
      <c r="U381" s="40" t="str">
        <f aca="false">IF($B381="","",IF(AND(OR(CARI!$C$5="",ISNUMBER(SEARCH(CARI!$C$5,$B381&amp;" "&amp;$C381&amp;" "&amp;$I381&amp;" "&amp;$J381&amp;" "&amp;$Q381))),OR(CARI!$C$6="",$E381=CARI!$C$6),OR(CARI!$C$7="",$F381=CARI!$C$7),OR(CARI!$C$8="",$O381=CARI!$C$8)),MAX($U$3:U380)+1,""))</f>
        <v/>
      </c>
      <c r="V381" s="40" t="str">
        <f aca="false">IF($T381="","",MAX($V$3:V380)+1)</f>
        <v/>
      </c>
      <c r="W381" s="40" t="str">
        <f aca="false">IF($E381="","",$E381&amp;"#"&amp;COUNTIF($E$4:$E381,$E381))</f>
        <v/>
      </c>
      <c r="X381" s="40" t="str">
        <f aca="false">IF($B381="","",IF(AND(OR(CETAK!$J$10="",$E381=CETAK!$J$10),OR(CETAK!$J$11="",$F381=CETAK!$J$11),OR(CETAK!$J$12="",$K381=CETAK!$J$12),OR(CETAK!$J$13="",$H381=CETAK!$J$13),OR(CETAK!$J$14="",$O381=CETAK!$J$14)),MAX($X$3:X380)+1,""))</f>
        <v/>
      </c>
      <c r="Y381" s="40" t="str">
        <f aca="false">IF($B381="","",IF(AND(OR(ABSENSI!$H$10="",$E381=ABSENSI!$H$10),OR(ABSENSI!$H$11="",$F381=ABSENSI!$H$11),OR(ABSENSI!$H$12="",$K381=ABSENSI!$H$12)),MAX($Y$3:Y380)+1,""))</f>
        <v/>
      </c>
      <c r="Z381" s="40" t="str">
        <f aca="false">IF($B381="","",IF(AND(OR(KARTU!$K$6="",$E381=KARTU!$K$6),OR(KARTU!$K$7="",$F381=KARTU!$K$7),OR(KARTU!$K$8="",$K381=KARTU!$K$8)),MAX($Z$3:Z380)+1,""))</f>
        <v/>
      </c>
    </row>
    <row r="382" customFormat="false" ht="15" hidden="false" customHeight="false" outlineLevel="0" collapsed="false">
      <c r="A382" s="36" t="str">
        <f aca="false">IF($B382="","",COUNTA($B$4:$B382))</f>
        <v/>
      </c>
      <c r="B382" s="37"/>
      <c r="C382" s="38"/>
      <c r="D382" s="39"/>
      <c r="E382" s="37"/>
      <c r="F382" s="39"/>
      <c r="G382" s="40" t="str">
        <f aca="false">IF(OR($E382="",$F382=""),"",$E382&amp;" - RT "&amp;$F382)</f>
        <v/>
      </c>
      <c r="H382" s="37"/>
      <c r="I382" s="38"/>
      <c r="J382" s="37"/>
      <c r="K382" s="39"/>
      <c r="L382" s="41"/>
      <c r="M382" s="36" t="str">
        <f aca="true">IF(OR($B382="",$L382=""),"",DATEDIF($L382,TODAY(),"Y"))</f>
        <v/>
      </c>
      <c r="N382" s="40" t="str">
        <f aca="false">IF($M382="","",INDEX(usia_label,MATCH($M382,usia_min,1)))</f>
        <v/>
      </c>
      <c r="O382" s="37"/>
      <c r="P382" s="41"/>
      <c r="Q382" s="37"/>
      <c r="R382" s="37"/>
      <c r="S382" s="40" t="str">
        <f aca="false">IF($G382="","",$G382&amp;"#"&amp;COUNTIF($G$4:$G382,$G382))</f>
        <v/>
      </c>
      <c r="T382" s="40" t="str">
        <f aca="false">IF($B382="","",IF($C382="","NIK kosong",IF(LEN($C382)&lt;&gt;16,"NIK bukan 16 digit",IF(COUNTIF($C$4:$C$2003,$C382&amp;"*")&gt;1,"NIK ganda",IF($E382="","Kadus kosong",IF($F382="","RT kosong",IF($H382="","Jabatan kosong",IF($I382="","No. HP kosong",IF($J382="","Alamat kosong",IF(AND($M382&lt;&gt;"",$M382&lt;17),"Usia di bawah 17",""))))))))))</f>
        <v/>
      </c>
      <c r="U382" s="40" t="str">
        <f aca="false">IF($B382="","",IF(AND(OR(CARI!$C$5="",ISNUMBER(SEARCH(CARI!$C$5,$B382&amp;" "&amp;$C382&amp;" "&amp;$I382&amp;" "&amp;$J382&amp;" "&amp;$Q382))),OR(CARI!$C$6="",$E382=CARI!$C$6),OR(CARI!$C$7="",$F382=CARI!$C$7),OR(CARI!$C$8="",$O382=CARI!$C$8)),MAX($U$3:U381)+1,""))</f>
        <v/>
      </c>
      <c r="V382" s="40" t="str">
        <f aca="false">IF($T382="","",MAX($V$3:V381)+1)</f>
        <v/>
      </c>
      <c r="W382" s="40" t="str">
        <f aca="false">IF($E382="","",$E382&amp;"#"&amp;COUNTIF($E$4:$E382,$E382))</f>
        <v/>
      </c>
      <c r="X382" s="40" t="str">
        <f aca="false">IF($B382="","",IF(AND(OR(CETAK!$J$10="",$E382=CETAK!$J$10),OR(CETAK!$J$11="",$F382=CETAK!$J$11),OR(CETAK!$J$12="",$K382=CETAK!$J$12),OR(CETAK!$J$13="",$H382=CETAK!$J$13),OR(CETAK!$J$14="",$O382=CETAK!$J$14)),MAX($X$3:X381)+1,""))</f>
        <v/>
      </c>
      <c r="Y382" s="40" t="str">
        <f aca="false">IF($B382="","",IF(AND(OR(ABSENSI!$H$10="",$E382=ABSENSI!$H$10),OR(ABSENSI!$H$11="",$F382=ABSENSI!$H$11),OR(ABSENSI!$H$12="",$K382=ABSENSI!$H$12)),MAX($Y$3:Y381)+1,""))</f>
        <v/>
      </c>
      <c r="Z382" s="40" t="str">
        <f aca="false">IF($B382="","",IF(AND(OR(KARTU!$K$6="",$E382=KARTU!$K$6),OR(KARTU!$K$7="",$F382=KARTU!$K$7),OR(KARTU!$K$8="",$K382=KARTU!$K$8)),MAX($Z$3:Z381)+1,""))</f>
        <v/>
      </c>
    </row>
    <row r="383" customFormat="false" ht="15" hidden="false" customHeight="false" outlineLevel="0" collapsed="false">
      <c r="A383" s="36" t="str">
        <f aca="false">IF($B383="","",COUNTA($B$4:$B383))</f>
        <v/>
      </c>
      <c r="B383" s="37"/>
      <c r="C383" s="38"/>
      <c r="D383" s="39"/>
      <c r="E383" s="37"/>
      <c r="F383" s="39"/>
      <c r="G383" s="40" t="str">
        <f aca="false">IF(OR($E383="",$F383=""),"",$E383&amp;" - RT "&amp;$F383)</f>
        <v/>
      </c>
      <c r="H383" s="37"/>
      <c r="I383" s="38"/>
      <c r="J383" s="37"/>
      <c r="K383" s="39"/>
      <c r="L383" s="41"/>
      <c r="M383" s="36" t="str">
        <f aca="true">IF(OR($B383="",$L383=""),"",DATEDIF($L383,TODAY(),"Y"))</f>
        <v/>
      </c>
      <c r="N383" s="40" t="str">
        <f aca="false">IF($M383="","",INDEX(usia_label,MATCH($M383,usia_min,1)))</f>
        <v/>
      </c>
      <c r="O383" s="37"/>
      <c r="P383" s="41"/>
      <c r="Q383" s="37"/>
      <c r="R383" s="37"/>
      <c r="S383" s="40" t="str">
        <f aca="false">IF($G383="","",$G383&amp;"#"&amp;COUNTIF($G$4:$G383,$G383))</f>
        <v/>
      </c>
      <c r="T383" s="40" t="str">
        <f aca="false">IF($B383="","",IF($C383="","NIK kosong",IF(LEN($C383)&lt;&gt;16,"NIK bukan 16 digit",IF(COUNTIF($C$4:$C$2003,$C383&amp;"*")&gt;1,"NIK ganda",IF($E383="","Kadus kosong",IF($F383="","RT kosong",IF($H383="","Jabatan kosong",IF($I383="","No. HP kosong",IF($J383="","Alamat kosong",IF(AND($M383&lt;&gt;"",$M383&lt;17),"Usia di bawah 17",""))))))))))</f>
        <v/>
      </c>
      <c r="U383" s="40" t="str">
        <f aca="false">IF($B383="","",IF(AND(OR(CARI!$C$5="",ISNUMBER(SEARCH(CARI!$C$5,$B383&amp;" "&amp;$C383&amp;" "&amp;$I383&amp;" "&amp;$J383&amp;" "&amp;$Q383))),OR(CARI!$C$6="",$E383=CARI!$C$6),OR(CARI!$C$7="",$F383=CARI!$C$7),OR(CARI!$C$8="",$O383=CARI!$C$8)),MAX($U$3:U382)+1,""))</f>
        <v/>
      </c>
      <c r="V383" s="40" t="str">
        <f aca="false">IF($T383="","",MAX($V$3:V382)+1)</f>
        <v/>
      </c>
      <c r="W383" s="40" t="str">
        <f aca="false">IF($E383="","",$E383&amp;"#"&amp;COUNTIF($E$4:$E383,$E383))</f>
        <v/>
      </c>
      <c r="X383" s="40" t="str">
        <f aca="false">IF($B383="","",IF(AND(OR(CETAK!$J$10="",$E383=CETAK!$J$10),OR(CETAK!$J$11="",$F383=CETAK!$J$11),OR(CETAK!$J$12="",$K383=CETAK!$J$12),OR(CETAK!$J$13="",$H383=CETAK!$J$13),OR(CETAK!$J$14="",$O383=CETAK!$J$14)),MAX($X$3:X382)+1,""))</f>
        <v/>
      </c>
      <c r="Y383" s="40" t="str">
        <f aca="false">IF($B383="","",IF(AND(OR(ABSENSI!$H$10="",$E383=ABSENSI!$H$10),OR(ABSENSI!$H$11="",$F383=ABSENSI!$H$11),OR(ABSENSI!$H$12="",$K383=ABSENSI!$H$12)),MAX($Y$3:Y382)+1,""))</f>
        <v/>
      </c>
      <c r="Z383" s="40" t="str">
        <f aca="false">IF($B383="","",IF(AND(OR(KARTU!$K$6="",$E383=KARTU!$K$6),OR(KARTU!$K$7="",$F383=KARTU!$K$7),OR(KARTU!$K$8="",$K383=KARTU!$K$8)),MAX($Z$3:Z382)+1,""))</f>
        <v/>
      </c>
    </row>
    <row r="384" customFormat="false" ht="15" hidden="false" customHeight="false" outlineLevel="0" collapsed="false">
      <c r="A384" s="36" t="str">
        <f aca="false">IF($B384="","",COUNTA($B$4:$B384))</f>
        <v/>
      </c>
      <c r="B384" s="37"/>
      <c r="C384" s="38"/>
      <c r="D384" s="39"/>
      <c r="E384" s="37"/>
      <c r="F384" s="39"/>
      <c r="G384" s="40" t="str">
        <f aca="false">IF(OR($E384="",$F384=""),"",$E384&amp;" - RT "&amp;$F384)</f>
        <v/>
      </c>
      <c r="H384" s="37"/>
      <c r="I384" s="38"/>
      <c r="J384" s="37"/>
      <c r="K384" s="39"/>
      <c r="L384" s="41"/>
      <c r="M384" s="36" t="str">
        <f aca="true">IF(OR($B384="",$L384=""),"",DATEDIF($L384,TODAY(),"Y"))</f>
        <v/>
      </c>
      <c r="N384" s="40" t="str">
        <f aca="false">IF($M384="","",INDEX(usia_label,MATCH($M384,usia_min,1)))</f>
        <v/>
      </c>
      <c r="O384" s="37"/>
      <c r="P384" s="41"/>
      <c r="Q384" s="37"/>
      <c r="R384" s="37"/>
      <c r="S384" s="40" t="str">
        <f aca="false">IF($G384="","",$G384&amp;"#"&amp;COUNTIF($G$4:$G384,$G384))</f>
        <v/>
      </c>
      <c r="T384" s="40" t="str">
        <f aca="false">IF($B384="","",IF($C384="","NIK kosong",IF(LEN($C384)&lt;&gt;16,"NIK bukan 16 digit",IF(COUNTIF($C$4:$C$2003,$C384&amp;"*")&gt;1,"NIK ganda",IF($E384="","Kadus kosong",IF($F384="","RT kosong",IF($H384="","Jabatan kosong",IF($I384="","No. HP kosong",IF($J384="","Alamat kosong",IF(AND($M384&lt;&gt;"",$M384&lt;17),"Usia di bawah 17",""))))))))))</f>
        <v/>
      </c>
      <c r="U384" s="40" t="str">
        <f aca="false">IF($B384="","",IF(AND(OR(CARI!$C$5="",ISNUMBER(SEARCH(CARI!$C$5,$B384&amp;" "&amp;$C384&amp;" "&amp;$I384&amp;" "&amp;$J384&amp;" "&amp;$Q384))),OR(CARI!$C$6="",$E384=CARI!$C$6),OR(CARI!$C$7="",$F384=CARI!$C$7),OR(CARI!$C$8="",$O384=CARI!$C$8)),MAX($U$3:U383)+1,""))</f>
        <v/>
      </c>
      <c r="V384" s="40" t="str">
        <f aca="false">IF($T384="","",MAX($V$3:V383)+1)</f>
        <v/>
      </c>
      <c r="W384" s="40" t="str">
        <f aca="false">IF($E384="","",$E384&amp;"#"&amp;COUNTIF($E$4:$E384,$E384))</f>
        <v/>
      </c>
      <c r="X384" s="40" t="str">
        <f aca="false">IF($B384="","",IF(AND(OR(CETAK!$J$10="",$E384=CETAK!$J$10),OR(CETAK!$J$11="",$F384=CETAK!$J$11),OR(CETAK!$J$12="",$K384=CETAK!$J$12),OR(CETAK!$J$13="",$H384=CETAK!$J$13),OR(CETAK!$J$14="",$O384=CETAK!$J$14)),MAX($X$3:X383)+1,""))</f>
        <v/>
      </c>
      <c r="Y384" s="40" t="str">
        <f aca="false">IF($B384="","",IF(AND(OR(ABSENSI!$H$10="",$E384=ABSENSI!$H$10),OR(ABSENSI!$H$11="",$F384=ABSENSI!$H$11),OR(ABSENSI!$H$12="",$K384=ABSENSI!$H$12)),MAX($Y$3:Y383)+1,""))</f>
        <v/>
      </c>
      <c r="Z384" s="40" t="str">
        <f aca="false">IF($B384="","",IF(AND(OR(KARTU!$K$6="",$E384=KARTU!$K$6),OR(KARTU!$K$7="",$F384=KARTU!$K$7),OR(KARTU!$K$8="",$K384=KARTU!$K$8)),MAX($Z$3:Z383)+1,""))</f>
        <v/>
      </c>
    </row>
    <row r="385" customFormat="false" ht="15" hidden="false" customHeight="false" outlineLevel="0" collapsed="false">
      <c r="A385" s="36" t="str">
        <f aca="false">IF($B385="","",COUNTA($B$4:$B385))</f>
        <v/>
      </c>
      <c r="B385" s="37"/>
      <c r="C385" s="38"/>
      <c r="D385" s="39"/>
      <c r="E385" s="37"/>
      <c r="F385" s="39"/>
      <c r="G385" s="40" t="str">
        <f aca="false">IF(OR($E385="",$F385=""),"",$E385&amp;" - RT "&amp;$F385)</f>
        <v/>
      </c>
      <c r="H385" s="37"/>
      <c r="I385" s="38"/>
      <c r="J385" s="37"/>
      <c r="K385" s="39"/>
      <c r="L385" s="41"/>
      <c r="M385" s="36" t="str">
        <f aca="true">IF(OR($B385="",$L385=""),"",DATEDIF($L385,TODAY(),"Y"))</f>
        <v/>
      </c>
      <c r="N385" s="40" t="str">
        <f aca="false">IF($M385="","",INDEX(usia_label,MATCH($M385,usia_min,1)))</f>
        <v/>
      </c>
      <c r="O385" s="37"/>
      <c r="P385" s="41"/>
      <c r="Q385" s="37"/>
      <c r="R385" s="37"/>
      <c r="S385" s="40" t="str">
        <f aca="false">IF($G385="","",$G385&amp;"#"&amp;COUNTIF($G$4:$G385,$G385))</f>
        <v/>
      </c>
      <c r="T385" s="40" t="str">
        <f aca="false">IF($B385="","",IF($C385="","NIK kosong",IF(LEN($C385)&lt;&gt;16,"NIK bukan 16 digit",IF(COUNTIF($C$4:$C$2003,$C385&amp;"*")&gt;1,"NIK ganda",IF($E385="","Kadus kosong",IF($F385="","RT kosong",IF($H385="","Jabatan kosong",IF($I385="","No. HP kosong",IF($J385="","Alamat kosong",IF(AND($M385&lt;&gt;"",$M385&lt;17),"Usia di bawah 17",""))))))))))</f>
        <v/>
      </c>
      <c r="U385" s="40" t="str">
        <f aca="false">IF($B385="","",IF(AND(OR(CARI!$C$5="",ISNUMBER(SEARCH(CARI!$C$5,$B385&amp;" "&amp;$C385&amp;" "&amp;$I385&amp;" "&amp;$J385&amp;" "&amp;$Q385))),OR(CARI!$C$6="",$E385=CARI!$C$6),OR(CARI!$C$7="",$F385=CARI!$C$7),OR(CARI!$C$8="",$O385=CARI!$C$8)),MAX($U$3:U384)+1,""))</f>
        <v/>
      </c>
      <c r="V385" s="40" t="str">
        <f aca="false">IF($T385="","",MAX($V$3:V384)+1)</f>
        <v/>
      </c>
      <c r="W385" s="40" t="str">
        <f aca="false">IF($E385="","",$E385&amp;"#"&amp;COUNTIF($E$4:$E385,$E385))</f>
        <v/>
      </c>
      <c r="X385" s="40" t="str">
        <f aca="false">IF($B385="","",IF(AND(OR(CETAK!$J$10="",$E385=CETAK!$J$10),OR(CETAK!$J$11="",$F385=CETAK!$J$11),OR(CETAK!$J$12="",$K385=CETAK!$J$12),OR(CETAK!$J$13="",$H385=CETAK!$J$13),OR(CETAK!$J$14="",$O385=CETAK!$J$14)),MAX($X$3:X384)+1,""))</f>
        <v/>
      </c>
      <c r="Y385" s="40" t="str">
        <f aca="false">IF($B385="","",IF(AND(OR(ABSENSI!$H$10="",$E385=ABSENSI!$H$10),OR(ABSENSI!$H$11="",$F385=ABSENSI!$H$11),OR(ABSENSI!$H$12="",$K385=ABSENSI!$H$12)),MAX($Y$3:Y384)+1,""))</f>
        <v/>
      </c>
      <c r="Z385" s="40" t="str">
        <f aca="false">IF($B385="","",IF(AND(OR(KARTU!$K$6="",$E385=KARTU!$K$6),OR(KARTU!$K$7="",$F385=KARTU!$K$7),OR(KARTU!$K$8="",$K385=KARTU!$K$8)),MAX($Z$3:Z384)+1,""))</f>
        <v/>
      </c>
    </row>
    <row r="386" customFormat="false" ht="15" hidden="false" customHeight="false" outlineLevel="0" collapsed="false">
      <c r="A386" s="36" t="str">
        <f aca="false">IF($B386="","",COUNTA($B$4:$B386))</f>
        <v/>
      </c>
      <c r="B386" s="37"/>
      <c r="C386" s="38"/>
      <c r="D386" s="39"/>
      <c r="E386" s="37"/>
      <c r="F386" s="39"/>
      <c r="G386" s="40" t="str">
        <f aca="false">IF(OR($E386="",$F386=""),"",$E386&amp;" - RT "&amp;$F386)</f>
        <v/>
      </c>
      <c r="H386" s="37"/>
      <c r="I386" s="38"/>
      <c r="J386" s="37"/>
      <c r="K386" s="39"/>
      <c r="L386" s="41"/>
      <c r="M386" s="36" t="str">
        <f aca="true">IF(OR($B386="",$L386=""),"",DATEDIF($L386,TODAY(),"Y"))</f>
        <v/>
      </c>
      <c r="N386" s="40" t="str">
        <f aca="false">IF($M386="","",INDEX(usia_label,MATCH($M386,usia_min,1)))</f>
        <v/>
      </c>
      <c r="O386" s="37"/>
      <c r="P386" s="41"/>
      <c r="Q386" s="37"/>
      <c r="R386" s="37"/>
      <c r="S386" s="40" t="str">
        <f aca="false">IF($G386="","",$G386&amp;"#"&amp;COUNTIF($G$4:$G386,$G386))</f>
        <v/>
      </c>
      <c r="T386" s="40" t="str">
        <f aca="false">IF($B386="","",IF($C386="","NIK kosong",IF(LEN($C386)&lt;&gt;16,"NIK bukan 16 digit",IF(COUNTIF($C$4:$C$2003,$C386&amp;"*")&gt;1,"NIK ganda",IF($E386="","Kadus kosong",IF($F386="","RT kosong",IF($H386="","Jabatan kosong",IF($I386="","No. HP kosong",IF($J386="","Alamat kosong",IF(AND($M386&lt;&gt;"",$M386&lt;17),"Usia di bawah 17",""))))))))))</f>
        <v/>
      </c>
      <c r="U386" s="40" t="str">
        <f aca="false">IF($B386="","",IF(AND(OR(CARI!$C$5="",ISNUMBER(SEARCH(CARI!$C$5,$B386&amp;" "&amp;$C386&amp;" "&amp;$I386&amp;" "&amp;$J386&amp;" "&amp;$Q386))),OR(CARI!$C$6="",$E386=CARI!$C$6),OR(CARI!$C$7="",$F386=CARI!$C$7),OR(CARI!$C$8="",$O386=CARI!$C$8)),MAX($U$3:U385)+1,""))</f>
        <v/>
      </c>
      <c r="V386" s="40" t="str">
        <f aca="false">IF($T386="","",MAX($V$3:V385)+1)</f>
        <v/>
      </c>
      <c r="W386" s="40" t="str">
        <f aca="false">IF($E386="","",$E386&amp;"#"&amp;COUNTIF($E$4:$E386,$E386))</f>
        <v/>
      </c>
      <c r="X386" s="40" t="str">
        <f aca="false">IF($B386="","",IF(AND(OR(CETAK!$J$10="",$E386=CETAK!$J$10),OR(CETAK!$J$11="",$F386=CETAK!$J$11),OR(CETAK!$J$12="",$K386=CETAK!$J$12),OR(CETAK!$J$13="",$H386=CETAK!$J$13),OR(CETAK!$J$14="",$O386=CETAK!$J$14)),MAX($X$3:X385)+1,""))</f>
        <v/>
      </c>
      <c r="Y386" s="40" t="str">
        <f aca="false">IF($B386="","",IF(AND(OR(ABSENSI!$H$10="",$E386=ABSENSI!$H$10),OR(ABSENSI!$H$11="",$F386=ABSENSI!$H$11),OR(ABSENSI!$H$12="",$K386=ABSENSI!$H$12)),MAX($Y$3:Y385)+1,""))</f>
        <v/>
      </c>
      <c r="Z386" s="40" t="str">
        <f aca="false">IF($B386="","",IF(AND(OR(KARTU!$K$6="",$E386=KARTU!$K$6),OR(KARTU!$K$7="",$F386=KARTU!$K$7),OR(KARTU!$K$8="",$K386=KARTU!$K$8)),MAX($Z$3:Z385)+1,""))</f>
        <v/>
      </c>
    </row>
    <row r="387" customFormat="false" ht="15" hidden="false" customHeight="false" outlineLevel="0" collapsed="false">
      <c r="A387" s="36" t="str">
        <f aca="false">IF($B387="","",COUNTA($B$4:$B387))</f>
        <v/>
      </c>
      <c r="B387" s="37"/>
      <c r="C387" s="38"/>
      <c r="D387" s="39"/>
      <c r="E387" s="37"/>
      <c r="F387" s="39"/>
      <c r="G387" s="40" t="str">
        <f aca="false">IF(OR($E387="",$F387=""),"",$E387&amp;" - RT "&amp;$F387)</f>
        <v/>
      </c>
      <c r="H387" s="37"/>
      <c r="I387" s="38"/>
      <c r="J387" s="37"/>
      <c r="K387" s="39"/>
      <c r="L387" s="41"/>
      <c r="M387" s="36" t="str">
        <f aca="true">IF(OR($B387="",$L387=""),"",DATEDIF($L387,TODAY(),"Y"))</f>
        <v/>
      </c>
      <c r="N387" s="40" t="str">
        <f aca="false">IF($M387="","",INDEX(usia_label,MATCH($M387,usia_min,1)))</f>
        <v/>
      </c>
      <c r="O387" s="37"/>
      <c r="P387" s="41"/>
      <c r="Q387" s="37"/>
      <c r="R387" s="37"/>
      <c r="S387" s="40" t="str">
        <f aca="false">IF($G387="","",$G387&amp;"#"&amp;COUNTIF($G$4:$G387,$G387))</f>
        <v/>
      </c>
      <c r="T387" s="40" t="str">
        <f aca="false">IF($B387="","",IF($C387="","NIK kosong",IF(LEN($C387)&lt;&gt;16,"NIK bukan 16 digit",IF(COUNTIF($C$4:$C$2003,$C387&amp;"*")&gt;1,"NIK ganda",IF($E387="","Kadus kosong",IF($F387="","RT kosong",IF($H387="","Jabatan kosong",IF($I387="","No. HP kosong",IF($J387="","Alamat kosong",IF(AND($M387&lt;&gt;"",$M387&lt;17),"Usia di bawah 17",""))))))))))</f>
        <v/>
      </c>
      <c r="U387" s="40" t="str">
        <f aca="false">IF($B387="","",IF(AND(OR(CARI!$C$5="",ISNUMBER(SEARCH(CARI!$C$5,$B387&amp;" "&amp;$C387&amp;" "&amp;$I387&amp;" "&amp;$J387&amp;" "&amp;$Q387))),OR(CARI!$C$6="",$E387=CARI!$C$6),OR(CARI!$C$7="",$F387=CARI!$C$7),OR(CARI!$C$8="",$O387=CARI!$C$8)),MAX($U$3:U386)+1,""))</f>
        <v/>
      </c>
      <c r="V387" s="40" t="str">
        <f aca="false">IF($T387="","",MAX($V$3:V386)+1)</f>
        <v/>
      </c>
      <c r="W387" s="40" t="str">
        <f aca="false">IF($E387="","",$E387&amp;"#"&amp;COUNTIF($E$4:$E387,$E387))</f>
        <v/>
      </c>
      <c r="X387" s="40" t="str">
        <f aca="false">IF($B387="","",IF(AND(OR(CETAK!$J$10="",$E387=CETAK!$J$10),OR(CETAK!$J$11="",$F387=CETAK!$J$11),OR(CETAK!$J$12="",$K387=CETAK!$J$12),OR(CETAK!$J$13="",$H387=CETAK!$J$13),OR(CETAK!$J$14="",$O387=CETAK!$J$14)),MAX($X$3:X386)+1,""))</f>
        <v/>
      </c>
      <c r="Y387" s="40" t="str">
        <f aca="false">IF($B387="","",IF(AND(OR(ABSENSI!$H$10="",$E387=ABSENSI!$H$10),OR(ABSENSI!$H$11="",$F387=ABSENSI!$H$11),OR(ABSENSI!$H$12="",$K387=ABSENSI!$H$12)),MAX($Y$3:Y386)+1,""))</f>
        <v/>
      </c>
      <c r="Z387" s="40" t="str">
        <f aca="false">IF($B387="","",IF(AND(OR(KARTU!$K$6="",$E387=KARTU!$K$6),OR(KARTU!$K$7="",$F387=KARTU!$K$7),OR(KARTU!$K$8="",$K387=KARTU!$K$8)),MAX($Z$3:Z386)+1,""))</f>
        <v/>
      </c>
    </row>
    <row r="388" customFormat="false" ht="15" hidden="false" customHeight="false" outlineLevel="0" collapsed="false">
      <c r="A388" s="36" t="str">
        <f aca="false">IF($B388="","",COUNTA($B$4:$B388))</f>
        <v/>
      </c>
      <c r="B388" s="37"/>
      <c r="C388" s="38"/>
      <c r="D388" s="39"/>
      <c r="E388" s="37"/>
      <c r="F388" s="39"/>
      <c r="G388" s="40" t="str">
        <f aca="false">IF(OR($E388="",$F388=""),"",$E388&amp;" - RT "&amp;$F388)</f>
        <v/>
      </c>
      <c r="H388" s="37"/>
      <c r="I388" s="38"/>
      <c r="J388" s="37"/>
      <c r="K388" s="39"/>
      <c r="L388" s="41"/>
      <c r="M388" s="36" t="str">
        <f aca="true">IF(OR($B388="",$L388=""),"",DATEDIF($L388,TODAY(),"Y"))</f>
        <v/>
      </c>
      <c r="N388" s="40" t="str">
        <f aca="false">IF($M388="","",INDEX(usia_label,MATCH($M388,usia_min,1)))</f>
        <v/>
      </c>
      <c r="O388" s="37"/>
      <c r="P388" s="41"/>
      <c r="Q388" s="37"/>
      <c r="R388" s="37"/>
      <c r="S388" s="40" t="str">
        <f aca="false">IF($G388="","",$G388&amp;"#"&amp;COUNTIF($G$4:$G388,$G388))</f>
        <v/>
      </c>
      <c r="T388" s="40" t="str">
        <f aca="false">IF($B388="","",IF($C388="","NIK kosong",IF(LEN($C388)&lt;&gt;16,"NIK bukan 16 digit",IF(COUNTIF($C$4:$C$2003,$C388&amp;"*")&gt;1,"NIK ganda",IF($E388="","Kadus kosong",IF($F388="","RT kosong",IF($H388="","Jabatan kosong",IF($I388="","No. HP kosong",IF($J388="","Alamat kosong",IF(AND($M388&lt;&gt;"",$M388&lt;17),"Usia di bawah 17",""))))))))))</f>
        <v/>
      </c>
      <c r="U388" s="40" t="str">
        <f aca="false">IF($B388="","",IF(AND(OR(CARI!$C$5="",ISNUMBER(SEARCH(CARI!$C$5,$B388&amp;" "&amp;$C388&amp;" "&amp;$I388&amp;" "&amp;$J388&amp;" "&amp;$Q388))),OR(CARI!$C$6="",$E388=CARI!$C$6),OR(CARI!$C$7="",$F388=CARI!$C$7),OR(CARI!$C$8="",$O388=CARI!$C$8)),MAX($U$3:U387)+1,""))</f>
        <v/>
      </c>
      <c r="V388" s="40" t="str">
        <f aca="false">IF($T388="","",MAX($V$3:V387)+1)</f>
        <v/>
      </c>
      <c r="W388" s="40" t="str">
        <f aca="false">IF($E388="","",$E388&amp;"#"&amp;COUNTIF($E$4:$E388,$E388))</f>
        <v/>
      </c>
      <c r="X388" s="40" t="str">
        <f aca="false">IF($B388="","",IF(AND(OR(CETAK!$J$10="",$E388=CETAK!$J$10),OR(CETAK!$J$11="",$F388=CETAK!$J$11),OR(CETAK!$J$12="",$K388=CETAK!$J$12),OR(CETAK!$J$13="",$H388=CETAK!$J$13),OR(CETAK!$J$14="",$O388=CETAK!$J$14)),MAX($X$3:X387)+1,""))</f>
        <v/>
      </c>
      <c r="Y388" s="40" t="str">
        <f aca="false">IF($B388="","",IF(AND(OR(ABSENSI!$H$10="",$E388=ABSENSI!$H$10),OR(ABSENSI!$H$11="",$F388=ABSENSI!$H$11),OR(ABSENSI!$H$12="",$K388=ABSENSI!$H$12)),MAX($Y$3:Y387)+1,""))</f>
        <v/>
      </c>
      <c r="Z388" s="40" t="str">
        <f aca="false">IF($B388="","",IF(AND(OR(KARTU!$K$6="",$E388=KARTU!$K$6),OR(KARTU!$K$7="",$F388=KARTU!$K$7),OR(KARTU!$K$8="",$K388=KARTU!$K$8)),MAX($Z$3:Z387)+1,""))</f>
        <v/>
      </c>
    </row>
    <row r="389" customFormat="false" ht="15" hidden="false" customHeight="false" outlineLevel="0" collapsed="false">
      <c r="A389" s="36" t="str">
        <f aca="false">IF($B389="","",COUNTA($B$4:$B389))</f>
        <v/>
      </c>
      <c r="B389" s="37"/>
      <c r="C389" s="38"/>
      <c r="D389" s="39"/>
      <c r="E389" s="37"/>
      <c r="F389" s="39"/>
      <c r="G389" s="40" t="str">
        <f aca="false">IF(OR($E389="",$F389=""),"",$E389&amp;" - RT "&amp;$F389)</f>
        <v/>
      </c>
      <c r="H389" s="37"/>
      <c r="I389" s="38"/>
      <c r="J389" s="37"/>
      <c r="K389" s="39"/>
      <c r="L389" s="41"/>
      <c r="M389" s="36" t="str">
        <f aca="true">IF(OR($B389="",$L389=""),"",DATEDIF($L389,TODAY(),"Y"))</f>
        <v/>
      </c>
      <c r="N389" s="40" t="str">
        <f aca="false">IF($M389="","",INDEX(usia_label,MATCH($M389,usia_min,1)))</f>
        <v/>
      </c>
      <c r="O389" s="37"/>
      <c r="P389" s="41"/>
      <c r="Q389" s="37"/>
      <c r="R389" s="37"/>
      <c r="S389" s="40" t="str">
        <f aca="false">IF($G389="","",$G389&amp;"#"&amp;COUNTIF($G$4:$G389,$G389))</f>
        <v/>
      </c>
      <c r="T389" s="40" t="str">
        <f aca="false">IF($B389="","",IF($C389="","NIK kosong",IF(LEN($C389)&lt;&gt;16,"NIK bukan 16 digit",IF(COUNTIF($C$4:$C$2003,$C389&amp;"*")&gt;1,"NIK ganda",IF($E389="","Kadus kosong",IF($F389="","RT kosong",IF($H389="","Jabatan kosong",IF($I389="","No. HP kosong",IF($J389="","Alamat kosong",IF(AND($M389&lt;&gt;"",$M389&lt;17),"Usia di bawah 17",""))))))))))</f>
        <v/>
      </c>
      <c r="U389" s="40" t="str">
        <f aca="false">IF($B389="","",IF(AND(OR(CARI!$C$5="",ISNUMBER(SEARCH(CARI!$C$5,$B389&amp;" "&amp;$C389&amp;" "&amp;$I389&amp;" "&amp;$J389&amp;" "&amp;$Q389))),OR(CARI!$C$6="",$E389=CARI!$C$6),OR(CARI!$C$7="",$F389=CARI!$C$7),OR(CARI!$C$8="",$O389=CARI!$C$8)),MAX($U$3:U388)+1,""))</f>
        <v/>
      </c>
      <c r="V389" s="40" t="str">
        <f aca="false">IF($T389="","",MAX($V$3:V388)+1)</f>
        <v/>
      </c>
      <c r="W389" s="40" t="str">
        <f aca="false">IF($E389="","",$E389&amp;"#"&amp;COUNTIF($E$4:$E389,$E389))</f>
        <v/>
      </c>
      <c r="X389" s="40" t="str">
        <f aca="false">IF($B389="","",IF(AND(OR(CETAK!$J$10="",$E389=CETAK!$J$10),OR(CETAK!$J$11="",$F389=CETAK!$J$11),OR(CETAK!$J$12="",$K389=CETAK!$J$12),OR(CETAK!$J$13="",$H389=CETAK!$J$13),OR(CETAK!$J$14="",$O389=CETAK!$J$14)),MAX($X$3:X388)+1,""))</f>
        <v/>
      </c>
      <c r="Y389" s="40" t="str">
        <f aca="false">IF($B389="","",IF(AND(OR(ABSENSI!$H$10="",$E389=ABSENSI!$H$10),OR(ABSENSI!$H$11="",$F389=ABSENSI!$H$11),OR(ABSENSI!$H$12="",$K389=ABSENSI!$H$12)),MAX($Y$3:Y388)+1,""))</f>
        <v/>
      </c>
      <c r="Z389" s="40" t="str">
        <f aca="false">IF($B389="","",IF(AND(OR(KARTU!$K$6="",$E389=KARTU!$K$6),OR(KARTU!$K$7="",$F389=KARTU!$K$7),OR(KARTU!$K$8="",$K389=KARTU!$K$8)),MAX($Z$3:Z388)+1,""))</f>
        <v/>
      </c>
    </row>
    <row r="390" customFormat="false" ht="15" hidden="false" customHeight="false" outlineLevel="0" collapsed="false">
      <c r="A390" s="36" t="str">
        <f aca="false">IF($B390="","",COUNTA($B$4:$B390))</f>
        <v/>
      </c>
      <c r="B390" s="37"/>
      <c r="C390" s="38"/>
      <c r="D390" s="39"/>
      <c r="E390" s="37"/>
      <c r="F390" s="39"/>
      <c r="G390" s="40" t="str">
        <f aca="false">IF(OR($E390="",$F390=""),"",$E390&amp;" - RT "&amp;$F390)</f>
        <v/>
      </c>
      <c r="H390" s="37"/>
      <c r="I390" s="38"/>
      <c r="J390" s="37"/>
      <c r="K390" s="39"/>
      <c r="L390" s="41"/>
      <c r="M390" s="36" t="str">
        <f aca="true">IF(OR($B390="",$L390=""),"",DATEDIF($L390,TODAY(),"Y"))</f>
        <v/>
      </c>
      <c r="N390" s="40" t="str">
        <f aca="false">IF($M390="","",INDEX(usia_label,MATCH($M390,usia_min,1)))</f>
        <v/>
      </c>
      <c r="O390" s="37"/>
      <c r="P390" s="41"/>
      <c r="Q390" s="37"/>
      <c r="R390" s="37"/>
      <c r="S390" s="40" t="str">
        <f aca="false">IF($G390="","",$G390&amp;"#"&amp;COUNTIF($G$4:$G390,$G390))</f>
        <v/>
      </c>
      <c r="T390" s="40" t="str">
        <f aca="false">IF($B390="","",IF($C390="","NIK kosong",IF(LEN($C390)&lt;&gt;16,"NIK bukan 16 digit",IF(COUNTIF($C$4:$C$2003,$C390&amp;"*")&gt;1,"NIK ganda",IF($E390="","Kadus kosong",IF($F390="","RT kosong",IF($H390="","Jabatan kosong",IF($I390="","No. HP kosong",IF($J390="","Alamat kosong",IF(AND($M390&lt;&gt;"",$M390&lt;17),"Usia di bawah 17",""))))))))))</f>
        <v/>
      </c>
      <c r="U390" s="40" t="str">
        <f aca="false">IF($B390="","",IF(AND(OR(CARI!$C$5="",ISNUMBER(SEARCH(CARI!$C$5,$B390&amp;" "&amp;$C390&amp;" "&amp;$I390&amp;" "&amp;$J390&amp;" "&amp;$Q390))),OR(CARI!$C$6="",$E390=CARI!$C$6),OR(CARI!$C$7="",$F390=CARI!$C$7),OR(CARI!$C$8="",$O390=CARI!$C$8)),MAX($U$3:U389)+1,""))</f>
        <v/>
      </c>
      <c r="V390" s="40" t="str">
        <f aca="false">IF($T390="","",MAX($V$3:V389)+1)</f>
        <v/>
      </c>
      <c r="W390" s="40" t="str">
        <f aca="false">IF($E390="","",$E390&amp;"#"&amp;COUNTIF($E$4:$E390,$E390))</f>
        <v/>
      </c>
      <c r="X390" s="40" t="str">
        <f aca="false">IF($B390="","",IF(AND(OR(CETAK!$J$10="",$E390=CETAK!$J$10),OR(CETAK!$J$11="",$F390=CETAK!$J$11),OR(CETAK!$J$12="",$K390=CETAK!$J$12),OR(CETAK!$J$13="",$H390=CETAK!$J$13),OR(CETAK!$J$14="",$O390=CETAK!$J$14)),MAX($X$3:X389)+1,""))</f>
        <v/>
      </c>
      <c r="Y390" s="40" t="str">
        <f aca="false">IF($B390="","",IF(AND(OR(ABSENSI!$H$10="",$E390=ABSENSI!$H$10),OR(ABSENSI!$H$11="",$F390=ABSENSI!$H$11),OR(ABSENSI!$H$12="",$K390=ABSENSI!$H$12)),MAX($Y$3:Y389)+1,""))</f>
        <v/>
      </c>
      <c r="Z390" s="40" t="str">
        <f aca="false">IF($B390="","",IF(AND(OR(KARTU!$K$6="",$E390=KARTU!$K$6),OR(KARTU!$K$7="",$F390=KARTU!$K$7),OR(KARTU!$K$8="",$K390=KARTU!$K$8)),MAX($Z$3:Z389)+1,""))</f>
        <v/>
      </c>
    </row>
    <row r="391" customFormat="false" ht="15" hidden="false" customHeight="false" outlineLevel="0" collapsed="false">
      <c r="A391" s="36" t="str">
        <f aca="false">IF($B391="","",COUNTA($B$4:$B391))</f>
        <v/>
      </c>
      <c r="B391" s="37"/>
      <c r="C391" s="38"/>
      <c r="D391" s="39"/>
      <c r="E391" s="37"/>
      <c r="F391" s="39"/>
      <c r="G391" s="40" t="str">
        <f aca="false">IF(OR($E391="",$F391=""),"",$E391&amp;" - RT "&amp;$F391)</f>
        <v/>
      </c>
      <c r="H391" s="37"/>
      <c r="I391" s="38"/>
      <c r="J391" s="37"/>
      <c r="K391" s="39"/>
      <c r="L391" s="41"/>
      <c r="M391" s="36" t="str">
        <f aca="true">IF(OR($B391="",$L391=""),"",DATEDIF($L391,TODAY(),"Y"))</f>
        <v/>
      </c>
      <c r="N391" s="40" t="str">
        <f aca="false">IF($M391="","",INDEX(usia_label,MATCH($M391,usia_min,1)))</f>
        <v/>
      </c>
      <c r="O391" s="37"/>
      <c r="P391" s="41"/>
      <c r="Q391" s="37"/>
      <c r="R391" s="37"/>
      <c r="S391" s="40" t="str">
        <f aca="false">IF($G391="","",$G391&amp;"#"&amp;COUNTIF($G$4:$G391,$G391))</f>
        <v/>
      </c>
      <c r="T391" s="40" t="str">
        <f aca="false">IF($B391="","",IF($C391="","NIK kosong",IF(LEN($C391)&lt;&gt;16,"NIK bukan 16 digit",IF(COUNTIF($C$4:$C$2003,$C391&amp;"*")&gt;1,"NIK ganda",IF($E391="","Kadus kosong",IF($F391="","RT kosong",IF($H391="","Jabatan kosong",IF($I391="","No. HP kosong",IF($J391="","Alamat kosong",IF(AND($M391&lt;&gt;"",$M391&lt;17),"Usia di bawah 17",""))))))))))</f>
        <v/>
      </c>
      <c r="U391" s="40" t="str">
        <f aca="false">IF($B391="","",IF(AND(OR(CARI!$C$5="",ISNUMBER(SEARCH(CARI!$C$5,$B391&amp;" "&amp;$C391&amp;" "&amp;$I391&amp;" "&amp;$J391&amp;" "&amp;$Q391))),OR(CARI!$C$6="",$E391=CARI!$C$6),OR(CARI!$C$7="",$F391=CARI!$C$7),OR(CARI!$C$8="",$O391=CARI!$C$8)),MAX($U$3:U390)+1,""))</f>
        <v/>
      </c>
      <c r="V391" s="40" t="str">
        <f aca="false">IF($T391="","",MAX($V$3:V390)+1)</f>
        <v/>
      </c>
      <c r="W391" s="40" t="str">
        <f aca="false">IF($E391="","",$E391&amp;"#"&amp;COUNTIF($E$4:$E391,$E391))</f>
        <v/>
      </c>
      <c r="X391" s="40" t="str">
        <f aca="false">IF($B391="","",IF(AND(OR(CETAK!$J$10="",$E391=CETAK!$J$10),OR(CETAK!$J$11="",$F391=CETAK!$J$11),OR(CETAK!$J$12="",$K391=CETAK!$J$12),OR(CETAK!$J$13="",$H391=CETAK!$J$13),OR(CETAK!$J$14="",$O391=CETAK!$J$14)),MAX($X$3:X390)+1,""))</f>
        <v/>
      </c>
      <c r="Y391" s="40" t="str">
        <f aca="false">IF($B391="","",IF(AND(OR(ABSENSI!$H$10="",$E391=ABSENSI!$H$10),OR(ABSENSI!$H$11="",$F391=ABSENSI!$H$11),OR(ABSENSI!$H$12="",$K391=ABSENSI!$H$12)),MAX($Y$3:Y390)+1,""))</f>
        <v/>
      </c>
      <c r="Z391" s="40" t="str">
        <f aca="false">IF($B391="","",IF(AND(OR(KARTU!$K$6="",$E391=KARTU!$K$6),OR(KARTU!$K$7="",$F391=KARTU!$K$7),OR(KARTU!$K$8="",$K391=KARTU!$K$8)),MAX($Z$3:Z390)+1,""))</f>
        <v/>
      </c>
    </row>
    <row r="392" customFormat="false" ht="15" hidden="false" customHeight="false" outlineLevel="0" collapsed="false">
      <c r="A392" s="36" t="str">
        <f aca="false">IF($B392="","",COUNTA($B$4:$B392))</f>
        <v/>
      </c>
      <c r="B392" s="37"/>
      <c r="C392" s="38"/>
      <c r="D392" s="39"/>
      <c r="E392" s="37"/>
      <c r="F392" s="39"/>
      <c r="G392" s="40" t="str">
        <f aca="false">IF(OR($E392="",$F392=""),"",$E392&amp;" - RT "&amp;$F392)</f>
        <v/>
      </c>
      <c r="H392" s="37"/>
      <c r="I392" s="38"/>
      <c r="J392" s="37"/>
      <c r="K392" s="39"/>
      <c r="L392" s="41"/>
      <c r="M392" s="36" t="str">
        <f aca="true">IF(OR($B392="",$L392=""),"",DATEDIF($L392,TODAY(),"Y"))</f>
        <v/>
      </c>
      <c r="N392" s="40" t="str">
        <f aca="false">IF($M392="","",INDEX(usia_label,MATCH($M392,usia_min,1)))</f>
        <v/>
      </c>
      <c r="O392" s="37"/>
      <c r="P392" s="41"/>
      <c r="Q392" s="37"/>
      <c r="R392" s="37"/>
      <c r="S392" s="40" t="str">
        <f aca="false">IF($G392="","",$G392&amp;"#"&amp;COUNTIF($G$4:$G392,$G392))</f>
        <v/>
      </c>
      <c r="T392" s="40" t="str">
        <f aca="false">IF($B392="","",IF($C392="","NIK kosong",IF(LEN($C392)&lt;&gt;16,"NIK bukan 16 digit",IF(COUNTIF($C$4:$C$2003,$C392&amp;"*")&gt;1,"NIK ganda",IF($E392="","Kadus kosong",IF($F392="","RT kosong",IF($H392="","Jabatan kosong",IF($I392="","No. HP kosong",IF($J392="","Alamat kosong",IF(AND($M392&lt;&gt;"",$M392&lt;17),"Usia di bawah 17",""))))))))))</f>
        <v/>
      </c>
      <c r="U392" s="40" t="str">
        <f aca="false">IF($B392="","",IF(AND(OR(CARI!$C$5="",ISNUMBER(SEARCH(CARI!$C$5,$B392&amp;" "&amp;$C392&amp;" "&amp;$I392&amp;" "&amp;$J392&amp;" "&amp;$Q392))),OR(CARI!$C$6="",$E392=CARI!$C$6),OR(CARI!$C$7="",$F392=CARI!$C$7),OR(CARI!$C$8="",$O392=CARI!$C$8)),MAX($U$3:U391)+1,""))</f>
        <v/>
      </c>
      <c r="V392" s="40" t="str">
        <f aca="false">IF($T392="","",MAX($V$3:V391)+1)</f>
        <v/>
      </c>
      <c r="W392" s="40" t="str">
        <f aca="false">IF($E392="","",$E392&amp;"#"&amp;COUNTIF($E$4:$E392,$E392))</f>
        <v/>
      </c>
      <c r="X392" s="40" t="str">
        <f aca="false">IF($B392="","",IF(AND(OR(CETAK!$J$10="",$E392=CETAK!$J$10),OR(CETAK!$J$11="",$F392=CETAK!$J$11),OR(CETAK!$J$12="",$K392=CETAK!$J$12),OR(CETAK!$J$13="",$H392=CETAK!$J$13),OR(CETAK!$J$14="",$O392=CETAK!$J$14)),MAX($X$3:X391)+1,""))</f>
        <v/>
      </c>
      <c r="Y392" s="40" t="str">
        <f aca="false">IF($B392="","",IF(AND(OR(ABSENSI!$H$10="",$E392=ABSENSI!$H$10),OR(ABSENSI!$H$11="",$F392=ABSENSI!$H$11),OR(ABSENSI!$H$12="",$K392=ABSENSI!$H$12)),MAX($Y$3:Y391)+1,""))</f>
        <v/>
      </c>
      <c r="Z392" s="40" t="str">
        <f aca="false">IF($B392="","",IF(AND(OR(KARTU!$K$6="",$E392=KARTU!$K$6),OR(KARTU!$K$7="",$F392=KARTU!$K$7),OR(KARTU!$K$8="",$K392=KARTU!$K$8)),MAX($Z$3:Z391)+1,""))</f>
        <v/>
      </c>
    </row>
    <row r="393" customFormat="false" ht="15" hidden="false" customHeight="false" outlineLevel="0" collapsed="false">
      <c r="A393" s="36" t="str">
        <f aca="false">IF($B393="","",COUNTA($B$4:$B393))</f>
        <v/>
      </c>
      <c r="B393" s="37"/>
      <c r="C393" s="38"/>
      <c r="D393" s="39"/>
      <c r="E393" s="37"/>
      <c r="F393" s="39"/>
      <c r="G393" s="40" t="str">
        <f aca="false">IF(OR($E393="",$F393=""),"",$E393&amp;" - RT "&amp;$F393)</f>
        <v/>
      </c>
      <c r="H393" s="37"/>
      <c r="I393" s="38"/>
      <c r="J393" s="37"/>
      <c r="K393" s="39"/>
      <c r="L393" s="41"/>
      <c r="M393" s="36" t="str">
        <f aca="true">IF(OR($B393="",$L393=""),"",DATEDIF($L393,TODAY(),"Y"))</f>
        <v/>
      </c>
      <c r="N393" s="40" t="str">
        <f aca="false">IF($M393="","",INDEX(usia_label,MATCH($M393,usia_min,1)))</f>
        <v/>
      </c>
      <c r="O393" s="37"/>
      <c r="P393" s="41"/>
      <c r="Q393" s="37"/>
      <c r="R393" s="37"/>
      <c r="S393" s="40" t="str">
        <f aca="false">IF($G393="","",$G393&amp;"#"&amp;COUNTIF($G$4:$G393,$G393))</f>
        <v/>
      </c>
      <c r="T393" s="40" t="str">
        <f aca="false">IF($B393="","",IF($C393="","NIK kosong",IF(LEN($C393)&lt;&gt;16,"NIK bukan 16 digit",IF(COUNTIF($C$4:$C$2003,$C393&amp;"*")&gt;1,"NIK ganda",IF($E393="","Kadus kosong",IF($F393="","RT kosong",IF($H393="","Jabatan kosong",IF($I393="","No. HP kosong",IF($J393="","Alamat kosong",IF(AND($M393&lt;&gt;"",$M393&lt;17),"Usia di bawah 17",""))))))))))</f>
        <v/>
      </c>
      <c r="U393" s="40" t="str">
        <f aca="false">IF($B393="","",IF(AND(OR(CARI!$C$5="",ISNUMBER(SEARCH(CARI!$C$5,$B393&amp;" "&amp;$C393&amp;" "&amp;$I393&amp;" "&amp;$J393&amp;" "&amp;$Q393))),OR(CARI!$C$6="",$E393=CARI!$C$6),OR(CARI!$C$7="",$F393=CARI!$C$7),OR(CARI!$C$8="",$O393=CARI!$C$8)),MAX($U$3:U392)+1,""))</f>
        <v/>
      </c>
      <c r="V393" s="40" t="str">
        <f aca="false">IF($T393="","",MAX($V$3:V392)+1)</f>
        <v/>
      </c>
      <c r="W393" s="40" t="str">
        <f aca="false">IF($E393="","",$E393&amp;"#"&amp;COUNTIF($E$4:$E393,$E393))</f>
        <v/>
      </c>
      <c r="X393" s="40" t="str">
        <f aca="false">IF($B393="","",IF(AND(OR(CETAK!$J$10="",$E393=CETAK!$J$10),OR(CETAK!$J$11="",$F393=CETAK!$J$11),OR(CETAK!$J$12="",$K393=CETAK!$J$12),OR(CETAK!$J$13="",$H393=CETAK!$J$13),OR(CETAK!$J$14="",$O393=CETAK!$J$14)),MAX($X$3:X392)+1,""))</f>
        <v/>
      </c>
      <c r="Y393" s="40" t="str">
        <f aca="false">IF($B393="","",IF(AND(OR(ABSENSI!$H$10="",$E393=ABSENSI!$H$10),OR(ABSENSI!$H$11="",$F393=ABSENSI!$H$11),OR(ABSENSI!$H$12="",$K393=ABSENSI!$H$12)),MAX($Y$3:Y392)+1,""))</f>
        <v/>
      </c>
      <c r="Z393" s="40" t="str">
        <f aca="false">IF($B393="","",IF(AND(OR(KARTU!$K$6="",$E393=KARTU!$K$6),OR(KARTU!$K$7="",$F393=KARTU!$K$7),OR(KARTU!$K$8="",$K393=KARTU!$K$8)),MAX($Z$3:Z392)+1,""))</f>
        <v/>
      </c>
    </row>
    <row r="394" customFormat="false" ht="15" hidden="false" customHeight="false" outlineLevel="0" collapsed="false">
      <c r="A394" s="36" t="str">
        <f aca="false">IF($B394="","",COUNTA($B$4:$B394))</f>
        <v/>
      </c>
      <c r="B394" s="37"/>
      <c r="C394" s="38"/>
      <c r="D394" s="39"/>
      <c r="E394" s="37"/>
      <c r="F394" s="39"/>
      <c r="G394" s="40" t="str">
        <f aca="false">IF(OR($E394="",$F394=""),"",$E394&amp;" - RT "&amp;$F394)</f>
        <v/>
      </c>
      <c r="H394" s="37"/>
      <c r="I394" s="38"/>
      <c r="J394" s="37"/>
      <c r="K394" s="39"/>
      <c r="L394" s="41"/>
      <c r="M394" s="36" t="str">
        <f aca="true">IF(OR($B394="",$L394=""),"",DATEDIF($L394,TODAY(),"Y"))</f>
        <v/>
      </c>
      <c r="N394" s="40" t="str">
        <f aca="false">IF($M394="","",INDEX(usia_label,MATCH($M394,usia_min,1)))</f>
        <v/>
      </c>
      <c r="O394" s="37"/>
      <c r="P394" s="41"/>
      <c r="Q394" s="37"/>
      <c r="R394" s="37"/>
      <c r="S394" s="40" t="str">
        <f aca="false">IF($G394="","",$G394&amp;"#"&amp;COUNTIF($G$4:$G394,$G394))</f>
        <v/>
      </c>
      <c r="T394" s="40" t="str">
        <f aca="false">IF($B394="","",IF($C394="","NIK kosong",IF(LEN($C394)&lt;&gt;16,"NIK bukan 16 digit",IF(COUNTIF($C$4:$C$2003,$C394&amp;"*")&gt;1,"NIK ganda",IF($E394="","Kadus kosong",IF($F394="","RT kosong",IF($H394="","Jabatan kosong",IF($I394="","No. HP kosong",IF($J394="","Alamat kosong",IF(AND($M394&lt;&gt;"",$M394&lt;17),"Usia di bawah 17",""))))))))))</f>
        <v/>
      </c>
      <c r="U394" s="40" t="str">
        <f aca="false">IF($B394="","",IF(AND(OR(CARI!$C$5="",ISNUMBER(SEARCH(CARI!$C$5,$B394&amp;" "&amp;$C394&amp;" "&amp;$I394&amp;" "&amp;$J394&amp;" "&amp;$Q394))),OR(CARI!$C$6="",$E394=CARI!$C$6),OR(CARI!$C$7="",$F394=CARI!$C$7),OR(CARI!$C$8="",$O394=CARI!$C$8)),MAX($U$3:U393)+1,""))</f>
        <v/>
      </c>
      <c r="V394" s="40" t="str">
        <f aca="false">IF($T394="","",MAX($V$3:V393)+1)</f>
        <v/>
      </c>
      <c r="W394" s="40" t="str">
        <f aca="false">IF($E394="","",$E394&amp;"#"&amp;COUNTIF($E$4:$E394,$E394))</f>
        <v/>
      </c>
      <c r="X394" s="40" t="str">
        <f aca="false">IF($B394="","",IF(AND(OR(CETAK!$J$10="",$E394=CETAK!$J$10),OR(CETAK!$J$11="",$F394=CETAK!$J$11),OR(CETAK!$J$12="",$K394=CETAK!$J$12),OR(CETAK!$J$13="",$H394=CETAK!$J$13),OR(CETAK!$J$14="",$O394=CETAK!$J$14)),MAX($X$3:X393)+1,""))</f>
        <v/>
      </c>
      <c r="Y394" s="40" t="str">
        <f aca="false">IF($B394="","",IF(AND(OR(ABSENSI!$H$10="",$E394=ABSENSI!$H$10),OR(ABSENSI!$H$11="",$F394=ABSENSI!$H$11),OR(ABSENSI!$H$12="",$K394=ABSENSI!$H$12)),MAX($Y$3:Y393)+1,""))</f>
        <v/>
      </c>
      <c r="Z394" s="40" t="str">
        <f aca="false">IF($B394="","",IF(AND(OR(KARTU!$K$6="",$E394=KARTU!$K$6),OR(KARTU!$K$7="",$F394=KARTU!$K$7),OR(KARTU!$K$8="",$K394=KARTU!$K$8)),MAX($Z$3:Z393)+1,""))</f>
        <v/>
      </c>
    </row>
    <row r="395" customFormat="false" ht="15" hidden="false" customHeight="false" outlineLevel="0" collapsed="false">
      <c r="A395" s="36" t="str">
        <f aca="false">IF($B395="","",COUNTA($B$4:$B395))</f>
        <v/>
      </c>
      <c r="B395" s="37"/>
      <c r="C395" s="38"/>
      <c r="D395" s="39"/>
      <c r="E395" s="37"/>
      <c r="F395" s="39"/>
      <c r="G395" s="40" t="str">
        <f aca="false">IF(OR($E395="",$F395=""),"",$E395&amp;" - RT "&amp;$F395)</f>
        <v/>
      </c>
      <c r="H395" s="37"/>
      <c r="I395" s="38"/>
      <c r="J395" s="37"/>
      <c r="K395" s="39"/>
      <c r="L395" s="41"/>
      <c r="M395" s="36" t="str">
        <f aca="true">IF(OR($B395="",$L395=""),"",DATEDIF($L395,TODAY(),"Y"))</f>
        <v/>
      </c>
      <c r="N395" s="40" t="str">
        <f aca="false">IF($M395="","",INDEX(usia_label,MATCH($M395,usia_min,1)))</f>
        <v/>
      </c>
      <c r="O395" s="37"/>
      <c r="P395" s="41"/>
      <c r="Q395" s="37"/>
      <c r="R395" s="37"/>
      <c r="S395" s="40" t="str">
        <f aca="false">IF($G395="","",$G395&amp;"#"&amp;COUNTIF($G$4:$G395,$G395))</f>
        <v/>
      </c>
      <c r="T395" s="40" t="str">
        <f aca="false">IF($B395="","",IF($C395="","NIK kosong",IF(LEN($C395)&lt;&gt;16,"NIK bukan 16 digit",IF(COUNTIF($C$4:$C$2003,$C395&amp;"*")&gt;1,"NIK ganda",IF($E395="","Kadus kosong",IF($F395="","RT kosong",IF($H395="","Jabatan kosong",IF($I395="","No. HP kosong",IF($J395="","Alamat kosong",IF(AND($M395&lt;&gt;"",$M395&lt;17),"Usia di bawah 17",""))))))))))</f>
        <v/>
      </c>
      <c r="U395" s="40" t="str">
        <f aca="false">IF($B395="","",IF(AND(OR(CARI!$C$5="",ISNUMBER(SEARCH(CARI!$C$5,$B395&amp;" "&amp;$C395&amp;" "&amp;$I395&amp;" "&amp;$J395&amp;" "&amp;$Q395))),OR(CARI!$C$6="",$E395=CARI!$C$6),OR(CARI!$C$7="",$F395=CARI!$C$7),OR(CARI!$C$8="",$O395=CARI!$C$8)),MAX($U$3:U394)+1,""))</f>
        <v/>
      </c>
      <c r="V395" s="40" t="str">
        <f aca="false">IF($T395="","",MAX($V$3:V394)+1)</f>
        <v/>
      </c>
      <c r="W395" s="40" t="str">
        <f aca="false">IF($E395="","",$E395&amp;"#"&amp;COUNTIF($E$4:$E395,$E395))</f>
        <v/>
      </c>
      <c r="X395" s="40" t="str">
        <f aca="false">IF($B395="","",IF(AND(OR(CETAK!$J$10="",$E395=CETAK!$J$10),OR(CETAK!$J$11="",$F395=CETAK!$J$11),OR(CETAK!$J$12="",$K395=CETAK!$J$12),OR(CETAK!$J$13="",$H395=CETAK!$J$13),OR(CETAK!$J$14="",$O395=CETAK!$J$14)),MAX($X$3:X394)+1,""))</f>
        <v/>
      </c>
      <c r="Y395" s="40" t="str">
        <f aca="false">IF($B395="","",IF(AND(OR(ABSENSI!$H$10="",$E395=ABSENSI!$H$10),OR(ABSENSI!$H$11="",$F395=ABSENSI!$H$11),OR(ABSENSI!$H$12="",$K395=ABSENSI!$H$12)),MAX($Y$3:Y394)+1,""))</f>
        <v/>
      </c>
      <c r="Z395" s="40" t="str">
        <f aca="false">IF($B395="","",IF(AND(OR(KARTU!$K$6="",$E395=KARTU!$K$6),OR(KARTU!$K$7="",$F395=KARTU!$K$7),OR(KARTU!$K$8="",$K395=KARTU!$K$8)),MAX($Z$3:Z394)+1,""))</f>
        <v/>
      </c>
    </row>
    <row r="396" customFormat="false" ht="15" hidden="false" customHeight="false" outlineLevel="0" collapsed="false">
      <c r="A396" s="36" t="str">
        <f aca="false">IF($B396="","",COUNTA($B$4:$B396))</f>
        <v/>
      </c>
      <c r="B396" s="37"/>
      <c r="C396" s="38"/>
      <c r="D396" s="39"/>
      <c r="E396" s="37"/>
      <c r="F396" s="39"/>
      <c r="G396" s="40" t="str">
        <f aca="false">IF(OR($E396="",$F396=""),"",$E396&amp;" - RT "&amp;$F396)</f>
        <v/>
      </c>
      <c r="H396" s="37"/>
      <c r="I396" s="38"/>
      <c r="J396" s="37"/>
      <c r="K396" s="39"/>
      <c r="L396" s="41"/>
      <c r="M396" s="36" t="str">
        <f aca="true">IF(OR($B396="",$L396=""),"",DATEDIF($L396,TODAY(),"Y"))</f>
        <v/>
      </c>
      <c r="N396" s="40" t="str">
        <f aca="false">IF($M396="","",INDEX(usia_label,MATCH($M396,usia_min,1)))</f>
        <v/>
      </c>
      <c r="O396" s="37"/>
      <c r="P396" s="41"/>
      <c r="Q396" s="37"/>
      <c r="R396" s="37"/>
      <c r="S396" s="40" t="str">
        <f aca="false">IF($G396="","",$G396&amp;"#"&amp;COUNTIF($G$4:$G396,$G396))</f>
        <v/>
      </c>
      <c r="T396" s="40" t="str">
        <f aca="false">IF($B396="","",IF($C396="","NIK kosong",IF(LEN($C396)&lt;&gt;16,"NIK bukan 16 digit",IF(COUNTIF($C$4:$C$2003,$C396&amp;"*")&gt;1,"NIK ganda",IF($E396="","Kadus kosong",IF($F396="","RT kosong",IF($H396="","Jabatan kosong",IF($I396="","No. HP kosong",IF($J396="","Alamat kosong",IF(AND($M396&lt;&gt;"",$M396&lt;17),"Usia di bawah 17",""))))))))))</f>
        <v/>
      </c>
      <c r="U396" s="40" t="str">
        <f aca="false">IF($B396="","",IF(AND(OR(CARI!$C$5="",ISNUMBER(SEARCH(CARI!$C$5,$B396&amp;" "&amp;$C396&amp;" "&amp;$I396&amp;" "&amp;$J396&amp;" "&amp;$Q396))),OR(CARI!$C$6="",$E396=CARI!$C$6),OR(CARI!$C$7="",$F396=CARI!$C$7),OR(CARI!$C$8="",$O396=CARI!$C$8)),MAX($U$3:U395)+1,""))</f>
        <v/>
      </c>
      <c r="V396" s="40" t="str">
        <f aca="false">IF($T396="","",MAX($V$3:V395)+1)</f>
        <v/>
      </c>
      <c r="W396" s="40" t="str">
        <f aca="false">IF($E396="","",$E396&amp;"#"&amp;COUNTIF($E$4:$E396,$E396))</f>
        <v/>
      </c>
      <c r="X396" s="40" t="str">
        <f aca="false">IF($B396="","",IF(AND(OR(CETAK!$J$10="",$E396=CETAK!$J$10),OR(CETAK!$J$11="",$F396=CETAK!$J$11),OR(CETAK!$J$12="",$K396=CETAK!$J$12),OR(CETAK!$J$13="",$H396=CETAK!$J$13),OR(CETAK!$J$14="",$O396=CETAK!$J$14)),MAX($X$3:X395)+1,""))</f>
        <v/>
      </c>
      <c r="Y396" s="40" t="str">
        <f aca="false">IF($B396="","",IF(AND(OR(ABSENSI!$H$10="",$E396=ABSENSI!$H$10),OR(ABSENSI!$H$11="",$F396=ABSENSI!$H$11),OR(ABSENSI!$H$12="",$K396=ABSENSI!$H$12)),MAX($Y$3:Y395)+1,""))</f>
        <v/>
      </c>
      <c r="Z396" s="40" t="str">
        <f aca="false">IF($B396="","",IF(AND(OR(KARTU!$K$6="",$E396=KARTU!$K$6),OR(KARTU!$K$7="",$F396=KARTU!$K$7),OR(KARTU!$K$8="",$K396=KARTU!$K$8)),MAX($Z$3:Z395)+1,""))</f>
        <v/>
      </c>
    </row>
    <row r="397" customFormat="false" ht="15" hidden="false" customHeight="false" outlineLevel="0" collapsed="false">
      <c r="A397" s="36" t="str">
        <f aca="false">IF($B397="","",COUNTA($B$4:$B397))</f>
        <v/>
      </c>
      <c r="B397" s="37"/>
      <c r="C397" s="38"/>
      <c r="D397" s="39"/>
      <c r="E397" s="37"/>
      <c r="F397" s="39"/>
      <c r="G397" s="40" t="str">
        <f aca="false">IF(OR($E397="",$F397=""),"",$E397&amp;" - RT "&amp;$F397)</f>
        <v/>
      </c>
      <c r="H397" s="37"/>
      <c r="I397" s="38"/>
      <c r="J397" s="37"/>
      <c r="K397" s="39"/>
      <c r="L397" s="41"/>
      <c r="M397" s="36" t="str">
        <f aca="true">IF(OR($B397="",$L397=""),"",DATEDIF($L397,TODAY(),"Y"))</f>
        <v/>
      </c>
      <c r="N397" s="40" t="str">
        <f aca="false">IF($M397="","",INDEX(usia_label,MATCH($M397,usia_min,1)))</f>
        <v/>
      </c>
      <c r="O397" s="37"/>
      <c r="P397" s="41"/>
      <c r="Q397" s="37"/>
      <c r="R397" s="37"/>
      <c r="S397" s="40" t="str">
        <f aca="false">IF($G397="","",$G397&amp;"#"&amp;COUNTIF($G$4:$G397,$G397))</f>
        <v/>
      </c>
      <c r="T397" s="40" t="str">
        <f aca="false">IF($B397="","",IF($C397="","NIK kosong",IF(LEN($C397)&lt;&gt;16,"NIK bukan 16 digit",IF(COUNTIF($C$4:$C$2003,$C397&amp;"*")&gt;1,"NIK ganda",IF($E397="","Kadus kosong",IF($F397="","RT kosong",IF($H397="","Jabatan kosong",IF($I397="","No. HP kosong",IF($J397="","Alamat kosong",IF(AND($M397&lt;&gt;"",$M397&lt;17),"Usia di bawah 17",""))))))))))</f>
        <v/>
      </c>
      <c r="U397" s="40" t="str">
        <f aca="false">IF($B397="","",IF(AND(OR(CARI!$C$5="",ISNUMBER(SEARCH(CARI!$C$5,$B397&amp;" "&amp;$C397&amp;" "&amp;$I397&amp;" "&amp;$J397&amp;" "&amp;$Q397))),OR(CARI!$C$6="",$E397=CARI!$C$6),OR(CARI!$C$7="",$F397=CARI!$C$7),OR(CARI!$C$8="",$O397=CARI!$C$8)),MAX($U$3:U396)+1,""))</f>
        <v/>
      </c>
      <c r="V397" s="40" t="str">
        <f aca="false">IF($T397="","",MAX($V$3:V396)+1)</f>
        <v/>
      </c>
      <c r="W397" s="40" t="str">
        <f aca="false">IF($E397="","",$E397&amp;"#"&amp;COUNTIF($E$4:$E397,$E397))</f>
        <v/>
      </c>
      <c r="X397" s="40" t="str">
        <f aca="false">IF($B397="","",IF(AND(OR(CETAK!$J$10="",$E397=CETAK!$J$10),OR(CETAK!$J$11="",$F397=CETAK!$J$11),OR(CETAK!$J$12="",$K397=CETAK!$J$12),OR(CETAK!$J$13="",$H397=CETAK!$J$13),OR(CETAK!$J$14="",$O397=CETAK!$J$14)),MAX($X$3:X396)+1,""))</f>
        <v/>
      </c>
      <c r="Y397" s="40" t="str">
        <f aca="false">IF($B397="","",IF(AND(OR(ABSENSI!$H$10="",$E397=ABSENSI!$H$10),OR(ABSENSI!$H$11="",$F397=ABSENSI!$H$11),OR(ABSENSI!$H$12="",$K397=ABSENSI!$H$12)),MAX($Y$3:Y396)+1,""))</f>
        <v/>
      </c>
      <c r="Z397" s="40" t="str">
        <f aca="false">IF($B397="","",IF(AND(OR(KARTU!$K$6="",$E397=KARTU!$K$6),OR(KARTU!$K$7="",$F397=KARTU!$K$7),OR(KARTU!$K$8="",$K397=KARTU!$K$8)),MAX($Z$3:Z396)+1,""))</f>
        <v/>
      </c>
    </row>
    <row r="398" customFormat="false" ht="15" hidden="false" customHeight="false" outlineLevel="0" collapsed="false">
      <c r="A398" s="36" t="str">
        <f aca="false">IF($B398="","",COUNTA($B$4:$B398))</f>
        <v/>
      </c>
      <c r="B398" s="37"/>
      <c r="C398" s="38"/>
      <c r="D398" s="39"/>
      <c r="E398" s="37"/>
      <c r="F398" s="39"/>
      <c r="G398" s="40" t="str">
        <f aca="false">IF(OR($E398="",$F398=""),"",$E398&amp;" - RT "&amp;$F398)</f>
        <v/>
      </c>
      <c r="H398" s="37"/>
      <c r="I398" s="38"/>
      <c r="J398" s="37"/>
      <c r="K398" s="39"/>
      <c r="L398" s="41"/>
      <c r="M398" s="36" t="str">
        <f aca="true">IF(OR($B398="",$L398=""),"",DATEDIF($L398,TODAY(),"Y"))</f>
        <v/>
      </c>
      <c r="N398" s="40" t="str">
        <f aca="false">IF($M398="","",INDEX(usia_label,MATCH($M398,usia_min,1)))</f>
        <v/>
      </c>
      <c r="O398" s="37"/>
      <c r="P398" s="41"/>
      <c r="Q398" s="37"/>
      <c r="R398" s="37"/>
      <c r="S398" s="40" t="str">
        <f aca="false">IF($G398="","",$G398&amp;"#"&amp;COUNTIF($G$4:$G398,$G398))</f>
        <v/>
      </c>
      <c r="T398" s="40" t="str">
        <f aca="false">IF($B398="","",IF($C398="","NIK kosong",IF(LEN($C398)&lt;&gt;16,"NIK bukan 16 digit",IF(COUNTIF($C$4:$C$2003,$C398&amp;"*")&gt;1,"NIK ganda",IF($E398="","Kadus kosong",IF($F398="","RT kosong",IF($H398="","Jabatan kosong",IF($I398="","No. HP kosong",IF($J398="","Alamat kosong",IF(AND($M398&lt;&gt;"",$M398&lt;17),"Usia di bawah 17",""))))))))))</f>
        <v/>
      </c>
      <c r="U398" s="40" t="str">
        <f aca="false">IF($B398="","",IF(AND(OR(CARI!$C$5="",ISNUMBER(SEARCH(CARI!$C$5,$B398&amp;" "&amp;$C398&amp;" "&amp;$I398&amp;" "&amp;$J398&amp;" "&amp;$Q398))),OR(CARI!$C$6="",$E398=CARI!$C$6),OR(CARI!$C$7="",$F398=CARI!$C$7),OR(CARI!$C$8="",$O398=CARI!$C$8)),MAX($U$3:U397)+1,""))</f>
        <v/>
      </c>
      <c r="V398" s="40" t="str">
        <f aca="false">IF($T398="","",MAX($V$3:V397)+1)</f>
        <v/>
      </c>
      <c r="W398" s="40" t="str">
        <f aca="false">IF($E398="","",$E398&amp;"#"&amp;COUNTIF($E$4:$E398,$E398))</f>
        <v/>
      </c>
      <c r="X398" s="40" t="str">
        <f aca="false">IF($B398="","",IF(AND(OR(CETAK!$J$10="",$E398=CETAK!$J$10),OR(CETAK!$J$11="",$F398=CETAK!$J$11),OR(CETAK!$J$12="",$K398=CETAK!$J$12),OR(CETAK!$J$13="",$H398=CETAK!$J$13),OR(CETAK!$J$14="",$O398=CETAK!$J$14)),MAX($X$3:X397)+1,""))</f>
        <v/>
      </c>
      <c r="Y398" s="40" t="str">
        <f aca="false">IF($B398="","",IF(AND(OR(ABSENSI!$H$10="",$E398=ABSENSI!$H$10),OR(ABSENSI!$H$11="",$F398=ABSENSI!$H$11),OR(ABSENSI!$H$12="",$K398=ABSENSI!$H$12)),MAX($Y$3:Y397)+1,""))</f>
        <v/>
      </c>
      <c r="Z398" s="40" t="str">
        <f aca="false">IF($B398="","",IF(AND(OR(KARTU!$K$6="",$E398=KARTU!$K$6),OR(KARTU!$K$7="",$F398=KARTU!$K$7),OR(KARTU!$K$8="",$K398=KARTU!$K$8)),MAX($Z$3:Z397)+1,""))</f>
        <v/>
      </c>
    </row>
    <row r="399" customFormat="false" ht="15" hidden="false" customHeight="false" outlineLevel="0" collapsed="false">
      <c r="A399" s="36" t="str">
        <f aca="false">IF($B399="","",COUNTA($B$4:$B399))</f>
        <v/>
      </c>
      <c r="B399" s="37"/>
      <c r="C399" s="38"/>
      <c r="D399" s="39"/>
      <c r="E399" s="37"/>
      <c r="F399" s="39"/>
      <c r="G399" s="40" t="str">
        <f aca="false">IF(OR($E399="",$F399=""),"",$E399&amp;" - RT "&amp;$F399)</f>
        <v/>
      </c>
      <c r="H399" s="37"/>
      <c r="I399" s="38"/>
      <c r="J399" s="37"/>
      <c r="K399" s="39"/>
      <c r="L399" s="41"/>
      <c r="M399" s="36" t="str">
        <f aca="true">IF(OR($B399="",$L399=""),"",DATEDIF($L399,TODAY(),"Y"))</f>
        <v/>
      </c>
      <c r="N399" s="40" t="str">
        <f aca="false">IF($M399="","",INDEX(usia_label,MATCH($M399,usia_min,1)))</f>
        <v/>
      </c>
      <c r="O399" s="37"/>
      <c r="P399" s="41"/>
      <c r="Q399" s="37"/>
      <c r="R399" s="37"/>
      <c r="S399" s="40" t="str">
        <f aca="false">IF($G399="","",$G399&amp;"#"&amp;COUNTIF($G$4:$G399,$G399))</f>
        <v/>
      </c>
      <c r="T399" s="40" t="str">
        <f aca="false">IF($B399="","",IF($C399="","NIK kosong",IF(LEN($C399)&lt;&gt;16,"NIK bukan 16 digit",IF(COUNTIF($C$4:$C$2003,$C399&amp;"*")&gt;1,"NIK ganda",IF($E399="","Kadus kosong",IF($F399="","RT kosong",IF($H399="","Jabatan kosong",IF($I399="","No. HP kosong",IF($J399="","Alamat kosong",IF(AND($M399&lt;&gt;"",$M399&lt;17),"Usia di bawah 17",""))))))))))</f>
        <v/>
      </c>
      <c r="U399" s="40" t="str">
        <f aca="false">IF($B399="","",IF(AND(OR(CARI!$C$5="",ISNUMBER(SEARCH(CARI!$C$5,$B399&amp;" "&amp;$C399&amp;" "&amp;$I399&amp;" "&amp;$J399&amp;" "&amp;$Q399))),OR(CARI!$C$6="",$E399=CARI!$C$6),OR(CARI!$C$7="",$F399=CARI!$C$7),OR(CARI!$C$8="",$O399=CARI!$C$8)),MAX($U$3:U398)+1,""))</f>
        <v/>
      </c>
      <c r="V399" s="40" t="str">
        <f aca="false">IF($T399="","",MAX($V$3:V398)+1)</f>
        <v/>
      </c>
      <c r="W399" s="40" t="str">
        <f aca="false">IF($E399="","",$E399&amp;"#"&amp;COUNTIF($E$4:$E399,$E399))</f>
        <v/>
      </c>
      <c r="X399" s="40" t="str">
        <f aca="false">IF($B399="","",IF(AND(OR(CETAK!$J$10="",$E399=CETAK!$J$10),OR(CETAK!$J$11="",$F399=CETAK!$J$11),OR(CETAK!$J$12="",$K399=CETAK!$J$12),OR(CETAK!$J$13="",$H399=CETAK!$J$13),OR(CETAK!$J$14="",$O399=CETAK!$J$14)),MAX($X$3:X398)+1,""))</f>
        <v/>
      </c>
      <c r="Y399" s="40" t="str">
        <f aca="false">IF($B399="","",IF(AND(OR(ABSENSI!$H$10="",$E399=ABSENSI!$H$10),OR(ABSENSI!$H$11="",$F399=ABSENSI!$H$11),OR(ABSENSI!$H$12="",$K399=ABSENSI!$H$12)),MAX($Y$3:Y398)+1,""))</f>
        <v/>
      </c>
      <c r="Z399" s="40" t="str">
        <f aca="false">IF($B399="","",IF(AND(OR(KARTU!$K$6="",$E399=KARTU!$K$6),OR(KARTU!$K$7="",$F399=KARTU!$K$7),OR(KARTU!$K$8="",$K399=KARTU!$K$8)),MAX($Z$3:Z398)+1,""))</f>
        <v/>
      </c>
    </row>
    <row r="400" customFormat="false" ht="15" hidden="false" customHeight="false" outlineLevel="0" collapsed="false">
      <c r="A400" s="36" t="str">
        <f aca="false">IF($B400="","",COUNTA($B$4:$B400))</f>
        <v/>
      </c>
      <c r="B400" s="37"/>
      <c r="C400" s="38"/>
      <c r="D400" s="39"/>
      <c r="E400" s="37"/>
      <c r="F400" s="39"/>
      <c r="G400" s="40" t="str">
        <f aca="false">IF(OR($E400="",$F400=""),"",$E400&amp;" - RT "&amp;$F400)</f>
        <v/>
      </c>
      <c r="H400" s="37"/>
      <c r="I400" s="38"/>
      <c r="J400" s="37"/>
      <c r="K400" s="39"/>
      <c r="L400" s="41"/>
      <c r="M400" s="36" t="str">
        <f aca="true">IF(OR($B400="",$L400=""),"",DATEDIF($L400,TODAY(),"Y"))</f>
        <v/>
      </c>
      <c r="N400" s="40" t="str">
        <f aca="false">IF($M400="","",INDEX(usia_label,MATCH($M400,usia_min,1)))</f>
        <v/>
      </c>
      <c r="O400" s="37"/>
      <c r="P400" s="41"/>
      <c r="Q400" s="37"/>
      <c r="R400" s="37"/>
      <c r="S400" s="40" t="str">
        <f aca="false">IF($G400="","",$G400&amp;"#"&amp;COUNTIF($G$4:$G400,$G400))</f>
        <v/>
      </c>
      <c r="T400" s="40" t="str">
        <f aca="false">IF($B400="","",IF($C400="","NIK kosong",IF(LEN($C400)&lt;&gt;16,"NIK bukan 16 digit",IF(COUNTIF($C$4:$C$2003,$C400&amp;"*")&gt;1,"NIK ganda",IF($E400="","Kadus kosong",IF($F400="","RT kosong",IF($H400="","Jabatan kosong",IF($I400="","No. HP kosong",IF($J400="","Alamat kosong",IF(AND($M400&lt;&gt;"",$M400&lt;17),"Usia di bawah 17",""))))))))))</f>
        <v/>
      </c>
      <c r="U400" s="40" t="str">
        <f aca="false">IF($B400="","",IF(AND(OR(CARI!$C$5="",ISNUMBER(SEARCH(CARI!$C$5,$B400&amp;" "&amp;$C400&amp;" "&amp;$I400&amp;" "&amp;$J400&amp;" "&amp;$Q400))),OR(CARI!$C$6="",$E400=CARI!$C$6),OR(CARI!$C$7="",$F400=CARI!$C$7),OR(CARI!$C$8="",$O400=CARI!$C$8)),MAX($U$3:U399)+1,""))</f>
        <v/>
      </c>
      <c r="V400" s="40" t="str">
        <f aca="false">IF($T400="","",MAX($V$3:V399)+1)</f>
        <v/>
      </c>
      <c r="W400" s="40" t="str">
        <f aca="false">IF($E400="","",$E400&amp;"#"&amp;COUNTIF($E$4:$E400,$E400))</f>
        <v/>
      </c>
      <c r="X400" s="40" t="str">
        <f aca="false">IF($B400="","",IF(AND(OR(CETAK!$J$10="",$E400=CETAK!$J$10),OR(CETAK!$J$11="",$F400=CETAK!$J$11),OR(CETAK!$J$12="",$K400=CETAK!$J$12),OR(CETAK!$J$13="",$H400=CETAK!$J$13),OR(CETAK!$J$14="",$O400=CETAK!$J$14)),MAX($X$3:X399)+1,""))</f>
        <v/>
      </c>
      <c r="Y400" s="40" t="str">
        <f aca="false">IF($B400="","",IF(AND(OR(ABSENSI!$H$10="",$E400=ABSENSI!$H$10),OR(ABSENSI!$H$11="",$F400=ABSENSI!$H$11),OR(ABSENSI!$H$12="",$K400=ABSENSI!$H$12)),MAX($Y$3:Y399)+1,""))</f>
        <v/>
      </c>
      <c r="Z400" s="40" t="str">
        <f aca="false">IF($B400="","",IF(AND(OR(KARTU!$K$6="",$E400=KARTU!$K$6),OR(KARTU!$K$7="",$F400=KARTU!$K$7),OR(KARTU!$K$8="",$K400=KARTU!$K$8)),MAX($Z$3:Z399)+1,""))</f>
        <v/>
      </c>
    </row>
    <row r="401" customFormat="false" ht="15" hidden="false" customHeight="false" outlineLevel="0" collapsed="false">
      <c r="A401" s="36" t="str">
        <f aca="false">IF($B401="","",COUNTA($B$4:$B401))</f>
        <v/>
      </c>
      <c r="B401" s="37"/>
      <c r="C401" s="38"/>
      <c r="D401" s="39"/>
      <c r="E401" s="37"/>
      <c r="F401" s="39"/>
      <c r="G401" s="40" t="str">
        <f aca="false">IF(OR($E401="",$F401=""),"",$E401&amp;" - RT "&amp;$F401)</f>
        <v/>
      </c>
      <c r="H401" s="37"/>
      <c r="I401" s="38"/>
      <c r="J401" s="37"/>
      <c r="K401" s="39"/>
      <c r="L401" s="41"/>
      <c r="M401" s="36" t="str">
        <f aca="true">IF(OR($B401="",$L401=""),"",DATEDIF($L401,TODAY(),"Y"))</f>
        <v/>
      </c>
      <c r="N401" s="40" t="str">
        <f aca="false">IF($M401="","",INDEX(usia_label,MATCH($M401,usia_min,1)))</f>
        <v/>
      </c>
      <c r="O401" s="37"/>
      <c r="P401" s="41"/>
      <c r="Q401" s="37"/>
      <c r="R401" s="37"/>
      <c r="S401" s="40" t="str">
        <f aca="false">IF($G401="","",$G401&amp;"#"&amp;COUNTIF($G$4:$G401,$G401))</f>
        <v/>
      </c>
      <c r="T401" s="40" t="str">
        <f aca="false">IF($B401="","",IF($C401="","NIK kosong",IF(LEN($C401)&lt;&gt;16,"NIK bukan 16 digit",IF(COUNTIF($C$4:$C$2003,$C401&amp;"*")&gt;1,"NIK ganda",IF($E401="","Kadus kosong",IF($F401="","RT kosong",IF($H401="","Jabatan kosong",IF($I401="","No. HP kosong",IF($J401="","Alamat kosong",IF(AND($M401&lt;&gt;"",$M401&lt;17),"Usia di bawah 17",""))))))))))</f>
        <v/>
      </c>
      <c r="U401" s="40" t="str">
        <f aca="false">IF($B401="","",IF(AND(OR(CARI!$C$5="",ISNUMBER(SEARCH(CARI!$C$5,$B401&amp;" "&amp;$C401&amp;" "&amp;$I401&amp;" "&amp;$J401&amp;" "&amp;$Q401))),OR(CARI!$C$6="",$E401=CARI!$C$6),OR(CARI!$C$7="",$F401=CARI!$C$7),OR(CARI!$C$8="",$O401=CARI!$C$8)),MAX($U$3:U400)+1,""))</f>
        <v/>
      </c>
      <c r="V401" s="40" t="str">
        <f aca="false">IF($T401="","",MAX($V$3:V400)+1)</f>
        <v/>
      </c>
      <c r="W401" s="40" t="str">
        <f aca="false">IF($E401="","",$E401&amp;"#"&amp;COUNTIF($E$4:$E401,$E401))</f>
        <v/>
      </c>
      <c r="X401" s="40" t="str">
        <f aca="false">IF($B401="","",IF(AND(OR(CETAK!$J$10="",$E401=CETAK!$J$10),OR(CETAK!$J$11="",$F401=CETAK!$J$11),OR(CETAK!$J$12="",$K401=CETAK!$J$12),OR(CETAK!$J$13="",$H401=CETAK!$J$13),OR(CETAK!$J$14="",$O401=CETAK!$J$14)),MAX($X$3:X400)+1,""))</f>
        <v/>
      </c>
      <c r="Y401" s="40" t="str">
        <f aca="false">IF($B401="","",IF(AND(OR(ABSENSI!$H$10="",$E401=ABSENSI!$H$10),OR(ABSENSI!$H$11="",$F401=ABSENSI!$H$11),OR(ABSENSI!$H$12="",$K401=ABSENSI!$H$12)),MAX($Y$3:Y400)+1,""))</f>
        <v/>
      </c>
      <c r="Z401" s="40" t="str">
        <f aca="false">IF($B401="","",IF(AND(OR(KARTU!$K$6="",$E401=KARTU!$K$6),OR(KARTU!$K$7="",$F401=KARTU!$K$7),OR(KARTU!$K$8="",$K401=KARTU!$K$8)),MAX($Z$3:Z400)+1,""))</f>
        <v/>
      </c>
    </row>
    <row r="402" customFormat="false" ht="15" hidden="false" customHeight="false" outlineLevel="0" collapsed="false">
      <c r="A402" s="36" t="str">
        <f aca="false">IF($B402="","",COUNTA($B$4:$B402))</f>
        <v/>
      </c>
      <c r="B402" s="37"/>
      <c r="C402" s="38"/>
      <c r="D402" s="39"/>
      <c r="E402" s="37"/>
      <c r="F402" s="39"/>
      <c r="G402" s="40" t="str">
        <f aca="false">IF(OR($E402="",$F402=""),"",$E402&amp;" - RT "&amp;$F402)</f>
        <v/>
      </c>
      <c r="H402" s="37"/>
      <c r="I402" s="38"/>
      <c r="J402" s="37"/>
      <c r="K402" s="39"/>
      <c r="L402" s="41"/>
      <c r="M402" s="36" t="str">
        <f aca="true">IF(OR($B402="",$L402=""),"",DATEDIF($L402,TODAY(),"Y"))</f>
        <v/>
      </c>
      <c r="N402" s="40" t="str">
        <f aca="false">IF($M402="","",INDEX(usia_label,MATCH($M402,usia_min,1)))</f>
        <v/>
      </c>
      <c r="O402" s="37"/>
      <c r="P402" s="41"/>
      <c r="Q402" s="37"/>
      <c r="R402" s="37"/>
      <c r="S402" s="40" t="str">
        <f aca="false">IF($G402="","",$G402&amp;"#"&amp;COUNTIF($G$4:$G402,$G402))</f>
        <v/>
      </c>
      <c r="T402" s="40" t="str">
        <f aca="false">IF($B402="","",IF($C402="","NIK kosong",IF(LEN($C402)&lt;&gt;16,"NIK bukan 16 digit",IF(COUNTIF($C$4:$C$2003,$C402&amp;"*")&gt;1,"NIK ganda",IF($E402="","Kadus kosong",IF($F402="","RT kosong",IF($H402="","Jabatan kosong",IF($I402="","No. HP kosong",IF($J402="","Alamat kosong",IF(AND($M402&lt;&gt;"",$M402&lt;17),"Usia di bawah 17",""))))))))))</f>
        <v/>
      </c>
      <c r="U402" s="40" t="str">
        <f aca="false">IF($B402="","",IF(AND(OR(CARI!$C$5="",ISNUMBER(SEARCH(CARI!$C$5,$B402&amp;" "&amp;$C402&amp;" "&amp;$I402&amp;" "&amp;$J402&amp;" "&amp;$Q402))),OR(CARI!$C$6="",$E402=CARI!$C$6),OR(CARI!$C$7="",$F402=CARI!$C$7),OR(CARI!$C$8="",$O402=CARI!$C$8)),MAX($U$3:U401)+1,""))</f>
        <v/>
      </c>
      <c r="V402" s="40" t="str">
        <f aca="false">IF($T402="","",MAX($V$3:V401)+1)</f>
        <v/>
      </c>
      <c r="W402" s="40" t="str">
        <f aca="false">IF($E402="","",$E402&amp;"#"&amp;COUNTIF($E$4:$E402,$E402))</f>
        <v/>
      </c>
      <c r="X402" s="40" t="str">
        <f aca="false">IF($B402="","",IF(AND(OR(CETAK!$J$10="",$E402=CETAK!$J$10),OR(CETAK!$J$11="",$F402=CETAK!$J$11),OR(CETAK!$J$12="",$K402=CETAK!$J$12),OR(CETAK!$J$13="",$H402=CETAK!$J$13),OR(CETAK!$J$14="",$O402=CETAK!$J$14)),MAX($X$3:X401)+1,""))</f>
        <v/>
      </c>
      <c r="Y402" s="40" t="str">
        <f aca="false">IF($B402="","",IF(AND(OR(ABSENSI!$H$10="",$E402=ABSENSI!$H$10),OR(ABSENSI!$H$11="",$F402=ABSENSI!$H$11),OR(ABSENSI!$H$12="",$K402=ABSENSI!$H$12)),MAX($Y$3:Y401)+1,""))</f>
        <v/>
      </c>
      <c r="Z402" s="40" t="str">
        <f aca="false">IF($B402="","",IF(AND(OR(KARTU!$K$6="",$E402=KARTU!$K$6),OR(KARTU!$K$7="",$F402=KARTU!$K$7),OR(KARTU!$K$8="",$K402=KARTU!$K$8)),MAX($Z$3:Z401)+1,""))</f>
        <v/>
      </c>
    </row>
    <row r="403" customFormat="false" ht="15" hidden="false" customHeight="false" outlineLevel="0" collapsed="false">
      <c r="A403" s="36" t="str">
        <f aca="false">IF($B403="","",COUNTA($B$4:$B403))</f>
        <v/>
      </c>
      <c r="B403" s="37"/>
      <c r="C403" s="38"/>
      <c r="D403" s="39"/>
      <c r="E403" s="37"/>
      <c r="F403" s="39"/>
      <c r="G403" s="40" t="str">
        <f aca="false">IF(OR($E403="",$F403=""),"",$E403&amp;" - RT "&amp;$F403)</f>
        <v/>
      </c>
      <c r="H403" s="37"/>
      <c r="I403" s="38"/>
      <c r="J403" s="37"/>
      <c r="K403" s="39"/>
      <c r="L403" s="41"/>
      <c r="M403" s="36" t="str">
        <f aca="true">IF(OR($B403="",$L403=""),"",DATEDIF($L403,TODAY(),"Y"))</f>
        <v/>
      </c>
      <c r="N403" s="40" t="str">
        <f aca="false">IF($M403="","",INDEX(usia_label,MATCH($M403,usia_min,1)))</f>
        <v/>
      </c>
      <c r="O403" s="37"/>
      <c r="P403" s="41"/>
      <c r="Q403" s="37"/>
      <c r="R403" s="37"/>
      <c r="S403" s="40" t="str">
        <f aca="false">IF($G403="","",$G403&amp;"#"&amp;COUNTIF($G$4:$G403,$G403))</f>
        <v/>
      </c>
      <c r="T403" s="40" t="str">
        <f aca="false">IF($B403="","",IF($C403="","NIK kosong",IF(LEN($C403)&lt;&gt;16,"NIK bukan 16 digit",IF(COUNTIF($C$4:$C$2003,$C403&amp;"*")&gt;1,"NIK ganda",IF($E403="","Kadus kosong",IF($F403="","RT kosong",IF($H403="","Jabatan kosong",IF($I403="","No. HP kosong",IF($J403="","Alamat kosong",IF(AND($M403&lt;&gt;"",$M403&lt;17),"Usia di bawah 17",""))))))))))</f>
        <v/>
      </c>
      <c r="U403" s="40" t="str">
        <f aca="false">IF($B403="","",IF(AND(OR(CARI!$C$5="",ISNUMBER(SEARCH(CARI!$C$5,$B403&amp;" "&amp;$C403&amp;" "&amp;$I403&amp;" "&amp;$J403&amp;" "&amp;$Q403))),OR(CARI!$C$6="",$E403=CARI!$C$6),OR(CARI!$C$7="",$F403=CARI!$C$7),OR(CARI!$C$8="",$O403=CARI!$C$8)),MAX($U$3:U402)+1,""))</f>
        <v/>
      </c>
      <c r="V403" s="40" t="str">
        <f aca="false">IF($T403="","",MAX($V$3:V402)+1)</f>
        <v/>
      </c>
      <c r="W403" s="40" t="str">
        <f aca="false">IF($E403="","",$E403&amp;"#"&amp;COUNTIF($E$4:$E403,$E403))</f>
        <v/>
      </c>
      <c r="X403" s="40" t="str">
        <f aca="false">IF($B403="","",IF(AND(OR(CETAK!$J$10="",$E403=CETAK!$J$10),OR(CETAK!$J$11="",$F403=CETAK!$J$11),OR(CETAK!$J$12="",$K403=CETAK!$J$12),OR(CETAK!$J$13="",$H403=CETAK!$J$13),OR(CETAK!$J$14="",$O403=CETAK!$J$14)),MAX($X$3:X402)+1,""))</f>
        <v/>
      </c>
      <c r="Y403" s="40" t="str">
        <f aca="false">IF($B403="","",IF(AND(OR(ABSENSI!$H$10="",$E403=ABSENSI!$H$10),OR(ABSENSI!$H$11="",$F403=ABSENSI!$H$11),OR(ABSENSI!$H$12="",$K403=ABSENSI!$H$12)),MAX($Y$3:Y402)+1,""))</f>
        <v/>
      </c>
      <c r="Z403" s="40" t="str">
        <f aca="false">IF($B403="","",IF(AND(OR(KARTU!$K$6="",$E403=KARTU!$K$6),OR(KARTU!$K$7="",$F403=KARTU!$K$7),OR(KARTU!$K$8="",$K403=KARTU!$K$8)),MAX($Z$3:Z402)+1,""))</f>
        <v/>
      </c>
    </row>
    <row r="404" customFormat="false" ht="15" hidden="false" customHeight="false" outlineLevel="0" collapsed="false">
      <c r="A404" s="36" t="str">
        <f aca="false">IF($B404="","",COUNTA($B$4:$B404))</f>
        <v/>
      </c>
      <c r="B404" s="37"/>
      <c r="C404" s="38"/>
      <c r="D404" s="39"/>
      <c r="E404" s="37"/>
      <c r="F404" s="39"/>
      <c r="G404" s="40" t="str">
        <f aca="false">IF(OR($E404="",$F404=""),"",$E404&amp;" - RT "&amp;$F404)</f>
        <v/>
      </c>
      <c r="H404" s="37"/>
      <c r="I404" s="38"/>
      <c r="J404" s="37"/>
      <c r="K404" s="39"/>
      <c r="L404" s="41"/>
      <c r="M404" s="36" t="str">
        <f aca="true">IF(OR($B404="",$L404=""),"",DATEDIF($L404,TODAY(),"Y"))</f>
        <v/>
      </c>
      <c r="N404" s="40" t="str">
        <f aca="false">IF($M404="","",INDEX(usia_label,MATCH($M404,usia_min,1)))</f>
        <v/>
      </c>
      <c r="O404" s="37"/>
      <c r="P404" s="41"/>
      <c r="Q404" s="37"/>
      <c r="R404" s="37"/>
      <c r="S404" s="40" t="str">
        <f aca="false">IF($G404="","",$G404&amp;"#"&amp;COUNTIF($G$4:$G404,$G404))</f>
        <v/>
      </c>
      <c r="T404" s="40" t="str">
        <f aca="false">IF($B404="","",IF($C404="","NIK kosong",IF(LEN($C404)&lt;&gt;16,"NIK bukan 16 digit",IF(COUNTIF($C$4:$C$2003,$C404&amp;"*")&gt;1,"NIK ganda",IF($E404="","Kadus kosong",IF($F404="","RT kosong",IF($H404="","Jabatan kosong",IF($I404="","No. HP kosong",IF($J404="","Alamat kosong",IF(AND($M404&lt;&gt;"",$M404&lt;17),"Usia di bawah 17",""))))))))))</f>
        <v/>
      </c>
      <c r="U404" s="40" t="str">
        <f aca="false">IF($B404="","",IF(AND(OR(CARI!$C$5="",ISNUMBER(SEARCH(CARI!$C$5,$B404&amp;" "&amp;$C404&amp;" "&amp;$I404&amp;" "&amp;$J404&amp;" "&amp;$Q404))),OR(CARI!$C$6="",$E404=CARI!$C$6),OR(CARI!$C$7="",$F404=CARI!$C$7),OR(CARI!$C$8="",$O404=CARI!$C$8)),MAX($U$3:U403)+1,""))</f>
        <v/>
      </c>
      <c r="V404" s="40" t="str">
        <f aca="false">IF($T404="","",MAX($V$3:V403)+1)</f>
        <v/>
      </c>
      <c r="W404" s="40" t="str">
        <f aca="false">IF($E404="","",$E404&amp;"#"&amp;COUNTIF($E$4:$E404,$E404))</f>
        <v/>
      </c>
      <c r="X404" s="40" t="str">
        <f aca="false">IF($B404="","",IF(AND(OR(CETAK!$J$10="",$E404=CETAK!$J$10),OR(CETAK!$J$11="",$F404=CETAK!$J$11),OR(CETAK!$J$12="",$K404=CETAK!$J$12),OR(CETAK!$J$13="",$H404=CETAK!$J$13),OR(CETAK!$J$14="",$O404=CETAK!$J$14)),MAX($X$3:X403)+1,""))</f>
        <v/>
      </c>
      <c r="Y404" s="40" t="str">
        <f aca="false">IF($B404="","",IF(AND(OR(ABSENSI!$H$10="",$E404=ABSENSI!$H$10),OR(ABSENSI!$H$11="",$F404=ABSENSI!$H$11),OR(ABSENSI!$H$12="",$K404=ABSENSI!$H$12)),MAX($Y$3:Y403)+1,""))</f>
        <v/>
      </c>
      <c r="Z404" s="40" t="str">
        <f aca="false">IF($B404="","",IF(AND(OR(KARTU!$K$6="",$E404=KARTU!$K$6),OR(KARTU!$K$7="",$F404=KARTU!$K$7),OR(KARTU!$K$8="",$K404=KARTU!$K$8)),MAX($Z$3:Z403)+1,""))</f>
        <v/>
      </c>
    </row>
    <row r="405" customFormat="false" ht="15" hidden="false" customHeight="false" outlineLevel="0" collapsed="false">
      <c r="A405" s="36" t="str">
        <f aca="false">IF($B405="","",COUNTA($B$4:$B405))</f>
        <v/>
      </c>
      <c r="B405" s="37"/>
      <c r="C405" s="38"/>
      <c r="D405" s="39"/>
      <c r="E405" s="37"/>
      <c r="F405" s="39"/>
      <c r="G405" s="40" t="str">
        <f aca="false">IF(OR($E405="",$F405=""),"",$E405&amp;" - RT "&amp;$F405)</f>
        <v/>
      </c>
      <c r="H405" s="37"/>
      <c r="I405" s="38"/>
      <c r="J405" s="37"/>
      <c r="K405" s="39"/>
      <c r="L405" s="41"/>
      <c r="M405" s="36" t="str">
        <f aca="true">IF(OR($B405="",$L405=""),"",DATEDIF($L405,TODAY(),"Y"))</f>
        <v/>
      </c>
      <c r="N405" s="40" t="str">
        <f aca="false">IF($M405="","",INDEX(usia_label,MATCH($M405,usia_min,1)))</f>
        <v/>
      </c>
      <c r="O405" s="37"/>
      <c r="P405" s="41"/>
      <c r="Q405" s="37"/>
      <c r="R405" s="37"/>
      <c r="S405" s="40" t="str">
        <f aca="false">IF($G405="","",$G405&amp;"#"&amp;COUNTIF($G$4:$G405,$G405))</f>
        <v/>
      </c>
      <c r="T405" s="40" t="str">
        <f aca="false">IF($B405="","",IF($C405="","NIK kosong",IF(LEN($C405)&lt;&gt;16,"NIK bukan 16 digit",IF(COUNTIF($C$4:$C$2003,$C405&amp;"*")&gt;1,"NIK ganda",IF($E405="","Kadus kosong",IF($F405="","RT kosong",IF($H405="","Jabatan kosong",IF($I405="","No. HP kosong",IF($J405="","Alamat kosong",IF(AND($M405&lt;&gt;"",$M405&lt;17),"Usia di bawah 17",""))))))))))</f>
        <v/>
      </c>
      <c r="U405" s="40" t="str">
        <f aca="false">IF($B405="","",IF(AND(OR(CARI!$C$5="",ISNUMBER(SEARCH(CARI!$C$5,$B405&amp;" "&amp;$C405&amp;" "&amp;$I405&amp;" "&amp;$J405&amp;" "&amp;$Q405))),OR(CARI!$C$6="",$E405=CARI!$C$6),OR(CARI!$C$7="",$F405=CARI!$C$7),OR(CARI!$C$8="",$O405=CARI!$C$8)),MAX($U$3:U404)+1,""))</f>
        <v/>
      </c>
      <c r="V405" s="40" t="str">
        <f aca="false">IF($T405="","",MAX($V$3:V404)+1)</f>
        <v/>
      </c>
      <c r="W405" s="40" t="str">
        <f aca="false">IF($E405="","",$E405&amp;"#"&amp;COUNTIF($E$4:$E405,$E405))</f>
        <v/>
      </c>
      <c r="X405" s="40" t="str">
        <f aca="false">IF($B405="","",IF(AND(OR(CETAK!$J$10="",$E405=CETAK!$J$10),OR(CETAK!$J$11="",$F405=CETAK!$J$11),OR(CETAK!$J$12="",$K405=CETAK!$J$12),OR(CETAK!$J$13="",$H405=CETAK!$J$13),OR(CETAK!$J$14="",$O405=CETAK!$J$14)),MAX($X$3:X404)+1,""))</f>
        <v/>
      </c>
      <c r="Y405" s="40" t="str">
        <f aca="false">IF($B405="","",IF(AND(OR(ABSENSI!$H$10="",$E405=ABSENSI!$H$10),OR(ABSENSI!$H$11="",$F405=ABSENSI!$H$11),OR(ABSENSI!$H$12="",$K405=ABSENSI!$H$12)),MAX($Y$3:Y404)+1,""))</f>
        <v/>
      </c>
      <c r="Z405" s="40" t="str">
        <f aca="false">IF($B405="","",IF(AND(OR(KARTU!$K$6="",$E405=KARTU!$K$6),OR(KARTU!$K$7="",$F405=KARTU!$K$7),OR(KARTU!$K$8="",$K405=KARTU!$K$8)),MAX($Z$3:Z404)+1,""))</f>
        <v/>
      </c>
    </row>
    <row r="406" customFormat="false" ht="15" hidden="false" customHeight="false" outlineLevel="0" collapsed="false">
      <c r="A406" s="36" t="str">
        <f aca="false">IF($B406="","",COUNTA($B$4:$B406))</f>
        <v/>
      </c>
      <c r="B406" s="37"/>
      <c r="C406" s="38"/>
      <c r="D406" s="39"/>
      <c r="E406" s="37"/>
      <c r="F406" s="39"/>
      <c r="G406" s="40" t="str">
        <f aca="false">IF(OR($E406="",$F406=""),"",$E406&amp;" - RT "&amp;$F406)</f>
        <v/>
      </c>
      <c r="H406" s="37"/>
      <c r="I406" s="38"/>
      <c r="J406" s="37"/>
      <c r="K406" s="39"/>
      <c r="L406" s="41"/>
      <c r="M406" s="36" t="str">
        <f aca="true">IF(OR($B406="",$L406=""),"",DATEDIF($L406,TODAY(),"Y"))</f>
        <v/>
      </c>
      <c r="N406" s="40" t="str">
        <f aca="false">IF($M406="","",INDEX(usia_label,MATCH($M406,usia_min,1)))</f>
        <v/>
      </c>
      <c r="O406" s="37"/>
      <c r="P406" s="41"/>
      <c r="Q406" s="37"/>
      <c r="R406" s="37"/>
      <c r="S406" s="40" t="str">
        <f aca="false">IF($G406="","",$G406&amp;"#"&amp;COUNTIF($G$4:$G406,$G406))</f>
        <v/>
      </c>
      <c r="T406" s="40" t="str">
        <f aca="false">IF($B406="","",IF($C406="","NIK kosong",IF(LEN($C406)&lt;&gt;16,"NIK bukan 16 digit",IF(COUNTIF($C$4:$C$2003,$C406&amp;"*")&gt;1,"NIK ganda",IF($E406="","Kadus kosong",IF($F406="","RT kosong",IF($H406="","Jabatan kosong",IF($I406="","No. HP kosong",IF($J406="","Alamat kosong",IF(AND($M406&lt;&gt;"",$M406&lt;17),"Usia di bawah 17",""))))))))))</f>
        <v/>
      </c>
      <c r="U406" s="40" t="str">
        <f aca="false">IF($B406="","",IF(AND(OR(CARI!$C$5="",ISNUMBER(SEARCH(CARI!$C$5,$B406&amp;" "&amp;$C406&amp;" "&amp;$I406&amp;" "&amp;$J406&amp;" "&amp;$Q406))),OR(CARI!$C$6="",$E406=CARI!$C$6),OR(CARI!$C$7="",$F406=CARI!$C$7),OR(CARI!$C$8="",$O406=CARI!$C$8)),MAX($U$3:U405)+1,""))</f>
        <v/>
      </c>
      <c r="V406" s="40" t="str">
        <f aca="false">IF($T406="","",MAX($V$3:V405)+1)</f>
        <v/>
      </c>
      <c r="W406" s="40" t="str">
        <f aca="false">IF($E406="","",$E406&amp;"#"&amp;COUNTIF($E$4:$E406,$E406))</f>
        <v/>
      </c>
      <c r="X406" s="40" t="str">
        <f aca="false">IF($B406="","",IF(AND(OR(CETAK!$J$10="",$E406=CETAK!$J$10),OR(CETAK!$J$11="",$F406=CETAK!$J$11),OR(CETAK!$J$12="",$K406=CETAK!$J$12),OR(CETAK!$J$13="",$H406=CETAK!$J$13),OR(CETAK!$J$14="",$O406=CETAK!$J$14)),MAX($X$3:X405)+1,""))</f>
        <v/>
      </c>
      <c r="Y406" s="40" t="str">
        <f aca="false">IF($B406="","",IF(AND(OR(ABSENSI!$H$10="",$E406=ABSENSI!$H$10),OR(ABSENSI!$H$11="",$F406=ABSENSI!$H$11),OR(ABSENSI!$H$12="",$K406=ABSENSI!$H$12)),MAX($Y$3:Y405)+1,""))</f>
        <v/>
      </c>
      <c r="Z406" s="40" t="str">
        <f aca="false">IF($B406="","",IF(AND(OR(KARTU!$K$6="",$E406=KARTU!$K$6),OR(KARTU!$K$7="",$F406=KARTU!$K$7),OR(KARTU!$K$8="",$K406=KARTU!$K$8)),MAX($Z$3:Z405)+1,""))</f>
        <v/>
      </c>
    </row>
    <row r="407" customFormat="false" ht="15" hidden="false" customHeight="false" outlineLevel="0" collapsed="false">
      <c r="A407" s="36" t="str">
        <f aca="false">IF($B407="","",COUNTA($B$4:$B407))</f>
        <v/>
      </c>
      <c r="B407" s="37"/>
      <c r="C407" s="38"/>
      <c r="D407" s="39"/>
      <c r="E407" s="37"/>
      <c r="F407" s="39"/>
      <c r="G407" s="40" t="str">
        <f aca="false">IF(OR($E407="",$F407=""),"",$E407&amp;" - RT "&amp;$F407)</f>
        <v/>
      </c>
      <c r="H407" s="37"/>
      <c r="I407" s="38"/>
      <c r="J407" s="37"/>
      <c r="K407" s="39"/>
      <c r="L407" s="41"/>
      <c r="M407" s="36" t="str">
        <f aca="true">IF(OR($B407="",$L407=""),"",DATEDIF($L407,TODAY(),"Y"))</f>
        <v/>
      </c>
      <c r="N407" s="40" t="str">
        <f aca="false">IF($M407="","",INDEX(usia_label,MATCH($M407,usia_min,1)))</f>
        <v/>
      </c>
      <c r="O407" s="37"/>
      <c r="P407" s="41"/>
      <c r="Q407" s="37"/>
      <c r="R407" s="37"/>
      <c r="S407" s="40" t="str">
        <f aca="false">IF($G407="","",$G407&amp;"#"&amp;COUNTIF($G$4:$G407,$G407))</f>
        <v/>
      </c>
      <c r="T407" s="40" t="str">
        <f aca="false">IF($B407="","",IF($C407="","NIK kosong",IF(LEN($C407)&lt;&gt;16,"NIK bukan 16 digit",IF(COUNTIF($C$4:$C$2003,$C407&amp;"*")&gt;1,"NIK ganda",IF($E407="","Kadus kosong",IF($F407="","RT kosong",IF($H407="","Jabatan kosong",IF($I407="","No. HP kosong",IF($J407="","Alamat kosong",IF(AND($M407&lt;&gt;"",$M407&lt;17),"Usia di bawah 17",""))))))))))</f>
        <v/>
      </c>
      <c r="U407" s="40" t="str">
        <f aca="false">IF($B407="","",IF(AND(OR(CARI!$C$5="",ISNUMBER(SEARCH(CARI!$C$5,$B407&amp;" "&amp;$C407&amp;" "&amp;$I407&amp;" "&amp;$J407&amp;" "&amp;$Q407))),OR(CARI!$C$6="",$E407=CARI!$C$6),OR(CARI!$C$7="",$F407=CARI!$C$7),OR(CARI!$C$8="",$O407=CARI!$C$8)),MAX($U$3:U406)+1,""))</f>
        <v/>
      </c>
      <c r="V407" s="40" t="str">
        <f aca="false">IF($T407="","",MAX($V$3:V406)+1)</f>
        <v/>
      </c>
      <c r="W407" s="40" t="str">
        <f aca="false">IF($E407="","",$E407&amp;"#"&amp;COUNTIF($E$4:$E407,$E407))</f>
        <v/>
      </c>
      <c r="X407" s="40" t="str">
        <f aca="false">IF($B407="","",IF(AND(OR(CETAK!$J$10="",$E407=CETAK!$J$10),OR(CETAK!$J$11="",$F407=CETAK!$J$11),OR(CETAK!$J$12="",$K407=CETAK!$J$12),OR(CETAK!$J$13="",$H407=CETAK!$J$13),OR(CETAK!$J$14="",$O407=CETAK!$J$14)),MAX($X$3:X406)+1,""))</f>
        <v/>
      </c>
      <c r="Y407" s="40" t="str">
        <f aca="false">IF($B407="","",IF(AND(OR(ABSENSI!$H$10="",$E407=ABSENSI!$H$10),OR(ABSENSI!$H$11="",$F407=ABSENSI!$H$11),OR(ABSENSI!$H$12="",$K407=ABSENSI!$H$12)),MAX($Y$3:Y406)+1,""))</f>
        <v/>
      </c>
      <c r="Z407" s="40" t="str">
        <f aca="false">IF($B407="","",IF(AND(OR(KARTU!$K$6="",$E407=KARTU!$K$6),OR(KARTU!$K$7="",$F407=KARTU!$K$7),OR(KARTU!$K$8="",$K407=KARTU!$K$8)),MAX($Z$3:Z406)+1,""))</f>
        <v/>
      </c>
    </row>
    <row r="408" customFormat="false" ht="15" hidden="false" customHeight="false" outlineLevel="0" collapsed="false">
      <c r="A408" s="36" t="str">
        <f aca="false">IF($B408="","",COUNTA($B$4:$B408))</f>
        <v/>
      </c>
      <c r="B408" s="37"/>
      <c r="C408" s="38"/>
      <c r="D408" s="39"/>
      <c r="E408" s="37"/>
      <c r="F408" s="39"/>
      <c r="G408" s="40" t="str">
        <f aca="false">IF(OR($E408="",$F408=""),"",$E408&amp;" - RT "&amp;$F408)</f>
        <v/>
      </c>
      <c r="H408" s="37"/>
      <c r="I408" s="38"/>
      <c r="J408" s="37"/>
      <c r="K408" s="39"/>
      <c r="L408" s="41"/>
      <c r="M408" s="36" t="str">
        <f aca="true">IF(OR($B408="",$L408=""),"",DATEDIF($L408,TODAY(),"Y"))</f>
        <v/>
      </c>
      <c r="N408" s="40" t="str">
        <f aca="false">IF($M408="","",INDEX(usia_label,MATCH($M408,usia_min,1)))</f>
        <v/>
      </c>
      <c r="O408" s="37"/>
      <c r="P408" s="41"/>
      <c r="Q408" s="37"/>
      <c r="R408" s="37"/>
      <c r="S408" s="40" t="str">
        <f aca="false">IF($G408="","",$G408&amp;"#"&amp;COUNTIF($G$4:$G408,$G408))</f>
        <v/>
      </c>
      <c r="T408" s="40" t="str">
        <f aca="false">IF($B408="","",IF($C408="","NIK kosong",IF(LEN($C408)&lt;&gt;16,"NIK bukan 16 digit",IF(COUNTIF($C$4:$C$2003,$C408&amp;"*")&gt;1,"NIK ganda",IF($E408="","Kadus kosong",IF($F408="","RT kosong",IF($H408="","Jabatan kosong",IF($I408="","No. HP kosong",IF($J408="","Alamat kosong",IF(AND($M408&lt;&gt;"",$M408&lt;17),"Usia di bawah 17",""))))))))))</f>
        <v/>
      </c>
      <c r="U408" s="40" t="str">
        <f aca="false">IF($B408="","",IF(AND(OR(CARI!$C$5="",ISNUMBER(SEARCH(CARI!$C$5,$B408&amp;" "&amp;$C408&amp;" "&amp;$I408&amp;" "&amp;$J408&amp;" "&amp;$Q408))),OR(CARI!$C$6="",$E408=CARI!$C$6),OR(CARI!$C$7="",$F408=CARI!$C$7),OR(CARI!$C$8="",$O408=CARI!$C$8)),MAX($U$3:U407)+1,""))</f>
        <v/>
      </c>
      <c r="V408" s="40" t="str">
        <f aca="false">IF($T408="","",MAX($V$3:V407)+1)</f>
        <v/>
      </c>
      <c r="W408" s="40" t="str">
        <f aca="false">IF($E408="","",$E408&amp;"#"&amp;COUNTIF($E$4:$E408,$E408))</f>
        <v/>
      </c>
      <c r="X408" s="40" t="str">
        <f aca="false">IF($B408="","",IF(AND(OR(CETAK!$J$10="",$E408=CETAK!$J$10),OR(CETAK!$J$11="",$F408=CETAK!$J$11),OR(CETAK!$J$12="",$K408=CETAK!$J$12),OR(CETAK!$J$13="",$H408=CETAK!$J$13),OR(CETAK!$J$14="",$O408=CETAK!$J$14)),MAX($X$3:X407)+1,""))</f>
        <v/>
      </c>
      <c r="Y408" s="40" t="str">
        <f aca="false">IF($B408="","",IF(AND(OR(ABSENSI!$H$10="",$E408=ABSENSI!$H$10),OR(ABSENSI!$H$11="",$F408=ABSENSI!$H$11),OR(ABSENSI!$H$12="",$K408=ABSENSI!$H$12)),MAX($Y$3:Y407)+1,""))</f>
        <v/>
      </c>
      <c r="Z408" s="40" t="str">
        <f aca="false">IF($B408="","",IF(AND(OR(KARTU!$K$6="",$E408=KARTU!$K$6),OR(KARTU!$K$7="",$F408=KARTU!$K$7),OR(KARTU!$K$8="",$K408=KARTU!$K$8)),MAX($Z$3:Z407)+1,""))</f>
        <v/>
      </c>
    </row>
    <row r="409" customFormat="false" ht="15" hidden="false" customHeight="false" outlineLevel="0" collapsed="false">
      <c r="A409" s="36" t="str">
        <f aca="false">IF($B409="","",COUNTA($B$4:$B409))</f>
        <v/>
      </c>
      <c r="B409" s="37"/>
      <c r="C409" s="38"/>
      <c r="D409" s="39"/>
      <c r="E409" s="37"/>
      <c r="F409" s="39"/>
      <c r="G409" s="40" t="str">
        <f aca="false">IF(OR($E409="",$F409=""),"",$E409&amp;" - RT "&amp;$F409)</f>
        <v/>
      </c>
      <c r="H409" s="37"/>
      <c r="I409" s="38"/>
      <c r="J409" s="37"/>
      <c r="K409" s="39"/>
      <c r="L409" s="41"/>
      <c r="M409" s="36" t="str">
        <f aca="true">IF(OR($B409="",$L409=""),"",DATEDIF($L409,TODAY(),"Y"))</f>
        <v/>
      </c>
      <c r="N409" s="40" t="str">
        <f aca="false">IF($M409="","",INDEX(usia_label,MATCH($M409,usia_min,1)))</f>
        <v/>
      </c>
      <c r="O409" s="37"/>
      <c r="P409" s="41"/>
      <c r="Q409" s="37"/>
      <c r="R409" s="37"/>
      <c r="S409" s="40" t="str">
        <f aca="false">IF($G409="","",$G409&amp;"#"&amp;COUNTIF($G$4:$G409,$G409))</f>
        <v/>
      </c>
      <c r="T409" s="40" t="str">
        <f aca="false">IF($B409="","",IF($C409="","NIK kosong",IF(LEN($C409)&lt;&gt;16,"NIK bukan 16 digit",IF(COUNTIF($C$4:$C$2003,$C409&amp;"*")&gt;1,"NIK ganda",IF($E409="","Kadus kosong",IF($F409="","RT kosong",IF($H409="","Jabatan kosong",IF($I409="","No. HP kosong",IF($J409="","Alamat kosong",IF(AND($M409&lt;&gt;"",$M409&lt;17),"Usia di bawah 17",""))))))))))</f>
        <v/>
      </c>
      <c r="U409" s="40" t="str">
        <f aca="false">IF($B409="","",IF(AND(OR(CARI!$C$5="",ISNUMBER(SEARCH(CARI!$C$5,$B409&amp;" "&amp;$C409&amp;" "&amp;$I409&amp;" "&amp;$J409&amp;" "&amp;$Q409))),OR(CARI!$C$6="",$E409=CARI!$C$6),OR(CARI!$C$7="",$F409=CARI!$C$7),OR(CARI!$C$8="",$O409=CARI!$C$8)),MAX($U$3:U408)+1,""))</f>
        <v/>
      </c>
      <c r="V409" s="40" t="str">
        <f aca="false">IF($T409="","",MAX($V$3:V408)+1)</f>
        <v/>
      </c>
      <c r="W409" s="40" t="str">
        <f aca="false">IF($E409="","",$E409&amp;"#"&amp;COUNTIF($E$4:$E409,$E409))</f>
        <v/>
      </c>
      <c r="X409" s="40" t="str">
        <f aca="false">IF($B409="","",IF(AND(OR(CETAK!$J$10="",$E409=CETAK!$J$10),OR(CETAK!$J$11="",$F409=CETAK!$J$11),OR(CETAK!$J$12="",$K409=CETAK!$J$12),OR(CETAK!$J$13="",$H409=CETAK!$J$13),OR(CETAK!$J$14="",$O409=CETAK!$J$14)),MAX($X$3:X408)+1,""))</f>
        <v/>
      </c>
      <c r="Y409" s="40" t="str">
        <f aca="false">IF($B409="","",IF(AND(OR(ABSENSI!$H$10="",$E409=ABSENSI!$H$10),OR(ABSENSI!$H$11="",$F409=ABSENSI!$H$11),OR(ABSENSI!$H$12="",$K409=ABSENSI!$H$12)),MAX($Y$3:Y408)+1,""))</f>
        <v/>
      </c>
      <c r="Z409" s="40" t="str">
        <f aca="false">IF($B409="","",IF(AND(OR(KARTU!$K$6="",$E409=KARTU!$K$6),OR(KARTU!$K$7="",$F409=KARTU!$K$7),OR(KARTU!$K$8="",$K409=KARTU!$K$8)),MAX($Z$3:Z408)+1,""))</f>
        <v/>
      </c>
    </row>
    <row r="410" customFormat="false" ht="15" hidden="false" customHeight="false" outlineLevel="0" collapsed="false">
      <c r="A410" s="36" t="str">
        <f aca="false">IF($B410="","",COUNTA($B$4:$B410))</f>
        <v/>
      </c>
      <c r="B410" s="37"/>
      <c r="C410" s="38"/>
      <c r="D410" s="39"/>
      <c r="E410" s="37"/>
      <c r="F410" s="39"/>
      <c r="G410" s="40" t="str">
        <f aca="false">IF(OR($E410="",$F410=""),"",$E410&amp;" - RT "&amp;$F410)</f>
        <v/>
      </c>
      <c r="H410" s="37"/>
      <c r="I410" s="38"/>
      <c r="J410" s="37"/>
      <c r="K410" s="39"/>
      <c r="L410" s="41"/>
      <c r="M410" s="36" t="str">
        <f aca="true">IF(OR($B410="",$L410=""),"",DATEDIF($L410,TODAY(),"Y"))</f>
        <v/>
      </c>
      <c r="N410" s="40" t="str">
        <f aca="false">IF($M410="","",INDEX(usia_label,MATCH($M410,usia_min,1)))</f>
        <v/>
      </c>
      <c r="O410" s="37"/>
      <c r="P410" s="41"/>
      <c r="Q410" s="37"/>
      <c r="R410" s="37"/>
      <c r="S410" s="40" t="str">
        <f aca="false">IF($G410="","",$G410&amp;"#"&amp;COUNTIF($G$4:$G410,$G410))</f>
        <v/>
      </c>
      <c r="T410" s="40" t="str">
        <f aca="false">IF($B410="","",IF($C410="","NIK kosong",IF(LEN($C410)&lt;&gt;16,"NIK bukan 16 digit",IF(COUNTIF($C$4:$C$2003,$C410&amp;"*")&gt;1,"NIK ganda",IF($E410="","Kadus kosong",IF($F410="","RT kosong",IF($H410="","Jabatan kosong",IF($I410="","No. HP kosong",IF($J410="","Alamat kosong",IF(AND($M410&lt;&gt;"",$M410&lt;17),"Usia di bawah 17",""))))))))))</f>
        <v/>
      </c>
      <c r="U410" s="40" t="str">
        <f aca="false">IF($B410="","",IF(AND(OR(CARI!$C$5="",ISNUMBER(SEARCH(CARI!$C$5,$B410&amp;" "&amp;$C410&amp;" "&amp;$I410&amp;" "&amp;$J410&amp;" "&amp;$Q410))),OR(CARI!$C$6="",$E410=CARI!$C$6),OR(CARI!$C$7="",$F410=CARI!$C$7),OR(CARI!$C$8="",$O410=CARI!$C$8)),MAX($U$3:U409)+1,""))</f>
        <v/>
      </c>
      <c r="V410" s="40" t="str">
        <f aca="false">IF($T410="","",MAX($V$3:V409)+1)</f>
        <v/>
      </c>
      <c r="W410" s="40" t="str">
        <f aca="false">IF($E410="","",$E410&amp;"#"&amp;COUNTIF($E$4:$E410,$E410))</f>
        <v/>
      </c>
      <c r="X410" s="40" t="str">
        <f aca="false">IF($B410="","",IF(AND(OR(CETAK!$J$10="",$E410=CETAK!$J$10),OR(CETAK!$J$11="",$F410=CETAK!$J$11),OR(CETAK!$J$12="",$K410=CETAK!$J$12),OR(CETAK!$J$13="",$H410=CETAK!$J$13),OR(CETAK!$J$14="",$O410=CETAK!$J$14)),MAX($X$3:X409)+1,""))</f>
        <v/>
      </c>
      <c r="Y410" s="40" t="str">
        <f aca="false">IF($B410="","",IF(AND(OR(ABSENSI!$H$10="",$E410=ABSENSI!$H$10),OR(ABSENSI!$H$11="",$F410=ABSENSI!$H$11),OR(ABSENSI!$H$12="",$K410=ABSENSI!$H$12)),MAX($Y$3:Y409)+1,""))</f>
        <v/>
      </c>
      <c r="Z410" s="40" t="str">
        <f aca="false">IF($B410="","",IF(AND(OR(KARTU!$K$6="",$E410=KARTU!$K$6),OR(KARTU!$K$7="",$F410=KARTU!$K$7),OR(KARTU!$K$8="",$K410=KARTU!$K$8)),MAX($Z$3:Z409)+1,""))</f>
        <v/>
      </c>
    </row>
    <row r="411" customFormat="false" ht="15" hidden="false" customHeight="false" outlineLevel="0" collapsed="false">
      <c r="A411" s="36" t="str">
        <f aca="false">IF($B411="","",COUNTA($B$4:$B411))</f>
        <v/>
      </c>
      <c r="B411" s="37"/>
      <c r="C411" s="38"/>
      <c r="D411" s="39"/>
      <c r="E411" s="37"/>
      <c r="F411" s="39"/>
      <c r="G411" s="40" t="str">
        <f aca="false">IF(OR($E411="",$F411=""),"",$E411&amp;" - RT "&amp;$F411)</f>
        <v/>
      </c>
      <c r="H411" s="37"/>
      <c r="I411" s="38"/>
      <c r="J411" s="37"/>
      <c r="K411" s="39"/>
      <c r="L411" s="41"/>
      <c r="M411" s="36" t="str">
        <f aca="true">IF(OR($B411="",$L411=""),"",DATEDIF($L411,TODAY(),"Y"))</f>
        <v/>
      </c>
      <c r="N411" s="40" t="str">
        <f aca="false">IF($M411="","",INDEX(usia_label,MATCH($M411,usia_min,1)))</f>
        <v/>
      </c>
      <c r="O411" s="37"/>
      <c r="P411" s="41"/>
      <c r="Q411" s="37"/>
      <c r="R411" s="37"/>
      <c r="S411" s="40" t="str">
        <f aca="false">IF($G411="","",$G411&amp;"#"&amp;COUNTIF($G$4:$G411,$G411))</f>
        <v/>
      </c>
      <c r="T411" s="40" t="str">
        <f aca="false">IF($B411="","",IF($C411="","NIK kosong",IF(LEN($C411)&lt;&gt;16,"NIK bukan 16 digit",IF(COUNTIF($C$4:$C$2003,$C411&amp;"*")&gt;1,"NIK ganda",IF($E411="","Kadus kosong",IF($F411="","RT kosong",IF($H411="","Jabatan kosong",IF($I411="","No. HP kosong",IF($J411="","Alamat kosong",IF(AND($M411&lt;&gt;"",$M411&lt;17),"Usia di bawah 17",""))))))))))</f>
        <v/>
      </c>
      <c r="U411" s="40" t="str">
        <f aca="false">IF($B411="","",IF(AND(OR(CARI!$C$5="",ISNUMBER(SEARCH(CARI!$C$5,$B411&amp;" "&amp;$C411&amp;" "&amp;$I411&amp;" "&amp;$J411&amp;" "&amp;$Q411))),OR(CARI!$C$6="",$E411=CARI!$C$6),OR(CARI!$C$7="",$F411=CARI!$C$7),OR(CARI!$C$8="",$O411=CARI!$C$8)),MAX($U$3:U410)+1,""))</f>
        <v/>
      </c>
      <c r="V411" s="40" t="str">
        <f aca="false">IF($T411="","",MAX($V$3:V410)+1)</f>
        <v/>
      </c>
      <c r="W411" s="40" t="str">
        <f aca="false">IF($E411="","",$E411&amp;"#"&amp;COUNTIF($E$4:$E411,$E411))</f>
        <v/>
      </c>
      <c r="X411" s="40" t="str">
        <f aca="false">IF($B411="","",IF(AND(OR(CETAK!$J$10="",$E411=CETAK!$J$10),OR(CETAK!$J$11="",$F411=CETAK!$J$11),OR(CETAK!$J$12="",$K411=CETAK!$J$12),OR(CETAK!$J$13="",$H411=CETAK!$J$13),OR(CETAK!$J$14="",$O411=CETAK!$J$14)),MAX($X$3:X410)+1,""))</f>
        <v/>
      </c>
      <c r="Y411" s="40" t="str">
        <f aca="false">IF($B411="","",IF(AND(OR(ABSENSI!$H$10="",$E411=ABSENSI!$H$10),OR(ABSENSI!$H$11="",$F411=ABSENSI!$H$11),OR(ABSENSI!$H$12="",$K411=ABSENSI!$H$12)),MAX($Y$3:Y410)+1,""))</f>
        <v/>
      </c>
      <c r="Z411" s="40" t="str">
        <f aca="false">IF($B411="","",IF(AND(OR(KARTU!$K$6="",$E411=KARTU!$K$6),OR(KARTU!$K$7="",$F411=KARTU!$K$7),OR(KARTU!$K$8="",$K411=KARTU!$K$8)),MAX($Z$3:Z410)+1,""))</f>
        <v/>
      </c>
    </row>
    <row r="412" customFormat="false" ht="15" hidden="false" customHeight="false" outlineLevel="0" collapsed="false">
      <c r="A412" s="36" t="str">
        <f aca="false">IF($B412="","",COUNTA($B$4:$B412))</f>
        <v/>
      </c>
      <c r="B412" s="37"/>
      <c r="C412" s="38"/>
      <c r="D412" s="39"/>
      <c r="E412" s="37"/>
      <c r="F412" s="39"/>
      <c r="G412" s="40" t="str">
        <f aca="false">IF(OR($E412="",$F412=""),"",$E412&amp;" - RT "&amp;$F412)</f>
        <v/>
      </c>
      <c r="H412" s="37"/>
      <c r="I412" s="38"/>
      <c r="J412" s="37"/>
      <c r="K412" s="39"/>
      <c r="L412" s="41"/>
      <c r="M412" s="36" t="str">
        <f aca="true">IF(OR($B412="",$L412=""),"",DATEDIF($L412,TODAY(),"Y"))</f>
        <v/>
      </c>
      <c r="N412" s="40" t="str">
        <f aca="false">IF($M412="","",INDEX(usia_label,MATCH($M412,usia_min,1)))</f>
        <v/>
      </c>
      <c r="O412" s="37"/>
      <c r="P412" s="41"/>
      <c r="Q412" s="37"/>
      <c r="R412" s="37"/>
      <c r="S412" s="40" t="str">
        <f aca="false">IF($G412="","",$G412&amp;"#"&amp;COUNTIF($G$4:$G412,$G412))</f>
        <v/>
      </c>
      <c r="T412" s="40" t="str">
        <f aca="false">IF($B412="","",IF($C412="","NIK kosong",IF(LEN($C412)&lt;&gt;16,"NIK bukan 16 digit",IF(COUNTIF($C$4:$C$2003,$C412&amp;"*")&gt;1,"NIK ganda",IF($E412="","Kadus kosong",IF($F412="","RT kosong",IF($H412="","Jabatan kosong",IF($I412="","No. HP kosong",IF($J412="","Alamat kosong",IF(AND($M412&lt;&gt;"",$M412&lt;17),"Usia di bawah 17",""))))))))))</f>
        <v/>
      </c>
      <c r="U412" s="40" t="str">
        <f aca="false">IF($B412="","",IF(AND(OR(CARI!$C$5="",ISNUMBER(SEARCH(CARI!$C$5,$B412&amp;" "&amp;$C412&amp;" "&amp;$I412&amp;" "&amp;$J412&amp;" "&amp;$Q412))),OR(CARI!$C$6="",$E412=CARI!$C$6),OR(CARI!$C$7="",$F412=CARI!$C$7),OR(CARI!$C$8="",$O412=CARI!$C$8)),MAX($U$3:U411)+1,""))</f>
        <v/>
      </c>
      <c r="V412" s="40" t="str">
        <f aca="false">IF($T412="","",MAX($V$3:V411)+1)</f>
        <v/>
      </c>
      <c r="W412" s="40" t="str">
        <f aca="false">IF($E412="","",$E412&amp;"#"&amp;COUNTIF($E$4:$E412,$E412))</f>
        <v/>
      </c>
      <c r="X412" s="40" t="str">
        <f aca="false">IF($B412="","",IF(AND(OR(CETAK!$J$10="",$E412=CETAK!$J$10),OR(CETAK!$J$11="",$F412=CETAK!$J$11),OR(CETAK!$J$12="",$K412=CETAK!$J$12),OR(CETAK!$J$13="",$H412=CETAK!$J$13),OR(CETAK!$J$14="",$O412=CETAK!$J$14)),MAX($X$3:X411)+1,""))</f>
        <v/>
      </c>
      <c r="Y412" s="40" t="str">
        <f aca="false">IF($B412="","",IF(AND(OR(ABSENSI!$H$10="",$E412=ABSENSI!$H$10),OR(ABSENSI!$H$11="",$F412=ABSENSI!$H$11),OR(ABSENSI!$H$12="",$K412=ABSENSI!$H$12)),MAX($Y$3:Y411)+1,""))</f>
        <v/>
      </c>
      <c r="Z412" s="40" t="str">
        <f aca="false">IF($B412="","",IF(AND(OR(KARTU!$K$6="",$E412=KARTU!$K$6),OR(KARTU!$K$7="",$F412=KARTU!$K$7),OR(KARTU!$K$8="",$K412=KARTU!$K$8)),MAX($Z$3:Z411)+1,""))</f>
        <v/>
      </c>
    </row>
    <row r="413" customFormat="false" ht="15" hidden="false" customHeight="false" outlineLevel="0" collapsed="false">
      <c r="A413" s="36" t="str">
        <f aca="false">IF($B413="","",COUNTA($B$4:$B413))</f>
        <v/>
      </c>
      <c r="B413" s="37"/>
      <c r="C413" s="38"/>
      <c r="D413" s="39"/>
      <c r="E413" s="37"/>
      <c r="F413" s="39"/>
      <c r="G413" s="40" t="str">
        <f aca="false">IF(OR($E413="",$F413=""),"",$E413&amp;" - RT "&amp;$F413)</f>
        <v/>
      </c>
      <c r="H413" s="37"/>
      <c r="I413" s="38"/>
      <c r="J413" s="37"/>
      <c r="K413" s="39"/>
      <c r="L413" s="41"/>
      <c r="M413" s="36" t="str">
        <f aca="true">IF(OR($B413="",$L413=""),"",DATEDIF($L413,TODAY(),"Y"))</f>
        <v/>
      </c>
      <c r="N413" s="40" t="str">
        <f aca="false">IF($M413="","",INDEX(usia_label,MATCH($M413,usia_min,1)))</f>
        <v/>
      </c>
      <c r="O413" s="37"/>
      <c r="P413" s="41"/>
      <c r="Q413" s="37"/>
      <c r="R413" s="37"/>
      <c r="S413" s="40" t="str">
        <f aca="false">IF($G413="","",$G413&amp;"#"&amp;COUNTIF($G$4:$G413,$G413))</f>
        <v/>
      </c>
      <c r="T413" s="40" t="str">
        <f aca="false">IF($B413="","",IF($C413="","NIK kosong",IF(LEN($C413)&lt;&gt;16,"NIK bukan 16 digit",IF(COUNTIF($C$4:$C$2003,$C413&amp;"*")&gt;1,"NIK ganda",IF($E413="","Kadus kosong",IF($F413="","RT kosong",IF($H413="","Jabatan kosong",IF($I413="","No. HP kosong",IF($J413="","Alamat kosong",IF(AND($M413&lt;&gt;"",$M413&lt;17),"Usia di bawah 17",""))))))))))</f>
        <v/>
      </c>
      <c r="U413" s="40" t="str">
        <f aca="false">IF($B413="","",IF(AND(OR(CARI!$C$5="",ISNUMBER(SEARCH(CARI!$C$5,$B413&amp;" "&amp;$C413&amp;" "&amp;$I413&amp;" "&amp;$J413&amp;" "&amp;$Q413))),OR(CARI!$C$6="",$E413=CARI!$C$6),OR(CARI!$C$7="",$F413=CARI!$C$7),OR(CARI!$C$8="",$O413=CARI!$C$8)),MAX($U$3:U412)+1,""))</f>
        <v/>
      </c>
      <c r="V413" s="40" t="str">
        <f aca="false">IF($T413="","",MAX($V$3:V412)+1)</f>
        <v/>
      </c>
      <c r="W413" s="40" t="str">
        <f aca="false">IF($E413="","",$E413&amp;"#"&amp;COUNTIF($E$4:$E413,$E413))</f>
        <v/>
      </c>
      <c r="X413" s="40" t="str">
        <f aca="false">IF($B413="","",IF(AND(OR(CETAK!$J$10="",$E413=CETAK!$J$10),OR(CETAK!$J$11="",$F413=CETAK!$J$11),OR(CETAK!$J$12="",$K413=CETAK!$J$12),OR(CETAK!$J$13="",$H413=CETAK!$J$13),OR(CETAK!$J$14="",$O413=CETAK!$J$14)),MAX($X$3:X412)+1,""))</f>
        <v/>
      </c>
      <c r="Y413" s="40" t="str">
        <f aca="false">IF($B413="","",IF(AND(OR(ABSENSI!$H$10="",$E413=ABSENSI!$H$10),OR(ABSENSI!$H$11="",$F413=ABSENSI!$H$11),OR(ABSENSI!$H$12="",$K413=ABSENSI!$H$12)),MAX($Y$3:Y412)+1,""))</f>
        <v/>
      </c>
      <c r="Z413" s="40" t="str">
        <f aca="false">IF($B413="","",IF(AND(OR(KARTU!$K$6="",$E413=KARTU!$K$6),OR(KARTU!$K$7="",$F413=KARTU!$K$7),OR(KARTU!$K$8="",$K413=KARTU!$K$8)),MAX($Z$3:Z412)+1,""))</f>
        <v/>
      </c>
    </row>
    <row r="414" customFormat="false" ht="15" hidden="false" customHeight="false" outlineLevel="0" collapsed="false">
      <c r="A414" s="36" t="str">
        <f aca="false">IF($B414="","",COUNTA($B$4:$B414))</f>
        <v/>
      </c>
      <c r="B414" s="37"/>
      <c r="C414" s="38"/>
      <c r="D414" s="39"/>
      <c r="E414" s="37"/>
      <c r="F414" s="39"/>
      <c r="G414" s="40" t="str">
        <f aca="false">IF(OR($E414="",$F414=""),"",$E414&amp;" - RT "&amp;$F414)</f>
        <v/>
      </c>
      <c r="H414" s="37"/>
      <c r="I414" s="38"/>
      <c r="J414" s="37"/>
      <c r="K414" s="39"/>
      <c r="L414" s="41"/>
      <c r="M414" s="36" t="str">
        <f aca="true">IF(OR($B414="",$L414=""),"",DATEDIF($L414,TODAY(),"Y"))</f>
        <v/>
      </c>
      <c r="N414" s="40" t="str">
        <f aca="false">IF($M414="","",INDEX(usia_label,MATCH($M414,usia_min,1)))</f>
        <v/>
      </c>
      <c r="O414" s="37"/>
      <c r="P414" s="41"/>
      <c r="Q414" s="37"/>
      <c r="R414" s="37"/>
      <c r="S414" s="40" t="str">
        <f aca="false">IF($G414="","",$G414&amp;"#"&amp;COUNTIF($G$4:$G414,$G414))</f>
        <v/>
      </c>
      <c r="T414" s="40" t="str">
        <f aca="false">IF($B414="","",IF($C414="","NIK kosong",IF(LEN($C414)&lt;&gt;16,"NIK bukan 16 digit",IF(COUNTIF($C$4:$C$2003,$C414&amp;"*")&gt;1,"NIK ganda",IF($E414="","Kadus kosong",IF($F414="","RT kosong",IF($H414="","Jabatan kosong",IF($I414="","No. HP kosong",IF($J414="","Alamat kosong",IF(AND($M414&lt;&gt;"",$M414&lt;17),"Usia di bawah 17",""))))))))))</f>
        <v/>
      </c>
      <c r="U414" s="40" t="str">
        <f aca="false">IF($B414="","",IF(AND(OR(CARI!$C$5="",ISNUMBER(SEARCH(CARI!$C$5,$B414&amp;" "&amp;$C414&amp;" "&amp;$I414&amp;" "&amp;$J414&amp;" "&amp;$Q414))),OR(CARI!$C$6="",$E414=CARI!$C$6),OR(CARI!$C$7="",$F414=CARI!$C$7),OR(CARI!$C$8="",$O414=CARI!$C$8)),MAX($U$3:U413)+1,""))</f>
        <v/>
      </c>
      <c r="V414" s="40" t="str">
        <f aca="false">IF($T414="","",MAX($V$3:V413)+1)</f>
        <v/>
      </c>
      <c r="W414" s="40" t="str">
        <f aca="false">IF($E414="","",$E414&amp;"#"&amp;COUNTIF($E$4:$E414,$E414))</f>
        <v/>
      </c>
      <c r="X414" s="40" t="str">
        <f aca="false">IF($B414="","",IF(AND(OR(CETAK!$J$10="",$E414=CETAK!$J$10),OR(CETAK!$J$11="",$F414=CETAK!$J$11),OR(CETAK!$J$12="",$K414=CETAK!$J$12),OR(CETAK!$J$13="",$H414=CETAK!$J$13),OR(CETAK!$J$14="",$O414=CETAK!$J$14)),MAX($X$3:X413)+1,""))</f>
        <v/>
      </c>
      <c r="Y414" s="40" t="str">
        <f aca="false">IF($B414="","",IF(AND(OR(ABSENSI!$H$10="",$E414=ABSENSI!$H$10),OR(ABSENSI!$H$11="",$F414=ABSENSI!$H$11),OR(ABSENSI!$H$12="",$K414=ABSENSI!$H$12)),MAX($Y$3:Y413)+1,""))</f>
        <v/>
      </c>
      <c r="Z414" s="40" t="str">
        <f aca="false">IF($B414="","",IF(AND(OR(KARTU!$K$6="",$E414=KARTU!$K$6),OR(KARTU!$K$7="",$F414=KARTU!$K$7),OR(KARTU!$K$8="",$K414=KARTU!$K$8)),MAX($Z$3:Z413)+1,""))</f>
        <v/>
      </c>
    </row>
    <row r="415" customFormat="false" ht="15" hidden="false" customHeight="false" outlineLevel="0" collapsed="false">
      <c r="A415" s="36" t="str">
        <f aca="false">IF($B415="","",COUNTA($B$4:$B415))</f>
        <v/>
      </c>
      <c r="B415" s="37"/>
      <c r="C415" s="38"/>
      <c r="D415" s="39"/>
      <c r="E415" s="37"/>
      <c r="F415" s="39"/>
      <c r="G415" s="40" t="str">
        <f aca="false">IF(OR($E415="",$F415=""),"",$E415&amp;" - RT "&amp;$F415)</f>
        <v/>
      </c>
      <c r="H415" s="37"/>
      <c r="I415" s="38"/>
      <c r="J415" s="37"/>
      <c r="K415" s="39"/>
      <c r="L415" s="41"/>
      <c r="M415" s="36" t="str">
        <f aca="true">IF(OR($B415="",$L415=""),"",DATEDIF($L415,TODAY(),"Y"))</f>
        <v/>
      </c>
      <c r="N415" s="40" t="str">
        <f aca="false">IF($M415="","",INDEX(usia_label,MATCH($M415,usia_min,1)))</f>
        <v/>
      </c>
      <c r="O415" s="37"/>
      <c r="P415" s="41"/>
      <c r="Q415" s="37"/>
      <c r="R415" s="37"/>
      <c r="S415" s="40" t="str">
        <f aca="false">IF($G415="","",$G415&amp;"#"&amp;COUNTIF($G$4:$G415,$G415))</f>
        <v/>
      </c>
      <c r="T415" s="40" t="str">
        <f aca="false">IF($B415="","",IF($C415="","NIK kosong",IF(LEN($C415)&lt;&gt;16,"NIK bukan 16 digit",IF(COUNTIF($C$4:$C$2003,$C415&amp;"*")&gt;1,"NIK ganda",IF($E415="","Kadus kosong",IF($F415="","RT kosong",IF($H415="","Jabatan kosong",IF($I415="","No. HP kosong",IF($J415="","Alamat kosong",IF(AND($M415&lt;&gt;"",$M415&lt;17),"Usia di bawah 17",""))))))))))</f>
        <v/>
      </c>
      <c r="U415" s="40" t="str">
        <f aca="false">IF($B415="","",IF(AND(OR(CARI!$C$5="",ISNUMBER(SEARCH(CARI!$C$5,$B415&amp;" "&amp;$C415&amp;" "&amp;$I415&amp;" "&amp;$J415&amp;" "&amp;$Q415))),OR(CARI!$C$6="",$E415=CARI!$C$6),OR(CARI!$C$7="",$F415=CARI!$C$7),OR(CARI!$C$8="",$O415=CARI!$C$8)),MAX($U$3:U414)+1,""))</f>
        <v/>
      </c>
      <c r="V415" s="40" t="str">
        <f aca="false">IF($T415="","",MAX($V$3:V414)+1)</f>
        <v/>
      </c>
      <c r="W415" s="40" t="str">
        <f aca="false">IF($E415="","",$E415&amp;"#"&amp;COUNTIF($E$4:$E415,$E415))</f>
        <v/>
      </c>
      <c r="X415" s="40" t="str">
        <f aca="false">IF($B415="","",IF(AND(OR(CETAK!$J$10="",$E415=CETAK!$J$10),OR(CETAK!$J$11="",$F415=CETAK!$J$11),OR(CETAK!$J$12="",$K415=CETAK!$J$12),OR(CETAK!$J$13="",$H415=CETAK!$J$13),OR(CETAK!$J$14="",$O415=CETAK!$J$14)),MAX($X$3:X414)+1,""))</f>
        <v/>
      </c>
      <c r="Y415" s="40" t="str">
        <f aca="false">IF($B415="","",IF(AND(OR(ABSENSI!$H$10="",$E415=ABSENSI!$H$10),OR(ABSENSI!$H$11="",$F415=ABSENSI!$H$11),OR(ABSENSI!$H$12="",$K415=ABSENSI!$H$12)),MAX($Y$3:Y414)+1,""))</f>
        <v/>
      </c>
      <c r="Z415" s="40" t="str">
        <f aca="false">IF($B415="","",IF(AND(OR(KARTU!$K$6="",$E415=KARTU!$K$6),OR(KARTU!$K$7="",$F415=KARTU!$K$7),OR(KARTU!$K$8="",$K415=KARTU!$K$8)),MAX($Z$3:Z414)+1,""))</f>
        <v/>
      </c>
    </row>
    <row r="416" customFormat="false" ht="15" hidden="false" customHeight="false" outlineLevel="0" collapsed="false">
      <c r="A416" s="36" t="str">
        <f aca="false">IF($B416="","",COUNTA($B$4:$B416))</f>
        <v/>
      </c>
      <c r="B416" s="37"/>
      <c r="C416" s="38"/>
      <c r="D416" s="39"/>
      <c r="E416" s="37"/>
      <c r="F416" s="39"/>
      <c r="G416" s="40" t="str">
        <f aca="false">IF(OR($E416="",$F416=""),"",$E416&amp;" - RT "&amp;$F416)</f>
        <v/>
      </c>
      <c r="H416" s="37"/>
      <c r="I416" s="38"/>
      <c r="J416" s="37"/>
      <c r="K416" s="39"/>
      <c r="L416" s="41"/>
      <c r="M416" s="36" t="str">
        <f aca="true">IF(OR($B416="",$L416=""),"",DATEDIF($L416,TODAY(),"Y"))</f>
        <v/>
      </c>
      <c r="N416" s="40" t="str">
        <f aca="false">IF($M416="","",INDEX(usia_label,MATCH($M416,usia_min,1)))</f>
        <v/>
      </c>
      <c r="O416" s="37"/>
      <c r="P416" s="41"/>
      <c r="Q416" s="37"/>
      <c r="R416" s="37"/>
      <c r="S416" s="40" t="str">
        <f aca="false">IF($G416="","",$G416&amp;"#"&amp;COUNTIF($G$4:$G416,$G416))</f>
        <v/>
      </c>
      <c r="T416" s="40" t="str">
        <f aca="false">IF($B416="","",IF($C416="","NIK kosong",IF(LEN($C416)&lt;&gt;16,"NIK bukan 16 digit",IF(COUNTIF($C$4:$C$2003,$C416&amp;"*")&gt;1,"NIK ganda",IF($E416="","Kadus kosong",IF($F416="","RT kosong",IF($H416="","Jabatan kosong",IF($I416="","No. HP kosong",IF($J416="","Alamat kosong",IF(AND($M416&lt;&gt;"",$M416&lt;17),"Usia di bawah 17",""))))))))))</f>
        <v/>
      </c>
      <c r="U416" s="40" t="str">
        <f aca="false">IF($B416="","",IF(AND(OR(CARI!$C$5="",ISNUMBER(SEARCH(CARI!$C$5,$B416&amp;" "&amp;$C416&amp;" "&amp;$I416&amp;" "&amp;$J416&amp;" "&amp;$Q416))),OR(CARI!$C$6="",$E416=CARI!$C$6),OR(CARI!$C$7="",$F416=CARI!$C$7),OR(CARI!$C$8="",$O416=CARI!$C$8)),MAX($U$3:U415)+1,""))</f>
        <v/>
      </c>
      <c r="V416" s="40" t="str">
        <f aca="false">IF($T416="","",MAX($V$3:V415)+1)</f>
        <v/>
      </c>
      <c r="W416" s="40" t="str">
        <f aca="false">IF($E416="","",$E416&amp;"#"&amp;COUNTIF($E$4:$E416,$E416))</f>
        <v/>
      </c>
      <c r="X416" s="40" t="str">
        <f aca="false">IF($B416="","",IF(AND(OR(CETAK!$J$10="",$E416=CETAK!$J$10),OR(CETAK!$J$11="",$F416=CETAK!$J$11),OR(CETAK!$J$12="",$K416=CETAK!$J$12),OR(CETAK!$J$13="",$H416=CETAK!$J$13),OR(CETAK!$J$14="",$O416=CETAK!$J$14)),MAX($X$3:X415)+1,""))</f>
        <v/>
      </c>
      <c r="Y416" s="40" t="str">
        <f aca="false">IF($B416="","",IF(AND(OR(ABSENSI!$H$10="",$E416=ABSENSI!$H$10),OR(ABSENSI!$H$11="",$F416=ABSENSI!$H$11),OR(ABSENSI!$H$12="",$K416=ABSENSI!$H$12)),MAX($Y$3:Y415)+1,""))</f>
        <v/>
      </c>
      <c r="Z416" s="40" t="str">
        <f aca="false">IF($B416="","",IF(AND(OR(KARTU!$K$6="",$E416=KARTU!$K$6),OR(KARTU!$K$7="",$F416=KARTU!$K$7),OR(KARTU!$K$8="",$K416=KARTU!$K$8)),MAX($Z$3:Z415)+1,""))</f>
        <v/>
      </c>
    </row>
    <row r="417" customFormat="false" ht="15" hidden="false" customHeight="false" outlineLevel="0" collapsed="false">
      <c r="A417" s="36" t="str">
        <f aca="false">IF($B417="","",COUNTA($B$4:$B417))</f>
        <v/>
      </c>
      <c r="B417" s="37"/>
      <c r="C417" s="38"/>
      <c r="D417" s="39"/>
      <c r="E417" s="37"/>
      <c r="F417" s="39"/>
      <c r="G417" s="40" t="str">
        <f aca="false">IF(OR($E417="",$F417=""),"",$E417&amp;" - RT "&amp;$F417)</f>
        <v/>
      </c>
      <c r="H417" s="37"/>
      <c r="I417" s="38"/>
      <c r="J417" s="37"/>
      <c r="K417" s="39"/>
      <c r="L417" s="41"/>
      <c r="M417" s="36" t="str">
        <f aca="true">IF(OR($B417="",$L417=""),"",DATEDIF($L417,TODAY(),"Y"))</f>
        <v/>
      </c>
      <c r="N417" s="40" t="str">
        <f aca="false">IF($M417="","",INDEX(usia_label,MATCH($M417,usia_min,1)))</f>
        <v/>
      </c>
      <c r="O417" s="37"/>
      <c r="P417" s="41"/>
      <c r="Q417" s="37"/>
      <c r="R417" s="37"/>
      <c r="S417" s="40" t="str">
        <f aca="false">IF($G417="","",$G417&amp;"#"&amp;COUNTIF($G$4:$G417,$G417))</f>
        <v/>
      </c>
      <c r="T417" s="40" t="str">
        <f aca="false">IF($B417="","",IF($C417="","NIK kosong",IF(LEN($C417)&lt;&gt;16,"NIK bukan 16 digit",IF(COUNTIF($C$4:$C$2003,$C417&amp;"*")&gt;1,"NIK ganda",IF($E417="","Kadus kosong",IF($F417="","RT kosong",IF($H417="","Jabatan kosong",IF($I417="","No. HP kosong",IF($J417="","Alamat kosong",IF(AND($M417&lt;&gt;"",$M417&lt;17),"Usia di bawah 17",""))))))))))</f>
        <v/>
      </c>
      <c r="U417" s="40" t="str">
        <f aca="false">IF($B417="","",IF(AND(OR(CARI!$C$5="",ISNUMBER(SEARCH(CARI!$C$5,$B417&amp;" "&amp;$C417&amp;" "&amp;$I417&amp;" "&amp;$J417&amp;" "&amp;$Q417))),OR(CARI!$C$6="",$E417=CARI!$C$6),OR(CARI!$C$7="",$F417=CARI!$C$7),OR(CARI!$C$8="",$O417=CARI!$C$8)),MAX($U$3:U416)+1,""))</f>
        <v/>
      </c>
      <c r="V417" s="40" t="str">
        <f aca="false">IF($T417="","",MAX($V$3:V416)+1)</f>
        <v/>
      </c>
      <c r="W417" s="40" t="str">
        <f aca="false">IF($E417="","",$E417&amp;"#"&amp;COUNTIF($E$4:$E417,$E417))</f>
        <v/>
      </c>
      <c r="X417" s="40" t="str">
        <f aca="false">IF($B417="","",IF(AND(OR(CETAK!$J$10="",$E417=CETAK!$J$10),OR(CETAK!$J$11="",$F417=CETAK!$J$11),OR(CETAK!$J$12="",$K417=CETAK!$J$12),OR(CETAK!$J$13="",$H417=CETAK!$J$13),OR(CETAK!$J$14="",$O417=CETAK!$J$14)),MAX($X$3:X416)+1,""))</f>
        <v/>
      </c>
      <c r="Y417" s="40" t="str">
        <f aca="false">IF($B417="","",IF(AND(OR(ABSENSI!$H$10="",$E417=ABSENSI!$H$10),OR(ABSENSI!$H$11="",$F417=ABSENSI!$H$11),OR(ABSENSI!$H$12="",$K417=ABSENSI!$H$12)),MAX($Y$3:Y416)+1,""))</f>
        <v/>
      </c>
      <c r="Z417" s="40" t="str">
        <f aca="false">IF($B417="","",IF(AND(OR(KARTU!$K$6="",$E417=KARTU!$K$6),OR(KARTU!$K$7="",$F417=KARTU!$K$7),OR(KARTU!$K$8="",$K417=KARTU!$K$8)),MAX($Z$3:Z416)+1,""))</f>
        <v/>
      </c>
    </row>
    <row r="418" customFormat="false" ht="15" hidden="false" customHeight="false" outlineLevel="0" collapsed="false">
      <c r="A418" s="36" t="str">
        <f aca="false">IF($B418="","",COUNTA($B$4:$B418))</f>
        <v/>
      </c>
      <c r="B418" s="37"/>
      <c r="C418" s="38"/>
      <c r="D418" s="39"/>
      <c r="E418" s="37"/>
      <c r="F418" s="39"/>
      <c r="G418" s="40" t="str">
        <f aca="false">IF(OR($E418="",$F418=""),"",$E418&amp;" - RT "&amp;$F418)</f>
        <v/>
      </c>
      <c r="H418" s="37"/>
      <c r="I418" s="38"/>
      <c r="J418" s="37"/>
      <c r="K418" s="39"/>
      <c r="L418" s="41"/>
      <c r="M418" s="36" t="str">
        <f aca="true">IF(OR($B418="",$L418=""),"",DATEDIF($L418,TODAY(),"Y"))</f>
        <v/>
      </c>
      <c r="N418" s="40" t="str">
        <f aca="false">IF($M418="","",INDEX(usia_label,MATCH($M418,usia_min,1)))</f>
        <v/>
      </c>
      <c r="O418" s="37"/>
      <c r="P418" s="41"/>
      <c r="Q418" s="37"/>
      <c r="R418" s="37"/>
      <c r="S418" s="40" t="str">
        <f aca="false">IF($G418="","",$G418&amp;"#"&amp;COUNTIF($G$4:$G418,$G418))</f>
        <v/>
      </c>
      <c r="T418" s="40" t="str">
        <f aca="false">IF($B418="","",IF($C418="","NIK kosong",IF(LEN($C418)&lt;&gt;16,"NIK bukan 16 digit",IF(COUNTIF($C$4:$C$2003,$C418&amp;"*")&gt;1,"NIK ganda",IF($E418="","Kadus kosong",IF($F418="","RT kosong",IF($H418="","Jabatan kosong",IF($I418="","No. HP kosong",IF($J418="","Alamat kosong",IF(AND($M418&lt;&gt;"",$M418&lt;17),"Usia di bawah 17",""))))))))))</f>
        <v/>
      </c>
      <c r="U418" s="40" t="str">
        <f aca="false">IF($B418="","",IF(AND(OR(CARI!$C$5="",ISNUMBER(SEARCH(CARI!$C$5,$B418&amp;" "&amp;$C418&amp;" "&amp;$I418&amp;" "&amp;$J418&amp;" "&amp;$Q418))),OR(CARI!$C$6="",$E418=CARI!$C$6),OR(CARI!$C$7="",$F418=CARI!$C$7),OR(CARI!$C$8="",$O418=CARI!$C$8)),MAX($U$3:U417)+1,""))</f>
        <v/>
      </c>
      <c r="V418" s="40" t="str">
        <f aca="false">IF($T418="","",MAX($V$3:V417)+1)</f>
        <v/>
      </c>
      <c r="W418" s="40" t="str">
        <f aca="false">IF($E418="","",$E418&amp;"#"&amp;COUNTIF($E$4:$E418,$E418))</f>
        <v/>
      </c>
      <c r="X418" s="40" t="str">
        <f aca="false">IF($B418="","",IF(AND(OR(CETAK!$J$10="",$E418=CETAK!$J$10),OR(CETAK!$J$11="",$F418=CETAK!$J$11),OR(CETAK!$J$12="",$K418=CETAK!$J$12),OR(CETAK!$J$13="",$H418=CETAK!$J$13),OR(CETAK!$J$14="",$O418=CETAK!$J$14)),MAX($X$3:X417)+1,""))</f>
        <v/>
      </c>
      <c r="Y418" s="40" t="str">
        <f aca="false">IF($B418="","",IF(AND(OR(ABSENSI!$H$10="",$E418=ABSENSI!$H$10),OR(ABSENSI!$H$11="",$F418=ABSENSI!$H$11),OR(ABSENSI!$H$12="",$K418=ABSENSI!$H$12)),MAX($Y$3:Y417)+1,""))</f>
        <v/>
      </c>
      <c r="Z418" s="40" t="str">
        <f aca="false">IF($B418="","",IF(AND(OR(KARTU!$K$6="",$E418=KARTU!$K$6),OR(KARTU!$K$7="",$F418=KARTU!$K$7),OR(KARTU!$K$8="",$K418=KARTU!$K$8)),MAX($Z$3:Z417)+1,""))</f>
        <v/>
      </c>
    </row>
    <row r="419" customFormat="false" ht="15" hidden="false" customHeight="false" outlineLevel="0" collapsed="false">
      <c r="A419" s="36" t="str">
        <f aca="false">IF($B419="","",COUNTA($B$4:$B419))</f>
        <v/>
      </c>
      <c r="B419" s="37"/>
      <c r="C419" s="38"/>
      <c r="D419" s="39"/>
      <c r="E419" s="37"/>
      <c r="F419" s="39"/>
      <c r="G419" s="40" t="str">
        <f aca="false">IF(OR($E419="",$F419=""),"",$E419&amp;" - RT "&amp;$F419)</f>
        <v/>
      </c>
      <c r="H419" s="37"/>
      <c r="I419" s="38"/>
      <c r="J419" s="37"/>
      <c r="K419" s="39"/>
      <c r="L419" s="41"/>
      <c r="M419" s="36" t="str">
        <f aca="true">IF(OR($B419="",$L419=""),"",DATEDIF($L419,TODAY(),"Y"))</f>
        <v/>
      </c>
      <c r="N419" s="40" t="str">
        <f aca="false">IF($M419="","",INDEX(usia_label,MATCH($M419,usia_min,1)))</f>
        <v/>
      </c>
      <c r="O419" s="37"/>
      <c r="P419" s="41"/>
      <c r="Q419" s="37"/>
      <c r="R419" s="37"/>
      <c r="S419" s="40" t="str">
        <f aca="false">IF($G419="","",$G419&amp;"#"&amp;COUNTIF($G$4:$G419,$G419))</f>
        <v/>
      </c>
      <c r="T419" s="40" t="str">
        <f aca="false">IF($B419="","",IF($C419="","NIK kosong",IF(LEN($C419)&lt;&gt;16,"NIK bukan 16 digit",IF(COUNTIF($C$4:$C$2003,$C419&amp;"*")&gt;1,"NIK ganda",IF($E419="","Kadus kosong",IF($F419="","RT kosong",IF($H419="","Jabatan kosong",IF($I419="","No. HP kosong",IF($J419="","Alamat kosong",IF(AND($M419&lt;&gt;"",$M419&lt;17),"Usia di bawah 17",""))))))))))</f>
        <v/>
      </c>
      <c r="U419" s="40" t="str">
        <f aca="false">IF($B419="","",IF(AND(OR(CARI!$C$5="",ISNUMBER(SEARCH(CARI!$C$5,$B419&amp;" "&amp;$C419&amp;" "&amp;$I419&amp;" "&amp;$J419&amp;" "&amp;$Q419))),OR(CARI!$C$6="",$E419=CARI!$C$6),OR(CARI!$C$7="",$F419=CARI!$C$7),OR(CARI!$C$8="",$O419=CARI!$C$8)),MAX($U$3:U418)+1,""))</f>
        <v/>
      </c>
      <c r="V419" s="40" t="str">
        <f aca="false">IF($T419="","",MAX($V$3:V418)+1)</f>
        <v/>
      </c>
      <c r="W419" s="40" t="str">
        <f aca="false">IF($E419="","",$E419&amp;"#"&amp;COUNTIF($E$4:$E419,$E419))</f>
        <v/>
      </c>
      <c r="X419" s="40" t="str">
        <f aca="false">IF($B419="","",IF(AND(OR(CETAK!$J$10="",$E419=CETAK!$J$10),OR(CETAK!$J$11="",$F419=CETAK!$J$11),OR(CETAK!$J$12="",$K419=CETAK!$J$12),OR(CETAK!$J$13="",$H419=CETAK!$J$13),OR(CETAK!$J$14="",$O419=CETAK!$J$14)),MAX($X$3:X418)+1,""))</f>
        <v/>
      </c>
      <c r="Y419" s="40" t="str">
        <f aca="false">IF($B419="","",IF(AND(OR(ABSENSI!$H$10="",$E419=ABSENSI!$H$10),OR(ABSENSI!$H$11="",$F419=ABSENSI!$H$11),OR(ABSENSI!$H$12="",$K419=ABSENSI!$H$12)),MAX($Y$3:Y418)+1,""))</f>
        <v/>
      </c>
      <c r="Z419" s="40" t="str">
        <f aca="false">IF($B419="","",IF(AND(OR(KARTU!$K$6="",$E419=KARTU!$K$6),OR(KARTU!$K$7="",$F419=KARTU!$K$7),OR(KARTU!$K$8="",$K419=KARTU!$K$8)),MAX($Z$3:Z418)+1,""))</f>
        <v/>
      </c>
    </row>
    <row r="420" customFormat="false" ht="15" hidden="false" customHeight="false" outlineLevel="0" collapsed="false">
      <c r="A420" s="36" t="str">
        <f aca="false">IF($B420="","",COUNTA($B$4:$B420))</f>
        <v/>
      </c>
      <c r="B420" s="37"/>
      <c r="C420" s="38"/>
      <c r="D420" s="39"/>
      <c r="E420" s="37"/>
      <c r="F420" s="39"/>
      <c r="G420" s="40" t="str">
        <f aca="false">IF(OR($E420="",$F420=""),"",$E420&amp;" - RT "&amp;$F420)</f>
        <v/>
      </c>
      <c r="H420" s="37"/>
      <c r="I420" s="38"/>
      <c r="J420" s="37"/>
      <c r="K420" s="39"/>
      <c r="L420" s="41"/>
      <c r="M420" s="36" t="str">
        <f aca="true">IF(OR($B420="",$L420=""),"",DATEDIF($L420,TODAY(),"Y"))</f>
        <v/>
      </c>
      <c r="N420" s="40" t="str">
        <f aca="false">IF($M420="","",INDEX(usia_label,MATCH($M420,usia_min,1)))</f>
        <v/>
      </c>
      <c r="O420" s="37"/>
      <c r="P420" s="41"/>
      <c r="Q420" s="37"/>
      <c r="R420" s="37"/>
      <c r="S420" s="40" t="str">
        <f aca="false">IF($G420="","",$G420&amp;"#"&amp;COUNTIF($G$4:$G420,$G420))</f>
        <v/>
      </c>
      <c r="T420" s="40" t="str">
        <f aca="false">IF($B420="","",IF($C420="","NIK kosong",IF(LEN($C420)&lt;&gt;16,"NIK bukan 16 digit",IF(COUNTIF($C$4:$C$2003,$C420&amp;"*")&gt;1,"NIK ganda",IF($E420="","Kadus kosong",IF($F420="","RT kosong",IF($H420="","Jabatan kosong",IF($I420="","No. HP kosong",IF($J420="","Alamat kosong",IF(AND($M420&lt;&gt;"",$M420&lt;17),"Usia di bawah 17",""))))))))))</f>
        <v/>
      </c>
      <c r="U420" s="40" t="str">
        <f aca="false">IF($B420="","",IF(AND(OR(CARI!$C$5="",ISNUMBER(SEARCH(CARI!$C$5,$B420&amp;" "&amp;$C420&amp;" "&amp;$I420&amp;" "&amp;$J420&amp;" "&amp;$Q420))),OR(CARI!$C$6="",$E420=CARI!$C$6),OR(CARI!$C$7="",$F420=CARI!$C$7),OR(CARI!$C$8="",$O420=CARI!$C$8)),MAX($U$3:U419)+1,""))</f>
        <v/>
      </c>
      <c r="V420" s="40" t="str">
        <f aca="false">IF($T420="","",MAX($V$3:V419)+1)</f>
        <v/>
      </c>
      <c r="W420" s="40" t="str">
        <f aca="false">IF($E420="","",$E420&amp;"#"&amp;COUNTIF($E$4:$E420,$E420))</f>
        <v/>
      </c>
      <c r="X420" s="40" t="str">
        <f aca="false">IF($B420="","",IF(AND(OR(CETAK!$J$10="",$E420=CETAK!$J$10),OR(CETAK!$J$11="",$F420=CETAK!$J$11),OR(CETAK!$J$12="",$K420=CETAK!$J$12),OR(CETAK!$J$13="",$H420=CETAK!$J$13),OR(CETAK!$J$14="",$O420=CETAK!$J$14)),MAX($X$3:X419)+1,""))</f>
        <v/>
      </c>
      <c r="Y420" s="40" t="str">
        <f aca="false">IF($B420="","",IF(AND(OR(ABSENSI!$H$10="",$E420=ABSENSI!$H$10),OR(ABSENSI!$H$11="",$F420=ABSENSI!$H$11),OR(ABSENSI!$H$12="",$K420=ABSENSI!$H$12)),MAX($Y$3:Y419)+1,""))</f>
        <v/>
      </c>
      <c r="Z420" s="40" t="str">
        <f aca="false">IF($B420="","",IF(AND(OR(KARTU!$K$6="",$E420=KARTU!$K$6),OR(KARTU!$K$7="",$F420=KARTU!$K$7),OR(KARTU!$K$8="",$K420=KARTU!$K$8)),MAX($Z$3:Z419)+1,""))</f>
        <v/>
      </c>
    </row>
    <row r="421" customFormat="false" ht="15" hidden="false" customHeight="false" outlineLevel="0" collapsed="false">
      <c r="A421" s="36" t="str">
        <f aca="false">IF($B421="","",COUNTA($B$4:$B421))</f>
        <v/>
      </c>
      <c r="B421" s="37"/>
      <c r="C421" s="38"/>
      <c r="D421" s="39"/>
      <c r="E421" s="37"/>
      <c r="F421" s="39"/>
      <c r="G421" s="40" t="str">
        <f aca="false">IF(OR($E421="",$F421=""),"",$E421&amp;" - RT "&amp;$F421)</f>
        <v/>
      </c>
      <c r="H421" s="37"/>
      <c r="I421" s="38"/>
      <c r="J421" s="37"/>
      <c r="K421" s="39"/>
      <c r="L421" s="41"/>
      <c r="M421" s="36" t="str">
        <f aca="true">IF(OR($B421="",$L421=""),"",DATEDIF($L421,TODAY(),"Y"))</f>
        <v/>
      </c>
      <c r="N421" s="40" t="str">
        <f aca="false">IF($M421="","",INDEX(usia_label,MATCH($M421,usia_min,1)))</f>
        <v/>
      </c>
      <c r="O421" s="37"/>
      <c r="P421" s="41"/>
      <c r="Q421" s="37"/>
      <c r="R421" s="37"/>
      <c r="S421" s="40" t="str">
        <f aca="false">IF($G421="","",$G421&amp;"#"&amp;COUNTIF($G$4:$G421,$G421))</f>
        <v/>
      </c>
      <c r="T421" s="40" t="str">
        <f aca="false">IF($B421="","",IF($C421="","NIK kosong",IF(LEN($C421)&lt;&gt;16,"NIK bukan 16 digit",IF(COUNTIF($C$4:$C$2003,$C421&amp;"*")&gt;1,"NIK ganda",IF($E421="","Kadus kosong",IF($F421="","RT kosong",IF($H421="","Jabatan kosong",IF($I421="","No. HP kosong",IF($J421="","Alamat kosong",IF(AND($M421&lt;&gt;"",$M421&lt;17),"Usia di bawah 17",""))))))))))</f>
        <v/>
      </c>
      <c r="U421" s="40" t="str">
        <f aca="false">IF($B421="","",IF(AND(OR(CARI!$C$5="",ISNUMBER(SEARCH(CARI!$C$5,$B421&amp;" "&amp;$C421&amp;" "&amp;$I421&amp;" "&amp;$J421&amp;" "&amp;$Q421))),OR(CARI!$C$6="",$E421=CARI!$C$6),OR(CARI!$C$7="",$F421=CARI!$C$7),OR(CARI!$C$8="",$O421=CARI!$C$8)),MAX($U$3:U420)+1,""))</f>
        <v/>
      </c>
      <c r="V421" s="40" t="str">
        <f aca="false">IF($T421="","",MAX($V$3:V420)+1)</f>
        <v/>
      </c>
      <c r="W421" s="40" t="str">
        <f aca="false">IF($E421="","",$E421&amp;"#"&amp;COUNTIF($E$4:$E421,$E421))</f>
        <v/>
      </c>
      <c r="X421" s="40" t="str">
        <f aca="false">IF($B421="","",IF(AND(OR(CETAK!$J$10="",$E421=CETAK!$J$10),OR(CETAK!$J$11="",$F421=CETAK!$J$11),OR(CETAK!$J$12="",$K421=CETAK!$J$12),OR(CETAK!$J$13="",$H421=CETAK!$J$13),OR(CETAK!$J$14="",$O421=CETAK!$J$14)),MAX($X$3:X420)+1,""))</f>
        <v/>
      </c>
      <c r="Y421" s="40" t="str">
        <f aca="false">IF($B421="","",IF(AND(OR(ABSENSI!$H$10="",$E421=ABSENSI!$H$10),OR(ABSENSI!$H$11="",$F421=ABSENSI!$H$11),OR(ABSENSI!$H$12="",$K421=ABSENSI!$H$12)),MAX($Y$3:Y420)+1,""))</f>
        <v/>
      </c>
      <c r="Z421" s="40" t="str">
        <f aca="false">IF($B421="","",IF(AND(OR(KARTU!$K$6="",$E421=KARTU!$K$6),OR(KARTU!$K$7="",$F421=KARTU!$K$7),OR(KARTU!$K$8="",$K421=KARTU!$K$8)),MAX($Z$3:Z420)+1,""))</f>
        <v/>
      </c>
    </row>
    <row r="422" customFormat="false" ht="15" hidden="false" customHeight="false" outlineLevel="0" collapsed="false">
      <c r="A422" s="36" t="str">
        <f aca="false">IF($B422="","",COUNTA($B$4:$B422))</f>
        <v/>
      </c>
      <c r="B422" s="37"/>
      <c r="C422" s="38"/>
      <c r="D422" s="39"/>
      <c r="E422" s="37"/>
      <c r="F422" s="39"/>
      <c r="G422" s="40" t="str">
        <f aca="false">IF(OR($E422="",$F422=""),"",$E422&amp;" - RT "&amp;$F422)</f>
        <v/>
      </c>
      <c r="H422" s="37"/>
      <c r="I422" s="38"/>
      <c r="J422" s="37"/>
      <c r="K422" s="39"/>
      <c r="L422" s="41"/>
      <c r="M422" s="36" t="str">
        <f aca="true">IF(OR($B422="",$L422=""),"",DATEDIF($L422,TODAY(),"Y"))</f>
        <v/>
      </c>
      <c r="N422" s="40" t="str">
        <f aca="false">IF($M422="","",INDEX(usia_label,MATCH($M422,usia_min,1)))</f>
        <v/>
      </c>
      <c r="O422" s="37"/>
      <c r="P422" s="41"/>
      <c r="Q422" s="37"/>
      <c r="R422" s="37"/>
      <c r="S422" s="40" t="str">
        <f aca="false">IF($G422="","",$G422&amp;"#"&amp;COUNTIF($G$4:$G422,$G422))</f>
        <v/>
      </c>
      <c r="T422" s="40" t="str">
        <f aca="false">IF($B422="","",IF($C422="","NIK kosong",IF(LEN($C422)&lt;&gt;16,"NIK bukan 16 digit",IF(COUNTIF($C$4:$C$2003,$C422&amp;"*")&gt;1,"NIK ganda",IF($E422="","Kadus kosong",IF($F422="","RT kosong",IF($H422="","Jabatan kosong",IF($I422="","No. HP kosong",IF($J422="","Alamat kosong",IF(AND($M422&lt;&gt;"",$M422&lt;17),"Usia di bawah 17",""))))))))))</f>
        <v/>
      </c>
      <c r="U422" s="40" t="str">
        <f aca="false">IF($B422="","",IF(AND(OR(CARI!$C$5="",ISNUMBER(SEARCH(CARI!$C$5,$B422&amp;" "&amp;$C422&amp;" "&amp;$I422&amp;" "&amp;$J422&amp;" "&amp;$Q422))),OR(CARI!$C$6="",$E422=CARI!$C$6),OR(CARI!$C$7="",$F422=CARI!$C$7),OR(CARI!$C$8="",$O422=CARI!$C$8)),MAX($U$3:U421)+1,""))</f>
        <v/>
      </c>
      <c r="V422" s="40" t="str">
        <f aca="false">IF($T422="","",MAX($V$3:V421)+1)</f>
        <v/>
      </c>
      <c r="W422" s="40" t="str">
        <f aca="false">IF($E422="","",$E422&amp;"#"&amp;COUNTIF($E$4:$E422,$E422))</f>
        <v/>
      </c>
      <c r="X422" s="40" t="str">
        <f aca="false">IF($B422="","",IF(AND(OR(CETAK!$J$10="",$E422=CETAK!$J$10),OR(CETAK!$J$11="",$F422=CETAK!$J$11),OR(CETAK!$J$12="",$K422=CETAK!$J$12),OR(CETAK!$J$13="",$H422=CETAK!$J$13),OR(CETAK!$J$14="",$O422=CETAK!$J$14)),MAX($X$3:X421)+1,""))</f>
        <v/>
      </c>
      <c r="Y422" s="40" t="str">
        <f aca="false">IF($B422="","",IF(AND(OR(ABSENSI!$H$10="",$E422=ABSENSI!$H$10),OR(ABSENSI!$H$11="",$F422=ABSENSI!$H$11),OR(ABSENSI!$H$12="",$K422=ABSENSI!$H$12)),MAX($Y$3:Y421)+1,""))</f>
        <v/>
      </c>
      <c r="Z422" s="40" t="str">
        <f aca="false">IF($B422="","",IF(AND(OR(KARTU!$K$6="",$E422=KARTU!$K$6),OR(KARTU!$K$7="",$F422=KARTU!$K$7),OR(KARTU!$K$8="",$K422=KARTU!$K$8)),MAX($Z$3:Z421)+1,""))</f>
        <v/>
      </c>
    </row>
    <row r="423" customFormat="false" ht="15" hidden="false" customHeight="false" outlineLevel="0" collapsed="false">
      <c r="A423" s="36" t="str">
        <f aca="false">IF($B423="","",COUNTA($B$4:$B423))</f>
        <v/>
      </c>
      <c r="B423" s="37"/>
      <c r="C423" s="38"/>
      <c r="D423" s="39"/>
      <c r="E423" s="37"/>
      <c r="F423" s="39"/>
      <c r="G423" s="40" t="str">
        <f aca="false">IF(OR($E423="",$F423=""),"",$E423&amp;" - RT "&amp;$F423)</f>
        <v/>
      </c>
      <c r="H423" s="37"/>
      <c r="I423" s="38"/>
      <c r="J423" s="37"/>
      <c r="K423" s="39"/>
      <c r="L423" s="41"/>
      <c r="M423" s="36" t="str">
        <f aca="true">IF(OR($B423="",$L423=""),"",DATEDIF($L423,TODAY(),"Y"))</f>
        <v/>
      </c>
      <c r="N423" s="40" t="str">
        <f aca="false">IF($M423="","",INDEX(usia_label,MATCH($M423,usia_min,1)))</f>
        <v/>
      </c>
      <c r="O423" s="37"/>
      <c r="P423" s="41"/>
      <c r="Q423" s="37"/>
      <c r="R423" s="37"/>
      <c r="S423" s="40" t="str">
        <f aca="false">IF($G423="","",$G423&amp;"#"&amp;COUNTIF($G$4:$G423,$G423))</f>
        <v/>
      </c>
      <c r="T423" s="40" t="str">
        <f aca="false">IF($B423="","",IF($C423="","NIK kosong",IF(LEN($C423)&lt;&gt;16,"NIK bukan 16 digit",IF(COUNTIF($C$4:$C$2003,$C423&amp;"*")&gt;1,"NIK ganda",IF($E423="","Kadus kosong",IF($F423="","RT kosong",IF($H423="","Jabatan kosong",IF($I423="","No. HP kosong",IF($J423="","Alamat kosong",IF(AND($M423&lt;&gt;"",$M423&lt;17),"Usia di bawah 17",""))))))))))</f>
        <v/>
      </c>
      <c r="U423" s="40" t="str">
        <f aca="false">IF($B423="","",IF(AND(OR(CARI!$C$5="",ISNUMBER(SEARCH(CARI!$C$5,$B423&amp;" "&amp;$C423&amp;" "&amp;$I423&amp;" "&amp;$J423&amp;" "&amp;$Q423))),OR(CARI!$C$6="",$E423=CARI!$C$6),OR(CARI!$C$7="",$F423=CARI!$C$7),OR(CARI!$C$8="",$O423=CARI!$C$8)),MAX($U$3:U422)+1,""))</f>
        <v/>
      </c>
      <c r="V423" s="40" t="str">
        <f aca="false">IF($T423="","",MAX($V$3:V422)+1)</f>
        <v/>
      </c>
      <c r="W423" s="40" t="str">
        <f aca="false">IF($E423="","",$E423&amp;"#"&amp;COUNTIF($E$4:$E423,$E423))</f>
        <v/>
      </c>
      <c r="X423" s="40" t="str">
        <f aca="false">IF($B423="","",IF(AND(OR(CETAK!$J$10="",$E423=CETAK!$J$10),OR(CETAK!$J$11="",$F423=CETAK!$J$11),OR(CETAK!$J$12="",$K423=CETAK!$J$12),OR(CETAK!$J$13="",$H423=CETAK!$J$13),OR(CETAK!$J$14="",$O423=CETAK!$J$14)),MAX($X$3:X422)+1,""))</f>
        <v/>
      </c>
      <c r="Y423" s="40" t="str">
        <f aca="false">IF($B423="","",IF(AND(OR(ABSENSI!$H$10="",$E423=ABSENSI!$H$10),OR(ABSENSI!$H$11="",$F423=ABSENSI!$H$11),OR(ABSENSI!$H$12="",$K423=ABSENSI!$H$12)),MAX($Y$3:Y422)+1,""))</f>
        <v/>
      </c>
      <c r="Z423" s="40" t="str">
        <f aca="false">IF($B423="","",IF(AND(OR(KARTU!$K$6="",$E423=KARTU!$K$6),OR(KARTU!$K$7="",$F423=KARTU!$K$7),OR(KARTU!$K$8="",$K423=KARTU!$K$8)),MAX($Z$3:Z422)+1,""))</f>
        <v/>
      </c>
    </row>
    <row r="424" customFormat="false" ht="15" hidden="false" customHeight="false" outlineLevel="0" collapsed="false">
      <c r="A424" s="36" t="str">
        <f aca="false">IF($B424="","",COUNTA($B$4:$B424))</f>
        <v/>
      </c>
      <c r="B424" s="37"/>
      <c r="C424" s="38"/>
      <c r="D424" s="39"/>
      <c r="E424" s="37"/>
      <c r="F424" s="39"/>
      <c r="G424" s="40" t="str">
        <f aca="false">IF(OR($E424="",$F424=""),"",$E424&amp;" - RT "&amp;$F424)</f>
        <v/>
      </c>
      <c r="H424" s="37"/>
      <c r="I424" s="38"/>
      <c r="J424" s="37"/>
      <c r="K424" s="39"/>
      <c r="L424" s="41"/>
      <c r="M424" s="36" t="str">
        <f aca="true">IF(OR($B424="",$L424=""),"",DATEDIF($L424,TODAY(),"Y"))</f>
        <v/>
      </c>
      <c r="N424" s="40" t="str">
        <f aca="false">IF($M424="","",INDEX(usia_label,MATCH($M424,usia_min,1)))</f>
        <v/>
      </c>
      <c r="O424" s="37"/>
      <c r="P424" s="41"/>
      <c r="Q424" s="37"/>
      <c r="R424" s="37"/>
      <c r="S424" s="40" t="str">
        <f aca="false">IF($G424="","",$G424&amp;"#"&amp;COUNTIF($G$4:$G424,$G424))</f>
        <v/>
      </c>
      <c r="T424" s="40" t="str">
        <f aca="false">IF($B424="","",IF($C424="","NIK kosong",IF(LEN($C424)&lt;&gt;16,"NIK bukan 16 digit",IF(COUNTIF($C$4:$C$2003,$C424&amp;"*")&gt;1,"NIK ganda",IF($E424="","Kadus kosong",IF($F424="","RT kosong",IF($H424="","Jabatan kosong",IF($I424="","No. HP kosong",IF($J424="","Alamat kosong",IF(AND($M424&lt;&gt;"",$M424&lt;17),"Usia di bawah 17",""))))))))))</f>
        <v/>
      </c>
      <c r="U424" s="40" t="str">
        <f aca="false">IF($B424="","",IF(AND(OR(CARI!$C$5="",ISNUMBER(SEARCH(CARI!$C$5,$B424&amp;" "&amp;$C424&amp;" "&amp;$I424&amp;" "&amp;$J424&amp;" "&amp;$Q424))),OR(CARI!$C$6="",$E424=CARI!$C$6),OR(CARI!$C$7="",$F424=CARI!$C$7),OR(CARI!$C$8="",$O424=CARI!$C$8)),MAX($U$3:U423)+1,""))</f>
        <v/>
      </c>
      <c r="V424" s="40" t="str">
        <f aca="false">IF($T424="","",MAX($V$3:V423)+1)</f>
        <v/>
      </c>
      <c r="W424" s="40" t="str">
        <f aca="false">IF($E424="","",$E424&amp;"#"&amp;COUNTIF($E$4:$E424,$E424))</f>
        <v/>
      </c>
      <c r="X424" s="40" t="str">
        <f aca="false">IF($B424="","",IF(AND(OR(CETAK!$J$10="",$E424=CETAK!$J$10),OR(CETAK!$J$11="",$F424=CETAK!$J$11),OR(CETAK!$J$12="",$K424=CETAK!$J$12),OR(CETAK!$J$13="",$H424=CETAK!$J$13),OR(CETAK!$J$14="",$O424=CETAK!$J$14)),MAX($X$3:X423)+1,""))</f>
        <v/>
      </c>
      <c r="Y424" s="40" t="str">
        <f aca="false">IF($B424="","",IF(AND(OR(ABSENSI!$H$10="",$E424=ABSENSI!$H$10),OR(ABSENSI!$H$11="",$F424=ABSENSI!$H$11),OR(ABSENSI!$H$12="",$K424=ABSENSI!$H$12)),MAX($Y$3:Y423)+1,""))</f>
        <v/>
      </c>
      <c r="Z424" s="40" t="str">
        <f aca="false">IF($B424="","",IF(AND(OR(KARTU!$K$6="",$E424=KARTU!$K$6),OR(KARTU!$K$7="",$F424=KARTU!$K$7),OR(KARTU!$K$8="",$K424=KARTU!$K$8)),MAX($Z$3:Z423)+1,""))</f>
        <v/>
      </c>
    </row>
    <row r="425" customFormat="false" ht="15" hidden="false" customHeight="false" outlineLevel="0" collapsed="false">
      <c r="A425" s="36" t="str">
        <f aca="false">IF($B425="","",COUNTA($B$4:$B425))</f>
        <v/>
      </c>
      <c r="B425" s="37"/>
      <c r="C425" s="38"/>
      <c r="D425" s="39"/>
      <c r="E425" s="37"/>
      <c r="F425" s="39"/>
      <c r="G425" s="40" t="str">
        <f aca="false">IF(OR($E425="",$F425=""),"",$E425&amp;" - RT "&amp;$F425)</f>
        <v/>
      </c>
      <c r="H425" s="37"/>
      <c r="I425" s="38"/>
      <c r="J425" s="37"/>
      <c r="K425" s="39"/>
      <c r="L425" s="41"/>
      <c r="M425" s="36" t="str">
        <f aca="true">IF(OR($B425="",$L425=""),"",DATEDIF($L425,TODAY(),"Y"))</f>
        <v/>
      </c>
      <c r="N425" s="40" t="str">
        <f aca="false">IF($M425="","",INDEX(usia_label,MATCH($M425,usia_min,1)))</f>
        <v/>
      </c>
      <c r="O425" s="37"/>
      <c r="P425" s="41"/>
      <c r="Q425" s="37"/>
      <c r="R425" s="37"/>
      <c r="S425" s="40" t="str">
        <f aca="false">IF($G425="","",$G425&amp;"#"&amp;COUNTIF($G$4:$G425,$G425))</f>
        <v/>
      </c>
      <c r="T425" s="40" t="str">
        <f aca="false">IF($B425="","",IF($C425="","NIK kosong",IF(LEN($C425)&lt;&gt;16,"NIK bukan 16 digit",IF(COUNTIF($C$4:$C$2003,$C425&amp;"*")&gt;1,"NIK ganda",IF($E425="","Kadus kosong",IF($F425="","RT kosong",IF($H425="","Jabatan kosong",IF($I425="","No. HP kosong",IF($J425="","Alamat kosong",IF(AND($M425&lt;&gt;"",$M425&lt;17),"Usia di bawah 17",""))))))))))</f>
        <v/>
      </c>
      <c r="U425" s="40" t="str">
        <f aca="false">IF($B425="","",IF(AND(OR(CARI!$C$5="",ISNUMBER(SEARCH(CARI!$C$5,$B425&amp;" "&amp;$C425&amp;" "&amp;$I425&amp;" "&amp;$J425&amp;" "&amp;$Q425))),OR(CARI!$C$6="",$E425=CARI!$C$6),OR(CARI!$C$7="",$F425=CARI!$C$7),OR(CARI!$C$8="",$O425=CARI!$C$8)),MAX($U$3:U424)+1,""))</f>
        <v/>
      </c>
      <c r="V425" s="40" t="str">
        <f aca="false">IF($T425="","",MAX($V$3:V424)+1)</f>
        <v/>
      </c>
      <c r="W425" s="40" t="str">
        <f aca="false">IF($E425="","",$E425&amp;"#"&amp;COUNTIF($E$4:$E425,$E425))</f>
        <v/>
      </c>
      <c r="X425" s="40" t="str">
        <f aca="false">IF($B425="","",IF(AND(OR(CETAK!$J$10="",$E425=CETAK!$J$10),OR(CETAK!$J$11="",$F425=CETAK!$J$11),OR(CETAK!$J$12="",$K425=CETAK!$J$12),OR(CETAK!$J$13="",$H425=CETAK!$J$13),OR(CETAK!$J$14="",$O425=CETAK!$J$14)),MAX($X$3:X424)+1,""))</f>
        <v/>
      </c>
      <c r="Y425" s="40" t="str">
        <f aca="false">IF($B425="","",IF(AND(OR(ABSENSI!$H$10="",$E425=ABSENSI!$H$10),OR(ABSENSI!$H$11="",$F425=ABSENSI!$H$11),OR(ABSENSI!$H$12="",$K425=ABSENSI!$H$12)),MAX($Y$3:Y424)+1,""))</f>
        <v/>
      </c>
      <c r="Z425" s="40" t="str">
        <f aca="false">IF($B425="","",IF(AND(OR(KARTU!$K$6="",$E425=KARTU!$K$6),OR(KARTU!$K$7="",$F425=KARTU!$K$7),OR(KARTU!$K$8="",$K425=KARTU!$K$8)),MAX($Z$3:Z424)+1,""))</f>
        <v/>
      </c>
    </row>
    <row r="426" customFormat="false" ht="15" hidden="false" customHeight="false" outlineLevel="0" collapsed="false">
      <c r="A426" s="36" t="str">
        <f aca="false">IF($B426="","",COUNTA($B$4:$B426))</f>
        <v/>
      </c>
      <c r="B426" s="37"/>
      <c r="C426" s="38"/>
      <c r="D426" s="39"/>
      <c r="E426" s="37"/>
      <c r="F426" s="39"/>
      <c r="G426" s="40" t="str">
        <f aca="false">IF(OR($E426="",$F426=""),"",$E426&amp;" - RT "&amp;$F426)</f>
        <v/>
      </c>
      <c r="H426" s="37"/>
      <c r="I426" s="38"/>
      <c r="J426" s="37"/>
      <c r="K426" s="39"/>
      <c r="L426" s="41"/>
      <c r="M426" s="36" t="str">
        <f aca="true">IF(OR($B426="",$L426=""),"",DATEDIF($L426,TODAY(),"Y"))</f>
        <v/>
      </c>
      <c r="N426" s="40" t="str">
        <f aca="false">IF($M426="","",INDEX(usia_label,MATCH($M426,usia_min,1)))</f>
        <v/>
      </c>
      <c r="O426" s="37"/>
      <c r="P426" s="41"/>
      <c r="Q426" s="37"/>
      <c r="R426" s="37"/>
      <c r="S426" s="40" t="str">
        <f aca="false">IF($G426="","",$G426&amp;"#"&amp;COUNTIF($G$4:$G426,$G426))</f>
        <v/>
      </c>
      <c r="T426" s="40" t="str">
        <f aca="false">IF($B426="","",IF($C426="","NIK kosong",IF(LEN($C426)&lt;&gt;16,"NIK bukan 16 digit",IF(COUNTIF($C$4:$C$2003,$C426&amp;"*")&gt;1,"NIK ganda",IF($E426="","Kadus kosong",IF($F426="","RT kosong",IF($H426="","Jabatan kosong",IF($I426="","No. HP kosong",IF($J426="","Alamat kosong",IF(AND($M426&lt;&gt;"",$M426&lt;17),"Usia di bawah 17",""))))))))))</f>
        <v/>
      </c>
      <c r="U426" s="40" t="str">
        <f aca="false">IF($B426="","",IF(AND(OR(CARI!$C$5="",ISNUMBER(SEARCH(CARI!$C$5,$B426&amp;" "&amp;$C426&amp;" "&amp;$I426&amp;" "&amp;$J426&amp;" "&amp;$Q426))),OR(CARI!$C$6="",$E426=CARI!$C$6),OR(CARI!$C$7="",$F426=CARI!$C$7),OR(CARI!$C$8="",$O426=CARI!$C$8)),MAX($U$3:U425)+1,""))</f>
        <v/>
      </c>
      <c r="V426" s="40" t="str">
        <f aca="false">IF($T426="","",MAX($V$3:V425)+1)</f>
        <v/>
      </c>
      <c r="W426" s="40" t="str">
        <f aca="false">IF($E426="","",$E426&amp;"#"&amp;COUNTIF($E$4:$E426,$E426))</f>
        <v/>
      </c>
      <c r="X426" s="40" t="str">
        <f aca="false">IF($B426="","",IF(AND(OR(CETAK!$J$10="",$E426=CETAK!$J$10),OR(CETAK!$J$11="",$F426=CETAK!$J$11),OR(CETAK!$J$12="",$K426=CETAK!$J$12),OR(CETAK!$J$13="",$H426=CETAK!$J$13),OR(CETAK!$J$14="",$O426=CETAK!$J$14)),MAX($X$3:X425)+1,""))</f>
        <v/>
      </c>
      <c r="Y426" s="40" t="str">
        <f aca="false">IF($B426="","",IF(AND(OR(ABSENSI!$H$10="",$E426=ABSENSI!$H$10),OR(ABSENSI!$H$11="",$F426=ABSENSI!$H$11),OR(ABSENSI!$H$12="",$K426=ABSENSI!$H$12)),MAX($Y$3:Y425)+1,""))</f>
        <v/>
      </c>
      <c r="Z426" s="40" t="str">
        <f aca="false">IF($B426="","",IF(AND(OR(KARTU!$K$6="",$E426=KARTU!$K$6),OR(KARTU!$K$7="",$F426=KARTU!$K$7),OR(KARTU!$K$8="",$K426=KARTU!$K$8)),MAX($Z$3:Z425)+1,""))</f>
        <v/>
      </c>
    </row>
    <row r="427" customFormat="false" ht="15" hidden="false" customHeight="false" outlineLevel="0" collapsed="false">
      <c r="A427" s="36" t="str">
        <f aca="false">IF($B427="","",COUNTA($B$4:$B427))</f>
        <v/>
      </c>
      <c r="B427" s="37"/>
      <c r="C427" s="38"/>
      <c r="D427" s="39"/>
      <c r="E427" s="37"/>
      <c r="F427" s="39"/>
      <c r="G427" s="40" t="str">
        <f aca="false">IF(OR($E427="",$F427=""),"",$E427&amp;" - RT "&amp;$F427)</f>
        <v/>
      </c>
      <c r="H427" s="37"/>
      <c r="I427" s="38"/>
      <c r="J427" s="37"/>
      <c r="K427" s="39"/>
      <c r="L427" s="41"/>
      <c r="M427" s="36" t="str">
        <f aca="true">IF(OR($B427="",$L427=""),"",DATEDIF($L427,TODAY(),"Y"))</f>
        <v/>
      </c>
      <c r="N427" s="40" t="str">
        <f aca="false">IF($M427="","",INDEX(usia_label,MATCH($M427,usia_min,1)))</f>
        <v/>
      </c>
      <c r="O427" s="37"/>
      <c r="P427" s="41"/>
      <c r="Q427" s="37"/>
      <c r="R427" s="37"/>
      <c r="S427" s="40" t="str">
        <f aca="false">IF($G427="","",$G427&amp;"#"&amp;COUNTIF($G$4:$G427,$G427))</f>
        <v/>
      </c>
      <c r="T427" s="40" t="str">
        <f aca="false">IF($B427="","",IF($C427="","NIK kosong",IF(LEN($C427)&lt;&gt;16,"NIK bukan 16 digit",IF(COUNTIF($C$4:$C$2003,$C427&amp;"*")&gt;1,"NIK ganda",IF($E427="","Kadus kosong",IF($F427="","RT kosong",IF($H427="","Jabatan kosong",IF($I427="","No. HP kosong",IF($J427="","Alamat kosong",IF(AND($M427&lt;&gt;"",$M427&lt;17),"Usia di bawah 17",""))))))))))</f>
        <v/>
      </c>
      <c r="U427" s="40" t="str">
        <f aca="false">IF($B427="","",IF(AND(OR(CARI!$C$5="",ISNUMBER(SEARCH(CARI!$C$5,$B427&amp;" "&amp;$C427&amp;" "&amp;$I427&amp;" "&amp;$J427&amp;" "&amp;$Q427))),OR(CARI!$C$6="",$E427=CARI!$C$6),OR(CARI!$C$7="",$F427=CARI!$C$7),OR(CARI!$C$8="",$O427=CARI!$C$8)),MAX($U$3:U426)+1,""))</f>
        <v/>
      </c>
      <c r="V427" s="40" t="str">
        <f aca="false">IF($T427="","",MAX($V$3:V426)+1)</f>
        <v/>
      </c>
      <c r="W427" s="40" t="str">
        <f aca="false">IF($E427="","",$E427&amp;"#"&amp;COUNTIF($E$4:$E427,$E427))</f>
        <v/>
      </c>
      <c r="X427" s="40" t="str">
        <f aca="false">IF($B427="","",IF(AND(OR(CETAK!$J$10="",$E427=CETAK!$J$10),OR(CETAK!$J$11="",$F427=CETAK!$J$11),OR(CETAK!$J$12="",$K427=CETAK!$J$12),OR(CETAK!$J$13="",$H427=CETAK!$J$13),OR(CETAK!$J$14="",$O427=CETAK!$J$14)),MAX($X$3:X426)+1,""))</f>
        <v/>
      </c>
      <c r="Y427" s="40" t="str">
        <f aca="false">IF($B427="","",IF(AND(OR(ABSENSI!$H$10="",$E427=ABSENSI!$H$10),OR(ABSENSI!$H$11="",$F427=ABSENSI!$H$11),OR(ABSENSI!$H$12="",$K427=ABSENSI!$H$12)),MAX($Y$3:Y426)+1,""))</f>
        <v/>
      </c>
      <c r="Z427" s="40" t="str">
        <f aca="false">IF($B427="","",IF(AND(OR(KARTU!$K$6="",$E427=KARTU!$K$6),OR(KARTU!$K$7="",$F427=KARTU!$K$7),OR(KARTU!$K$8="",$K427=KARTU!$K$8)),MAX($Z$3:Z426)+1,""))</f>
        <v/>
      </c>
    </row>
    <row r="428" customFormat="false" ht="15" hidden="false" customHeight="false" outlineLevel="0" collapsed="false">
      <c r="A428" s="36" t="str">
        <f aca="false">IF($B428="","",COUNTA($B$4:$B428))</f>
        <v/>
      </c>
      <c r="B428" s="37"/>
      <c r="C428" s="38"/>
      <c r="D428" s="39"/>
      <c r="E428" s="37"/>
      <c r="F428" s="39"/>
      <c r="G428" s="40" t="str">
        <f aca="false">IF(OR($E428="",$F428=""),"",$E428&amp;" - RT "&amp;$F428)</f>
        <v/>
      </c>
      <c r="H428" s="37"/>
      <c r="I428" s="38"/>
      <c r="J428" s="37"/>
      <c r="K428" s="39"/>
      <c r="L428" s="41"/>
      <c r="M428" s="36" t="str">
        <f aca="true">IF(OR($B428="",$L428=""),"",DATEDIF($L428,TODAY(),"Y"))</f>
        <v/>
      </c>
      <c r="N428" s="40" t="str">
        <f aca="false">IF($M428="","",INDEX(usia_label,MATCH($M428,usia_min,1)))</f>
        <v/>
      </c>
      <c r="O428" s="37"/>
      <c r="P428" s="41"/>
      <c r="Q428" s="37"/>
      <c r="R428" s="37"/>
      <c r="S428" s="40" t="str">
        <f aca="false">IF($G428="","",$G428&amp;"#"&amp;COUNTIF($G$4:$G428,$G428))</f>
        <v/>
      </c>
      <c r="T428" s="40" t="str">
        <f aca="false">IF($B428="","",IF($C428="","NIK kosong",IF(LEN($C428)&lt;&gt;16,"NIK bukan 16 digit",IF(COUNTIF($C$4:$C$2003,$C428&amp;"*")&gt;1,"NIK ganda",IF($E428="","Kadus kosong",IF($F428="","RT kosong",IF($H428="","Jabatan kosong",IF($I428="","No. HP kosong",IF($J428="","Alamat kosong",IF(AND($M428&lt;&gt;"",$M428&lt;17),"Usia di bawah 17",""))))))))))</f>
        <v/>
      </c>
      <c r="U428" s="40" t="str">
        <f aca="false">IF($B428="","",IF(AND(OR(CARI!$C$5="",ISNUMBER(SEARCH(CARI!$C$5,$B428&amp;" "&amp;$C428&amp;" "&amp;$I428&amp;" "&amp;$J428&amp;" "&amp;$Q428))),OR(CARI!$C$6="",$E428=CARI!$C$6),OR(CARI!$C$7="",$F428=CARI!$C$7),OR(CARI!$C$8="",$O428=CARI!$C$8)),MAX($U$3:U427)+1,""))</f>
        <v/>
      </c>
      <c r="V428" s="40" t="str">
        <f aca="false">IF($T428="","",MAX($V$3:V427)+1)</f>
        <v/>
      </c>
      <c r="W428" s="40" t="str">
        <f aca="false">IF($E428="","",$E428&amp;"#"&amp;COUNTIF($E$4:$E428,$E428))</f>
        <v/>
      </c>
      <c r="X428" s="40" t="str">
        <f aca="false">IF($B428="","",IF(AND(OR(CETAK!$J$10="",$E428=CETAK!$J$10),OR(CETAK!$J$11="",$F428=CETAK!$J$11),OR(CETAK!$J$12="",$K428=CETAK!$J$12),OR(CETAK!$J$13="",$H428=CETAK!$J$13),OR(CETAK!$J$14="",$O428=CETAK!$J$14)),MAX($X$3:X427)+1,""))</f>
        <v/>
      </c>
      <c r="Y428" s="40" t="str">
        <f aca="false">IF($B428="","",IF(AND(OR(ABSENSI!$H$10="",$E428=ABSENSI!$H$10),OR(ABSENSI!$H$11="",$F428=ABSENSI!$H$11),OR(ABSENSI!$H$12="",$K428=ABSENSI!$H$12)),MAX($Y$3:Y427)+1,""))</f>
        <v/>
      </c>
      <c r="Z428" s="40" t="str">
        <f aca="false">IF($B428="","",IF(AND(OR(KARTU!$K$6="",$E428=KARTU!$K$6),OR(KARTU!$K$7="",$F428=KARTU!$K$7),OR(KARTU!$K$8="",$K428=KARTU!$K$8)),MAX($Z$3:Z427)+1,""))</f>
        <v/>
      </c>
    </row>
    <row r="429" customFormat="false" ht="15" hidden="false" customHeight="false" outlineLevel="0" collapsed="false">
      <c r="A429" s="36" t="str">
        <f aca="false">IF($B429="","",COUNTA($B$4:$B429))</f>
        <v/>
      </c>
      <c r="B429" s="37"/>
      <c r="C429" s="38"/>
      <c r="D429" s="39"/>
      <c r="E429" s="37"/>
      <c r="F429" s="39"/>
      <c r="G429" s="40" t="str">
        <f aca="false">IF(OR($E429="",$F429=""),"",$E429&amp;" - RT "&amp;$F429)</f>
        <v/>
      </c>
      <c r="H429" s="37"/>
      <c r="I429" s="38"/>
      <c r="J429" s="37"/>
      <c r="K429" s="39"/>
      <c r="L429" s="41"/>
      <c r="M429" s="36" t="str">
        <f aca="true">IF(OR($B429="",$L429=""),"",DATEDIF($L429,TODAY(),"Y"))</f>
        <v/>
      </c>
      <c r="N429" s="40" t="str">
        <f aca="false">IF($M429="","",INDEX(usia_label,MATCH($M429,usia_min,1)))</f>
        <v/>
      </c>
      <c r="O429" s="37"/>
      <c r="P429" s="41"/>
      <c r="Q429" s="37"/>
      <c r="R429" s="37"/>
      <c r="S429" s="40" t="str">
        <f aca="false">IF($G429="","",$G429&amp;"#"&amp;COUNTIF($G$4:$G429,$G429))</f>
        <v/>
      </c>
      <c r="T429" s="40" t="str">
        <f aca="false">IF($B429="","",IF($C429="","NIK kosong",IF(LEN($C429)&lt;&gt;16,"NIK bukan 16 digit",IF(COUNTIF($C$4:$C$2003,$C429&amp;"*")&gt;1,"NIK ganda",IF($E429="","Kadus kosong",IF($F429="","RT kosong",IF($H429="","Jabatan kosong",IF($I429="","No. HP kosong",IF($J429="","Alamat kosong",IF(AND($M429&lt;&gt;"",$M429&lt;17),"Usia di bawah 17",""))))))))))</f>
        <v/>
      </c>
      <c r="U429" s="40" t="str">
        <f aca="false">IF($B429="","",IF(AND(OR(CARI!$C$5="",ISNUMBER(SEARCH(CARI!$C$5,$B429&amp;" "&amp;$C429&amp;" "&amp;$I429&amp;" "&amp;$J429&amp;" "&amp;$Q429))),OR(CARI!$C$6="",$E429=CARI!$C$6),OR(CARI!$C$7="",$F429=CARI!$C$7),OR(CARI!$C$8="",$O429=CARI!$C$8)),MAX($U$3:U428)+1,""))</f>
        <v/>
      </c>
      <c r="V429" s="40" t="str">
        <f aca="false">IF($T429="","",MAX($V$3:V428)+1)</f>
        <v/>
      </c>
      <c r="W429" s="40" t="str">
        <f aca="false">IF($E429="","",$E429&amp;"#"&amp;COUNTIF($E$4:$E429,$E429))</f>
        <v/>
      </c>
      <c r="X429" s="40" t="str">
        <f aca="false">IF($B429="","",IF(AND(OR(CETAK!$J$10="",$E429=CETAK!$J$10),OR(CETAK!$J$11="",$F429=CETAK!$J$11),OR(CETAK!$J$12="",$K429=CETAK!$J$12),OR(CETAK!$J$13="",$H429=CETAK!$J$13),OR(CETAK!$J$14="",$O429=CETAK!$J$14)),MAX($X$3:X428)+1,""))</f>
        <v/>
      </c>
      <c r="Y429" s="40" t="str">
        <f aca="false">IF($B429="","",IF(AND(OR(ABSENSI!$H$10="",$E429=ABSENSI!$H$10),OR(ABSENSI!$H$11="",$F429=ABSENSI!$H$11),OR(ABSENSI!$H$12="",$K429=ABSENSI!$H$12)),MAX($Y$3:Y428)+1,""))</f>
        <v/>
      </c>
      <c r="Z429" s="40" t="str">
        <f aca="false">IF($B429="","",IF(AND(OR(KARTU!$K$6="",$E429=KARTU!$K$6),OR(KARTU!$K$7="",$F429=KARTU!$K$7),OR(KARTU!$K$8="",$K429=KARTU!$K$8)),MAX($Z$3:Z428)+1,""))</f>
        <v/>
      </c>
    </row>
    <row r="430" customFormat="false" ht="15" hidden="false" customHeight="false" outlineLevel="0" collapsed="false">
      <c r="A430" s="36" t="str">
        <f aca="false">IF($B430="","",COUNTA($B$4:$B430))</f>
        <v/>
      </c>
      <c r="B430" s="37"/>
      <c r="C430" s="38"/>
      <c r="D430" s="39"/>
      <c r="E430" s="37"/>
      <c r="F430" s="39"/>
      <c r="G430" s="40" t="str">
        <f aca="false">IF(OR($E430="",$F430=""),"",$E430&amp;" - RT "&amp;$F430)</f>
        <v/>
      </c>
      <c r="H430" s="37"/>
      <c r="I430" s="38"/>
      <c r="J430" s="37"/>
      <c r="K430" s="39"/>
      <c r="L430" s="41"/>
      <c r="M430" s="36" t="str">
        <f aca="true">IF(OR($B430="",$L430=""),"",DATEDIF($L430,TODAY(),"Y"))</f>
        <v/>
      </c>
      <c r="N430" s="40" t="str">
        <f aca="false">IF($M430="","",INDEX(usia_label,MATCH($M430,usia_min,1)))</f>
        <v/>
      </c>
      <c r="O430" s="37"/>
      <c r="P430" s="41"/>
      <c r="Q430" s="37"/>
      <c r="R430" s="37"/>
      <c r="S430" s="40" t="str">
        <f aca="false">IF($G430="","",$G430&amp;"#"&amp;COUNTIF($G$4:$G430,$G430))</f>
        <v/>
      </c>
      <c r="T430" s="40" t="str">
        <f aca="false">IF($B430="","",IF($C430="","NIK kosong",IF(LEN($C430)&lt;&gt;16,"NIK bukan 16 digit",IF(COUNTIF($C$4:$C$2003,$C430&amp;"*")&gt;1,"NIK ganda",IF($E430="","Kadus kosong",IF($F430="","RT kosong",IF($H430="","Jabatan kosong",IF($I430="","No. HP kosong",IF($J430="","Alamat kosong",IF(AND($M430&lt;&gt;"",$M430&lt;17),"Usia di bawah 17",""))))))))))</f>
        <v/>
      </c>
      <c r="U430" s="40" t="str">
        <f aca="false">IF($B430="","",IF(AND(OR(CARI!$C$5="",ISNUMBER(SEARCH(CARI!$C$5,$B430&amp;" "&amp;$C430&amp;" "&amp;$I430&amp;" "&amp;$J430&amp;" "&amp;$Q430))),OR(CARI!$C$6="",$E430=CARI!$C$6),OR(CARI!$C$7="",$F430=CARI!$C$7),OR(CARI!$C$8="",$O430=CARI!$C$8)),MAX($U$3:U429)+1,""))</f>
        <v/>
      </c>
      <c r="V430" s="40" t="str">
        <f aca="false">IF($T430="","",MAX($V$3:V429)+1)</f>
        <v/>
      </c>
      <c r="W430" s="40" t="str">
        <f aca="false">IF($E430="","",$E430&amp;"#"&amp;COUNTIF($E$4:$E430,$E430))</f>
        <v/>
      </c>
      <c r="X430" s="40" t="str">
        <f aca="false">IF($B430="","",IF(AND(OR(CETAK!$J$10="",$E430=CETAK!$J$10),OR(CETAK!$J$11="",$F430=CETAK!$J$11),OR(CETAK!$J$12="",$K430=CETAK!$J$12),OR(CETAK!$J$13="",$H430=CETAK!$J$13),OR(CETAK!$J$14="",$O430=CETAK!$J$14)),MAX($X$3:X429)+1,""))</f>
        <v/>
      </c>
      <c r="Y430" s="40" t="str">
        <f aca="false">IF($B430="","",IF(AND(OR(ABSENSI!$H$10="",$E430=ABSENSI!$H$10),OR(ABSENSI!$H$11="",$F430=ABSENSI!$H$11),OR(ABSENSI!$H$12="",$K430=ABSENSI!$H$12)),MAX($Y$3:Y429)+1,""))</f>
        <v/>
      </c>
      <c r="Z430" s="40" t="str">
        <f aca="false">IF($B430="","",IF(AND(OR(KARTU!$K$6="",$E430=KARTU!$K$6),OR(KARTU!$K$7="",$F430=KARTU!$K$7),OR(KARTU!$K$8="",$K430=KARTU!$K$8)),MAX($Z$3:Z429)+1,""))</f>
        <v/>
      </c>
    </row>
    <row r="431" customFormat="false" ht="15" hidden="false" customHeight="false" outlineLevel="0" collapsed="false">
      <c r="A431" s="36" t="str">
        <f aca="false">IF($B431="","",COUNTA($B$4:$B431))</f>
        <v/>
      </c>
      <c r="B431" s="37"/>
      <c r="C431" s="38"/>
      <c r="D431" s="39"/>
      <c r="E431" s="37"/>
      <c r="F431" s="39"/>
      <c r="G431" s="40" t="str">
        <f aca="false">IF(OR($E431="",$F431=""),"",$E431&amp;" - RT "&amp;$F431)</f>
        <v/>
      </c>
      <c r="H431" s="37"/>
      <c r="I431" s="38"/>
      <c r="J431" s="37"/>
      <c r="K431" s="39"/>
      <c r="L431" s="41"/>
      <c r="M431" s="36" t="str">
        <f aca="true">IF(OR($B431="",$L431=""),"",DATEDIF($L431,TODAY(),"Y"))</f>
        <v/>
      </c>
      <c r="N431" s="40" t="str">
        <f aca="false">IF($M431="","",INDEX(usia_label,MATCH($M431,usia_min,1)))</f>
        <v/>
      </c>
      <c r="O431" s="37"/>
      <c r="P431" s="41"/>
      <c r="Q431" s="37"/>
      <c r="R431" s="37"/>
      <c r="S431" s="40" t="str">
        <f aca="false">IF($G431="","",$G431&amp;"#"&amp;COUNTIF($G$4:$G431,$G431))</f>
        <v/>
      </c>
      <c r="T431" s="40" t="str">
        <f aca="false">IF($B431="","",IF($C431="","NIK kosong",IF(LEN($C431)&lt;&gt;16,"NIK bukan 16 digit",IF(COUNTIF($C$4:$C$2003,$C431&amp;"*")&gt;1,"NIK ganda",IF($E431="","Kadus kosong",IF($F431="","RT kosong",IF($H431="","Jabatan kosong",IF($I431="","No. HP kosong",IF($J431="","Alamat kosong",IF(AND($M431&lt;&gt;"",$M431&lt;17),"Usia di bawah 17",""))))))))))</f>
        <v/>
      </c>
      <c r="U431" s="40" t="str">
        <f aca="false">IF($B431="","",IF(AND(OR(CARI!$C$5="",ISNUMBER(SEARCH(CARI!$C$5,$B431&amp;" "&amp;$C431&amp;" "&amp;$I431&amp;" "&amp;$J431&amp;" "&amp;$Q431))),OR(CARI!$C$6="",$E431=CARI!$C$6),OR(CARI!$C$7="",$F431=CARI!$C$7),OR(CARI!$C$8="",$O431=CARI!$C$8)),MAX($U$3:U430)+1,""))</f>
        <v/>
      </c>
      <c r="V431" s="40" t="str">
        <f aca="false">IF($T431="","",MAX($V$3:V430)+1)</f>
        <v/>
      </c>
      <c r="W431" s="40" t="str">
        <f aca="false">IF($E431="","",$E431&amp;"#"&amp;COUNTIF($E$4:$E431,$E431))</f>
        <v/>
      </c>
      <c r="X431" s="40" t="str">
        <f aca="false">IF($B431="","",IF(AND(OR(CETAK!$J$10="",$E431=CETAK!$J$10),OR(CETAK!$J$11="",$F431=CETAK!$J$11),OR(CETAK!$J$12="",$K431=CETAK!$J$12),OR(CETAK!$J$13="",$H431=CETAK!$J$13),OR(CETAK!$J$14="",$O431=CETAK!$J$14)),MAX($X$3:X430)+1,""))</f>
        <v/>
      </c>
      <c r="Y431" s="40" t="str">
        <f aca="false">IF($B431="","",IF(AND(OR(ABSENSI!$H$10="",$E431=ABSENSI!$H$10),OR(ABSENSI!$H$11="",$F431=ABSENSI!$H$11),OR(ABSENSI!$H$12="",$K431=ABSENSI!$H$12)),MAX($Y$3:Y430)+1,""))</f>
        <v/>
      </c>
      <c r="Z431" s="40" t="str">
        <f aca="false">IF($B431="","",IF(AND(OR(KARTU!$K$6="",$E431=KARTU!$K$6),OR(KARTU!$K$7="",$F431=KARTU!$K$7),OR(KARTU!$K$8="",$K431=KARTU!$K$8)),MAX($Z$3:Z430)+1,""))</f>
        <v/>
      </c>
    </row>
    <row r="432" customFormat="false" ht="15" hidden="false" customHeight="false" outlineLevel="0" collapsed="false">
      <c r="A432" s="36" t="str">
        <f aca="false">IF($B432="","",COUNTA($B$4:$B432))</f>
        <v/>
      </c>
      <c r="B432" s="37"/>
      <c r="C432" s="38"/>
      <c r="D432" s="39"/>
      <c r="E432" s="37"/>
      <c r="F432" s="39"/>
      <c r="G432" s="40" t="str">
        <f aca="false">IF(OR($E432="",$F432=""),"",$E432&amp;" - RT "&amp;$F432)</f>
        <v/>
      </c>
      <c r="H432" s="37"/>
      <c r="I432" s="38"/>
      <c r="J432" s="37"/>
      <c r="K432" s="39"/>
      <c r="L432" s="41"/>
      <c r="M432" s="36" t="str">
        <f aca="true">IF(OR($B432="",$L432=""),"",DATEDIF($L432,TODAY(),"Y"))</f>
        <v/>
      </c>
      <c r="N432" s="40" t="str">
        <f aca="false">IF($M432="","",INDEX(usia_label,MATCH($M432,usia_min,1)))</f>
        <v/>
      </c>
      <c r="O432" s="37"/>
      <c r="P432" s="41"/>
      <c r="Q432" s="37"/>
      <c r="R432" s="37"/>
      <c r="S432" s="40" t="str">
        <f aca="false">IF($G432="","",$G432&amp;"#"&amp;COUNTIF($G$4:$G432,$G432))</f>
        <v/>
      </c>
      <c r="T432" s="40" t="str">
        <f aca="false">IF($B432="","",IF($C432="","NIK kosong",IF(LEN($C432)&lt;&gt;16,"NIK bukan 16 digit",IF(COUNTIF($C$4:$C$2003,$C432&amp;"*")&gt;1,"NIK ganda",IF($E432="","Kadus kosong",IF($F432="","RT kosong",IF($H432="","Jabatan kosong",IF($I432="","No. HP kosong",IF($J432="","Alamat kosong",IF(AND($M432&lt;&gt;"",$M432&lt;17),"Usia di bawah 17",""))))))))))</f>
        <v/>
      </c>
      <c r="U432" s="40" t="str">
        <f aca="false">IF($B432="","",IF(AND(OR(CARI!$C$5="",ISNUMBER(SEARCH(CARI!$C$5,$B432&amp;" "&amp;$C432&amp;" "&amp;$I432&amp;" "&amp;$J432&amp;" "&amp;$Q432))),OR(CARI!$C$6="",$E432=CARI!$C$6),OR(CARI!$C$7="",$F432=CARI!$C$7),OR(CARI!$C$8="",$O432=CARI!$C$8)),MAX($U$3:U431)+1,""))</f>
        <v/>
      </c>
      <c r="V432" s="40" t="str">
        <f aca="false">IF($T432="","",MAX($V$3:V431)+1)</f>
        <v/>
      </c>
      <c r="W432" s="40" t="str">
        <f aca="false">IF($E432="","",$E432&amp;"#"&amp;COUNTIF($E$4:$E432,$E432))</f>
        <v/>
      </c>
      <c r="X432" s="40" t="str">
        <f aca="false">IF($B432="","",IF(AND(OR(CETAK!$J$10="",$E432=CETAK!$J$10),OR(CETAK!$J$11="",$F432=CETAK!$J$11),OR(CETAK!$J$12="",$K432=CETAK!$J$12),OR(CETAK!$J$13="",$H432=CETAK!$J$13),OR(CETAK!$J$14="",$O432=CETAK!$J$14)),MAX($X$3:X431)+1,""))</f>
        <v/>
      </c>
      <c r="Y432" s="40" t="str">
        <f aca="false">IF($B432="","",IF(AND(OR(ABSENSI!$H$10="",$E432=ABSENSI!$H$10),OR(ABSENSI!$H$11="",$F432=ABSENSI!$H$11),OR(ABSENSI!$H$12="",$K432=ABSENSI!$H$12)),MAX($Y$3:Y431)+1,""))</f>
        <v/>
      </c>
      <c r="Z432" s="40" t="str">
        <f aca="false">IF($B432="","",IF(AND(OR(KARTU!$K$6="",$E432=KARTU!$K$6),OR(KARTU!$K$7="",$F432=KARTU!$K$7),OR(KARTU!$K$8="",$K432=KARTU!$K$8)),MAX($Z$3:Z431)+1,""))</f>
        <v/>
      </c>
    </row>
    <row r="433" customFormat="false" ht="15" hidden="false" customHeight="false" outlineLevel="0" collapsed="false">
      <c r="A433" s="36" t="str">
        <f aca="false">IF($B433="","",COUNTA($B$4:$B433))</f>
        <v/>
      </c>
      <c r="B433" s="37"/>
      <c r="C433" s="38"/>
      <c r="D433" s="39"/>
      <c r="E433" s="37"/>
      <c r="F433" s="39"/>
      <c r="G433" s="40" t="str">
        <f aca="false">IF(OR($E433="",$F433=""),"",$E433&amp;" - RT "&amp;$F433)</f>
        <v/>
      </c>
      <c r="H433" s="37"/>
      <c r="I433" s="38"/>
      <c r="J433" s="37"/>
      <c r="K433" s="39"/>
      <c r="L433" s="41"/>
      <c r="M433" s="36" t="str">
        <f aca="true">IF(OR($B433="",$L433=""),"",DATEDIF($L433,TODAY(),"Y"))</f>
        <v/>
      </c>
      <c r="N433" s="40" t="str">
        <f aca="false">IF($M433="","",INDEX(usia_label,MATCH($M433,usia_min,1)))</f>
        <v/>
      </c>
      <c r="O433" s="37"/>
      <c r="P433" s="41"/>
      <c r="Q433" s="37"/>
      <c r="R433" s="37"/>
      <c r="S433" s="40" t="str">
        <f aca="false">IF($G433="","",$G433&amp;"#"&amp;COUNTIF($G$4:$G433,$G433))</f>
        <v/>
      </c>
      <c r="T433" s="40" t="str">
        <f aca="false">IF($B433="","",IF($C433="","NIK kosong",IF(LEN($C433)&lt;&gt;16,"NIK bukan 16 digit",IF(COUNTIF($C$4:$C$2003,$C433&amp;"*")&gt;1,"NIK ganda",IF($E433="","Kadus kosong",IF($F433="","RT kosong",IF($H433="","Jabatan kosong",IF($I433="","No. HP kosong",IF($J433="","Alamat kosong",IF(AND($M433&lt;&gt;"",$M433&lt;17),"Usia di bawah 17",""))))))))))</f>
        <v/>
      </c>
      <c r="U433" s="40" t="str">
        <f aca="false">IF($B433="","",IF(AND(OR(CARI!$C$5="",ISNUMBER(SEARCH(CARI!$C$5,$B433&amp;" "&amp;$C433&amp;" "&amp;$I433&amp;" "&amp;$J433&amp;" "&amp;$Q433))),OR(CARI!$C$6="",$E433=CARI!$C$6),OR(CARI!$C$7="",$F433=CARI!$C$7),OR(CARI!$C$8="",$O433=CARI!$C$8)),MAX($U$3:U432)+1,""))</f>
        <v/>
      </c>
      <c r="V433" s="40" t="str">
        <f aca="false">IF($T433="","",MAX($V$3:V432)+1)</f>
        <v/>
      </c>
      <c r="W433" s="40" t="str">
        <f aca="false">IF($E433="","",$E433&amp;"#"&amp;COUNTIF($E$4:$E433,$E433))</f>
        <v/>
      </c>
      <c r="X433" s="40" t="str">
        <f aca="false">IF($B433="","",IF(AND(OR(CETAK!$J$10="",$E433=CETAK!$J$10),OR(CETAK!$J$11="",$F433=CETAK!$J$11),OR(CETAK!$J$12="",$K433=CETAK!$J$12),OR(CETAK!$J$13="",$H433=CETAK!$J$13),OR(CETAK!$J$14="",$O433=CETAK!$J$14)),MAX($X$3:X432)+1,""))</f>
        <v/>
      </c>
      <c r="Y433" s="40" t="str">
        <f aca="false">IF($B433="","",IF(AND(OR(ABSENSI!$H$10="",$E433=ABSENSI!$H$10),OR(ABSENSI!$H$11="",$F433=ABSENSI!$H$11),OR(ABSENSI!$H$12="",$K433=ABSENSI!$H$12)),MAX($Y$3:Y432)+1,""))</f>
        <v/>
      </c>
      <c r="Z433" s="40" t="str">
        <f aca="false">IF($B433="","",IF(AND(OR(KARTU!$K$6="",$E433=KARTU!$K$6),OR(KARTU!$K$7="",$F433=KARTU!$K$7),OR(KARTU!$K$8="",$K433=KARTU!$K$8)),MAX($Z$3:Z432)+1,""))</f>
        <v/>
      </c>
    </row>
    <row r="434" customFormat="false" ht="15" hidden="false" customHeight="false" outlineLevel="0" collapsed="false">
      <c r="A434" s="36" t="str">
        <f aca="false">IF($B434="","",COUNTA($B$4:$B434))</f>
        <v/>
      </c>
      <c r="B434" s="37"/>
      <c r="C434" s="38"/>
      <c r="D434" s="39"/>
      <c r="E434" s="37"/>
      <c r="F434" s="39"/>
      <c r="G434" s="40" t="str">
        <f aca="false">IF(OR($E434="",$F434=""),"",$E434&amp;" - RT "&amp;$F434)</f>
        <v/>
      </c>
      <c r="H434" s="37"/>
      <c r="I434" s="38"/>
      <c r="J434" s="37"/>
      <c r="K434" s="39"/>
      <c r="L434" s="41"/>
      <c r="M434" s="36" t="str">
        <f aca="true">IF(OR($B434="",$L434=""),"",DATEDIF($L434,TODAY(),"Y"))</f>
        <v/>
      </c>
      <c r="N434" s="40" t="str">
        <f aca="false">IF($M434="","",INDEX(usia_label,MATCH($M434,usia_min,1)))</f>
        <v/>
      </c>
      <c r="O434" s="37"/>
      <c r="P434" s="41"/>
      <c r="Q434" s="37"/>
      <c r="R434" s="37"/>
      <c r="S434" s="40" t="str">
        <f aca="false">IF($G434="","",$G434&amp;"#"&amp;COUNTIF($G$4:$G434,$G434))</f>
        <v/>
      </c>
      <c r="T434" s="40" t="str">
        <f aca="false">IF($B434="","",IF($C434="","NIK kosong",IF(LEN($C434)&lt;&gt;16,"NIK bukan 16 digit",IF(COUNTIF($C$4:$C$2003,$C434&amp;"*")&gt;1,"NIK ganda",IF($E434="","Kadus kosong",IF($F434="","RT kosong",IF($H434="","Jabatan kosong",IF($I434="","No. HP kosong",IF($J434="","Alamat kosong",IF(AND($M434&lt;&gt;"",$M434&lt;17),"Usia di bawah 17",""))))))))))</f>
        <v/>
      </c>
      <c r="U434" s="40" t="str">
        <f aca="false">IF($B434="","",IF(AND(OR(CARI!$C$5="",ISNUMBER(SEARCH(CARI!$C$5,$B434&amp;" "&amp;$C434&amp;" "&amp;$I434&amp;" "&amp;$J434&amp;" "&amp;$Q434))),OR(CARI!$C$6="",$E434=CARI!$C$6),OR(CARI!$C$7="",$F434=CARI!$C$7),OR(CARI!$C$8="",$O434=CARI!$C$8)),MAX($U$3:U433)+1,""))</f>
        <v/>
      </c>
      <c r="V434" s="40" t="str">
        <f aca="false">IF($T434="","",MAX($V$3:V433)+1)</f>
        <v/>
      </c>
      <c r="W434" s="40" t="str">
        <f aca="false">IF($E434="","",$E434&amp;"#"&amp;COUNTIF($E$4:$E434,$E434))</f>
        <v/>
      </c>
      <c r="X434" s="40" t="str">
        <f aca="false">IF($B434="","",IF(AND(OR(CETAK!$J$10="",$E434=CETAK!$J$10),OR(CETAK!$J$11="",$F434=CETAK!$J$11),OR(CETAK!$J$12="",$K434=CETAK!$J$12),OR(CETAK!$J$13="",$H434=CETAK!$J$13),OR(CETAK!$J$14="",$O434=CETAK!$J$14)),MAX($X$3:X433)+1,""))</f>
        <v/>
      </c>
      <c r="Y434" s="40" t="str">
        <f aca="false">IF($B434="","",IF(AND(OR(ABSENSI!$H$10="",$E434=ABSENSI!$H$10),OR(ABSENSI!$H$11="",$F434=ABSENSI!$H$11),OR(ABSENSI!$H$12="",$K434=ABSENSI!$H$12)),MAX($Y$3:Y433)+1,""))</f>
        <v/>
      </c>
      <c r="Z434" s="40" t="str">
        <f aca="false">IF($B434="","",IF(AND(OR(KARTU!$K$6="",$E434=KARTU!$K$6),OR(KARTU!$K$7="",$F434=KARTU!$K$7),OR(KARTU!$K$8="",$K434=KARTU!$K$8)),MAX($Z$3:Z433)+1,""))</f>
        <v/>
      </c>
    </row>
    <row r="435" customFormat="false" ht="15" hidden="false" customHeight="false" outlineLevel="0" collapsed="false">
      <c r="A435" s="36" t="str">
        <f aca="false">IF($B435="","",COUNTA($B$4:$B435))</f>
        <v/>
      </c>
      <c r="B435" s="37"/>
      <c r="C435" s="38"/>
      <c r="D435" s="39"/>
      <c r="E435" s="37"/>
      <c r="F435" s="39"/>
      <c r="G435" s="40" t="str">
        <f aca="false">IF(OR($E435="",$F435=""),"",$E435&amp;" - RT "&amp;$F435)</f>
        <v/>
      </c>
      <c r="H435" s="37"/>
      <c r="I435" s="38"/>
      <c r="J435" s="37"/>
      <c r="K435" s="39"/>
      <c r="L435" s="41"/>
      <c r="M435" s="36" t="str">
        <f aca="true">IF(OR($B435="",$L435=""),"",DATEDIF($L435,TODAY(),"Y"))</f>
        <v/>
      </c>
      <c r="N435" s="40" t="str">
        <f aca="false">IF($M435="","",INDEX(usia_label,MATCH($M435,usia_min,1)))</f>
        <v/>
      </c>
      <c r="O435" s="37"/>
      <c r="P435" s="41"/>
      <c r="Q435" s="37"/>
      <c r="R435" s="37"/>
      <c r="S435" s="40" t="str">
        <f aca="false">IF($G435="","",$G435&amp;"#"&amp;COUNTIF($G$4:$G435,$G435))</f>
        <v/>
      </c>
      <c r="T435" s="40" t="str">
        <f aca="false">IF($B435="","",IF($C435="","NIK kosong",IF(LEN($C435)&lt;&gt;16,"NIK bukan 16 digit",IF(COUNTIF($C$4:$C$2003,$C435&amp;"*")&gt;1,"NIK ganda",IF($E435="","Kadus kosong",IF($F435="","RT kosong",IF($H435="","Jabatan kosong",IF($I435="","No. HP kosong",IF($J435="","Alamat kosong",IF(AND($M435&lt;&gt;"",$M435&lt;17),"Usia di bawah 17",""))))))))))</f>
        <v/>
      </c>
      <c r="U435" s="40" t="str">
        <f aca="false">IF($B435="","",IF(AND(OR(CARI!$C$5="",ISNUMBER(SEARCH(CARI!$C$5,$B435&amp;" "&amp;$C435&amp;" "&amp;$I435&amp;" "&amp;$J435&amp;" "&amp;$Q435))),OR(CARI!$C$6="",$E435=CARI!$C$6),OR(CARI!$C$7="",$F435=CARI!$C$7),OR(CARI!$C$8="",$O435=CARI!$C$8)),MAX($U$3:U434)+1,""))</f>
        <v/>
      </c>
      <c r="V435" s="40" t="str">
        <f aca="false">IF($T435="","",MAX($V$3:V434)+1)</f>
        <v/>
      </c>
      <c r="W435" s="40" t="str">
        <f aca="false">IF($E435="","",$E435&amp;"#"&amp;COUNTIF($E$4:$E435,$E435))</f>
        <v/>
      </c>
      <c r="X435" s="40" t="str">
        <f aca="false">IF($B435="","",IF(AND(OR(CETAK!$J$10="",$E435=CETAK!$J$10),OR(CETAK!$J$11="",$F435=CETAK!$J$11),OR(CETAK!$J$12="",$K435=CETAK!$J$12),OR(CETAK!$J$13="",$H435=CETAK!$J$13),OR(CETAK!$J$14="",$O435=CETAK!$J$14)),MAX($X$3:X434)+1,""))</f>
        <v/>
      </c>
      <c r="Y435" s="40" t="str">
        <f aca="false">IF($B435="","",IF(AND(OR(ABSENSI!$H$10="",$E435=ABSENSI!$H$10),OR(ABSENSI!$H$11="",$F435=ABSENSI!$H$11),OR(ABSENSI!$H$12="",$K435=ABSENSI!$H$12)),MAX($Y$3:Y434)+1,""))</f>
        <v/>
      </c>
      <c r="Z435" s="40" t="str">
        <f aca="false">IF($B435="","",IF(AND(OR(KARTU!$K$6="",$E435=KARTU!$K$6),OR(KARTU!$K$7="",$F435=KARTU!$K$7),OR(KARTU!$K$8="",$K435=KARTU!$K$8)),MAX($Z$3:Z434)+1,""))</f>
        <v/>
      </c>
    </row>
    <row r="436" customFormat="false" ht="15" hidden="false" customHeight="false" outlineLevel="0" collapsed="false">
      <c r="A436" s="36" t="str">
        <f aca="false">IF($B436="","",COUNTA($B$4:$B436))</f>
        <v/>
      </c>
      <c r="B436" s="37"/>
      <c r="C436" s="38"/>
      <c r="D436" s="39"/>
      <c r="E436" s="37"/>
      <c r="F436" s="39"/>
      <c r="G436" s="40" t="str">
        <f aca="false">IF(OR($E436="",$F436=""),"",$E436&amp;" - RT "&amp;$F436)</f>
        <v/>
      </c>
      <c r="H436" s="37"/>
      <c r="I436" s="38"/>
      <c r="J436" s="37"/>
      <c r="K436" s="39"/>
      <c r="L436" s="41"/>
      <c r="M436" s="36" t="str">
        <f aca="true">IF(OR($B436="",$L436=""),"",DATEDIF($L436,TODAY(),"Y"))</f>
        <v/>
      </c>
      <c r="N436" s="40" t="str">
        <f aca="false">IF($M436="","",INDEX(usia_label,MATCH($M436,usia_min,1)))</f>
        <v/>
      </c>
      <c r="O436" s="37"/>
      <c r="P436" s="41"/>
      <c r="Q436" s="37"/>
      <c r="R436" s="37"/>
      <c r="S436" s="40" t="str">
        <f aca="false">IF($G436="","",$G436&amp;"#"&amp;COUNTIF($G$4:$G436,$G436))</f>
        <v/>
      </c>
      <c r="T436" s="40" t="str">
        <f aca="false">IF($B436="","",IF($C436="","NIK kosong",IF(LEN($C436)&lt;&gt;16,"NIK bukan 16 digit",IF(COUNTIF($C$4:$C$2003,$C436&amp;"*")&gt;1,"NIK ganda",IF($E436="","Kadus kosong",IF($F436="","RT kosong",IF($H436="","Jabatan kosong",IF($I436="","No. HP kosong",IF($J436="","Alamat kosong",IF(AND($M436&lt;&gt;"",$M436&lt;17),"Usia di bawah 17",""))))))))))</f>
        <v/>
      </c>
      <c r="U436" s="40" t="str">
        <f aca="false">IF($B436="","",IF(AND(OR(CARI!$C$5="",ISNUMBER(SEARCH(CARI!$C$5,$B436&amp;" "&amp;$C436&amp;" "&amp;$I436&amp;" "&amp;$J436&amp;" "&amp;$Q436))),OR(CARI!$C$6="",$E436=CARI!$C$6),OR(CARI!$C$7="",$F436=CARI!$C$7),OR(CARI!$C$8="",$O436=CARI!$C$8)),MAX($U$3:U435)+1,""))</f>
        <v/>
      </c>
      <c r="V436" s="40" t="str">
        <f aca="false">IF($T436="","",MAX($V$3:V435)+1)</f>
        <v/>
      </c>
      <c r="W436" s="40" t="str">
        <f aca="false">IF($E436="","",$E436&amp;"#"&amp;COUNTIF($E$4:$E436,$E436))</f>
        <v/>
      </c>
      <c r="X436" s="40" t="str">
        <f aca="false">IF($B436="","",IF(AND(OR(CETAK!$J$10="",$E436=CETAK!$J$10),OR(CETAK!$J$11="",$F436=CETAK!$J$11),OR(CETAK!$J$12="",$K436=CETAK!$J$12),OR(CETAK!$J$13="",$H436=CETAK!$J$13),OR(CETAK!$J$14="",$O436=CETAK!$J$14)),MAX($X$3:X435)+1,""))</f>
        <v/>
      </c>
      <c r="Y436" s="40" t="str">
        <f aca="false">IF($B436="","",IF(AND(OR(ABSENSI!$H$10="",$E436=ABSENSI!$H$10),OR(ABSENSI!$H$11="",$F436=ABSENSI!$H$11),OR(ABSENSI!$H$12="",$K436=ABSENSI!$H$12)),MAX($Y$3:Y435)+1,""))</f>
        <v/>
      </c>
      <c r="Z436" s="40" t="str">
        <f aca="false">IF($B436="","",IF(AND(OR(KARTU!$K$6="",$E436=KARTU!$K$6),OR(KARTU!$K$7="",$F436=KARTU!$K$7),OR(KARTU!$K$8="",$K436=KARTU!$K$8)),MAX($Z$3:Z435)+1,""))</f>
        <v/>
      </c>
    </row>
    <row r="437" customFormat="false" ht="15" hidden="false" customHeight="false" outlineLevel="0" collapsed="false">
      <c r="A437" s="36" t="str">
        <f aca="false">IF($B437="","",COUNTA($B$4:$B437))</f>
        <v/>
      </c>
      <c r="B437" s="37"/>
      <c r="C437" s="38"/>
      <c r="D437" s="39"/>
      <c r="E437" s="37"/>
      <c r="F437" s="39"/>
      <c r="G437" s="40" t="str">
        <f aca="false">IF(OR($E437="",$F437=""),"",$E437&amp;" - RT "&amp;$F437)</f>
        <v/>
      </c>
      <c r="H437" s="37"/>
      <c r="I437" s="38"/>
      <c r="J437" s="37"/>
      <c r="K437" s="39"/>
      <c r="L437" s="41"/>
      <c r="M437" s="36" t="str">
        <f aca="true">IF(OR($B437="",$L437=""),"",DATEDIF($L437,TODAY(),"Y"))</f>
        <v/>
      </c>
      <c r="N437" s="40" t="str">
        <f aca="false">IF($M437="","",INDEX(usia_label,MATCH($M437,usia_min,1)))</f>
        <v/>
      </c>
      <c r="O437" s="37"/>
      <c r="P437" s="41"/>
      <c r="Q437" s="37"/>
      <c r="R437" s="37"/>
      <c r="S437" s="40" t="str">
        <f aca="false">IF($G437="","",$G437&amp;"#"&amp;COUNTIF($G$4:$G437,$G437))</f>
        <v/>
      </c>
      <c r="T437" s="40" t="str">
        <f aca="false">IF($B437="","",IF($C437="","NIK kosong",IF(LEN($C437)&lt;&gt;16,"NIK bukan 16 digit",IF(COUNTIF($C$4:$C$2003,$C437&amp;"*")&gt;1,"NIK ganda",IF($E437="","Kadus kosong",IF($F437="","RT kosong",IF($H437="","Jabatan kosong",IF($I437="","No. HP kosong",IF($J437="","Alamat kosong",IF(AND($M437&lt;&gt;"",$M437&lt;17),"Usia di bawah 17",""))))))))))</f>
        <v/>
      </c>
      <c r="U437" s="40" t="str">
        <f aca="false">IF($B437="","",IF(AND(OR(CARI!$C$5="",ISNUMBER(SEARCH(CARI!$C$5,$B437&amp;" "&amp;$C437&amp;" "&amp;$I437&amp;" "&amp;$J437&amp;" "&amp;$Q437))),OR(CARI!$C$6="",$E437=CARI!$C$6),OR(CARI!$C$7="",$F437=CARI!$C$7),OR(CARI!$C$8="",$O437=CARI!$C$8)),MAX($U$3:U436)+1,""))</f>
        <v/>
      </c>
      <c r="V437" s="40" t="str">
        <f aca="false">IF($T437="","",MAX($V$3:V436)+1)</f>
        <v/>
      </c>
      <c r="W437" s="40" t="str">
        <f aca="false">IF($E437="","",$E437&amp;"#"&amp;COUNTIF($E$4:$E437,$E437))</f>
        <v/>
      </c>
      <c r="X437" s="40" t="str">
        <f aca="false">IF($B437="","",IF(AND(OR(CETAK!$J$10="",$E437=CETAK!$J$10),OR(CETAK!$J$11="",$F437=CETAK!$J$11),OR(CETAK!$J$12="",$K437=CETAK!$J$12),OR(CETAK!$J$13="",$H437=CETAK!$J$13),OR(CETAK!$J$14="",$O437=CETAK!$J$14)),MAX($X$3:X436)+1,""))</f>
        <v/>
      </c>
      <c r="Y437" s="40" t="str">
        <f aca="false">IF($B437="","",IF(AND(OR(ABSENSI!$H$10="",$E437=ABSENSI!$H$10),OR(ABSENSI!$H$11="",$F437=ABSENSI!$H$11),OR(ABSENSI!$H$12="",$K437=ABSENSI!$H$12)),MAX($Y$3:Y436)+1,""))</f>
        <v/>
      </c>
      <c r="Z437" s="40" t="str">
        <f aca="false">IF($B437="","",IF(AND(OR(KARTU!$K$6="",$E437=KARTU!$K$6),OR(KARTU!$K$7="",$F437=KARTU!$K$7),OR(KARTU!$K$8="",$K437=KARTU!$K$8)),MAX($Z$3:Z436)+1,""))</f>
        <v/>
      </c>
    </row>
    <row r="438" customFormat="false" ht="15" hidden="false" customHeight="false" outlineLevel="0" collapsed="false">
      <c r="A438" s="36" t="str">
        <f aca="false">IF($B438="","",COUNTA($B$4:$B438))</f>
        <v/>
      </c>
      <c r="B438" s="37"/>
      <c r="C438" s="38"/>
      <c r="D438" s="39"/>
      <c r="E438" s="37"/>
      <c r="F438" s="39"/>
      <c r="G438" s="40" t="str">
        <f aca="false">IF(OR($E438="",$F438=""),"",$E438&amp;" - RT "&amp;$F438)</f>
        <v/>
      </c>
      <c r="H438" s="37"/>
      <c r="I438" s="38"/>
      <c r="J438" s="37"/>
      <c r="K438" s="39"/>
      <c r="L438" s="41"/>
      <c r="M438" s="36" t="str">
        <f aca="true">IF(OR($B438="",$L438=""),"",DATEDIF($L438,TODAY(),"Y"))</f>
        <v/>
      </c>
      <c r="N438" s="40" t="str">
        <f aca="false">IF($M438="","",INDEX(usia_label,MATCH($M438,usia_min,1)))</f>
        <v/>
      </c>
      <c r="O438" s="37"/>
      <c r="P438" s="41"/>
      <c r="Q438" s="37"/>
      <c r="R438" s="37"/>
      <c r="S438" s="40" t="str">
        <f aca="false">IF($G438="","",$G438&amp;"#"&amp;COUNTIF($G$4:$G438,$G438))</f>
        <v/>
      </c>
      <c r="T438" s="40" t="str">
        <f aca="false">IF($B438="","",IF($C438="","NIK kosong",IF(LEN($C438)&lt;&gt;16,"NIK bukan 16 digit",IF(COUNTIF($C$4:$C$2003,$C438&amp;"*")&gt;1,"NIK ganda",IF($E438="","Kadus kosong",IF($F438="","RT kosong",IF($H438="","Jabatan kosong",IF($I438="","No. HP kosong",IF($J438="","Alamat kosong",IF(AND($M438&lt;&gt;"",$M438&lt;17),"Usia di bawah 17",""))))))))))</f>
        <v/>
      </c>
      <c r="U438" s="40" t="str">
        <f aca="false">IF($B438="","",IF(AND(OR(CARI!$C$5="",ISNUMBER(SEARCH(CARI!$C$5,$B438&amp;" "&amp;$C438&amp;" "&amp;$I438&amp;" "&amp;$J438&amp;" "&amp;$Q438))),OR(CARI!$C$6="",$E438=CARI!$C$6),OR(CARI!$C$7="",$F438=CARI!$C$7),OR(CARI!$C$8="",$O438=CARI!$C$8)),MAX($U$3:U437)+1,""))</f>
        <v/>
      </c>
      <c r="V438" s="40" t="str">
        <f aca="false">IF($T438="","",MAX($V$3:V437)+1)</f>
        <v/>
      </c>
      <c r="W438" s="40" t="str">
        <f aca="false">IF($E438="","",$E438&amp;"#"&amp;COUNTIF($E$4:$E438,$E438))</f>
        <v/>
      </c>
      <c r="X438" s="40" t="str">
        <f aca="false">IF($B438="","",IF(AND(OR(CETAK!$J$10="",$E438=CETAK!$J$10),OR(CETAK!$J$11="",$F438=CETAK!$J$11),OR(CETAK!$J$12="",$K438=CETAK!$J$12),OR(CETAK!$J$13="",$H438=CETAK!$J$13),OR(CETAK!$J$14="",$O438=CETAK!$J$14)),MAX($X$3:X437)+1,""))</f>
        <v/>
      </c>
      <c r="Y438" s="40" t="str">
        <f aca="false">IF($B438="","",IF(AND(OR(ABSENSI!$H$10="",$E438=ABSENSI!$H$10),OR(ABSENSI!$H$11="",$F438=ABSENSI!$H$11),OR(ABSENSI!$H$12="",$K438=ABSENSI!$H$12)),MAX($Y$3:Y437)+1,""))</f>
        <v/>
      </c>
      <c r="Z438" s="40" t="str">
        <f aca="false">IF($B438="","",IF(AND(OR(KARTU!$K$6="",$E438=KARTU!$K$6),OR(KARTU!$K$7="",$F438=KARTU!$K$7),OR(KARTU!$K$8="",$K438=KARTU!$K$8)),MAX($Z$3:Z437)+1,""))</f>
        <v/>
      </c>
    </row>
    <row r="439" customFormat="false" ht="15" hidden="false" customHeight="false" outlineLevel="0" collapsed="false">
      <c r="A439" s="36" t="str">
        <f aca="false">IF($B439="","",COUNTA($B$4:$B439))</f>
        <v/>
      </c>
      <c r="B439" s="37"/>
      <c r="C439" s="38"/>
      <c r="D439" s="39"/>
      <c r="E439" s="37"/>
      <c r="F439" s="39"/>
      <c r="G439" s="40" t="str">
        <f aca="false">IF(OR($E439="",$F439=""),"",$E439&amp;" - RT "&amp;$F439)</f>
        <v/>
      </c>
      <c r="H439" s="37"/>
      <c r="I439" s="38"/>
      <c r="J439" s="37"/>
      <c r="K439" s="39"/>
      <c r="L439" s="41"/>
      <c r="M439" s="36" t="str">
        <f aca="true">IF(OR($B439="",$L439=""),"",DATEDIF($L439,TODAY(),"Y"))</f>
        <v/>
      </c>
      <c r="N439" s="40" t="str">
        <f aca="false">IF($M439="","",INDEX(usia_label,MATCH($M439,usia_min,1)))</f>
        <v/>
      </c>
      <c r="O439" s="37"/>
      <c r="P439" s="41"/>
      <c r="Q439" s="37"/>
      <c r="R439" s="37"/>
      <c r="S439" s="40" t="str">
        <f aca="false">IF($G439="","",$G439&amp;"#"&amp;COUNTIF($G$4:$G439,$G439))</f>
        <v/>
      </c>
      <c r="T439" s="40" t="str">
        <f aca="false">IF($B439="","",IF($C439="","NIK kosong",IF(LEN($C439)&lt;&gt;16,"NIK bukan 16 digit",IF(COUNTIF($C$4:$C$2003,$C439&amp;"*")&gt;1,"NIK ganda",IF($E439="","Kadus kosong",IF($F439="","RT kosong",IF($H439="","Jabatan kosong",IF($I439="","No. HP kosong",IF($J439="","Alamat kosong",IF(AND($M439&lt;&gt;"",$M439&lt;17),"Usia di bawah 17",""))))))))))</f>
        <v/>
      </c>
      <c r="U439" s="40" t="str">
        <f aca="false">IF($B439="","",IF(AND(OR(CARI!$C$5="",ISNUMBER(SEARCH(CARI!$C$5,$B439&amp;" "&amp;$C439&amp;" "&amp;$I439&amp;" "&amp;$J439&amp;" "&amp;$Q439))),OR(CARI!$C$6="",$E439=CARI!$C$6),OR(CARI!$C$7="",$F439=CARI!$C$7),OR(CARI!$C$8="",$O439=CARI!$C$8)),MAX($U$3:U438)+1,""))</f>
        <v/>
      </c>
      <c r="V439" s="40" t="str">
        <f aca="false">IF($T439="","",MAX($V$3:V438)+1)</f>
        <v/>
      </c>
      <c r="W439" s="40" t="str">
        <f aca="false">IF($E439="","",$E439&amp;"#"&amp;COUNTIF($E$4:$E439,$E439))</f>
        <v/>
      </c>
      <c r="X439" s="40" t="str">
        <f aca="false">IF($B439="","",IF(AND(OR(CETAK!$J$10="",$E439=CETAK!$J$10),OR(CETAK!$J$11="",$F439=CETAK!$J$11),OR(CETAK!$J$12="",$K439=CETAK!$J$12),OR(CETAK!$J$13="",$H439=CETAK!$J$13),OR(CETAK!$J$14="",$O439=CETAK!$J$14)),MAX($X$3:X438)+1,""))</f>
        <v/>
      </c>
      <c r="Y439" s="40" t="str">
        <f aca="false">IF($B439="","",IF(AND(OR(ABSENSI!$H$10="",$E439=ABSENSI!$H$10),OR(ABSENSI!$H$11="",$F439=ABSENSI!$H$11),OR(ABSENSI!$H$12="",$K439=ABSENSI!$H$12)),MAX($Y$3:Y438)+1,""))</f>
        <v/>
      </c>
      <c r="Z439" s="40" t="str">
        <f aca="false">IF($B439="","",IF(AND(OR(KARTU!$K$6="",$E439=KARTU!$K$6),OR(KARTU!$K$7="",$F439=KARTU!$K$7),OR(KARTU!$K$8="",$K439=KARTU!$K$8)),MAX($Z$3:Z438)+1,""))</f>
        <v/>
      </c>
    </row>
    <row r="440" customFormat="false" ht="15" hidden="false" customHeight="false" outlineLevel="0" collapsed="false">
      <c r="A440" s="36" t="str">
        <f aca="false">IF($B440="","",COUNTA($B$4:$B440))</f>
        <v/>
      </c>
      <c r="B440" s="37"/>
      <c r="C440" s="38"/>
      <c r="D440" s="39"/>
      <c r="E440" s="37"/>
      <c r="F440" s="39"/>
      <c r="G440" s="40" t="str">
        <f aca="false">IF(OR($E440="",$F440=""),"",$E440&amp;" - RT "&amp;$F440)</f>
        <v/>
      </c>
      <c r="H440" s="37"/>
      <c r="I440" s="38"/>
      <c r="J440" s="37"/>
      <c r="K440" s="39"/>
      <c r="L440" s="41"/>
      <c r="M440" s="36" t="str">
        <f aca="true">IF(OR($B440="",$L440=""),"",DATEDIF($L440,TODAY(),"Y"))</f>
        <v/>
      </c>
      <c r="N440" s="40" t="str">
        <f aca="false">IF($M440="","",INDEX(usia_label,MATCH($M440,usia_min,1)))</f>
        <v/>
      </c>
      <c r="O440" s="37"/>
      <c r="P440" s="41"/>
      <c r="Q440" s="37"/>
      <c r="R440" s="37"/>
      <c r="S440" s="40" t="str">
        <f aca="false">IF($G440="","",$G440&amp;"#"&amp;COUNTIF($G$4:$G440,$G440))</f>
        <v/>
      </c>
      <c r="T440" s="40" t="str">
        <f aca="false">IF($B440="","",IF($C440="","NIK kosong",IF(LEN($C440)&lt;&gt;16,"NIK bukan 16 digit",IF(COUNTIF($C$4:$C$2003,$C440&amp;"*")&gt;1,"NIK ganda",IF($E440="","Kadus kosong",IF($F440="","RT kosong",IF($H440="","Jabatan kosong",IF($I440="","No. HP kosong",IF($J440="","Alamat kosong",IF(AND($M440&lt;&gt;"",$M440&lt;17),"Usia di bawah 17",""))))))))))</f>
        <v/>
      </c>
      <c r="U440" s="40" t="str">
        <f aca="false">IF($B440="","",IF(AND(OR(CARI!$C$5="",ISNUMBER(SEARCH(CARI!$C$5,$B440&amp;" "&amp;$C440&amp;" "&amp;$I440&amp;" "&amp;$J440&amp;" "&amp;$Q440))),OR(CARI!$C$6="",$E440=CARI!$C$6),OR(CARI!$C$7="",$F440=CARI!$C$7),OR(CARI!$C$8="",$O440=CARI!$C$8)),MAX($U$3:U439)+1,""))</f>
        <v/>
      </c>
      <c r="V440" s="40" t="str">
        <f aca="false">IF($T440="","",MAX($V$3:V439)+1)</f>
        <v/>
      </c>
      <c r="W440" s="40" t="str">
        <f aca="false">IF($E440="","",$E440&amp;"#"&amp;COUNTIF($E$4:$E440,$E440))</f>
        <v/>
      </c>
      <c r="X440" s="40" t="str">
        <f aca="false">IF($B440="","",IF(AND(OR(CETAK!$J$10="",$E440=CETAK!$J$10),OR(CETAK!$J$11="",$F440=CETAK!$J$11),OR(CETAK!$J$12="",$K440=CETAK!$J$12),OR(CETAK!$J$13="",$H440=CETAK!$J$13),OR(CETAK!$J$14="",$O440=CETAK!$J$14)),MAX($X$3:X439)+1,""))</f>
        <v/>
      </c>
      <c r="Y440" s="40" t="str">
        <f aca="false">IF($B440="","",IF(AND(OR(ABSENSI!$H$10="",$E440=ABSENSI!$H$10),OR(ABSENSI!$H$11="",$F440=ABSENSI!$H$11),OR(ABSENSI!$H$12="",$K440=ABSENSI!$H$12)),MAX($Y$3:Y439)+1,""))</f>
        <v/>
      </c>
      <c r="Z440" s="40" t="str">
        <f aca="false">IF($B440="","",IF(AND(OR(KARTU!$K$6="",$E440=KARTU!$K$6),OR(KARTU!$K$7="",$F440=KARTU!$K$7),OR(KARTU!$K$8="",$K440=KARTU!$K$8)),MAX($Z$3:Z439)+1,""))</f>
        <v/>
      </c>
    </row>
    <row r="441" customFormat="false" ht="15" hidden="false" customHeight="false" outlineLevel="0" collapsed="false">
      <c r="A441" s="36" t="str">
        <f aca="false">IF($B441="","",COUNTA($B$4:$B441))</f>
        <v/>
      </c>
      <c r="B441" s="37"/>
      <c r="C441" s="38"/>
      <c r="D441" s="39"/>
      <c r="E441" s="37"/>
      <c r="F441" s="39"/>
      <c r="G441" s="40" t="str">
        <f aca="false">IF(OR($E441="",$F441=""),"",$E441&amp;" - RT "&amp;$F441)</f>
        <v/>
      </c>
      <c r="H441" s="37"/>
      <c r="I441" s="38"/>
      <c r="J441" s="37"/>
      <c r="K441" s="39"/>
      <c r="L441" s="41"/>
      <c r="M441" s="36" t="str">
        <f aca="true">IF(OR($B441="",$L441=""),"",DATEDIF($L441,TODAY(),"Y"))</f>
        <v/>
      </c>
      <c r="N441" s="40" t="str">
        <f aca="false">IF($M441="","",INDEX(usia_label,MATCH($M441,usia_min,1)))</f>
        <v/>
      </c>
      <c r="O441" s="37"/>
      <c r="P441" s="41"/>
      <c r="Q441" s="37"/>
      <c r="R441" s="37"/>
      <c r="S441" s="40" t="str">
        <f aca="false">IF($G441="","",$G441&amp;"#"&amp;COUNTIF($G$4:$G441,$G441))</f>
        <v/>
      </c>
      <c r="T441" s="40" t="str">
        <f aca="false">IF($B441="","",IF($C441="","NIK kosong",IF(LEN($C441)&lt;&gt;16,"NIK bukan 16 digit",IF(COUNTIF($C$4:$C$2003,$C441&amp;"*")&gt;1,"NIK ganda",IF($E441="","Kadus kosong",IF($F441="","RT kosong",IF($H441="","Jabatan kosong",IF($I441="","No. HP kosong",IF($J441="","Alamat kosong",IF(AND($M441&lt;&gt;"",$M441&lt;17),"Usia di bawah 17",""))))))))))</f>
        <v/>
      </c>
      <c r="U441" s="40" t="str">
        <f aca="false">IF($B441="","",IF(AND(OR(CARI!$C$5="",ISNUMBER(SEARCH(CARI!$C$5,$B441&amp;" "&amp;$C441&amp;" "&amp;$I441&amp;" "&amp;$J441&amp;" "&amp;$Q441))),OR(CARI!$C$6="",$E441=CARI!$C$6),OR(CARI!$C$7="",$F441=CARI!$C$7),OR(CARI!$C$8="",$O441=CARI!$C$8)),MAX($U$3:U440)+1,""))</f>
        <v/>
      </c>
      <c r="V441" s="40" t="str">
        <f aca="false">IF($T441="","",MAX($V$3:V440)+1)</f>
        <v/>
      </c>
      <c r="W441" s="40" t="str">
        <f aca="false">IF($E441="","",$E441&amp;"#"&amp;COUNTIF($E$4:$E441,$E441))</f>
        <v/>
      </c>
      <c r="X441" s="40" t="str">
        <f aca="false">IF($B441="","",IF(AND(OR(CETAK!$J$10="",$E441=CETAK!$J$10),OR(CETAK!$J$11="",$F441=CETAK!$J$11),OR(CETAK!$J$12="",$K441=CETAK!$J$12),OR(CETAK!$J$13="",$H441=CETAK!$J$13),OR(CETAK!$J$14="",$O441=CETAK!$J$14)),MAX($X$3:X440)+1,""))</f>
        <v/>
      </c>
      <c r="Y441" s="40" t="str">
        <f aca="false">IF($B441="","",IF(AND(OR(ABSENSI!$H$10="",$E441=ABSENSI!$H$10),OR(ABSENSI!$H$11="",$F441=ABSENSI!$H$11),OR(ABSENSI!$H$12="",$K441=ABSENSI!$H$12)),MAX($Y$3:Y440)+1,""))</f>
        <v/>
      </c>
      <c r="Z441" s="40" t="str">
        <f aca="false">IF($B441="","",IF(AND(OR(KARTU!$K$6="",$E441=KARTU!$K$6),OR(KARTU!$K$7="",$F441=KARTU!$K$7),OR(KARTU!$K$8="",$K441=KARTU!$K$8)),MAX($Z$3:Z440)+1,""))</f>
        <v/>
      </c>
    </row>
    <row r="442" customFormat="false" ht="15" hidden="false" customHeight="false" outlineLevel="0" collapsed="false">
      <c r="A442" s="36" t="str">
        <f aca="false">IF($B442="","",COUNTA($B$4:$B442))</f>
        <v/>
      </c>
      <c r="B442" s="37"/>
      <c r="C442" s="38"/>
      <c r="D442" s="39"/>
      <c r="E442" s="37"/>
      <c r="F442" s="39"/>
      <c r="G442" s="40" t="str">
        <f aca="false">IF(OR($E442="",$F442=""),"",$E442&amp;" - RT "&amp;$F442)</f>
        <v/>
      </c>
      <c r="H442" s="37"/>
      <c r="I442" s="38"/>
      <c r="J442" s="37"/>
      <c r="K442" s="39"/>
      <c r="L442" s="41"/>
      <c r="M442" s="36" t="str">
        <f aca="true">IF(OR($B442="",$L442=""),"",DATEDIF($L442,TODAY(),"Y"))</f>
        <v/>
      </c>
      <c r="N442" s="40" t="str">
        <f aca="false">IF($M442="","",INDEX(usia_label,MATCH($M442,usia_min,1)))</f>
        <v/>
      </c>
      <c r="O442" s="37"/>
      <c r="P442" s="41"/>
      <c r="Q442" s="37"/>
      <c r="R442" s="37"/>
      <c r="S442" s="40" t="str">
        <f aca="false">IF($G442="","",$G442&amp;"#"&amp;COUNTIF($G$4:$G442,$G442))</f>
        <v/>
      </c>
      <c r="T442" s="40" t="str">
        <f aca="false">IF($B442="","",IF($C442="","NIK kosong",IF(LEN($C442)&lt;&gt;16,"NIK bukan 16 digit",IF(COUNTIF($C$4:$C$2003,$C442&amp;"*")&gt;1,"NIK ganda",IF($E442="","Kadus kosong",IF($F442="","RT kosong",IF($H442="","Jabatan kosong",IF($I442="","No. HP kosong",IF($J442="","Alamat kosong",IF(AND($M442&lt;&gt;"",$M442&lt;17),"Usia di bawah 17",""))))))))))</f>
        <v/>
      </c>
      <c r="U442" s="40" t="str">
        <f aca="false">IF($B442="","",IF(AND(OR(CARI!$C$5="",ISNUMBER(SEARCH(CARI!$C$5,$B442&amp;" "&amp;$C442&amp;" "&amp;$I442&amp;" "&amp;$J442&amp;" "&amp;$Q442))),OR(CARI!$C$6="",$E442=CARI!$C$6),OR(CARI!$C$7="",$F442=CARI!$C$7),OR(CARI!$C$8="",$O442=CARI!$C$8)),MAX($U$3:U441)+1,""))</f>
        <v/>
      </c>
      <c r="V442" s="40" t="str">
        <f aca="false">IF($T442="","",MAX($V$3:V441)+1)</f>
        <v/>
      </c>
      <c r="W442" s="40" t="str">
        <f aca="false">IF($E442="","",$E442&amp;"#"&amp;COUNTIF($E$4:$E442,$E442))</f>
        <v/>
      </c>
      <c r="X442" s="40" t="str">
        <f aca="false">IF($B442="","",IF(AND(OR(CETAK!$J$10="",$E442=CETAK!$J$10),OR(CETAK!$J$11="",$F442=CETAK!$J$11),OR(CETAK!$J$12="",$K442=CETAK!$J$12),OR(CETAK!$J$13="",$H442=CETAK!$J$13),OR(CETAK!$J$14="",$O442=CETAK!$J$14)),MAX($X$3:X441)+1,""))</f>
        <v/>
      </c>
      <c r="Y442" s="40" t="str">
        <f aca="false">IF($B442="","",IF(AND(OR(ABSENSI!$H$10="",$E442=ABSENSI!$H$10),OR(ABSENSI!$H$11="",$F442=ABSENSI!$H$11),OR(ABSENSI!$H$12="",$K442=ABSENSI!$H$12)),MAX($Y$3:Y441)+1,""))</f>
        <v/>
      </c>
      <c r="Z442" s="40" t="str">
        <f aca="false">IF($B442="","",IF(AND(OR(KARTU!$K$6="",$E442=KARTU!$K$6),OR(KARTU!$K$7="",$F442=KARTU!$K$7),OR(KARTU!$K$8="",$K442=KARTU!$K$8)),MAX($Z$3:Z441)+1,""))</f>
        <v/>
      </c>
    </row>
    <row r="443" customFormat="false" ht="15" hidden="false" customHeight="false" outlineLevel="0" collapsed="false">
      <c r="A443" s="36" t="str">
        <f aca="false">IF($B443="","",COUNTA($B$4:$B443))</f>
        <v/>
      </c>
      <c r="B443" s="37"/>
      <c r="C443" s="38"/>
      <c r="D443" s="39"/>
      <c r="E443" s="37"/>
      <c r="F443" s="39"/>
      <c r="G443" s="40" t="str">
        <f aca="false">IF(OR($E443="",$F443=""),"",$E443&amp;" - RT "&amp;$F443)</f>
        <v/>
      </c>
      <c r="H443" s="37"/>
      <c r="I443" s="38"/>
      <c r="J443" s="37"/>
      <c r="K443" s="39"/>
      <c r="L443" s="41"/>
      <c r="M443" s="36" t="str">
        <f aca="true">IF(OR($B443="",$L443=""),"",DATEDIF($L443,TODAY(),"Y"))</f>
        <v/>
      </c>
      <c r="N443" s="40" t="str">
        <f aca="false">IF($M443="","",INDEX(usia_label,MATCH($M443,usia_min,1)))</f>
        <v/>
      </c>
      <c r="O443" s="37"/>
      <c r="P443" s="41"/>
      <c r="Q443" s="37"/>
      <c r="R443" s="37"/>
      <c r="S443" s="40" t="str">
        <f aca="false">IF($G443="","",$G443&amp;"#"&amp;COUNTIF($G$4:$G443,$G443))</f>
        <v/>
      </c>
      <c r="T443" s="40" t="str">
        <f aca="false">IF($B443="","",IF($C443="","NIK kosong",IF(LEN($C443)&lt;&gt;16,"NIK bukan 16 digit",IF(COUNTIF($C$4:$C$2003,$C443&amp;"*")&gt;1,"NIK ganda",IF($E443="","Kadus kosong",IF($F443="","RT kosong",IF($H443="","Jabatan kosong",IF($I443="","No. HP kosong",IF($J443="","Alamat kosong",IF(AND($M443&lt;&gt;"",$M443&lt;17),"Usia di bawah 17",""))))))))))</f>
        <v/>
      </c>
      <c r="U443" s="40" t="str">
        <f aca="false">IF($B443="","",IF(AND(OR(CARI!$C$5="",ISNUMBER(SEARCH(CARI!$C$5,$B443&amp;" "&amp;$C443&amp;" "&amp;$I443&amp;" "&amp;$J443&amp;" "&amp;$Q443))),OR(CARI!$C$6="",$E443=CARI!$C$6),OR(CARI!$C$7="",$F443=CARI!$C$7),OR(CARI!$C$8="",$O443=CARI!$C$8)),MAX($U$3:U442)+1,""))</f>
        <v/>
      </c>
      <c r="V443" s="40" t="str">
        <f aca="false">IF($T443="","",MAX($V$3:V442)+1)</f>
        <v/>
      </c>
      <c r="W443" s="40" t="str">
        <f aca="false">IF($E443="","",$E443&amp;"#"&amp;COUNTIF($E$4:$E443,$E443))</f>
        <v/>
      </c>
      <c r="X443" s="40" t="str">
        <f aca="false">IF($B443="","",IF(AND(OR(CETAK!$J$10="",$E443=CETAK!$J$10),OR(CETAK!$J$11="",$F443=CETAK!$J$11),OR(CETAK!$J$12="",$K443=CETAK!$J$12),OR(CETAK!$J$13="",$H443=CETAK!$J$13),OR(CETAK!$J$14="",$O443=CETAK!$J$14)),MAX($X$3:X442)+1,""))</f>
        <v/>
      </c>
      <c r="Y443" s="40" t="str">
        <f aca="false">IF($B443="","",IF(AND(OR(ABSENSI!$H$10="",$E443=ABSENSI!$H$10),OR(ABSENSI!$H$11="",$F443=ABSENSI!$H$11),OR(ABSENSI!$H$12="",$K443=ABSENSI!$H$12)),MAX($Y$3:Y442)+1,""))</f>
        <v/>
      </c>
      <c r="Z443" s="40" t="str">
        <f aca="false">IF($B443="","",IF(AND(OR(KARTU!$K$6="",$E443=KARTU!$K$6),OR(KARTU!$K$7="",$F443=KARTU!$K$7),OR(KARTU!$K$8="",$K443=KARTU!$K$8)),MAX($Z$3:Z442)+1,""))</f>
        <v/>
      </c>
    </row>
    <row r="444" customFormat="false" ht="15" hidden="false" customHeight="false" outlineLevel="0" collapsed="false">
      <c r="A444" s="36" t="str">
        <f aca="false">IF($B444="","",COUNTA($B$4:$B444))</f>
        <v/>
      </c>
      <c r="B444" s="37"/>
      <c r="C444" s="38"/>
      <c r="D444" s="39"/>
      <c r="E444" s="37"/>
      <c r="F444" s="39"/>
      <c r="G444" s="40" t="str">
        <f aca="false">IF(OR($E444="",$F444=""),"",$E444&amp;" - RT "&amp;$F444)</f>
        <v/>
      </c>
      <c r="H444" s="37"/>
      <c r="I444" s="38"/>
      <c r="J444" s="37"/>
      <c r="K444" s="39"/>
      <c r="L444" s="41"/>
      <c r="M444" s="36" t="str">
        <f aca="true">IF(OR($B444="",$L444=""),"",DATEDIF($L444,TODAY(),"Y"))</f>
        <v/>
      </c>
      <c r="N444" s="40" t="str">
        <f aca="false">IF($M444="","",INDEX(usia_label,MATCH($M444,usia_min,1)))</f>
        <v/>
      </c>
      <c r="O444" s="37"/>
      <c r="P444" s="41"/>
      <c r="Q444" s="37"/>
      <c r="R444" s="37"/>
      <c r="S444" s="40" t="str">
        <f aca="false">IF($G444="","",$G444&amp;"#"&amp;COUNTIF($G$4:$G444,$G444))</f>
        <v/>
      </c>
      <c r="T444" s="40" t="str">
        <f aca="false">IF($B444="","",IF($C444="","NIK kosong",IF(LEN($C444)&lt;&gt;16,"NIK bukan 16 digit",IF(COUNTIF($C$4:$C$2003,$C444&amp;"*")&gt;1,"NIK ganda",IF($E444="","Kadus kosong",IF($F444="","RT kosong",IF($H444="","Jabatan kosong",IF($I444="","No. HP kosong",IF($J444="","Alamat kosong",IF(AND($M444&lt;&gt;"",$M444&lt;17),"Usia di bawah 17",""))))))))))</f>
        <v/>
      </c>
      <c r="U444" s="40" t="str">
        <f aca="false">IF($B444="","",IF(AND(OR(CARI!$C$5="",ISNUMBER(SEARCH(CARI!$C$5,$B444&amp;" "&amp;$C444&amp;" "&amp;$I444&amp;" "&amp;$J444&amp;" "&amp;$Q444))),OR(CARI!$C$6="",$E444=CARI!$C$6),OR(CARI!$C$7="",$F444=CARI!$C$7),OR(CARI!$C$8="",$O444=CARI!$C$8)),MAX($U$3:U443)+1,""))</f>
        <v/>
      </c>
      <c r="V444" s="40" t="str">
        <f aca="false">IF($T444="","",MAX($V$3:V443)+1)</f>
        <v/>
      </c>
      <c r="W444" s="40" t="str">
        <f aca="false">IF($E444="","",$E444&amp;"#"&amp;COUNTIF($E$4:$E444,$E444))</f>
        <v/>
      </c>
      <c r="X444" s="40" t="str">
        <f aca="false">IF($B444="","",IF(AND(OR(CETAK!$J$10="",$E444=CETAK!$J$10),OR(CETAK!$J$11="",$F444=CETAK!$J$11),OR(CETAK!$J$12="",$K444=CETAK!$J$12),OR(CETAK!$J$13="",$H444=CETAK!$J$13),OR(CETAK!$J$14="",$O444=CETAK!$J$14)),MAX($X$3:X443)+1,""))</f>
        <v/>
      </c>
      <c r="Y444" s="40" t="str">
        <f aca="false">IF($B444="","",IF(AND(OR(ABSENSI!$H$10="",$E444=ABSENSI!$H$10),OR(ABSENSI!$H$11="",$F444=ABSENSI!$H$11),OR(ABSENSI!$H$12="",$K444=ABSENSI!$H$12)),MAX($Y$3:Y443)+1,""))</f>
        <v/>
      </c>
      <c r="Z444" s="40" t="str">
        <f aca="false">IF($B444="","",IF(AND(OR(KARTU!$K$6="",$E444=KARTU!$K$6),OR(KARTU!$K$7="",$F444=KARTU!$K$7),OR(KARTU!$K$8="",$K444=KARTU!$K$8)),MAX($Z$3:Z443)+1,""))</f>
        <v/>
      </c>
    </row>
    <row r="445" customFormat="false" ht="15" hidden="false" customHeight="false" outlineLevel="0" collapsed="false">
      <c r="A445" s="36" t="str">
        <f aca="false">IF($B445="","",COUNTA($B$4:$B445))</f>
        <v/>
      </c>
      <c r="B445" s="37"/>
      <c r="C445" s="38"/>
      <c r="D445" s="39"/>
      <c r="E445" s="37"/>
      <c r="F445" s="39"/>
      <c r="G445" s="40" t="str">
        <f aca="false">IF(OR($E445="",$F445=""),"",$E445&amp;" - RT "&amp;$F445)</f>
        <v/>
      </c>
      <c r="H445" s="37"/>
      <c r="I445" s="38"/>
      <c r="J445" s="37"/>
      <c r="K445" s="39"/>
      <c r="L445" s="41"/>
      <c r="M445" s="36" t="str">
        <f aca="true">IF(OR($B445="",$L445=""),"",DATEDIF($L445,TODAY(),"Y"))</f>
        <v/>
      </c>
      <c r="N445" s="40" t="str">
        <f aca="false">IF($M445="","",INDEX(usia_label,MATCH($M445,usia_min,1)))</f>
        <v/>
      </c>
      <c r="O445" s="37"/>
      <c r="P445" s="41"/>
      <c r="Q445" s="37"/>
      <c r="R445" s="37"/>
      <c r="S445" s="40" t="str">
        <f aca="false">IF($G445="","",$G445&amp;"#"&amp;COUNTIF($G$4:$G445,$G445))</f>
        <v/>
      </c>
      <c r="T445" s="40" t="str">
        <f aca="false">IF($B445="","",IF($C445="","NIK kosong",IF(LEN($C445)&lt;&gt;16,"NIK bukan 16 digit",IF(COUNTIF($C$4:$C$2003,$C445&amp;"*")&gt;1,"NIK ganda",IF($E445="","Kadus kosong",IF($F445="","RT kosong",IF($H445="","Jabatan kosong",IF($I445="","No. HP kosong",IF($J445="","Alamat kosong",IF(AND($M445&lt;&gt;"",$M445&lt;17),"Usia di bawah 17",""))))))))))</f>
        <v/>
      </c>
      <c r="U445" s="40" t="str">
        <f aca="false">IF($B445="","",IF(AND(OR(CARI!$C$5="",ISNUMBER(SEARCH(CARI!$C$5,$B445&amp;" "&amp;$C445&amp;" "&amp;$I445&amp;" "&amp;$J445&amp;" "&amp;$Q445))),OR(CARI!$C$6="",$E445=CARI!$C$6),OR(CARI!$C$7="",$F445=CARI!$C$7),OR(CARI!$C$8="",$O445=CARI!$C$8)),MAX($U$3:U444)+1,""))</f>
        <v/>
      </c>
      <c r="V445" s="40" t="str">
        <f aca="false">IF($T445="","",MAX($V$3:V444)+1)</f>
        <v/>
      </c>
      <c r="W445" s="40" t="str">
        <f aca="false">IF($E445="","",$E445&amp;"#"&amp;COUNTIF($E$4:$E445,$E445))</f>
        <v/>
      </c>
      <c r="X445" s="40" t="str">
        <f aca="false">IF($B445="","",IF(AND(OR(CETAK!$J$10="",$E445=CETAK!$J$10),OR(CETAK!$J$11="",$F445=CETAK!$J$11),OR(CETAK!$J$12="",$K445=CETAK!$J$12),OR(CETAK!$J$13="",$H445=CETAK!$J$13),OR(CETAK!$J$14="",$O445=CETAK!$J$14)),MAX($X$3:X444)+1,""))</f>
        <v/>
      </c>
      <c r="Y445" s="40" t="str">
        <f aca="false">IF($B445="","",IF(AND(OR(ABSENSI!$H$10="",$E445=ABSENSI!$H$10),OR(ABSENSI!$H$11="",$F445=ABSENSI!$H$11),OR(ABSENSI!$H$12="",$K445=ABSENSI!$H$12)),MAX($Y$3:Y444)+1,""))</f>
        <v/>
      </c>
      <c r="Z445" s="40" t="str">
        <f aca="false">IF($B445="","",IF(AND(OR(KARTU!$K$6="",$E445=KARTU!$K$6),OR(KARTU!$K$7="",$F445=KARTU!$K$7),OR(KARTU!$K$8="",$K445=KARTU!$K$8)),MAX($Z$3:Z444)+1,""))</f>
        <v/>
      </c>
    </row>
    <row r="446" customFormat="false" ht="15" hidden="false" customHeight="false" outlineLevel="0" collapsed="false">
      <c r="A446" s="36" t="str">
        <f aca="false">IF($B446="","",COUNTA($B$4:$B446))</f>
        <v/>
      </c>
      <c r="B446" s="37"/>
      <c r="C446" s="38"/>
      <c r="D446" s="39"/>
      <c r="E446" s="37"/>
      <c r="F446" s="39"/>
      <c r="G446" s="40" t="str">
        <f aca="false">IF(OR($E446="",$F446=""),"",$E446&amp;" - RT "&amp;$F446)</f>
        <v/>
      </c>
      <c r="H446" s="37"/>
      <c r="I446" s="38"/>
      <c r="J446" s="37"/>
      <c r="K446" s="39"/>
      <c r="L446" s="41"/>
      <c r="M446" s="36" t="str">
        <f aca="true">IF(OR($B446="",$L446=""),"",DATEDIF($L446,TODAY(),"Y"))</f>
        <v/>
      </c>
      <c r="N446" s="40" t="str">
        <f aca="false">IF($M446="","",INDEX(usia_label,MATCH($M446,usia_min,1)))</f>
        <v/>
      </c>
      <c r="O446" s="37"/>
      <c r="P446" s="41"/>
      <c r="Q446" s="37"/>
      <c r="R446" s="37"/>
      <c r="S446" s="40" t="str">
        <f aca="false">IF($G446="","",$G446&amp;"#"&amp;COUNTIF($G$4:$G446,$G446))</f>
        <v/>
      </c>
      <c r="T446" s="40" t="str">
        <f aca="false">IF($B446="","",IF($C446="","NIK kosong",IF(LEN($C446)&lt;&gt;16,"NIK bukan 16 digit",IF(COUNTIF($C$4:$C$2003,$C446&amp;"*")&gt;1,"NIK ganda",IF($E446="","Kadus kosong",IF($F446="","RT kosong",IF($H446="","Jabatan kosong",IF($I446="","No. HP kosong",IF($J446="","Alamat kosong",IF(AND($M446&lt;&gt;"",$M446&lt;17),"Usia di bawah 17",""))))))))))</f>
        <v/>
      </c>
      <c r="U446" s="40" t="str">
        <f aca="false">IF($B446="","",IF(AND(OR(CARI!$C$5="",ISNUMBER(SEARCH(CARI!$C$5,$B446&amp;" "&amp;$C446&amp;" "&amp;$I446&amp;" "&amp;$J446&amp;" "&amp;$Q446))),OR(CARI!$C$6="",$E446=CARI!$C$6),OR(CARI!$C$7="",$F446=CARI!$C$7),OR(CARI!$C$8="",$O446=CARI!$C$8)),MAX($U$3:U445)+1,""))</f>
        <v/>
      </c>
      <c r="V446" s="40" t="str">
        <f aca="false">IF($T446="","",MAX($V$3:V445)+1)</f>
        <v/>
      </c>
      <c r="W446" s="40" t="str">
        <f aca="false">IF($E446="","",$E446&amp;"#"&amp;COUNTIF($E$4:$E446,$E446))</f>
        <v/>
      </c>
      <c r="X446" s="40" t="str">
        <f aca="false">IF($B446="","",IF(AND(OR(CETAK!$J$10="",$E446=CETAK!$J$10),OR(CETAK!$J$11="",$F446=CETAK!$J$11),OR(CETAK!$J$12="",$K446=CETAK!$J$12),OR(CETAK!$J$13="",$H446=CETAK!$J$13),OR(CETAK!$J$14="",$O446=CETAK!$J$14)),MAX($X$3:X445)+1,""))</f>
        <v/>
      </c>
      <c r="Y446" s="40" t="str">
        <f aca="false">IF($B446="","",IF(AND(OR(ABSENSI!$H$10="",$E446=ABSENSI!$H$10),OR(ABSENSI!$H$11="",$F446=ABSENSI!$H$11),OR(ABSENSI!$H$12="",$K446=ABSENSI!$H$12)),MAX($Y$3:Y445)+1,""))</f>
        <v/>
      </c>
      <c r="Z446" s="40" t="str">
        <f aca="false">IF($B446="","",IF(AND(OR(KARTU!$K$6="",$E446=KARTU!$K$6),OR(KARTU!$K$7="",$F446=KARTU!$K$7),OR(KARTU!$K$8="",$K446=KARTU!$K$8)),MAX($Z$3:Z445)+1,""))</f>
        <v/>
      </c>
    </row>
    <row r="447" customFormat="false" ht="15" hidden="false" customHeight="false" outlineLevel="0" collapsed="false">
      <c r="A447" s="36" t="str">
        <f aca="false">IF($B447="","",COUNTA($B$4:$B447))</f>
        <v/>
      </c>
      <c r="B447" s="37"/>
      <c r="C447" s="38"/>
      <c r="D447" s="39"/>
      <c r="E447" s="37"/>
      <c r="F447" s="39"/>
      <c r="G447" s="40" t="str">
        <f aca="false">IF(OR($E447="",$F447=""),"",$E447&amp;" - RT "&amp;$F447)</f>
        <v/>
      </c>
      <c r="H447" s="37"/>
      <c r="I447" s="38"/>
      <c r="J447" s="37"/>
      <c r="K447" s="39"/>
      <c r="L447" s="41"/>
      <c r="M447" s="36" t="str">
        <f aca="true">IF(OR($B447="",$L447=""),"",DATEDIF($L447,TODAY(),"Y"))</f>
        <v/>
      </c>
      <c r="N447" s="40" t="str">
        <f aca="false">IF($M447="","",INDEX(usia_label,MATCH($M447,usia_min,1)))</f>
        <v/>
      </c>
      <c r="O447" s="37"/>
      <c r="P447" s="41"/>
      <c r="Q447" s="37"/>
      <c r="R447" s="37"/>
      <c r="S447" s="40" t="str">
        <f aca="false">IF($G447="","",$G447&amp;"#"&amp;COUNTIF($G$4:$G447,$G447))</f>
        <v/>
      </c>
      <c r="T447" s="40" t="str">
        <f aca="false">IF($B447="","",IF($C447="","NIK kosong",IF(LEN($C447)&lt;&gt;16,"NIK bukan 16 digit",IF(COUNTIF($C$4:$C$2003,$C447&amp;"*")&gt;1,"NIK ganda",IF($E447="","Kadus kosong",IF($F447="","RT kosong",IF($H447="","Jabatan kosong",IF($I447="","No. HP kosong",IF($J447="","Alamat kosong",IF(AND($M447&lt;&gt;"",$M447&lt;17),"Usia di bawah 17",""))))))))))</f>
        <v/>
      </c>
      <c r="U447" s="40" t="str">
        <f aca="false">IF($B447="","",IF(AND(OR(CARI!$C$5="",ISNUMBER(SEARCH(CARI!$C$5,$B447&amp;" "&amp;$C447&amp;" "&amp;$I447&amp;" "&amp;$J447&amp;" "&amp;$Q447))),OR(CARI!$C$6="",$E447=CARI!$C$6),OR(CARI!$C$7="",$F447=CARI!$C$7),OR(CARI!$C$8="",$O447=CARI!$C$8)),MAX($U$3:U446)+1,""))</f>
        <v/>
      </c>
      <c r="V447" s="40" t="str">
        <f aca="false">IF($T447="","",MAX($V$3:V446)+1)</f>
        <v/>
      </c>
      <c r="W447" s="40" t="str">
        <f aca="false">IF($E447="","",$E447&amp;"#"&amp;COUNTIF($E$4:$E447,$E447))</f>
        <v/>
      </c>
      <c r="X447" s="40" t="str">
        <f aca="false">IF($B447="","",IF(AND(OR(CETAK!$J$10="",$E447=CETAK!$J$10),OR(CETAK!$J$11="",$F447=CETAK!$J$11),OR(CETAK!$J$12="",$K447=CETAK!$J$12),OR(CETAK!$J$13="",$H447=CETAK!$J$13),OR(CETAK!$J$14="",$O447=CETAK!$J$14)),MAX($X$3:X446)+1,""))</f>
        <v/>
      </c>
      <c r="Y447" s="40" t="str">
        <f aca="false">IF($B447="","",IF(AND(OR(ABSENSI!$H$10="",$E447=ABSENSI!$H$10),OR(ABSENSI!$H$11="",$F447=ABSENSI!$H$11),OR(ABSENSI!$H$12="",$K447=ABSENSI!$H$12)),MAX($Y$3:Y446)+1,""))</f>
        <v/>
      </c>
      <c r="Z447" s="40" t="str">
        <f aca="false">IF($B447="","",IF(AND(OR(KARTU!$K$6="",$E447=KARTU!$K$6),OR(KARTU!$K$7="",$F447=KARTU!$K$7),OR(KARTU!$K$8="",$K447=KARTU!$K$8)),MAX($Z$3:Z446)+1,""))</f>
        <v/>
      </c>
    </row>
    <row r="448" customFormat="false" ht="15" hidden="false" customHeight="false" outlineLevel="0" collapsed="false">
      <c r="A448" s="36" t="str">
        <f aca="false">IF($B448="","",COUNTA($B$4:$B448))</f>
        <v/>
      </c>
      <c r="B448" s="37"/>
      <c r="C448" s="38"/>
      <c r="D448" s="39"/>
      <c r="E448" s="37"/>
      <c r="F448" s="39"/>
      <c r="G448" s="40" t="str">
        <f aca="false">IF(OR($E448="",$F448=""),"",$E448&amp;" - RT "&amp;$F448)</f>
        <v/>
      </c>
      <c r="H448" s="37"/>
      <c r="I448" s="38"/>
      <c r="J448" s="37"/>
      <c r="K448" s="39"/>
      <c r="L448" s="41"/>
      <c r="M448" s="36" t="str">
        <f aca="true">IF(OR($B448="",$L448=""),"",DATEDIF($L448,TODAY(),"Y"))</f>
        <v/>
      </c>
      <c r="N448" s="40" t="str">
        <f aca="false">IF($M448="","",INDEX(usia_label,MATCH($M448,usia_min,1)))</f>
        <v/>
      </c>
      <c r="O448" s="37"/>
      <c r="P448" s="41"/>
      <c r="Q448" s="37"/>
      <c r="R448" s="37"/>
      <c r="S448" s="40" t="str">
        <f aca="false">IF($G448="","",$G448&amp;"#"&amp;COUNTIF($G$4:$G448,$G448))</f>
        <v/>
      </c>
      <c r="T448" s="40" t="str">
        <f aca="false">IF($B448="","",IF($C448="","NIK kosong",IF(LEN($C448)&lt;&gt;16,"NIK bukan 16 digit",IF(COUNTIF($C$4:$C$2003,$C448&amp;"*")&gt;1,"NIK ganda",IF($E448="","Kadus kosong",IF($F448="","RT kosong",IF($H448="","Jabatan kosong",IF($I448="","No. HP kosong",IF($J448="","Alamat kosong",IF(AND($M448&lt;&gt;"",$M448&lt;17),"Usia di bawah 17",""))))))))))</f>
        <v/>
      </c>
      <c r="U448" s="40" t="str">
        <f aca="false">IF($B448="","",IF(AND(OR(CARI!$C$5="",ISNUMBER(SEARCH(CARI!$C$5,$B448&amp;" "&amp;$C448&amp;" "&amp;$I448&amp;" "&amp;$J448&amp;" "&amp;$Q448))),OR(CARI!$C$6="",$E448=CARI!$C$6),OR(CARI!$C$7="",$F448=CARI!$C$7),OR(CARI!$C$8="",$O448=CARI!$C$8)),MAX($U$3:U447)+1,""))</f>
        <v/>
      </c>
      <c r="V448" s="40" t="str">
        <f aca="false">IF($T448="","",MAX($V$3:V447)+1)</f>
        <v/>
      </c>
      <c r="W448" s="40" t="str">
        <f aca="false">IF($E448="","",$E448&amp;"#"&amp;COUNTIF($E$4:$E448,$E448))</f>
        <v/>
      </c>
      <c r="X448" s="40" t="str">
        <f aca="false">IF($B448="","",IF(AND(OR(CETAK!$J$10="",$E448=CETAK!$J$10),OR(CETAK!$J$11="",$F448=CETAK!$J$11),OR(CETAK!$J$12="",$K448=CETAK!$J$12),OR(CETAK!$J$13="",$H448=CETAK!$J$13),OR(CETAK!$J$14="",$O448=CETAK!$J$14)),MAX($X$3:X447)+1,""))</f>
        <v/>
      </c>
      <c r="Y448" s="40" t="str">
        <f aca="false">IF($B448="","",IF(AND(OR(ABSENSI!$H$10="",$E448=ABSENSI!$H$10),OR(ABSENSI!$H$11="",$F448=ABSENSI!$H$11),OR(ABSENSI!$H$12="",$K448=ABSENSI!$H$12)),MAX($Y$3:Y447)+1,""))</f>
        <v/>
      </c>
      <c r="Z448" s="40" t="str">
        <f aca="false">IF($B448="","",IF(AND(OR(KARTU!$K$6="",$E448=KARTU!$K$6),OR(KARTU!$K$7="",$F448=KARTU!$K$7),OR(KARTU!$K$8="",$K448=KARTU!$K$8)),MAX($Z$3:Z447)+1,""))</f>
        <v/>
      </c>
    </row>
    <row r="449" customFormat="false" ht="15" hidden="false" customHeight="false" outlineLevel="0" collapsed="false">
      <c r="A449" s="36" t="str">
        <f aca="false">IF($B449="","",COUNTA($B$4:$B449))</f>
        <v/>
      </c>
      <c r="B449" s="37"/>
      <c r="C449" s="38"/>
      <c r="D449" s="39"/>
      <c r="E449" s="37"/>
      <c r="F449" s="39"/>
      <c r="G449" s="40" t="str">
        <f aca="false">IF(OR($E449="",$F449=""),"",$E449&amp;" - RT "&amp;$F449)</f>
        <v/>
      </c>
      <c r="H449" s="37"/>
      <c r="I449" s="38"/>
      <c r="J449" s="37"/>
      <c r="K449" s="39"/>
      <c r="L449" s="41"/>
      <c r="M449" s="36" t="str">
        <f aca="true">IF(OR($B449="",$L449=""),"",DATEDIF($L449,TODAY(),"Y"))</f>
        <v/>
      </c>
      <c r="N449" s="40" t="str">
        <f aca="false">IF($M449="","",INDEX(usia_label,MATCH($M449,usia_min,1)))</f>
        <v/>
      </c>
      <c r="O449" s="37"/>
      <c r="P449" s="41"/>
      <c r="Q449" s="37"/>
      <c r="R449" s="37"/>
      <c r="S449" s="40" t="str">
        <f aca="false">IF($G449="","",$G449&amp;"#"&amp;COUNTIF($G$4:$G449,$G449))</f>
        <v/>
      </c>
      <c r="T449" s="40" t="str">
        <f aca="false">IF($B449="","",IF($C449="","NIK kosong",IF(LEN($C449)&lt;&gt;16,"NIK bukan 16 digit",IF(COUNTIF($C$4:$C$2003,$C449&amp;"*")&gt;1,"NIK ganda",IF($E449="","Kadus kosong",IF($F449="","RT kosong",IF($H449="","Jabatan kosong",IF($I449="","No. HP kosong",IF($J449="","Alamat kosong",IF(AND($M449&lt;&gt;"",$M449&lt;17),"Usia di bawah 17",""))))))))))</f>
        <v/>
      </c>
      <c r="U449" s="40" t="str">
        <f aca="false">IF($B449="","",IF(AND(OR(CARI!$C$5="",ISNUMBER(SEARCH(CARI!$C$5,$B449&amp;" "&amp;$C449&amp;" "&amp;$I449&amp;" "&amp;$J449&amp;" "&amp;$Q449))),OR(CARI!$C$6="",$E449=CARI!$C$6),OR(CARI!$C$7="",$F449=CARI!$C$7),OR(CARI!$C$8="",$O449=CARI!$C$8)),MAX($U$3:U448)+1,""))</f>
        <v/>
      </c>
      <c r="V449" s="40" t="str">
        <f aca="false">IF($T449="","",MAX($V$3:V448)+1)</f>
        <v/>
      </c>
      <c r="W449" s="40" t="str">
        <f aca="false">IF($E449="","",$E449&amp;"#"&amp;COUNTIF($E$4:$E449,$E449))</f>
        <v/>
      </c>
      <c r="X449" s="40" t="str">
        <f aca="false">IF($B449="","",IF(AND(OR(CETAK!$J$10="",$E449=CETAK!$J$10),OR(CETAK!$J$11="",$F449=CETAK!$J$11),OR(CETAK!$J$12="",$K449=CETAK!$J$12),OR(CETAK!$J$13="",$H449=CETAK!$J$13),OR(CETAK!$J$14="",$O449=CETAK!$J$14)),MAX($X$3:X448)+1,""))</f>
        <v/>
      </c>
      <c r="Y449" s="40" t="str">
        <f aca="false">IF($B449="","",IF(AND(OR(ABSENSI!$H$10="",$E449=ABSENSI!$H$10),OR(ABSENSI!$H$11="",$F449=ABSENSI!$H$11),OR(ABSENSI!$H$12="",$K449=ABSENSI!$H$12)),MAX($Y$3:Y448)+1,""))</f>
        <v/>
      </c>
      <c r="Z449" s="40" t="str">
        <f aca="false">IF($B449="","",IF(AND(OR(KARTU!$K$6="",$E449=KARTU!$K$6),OR(KARTU!$K$7="",$F449=KARTU!$K$7),OR(KARTU!$K$8="",$K449=KARTU!$K$8)),MAX($Z$3:Z448)+1,""))</f>
        <v/>
      </c>
    </row>
    <row r="450" customFormat="false" ht="15" hidden="false" customHeight="false" outlineLevel="0" collapsed="false">
      <c r="A450" s="36" t="str">
        <f aca="false">IF($B450="","",COUNTA($B$4:$B450))</f>
        <v/>
      </c>
      <c r="B450" s="37"/>
      <c r="C450" s="38"/>
      <c r="D450" s="39"/>
      <c r="E450" s="37"/>
      <c r="F450" s="39"/>
      <c r="G450" s="40" t="str">
        <f aca="false">IF(OR($E450="",$F450=""),"",$E450&amp;" - RT "&amp;$F450)</f>
        <v/>
      </c>
      <c r="H450" s="37"/>
      <c r="I450" s="38"/>
      <c r="J450" s="37"/>
      <c r="K450" s="39"/>
      <c r="L450" s="41"/>
      <c r="M450" s="36" t="str">
        <f aca="true">IF(OR($B450="",$L450=""),"",DATEDIF($L450,TODAY(),"Y"))</f>
        <v/>
      </c>
      <c r="N450" s="40" t="str">
        <f aca="false">IF($M450="","",INDEX(usia_label,MATCH($M450,usia_min,1)))</f>
        <v/>
      </c>
      <c r="O450" s="37"/>
      <c r="P450" s="41"/>
      <c r="Q450" s="37"/>
      <c r="R450" s="37"/>
      <c r="S450" s="40" t="str">
        <f aca="false">IF($G450="","",$G450&amp;"#"&amp;COUNTIF($G$4:$G450,$G450))</f>
        <v/>
      </c>
      <c r="T450" s="40" t="str">
        <f aca="false">IF($B450="","",IF($C450="","NIK kosong",IF(LEN($C450)&lt;&gt;16,"NIK bukan 16 digit",IF(COUNTIF($C$4:$C$2003,$C450&amp;"*")&gt;1,"NIK ganda",IF($E450="","Kadus kosong",IF($F450="","RT kosong",IF($H450="","Jabatan kosong",IF($I450="","No. HP kosong",IF($J450="","Alamat kosong",IF(AND($M450&lt;&gt;"",$M450&lt;17),"Usia di bawah 17",""))))))))))</f>
        <v/>
      </c>
      <c r="U450" s="40" t="str">
        <f aca="false">IF($B450="","",IF(AND(OR(CARI!$C$5="",ISNUMBER(SEARCH(CARI!$C$5,$B450&amp;" "&amp;$C450&amp;" "&amp;$I450&amp;" "&amp;$J450&amp;" "&amp;$Q450))),OR(CARI!$C$6="",$E450=CARI!$C$6),OR(CARI!$C$7="",$F450=CARI!$C$7),OR(CARI!$C$8="",$O450=CARI!$C$8)),MAX($U$3:U449)+1,""))</f>
        <v/>
      </c>
      <c r="V450" s="40" t="str">
        <f aca="false">IF($T450="","",MAX($V$3:V449)+1)</f>
        <v/>
      </c>
      <c r="W450" s="40" t="str">
        <f aca="false">IF($E450="","",$E450&amp;"#"&amp;COUNTIF($E$4:$E450,$E450))</f>
        <v/>
      </c>
      <c r="X450" s="40" t="str">
        <f aca="false">IF($B450="","",IF(AND(OR(CETAK!$J$10="",$E450=CETAK!$J$10),OR(CETAK!$J$11="",$F450=CETAK!$J$11),OR(CETAK!$J$12="",$K450=CETAK!$J$12),OR(CETAK!$J$13="",$H450=CETAK!$J$13),OR(CETAK!$J$14="",$O450=CETAK!$J$14)),MAX($X$3:X449)+1,""))</f>
        <v/>
      </c>
      <c r="Y450" s="40" t="str">
        <f aca="false">IF($B450="","",IF(AND(OR(ABSENSI!$H$10="",$E450=ABSENSI!$H$10),OR(ABSENSI!$H$11="",$F450=ABSENSI!$H$11),OR(ABSENSI!$H$12="",$K450=ABSENSI!$H$12)),MAX($Y$3:Y449)+1,""))</f>
        <v/>
      </c>
      <c r="Z450" s="40" t="str">
        <f aca="false">IF($B450="","",IF(AND(OR(KARTU!$K$6="",$E450=KARTU!$K$6),OR(KARTU!$K$7="",$F450=KARTU!$K$7),OR(KARTU!$K$8="",$K450=KARTU!$K$8)),MAX($Z$3:Z449)+1,""))</f>
        <v/>
      </c>
    </row>
    <row r="451" customFormat="false" ht="15" hidden="false" customHeight="false" outlineLevel="0" collapsed="false">
      <c r="A451" s="36" t="str">
        <f aca="false">IF($B451="","",COUNTA($B$4:$B451))</f>
        <v/>
      </c>
      <c r="B451" s="37"/>
      <c r="C451" s="38"/>
      <c r="D451" s="39"/>
      <c r="E451" s="37"/>
      <c r="F451" s="39"/>
      <c r="G451" s="40" t="str">
        <f aca="false">IF(OR($E451="",$F451=""),"",$E451&amp;" - RT "&amp;$F451)</f>
        <v/>
      </c>
      <c r="H451" s="37"/>
      <c r="I451" s="38"/>
      <c r="J451" s="37"/>
      <c r="K451" s="39"/>
      <c r="L451" s="41"/>
      <c r="M451" s="36" t="str">
        <f aca="true">IF(OR($B451="",$L451=""),"",DATEDIF($L451,TODAY(),"Y"))</f>
        <v/>
      </c>
      <c r="N451" s="40" t="str">
        <f aca="false">IF($M451="","",INDEX(usia_label,MATCH($M451,usia_min,1)))</f>
        <v/>
      </c>
      <c r="O451" s="37"/>
      <c r="P451" s="41"/>
      <c r="Q451" s="37"/>
      <c r="R451" s="37"/>
      <c r="S451" s="40" t="str">
        <f aca="false">IF($G451="","",$G451&amp;"#"&amp;COUNTIF($G$4:$G451,$G451))</f>
        <v/>
      </c>
      <c r="T451" s="40" t="str">
        <f aca="false">IF($B451="","",IF($C451="","NIK kosong",IF(LEN($C451)&lt;&gt;16,"NIK bukan 16 digit",IF(COUNTIF($C$4:$C$2003,$C451&amp;"*")&gt;1,"NIK ganda",IF($E451="","Kadus kosong",IF($F451="","RT kosong",IF($H451="","Jabatan kosong",IF($I451="","No. HP kosong",IF($J451="","Alamat kosong",IF(AND($M451&lt;&gt;"",$M451&lt;17),"Usia di bawah 17",""))))))))))</f>
        <v/>
      </c>
      <c r="U451" s="40" t="str">
        <f aca="false">IF($B451="","",IF(AND(OR(CARI!$C$5="",ISNUMBER(SEARCH(CARI!$C$5,$B451&amp;" "&amp;$C451&amp;" "&amp;$I451&amp;" "&amp;$J451&amp;" "&amp;$Q451))),OR(CARI!$C$6="",$E451=CARI!$C$6),OR(CARI!$C$7="",$F451=CARI!$C$7),OR(CARI!$C$8="",$O451=CARI!$C$8)),MAX($U$3:U450)+1,""))</f>
        <v/>
      </c>
      <c r="V451" s="40" t="str">
        <f aca="false">IF($T451="","",MAX($V$3:V450)+1)</f>
        <v/>
      </c>
      <c r="W451" s="40" t="str">
        <f aca="false">IF($E451="","",$E451&amp;"#"&amp;COUNTIF($E$4:$E451,$E451))</f>
        <v/>
      </c>
      <c r="X451" s="40" t="str">
        <f aca="false">IF($B451="","",IF(AND(OR(CETAK!$J$10="",$E451=CETAK!$J$10),OR(CETAK!$J$11="",$F451=CETAK!$J$11),OR(CETAK!$J$12="",$K451=CETAK!$J$12),OR(CETAK!$J$13="",$H451=CETAK!$J$13),OR(CETAK!$J$14="",$O451=CETAK!$J$14)),MAX($X$3:X450)+1,""))</f>
        <v/>
      </c>
      <c r="Y451" s="40" t="str">
        <f aca="false">IF($B451="","",IF(AND(OR(ABSENSI!$H$10="",$E451=ABSENSI!$H$10),OR(ABSENSI!$H$11="",$F451=ABSENSI!$H$11),OR(ABSENSI!$H$12="",$K451=ABSENSI!$H$12)),MAX($Y$3:Y450)+1,""))</f>
        <v/>
      </c>
      <c r="Z451" s="40" t="str">
        <f aca="false">IF($B451="","",IF(AND(OR(KARTU!$K$6="",$E451=KARTU!$K$6),OR(KARTU!$K$7="",$F451=KARTU!$K$7),OR(KARTU!$K$8="",$K451=KARTU!$K$8)),MAX($Z$3:Z450)+1,""))</f>
        <v/>
      </c>
    </row>
    <row r="452" customFormat="false" ht="15" hidden="false" customHeight="false" outlineLevel="0" collapsed="false">
      <c r="A452" s="36" t="str">
        <f aca="false">IF($B452="","",COUNTA($B$4:$B452))</f>
        <v/>
      </c>
      <c r="B452" s="37"/>
      <c r="C452" s="38"/>
      <c r="D452" s="39"/>
      <c r="E452" s="37"/>
      <c r="F452" s="39"/>
      <c r="G452" s="40" t="str">
        <f aca="false">IF(OR($E452="",$F452=""),"",$E452&amp;" - RT "&amp;$F452)</f>
        <v/>
      </c>
      <c r="H452" s="37"/>
      <c r="I452" s="38"/>
      <c r="J452" s="37"/>
      <c r="K452" s="39"/>
      <c r="L452" s="41"/>
      <c r="M452" s="36" t="str">
        <f aca="true">IF(OR($B452="",$L452=""),"",DATEDIF($L452,TODAY(),"Y"))</f>
        <v/>
      </c>
      <c r="N452" s="40" t="str">
        <f aca="false">IF($M452="","",INDEX(usia_label,MATCH($M452,usia_min,1)))</f>
        <v/>
      </c>
      <c r="O452" s="37"/>
      <c r="P452" s="41"/>
      <c r="Q452" s="37"/>
      <c r="R452" s="37"/>
      <c r="S452" s="40" t="str">
        <f aca="false">IF($G452="","",$G452&amp;"#"&amp;COUNTIF($G$4:$G452,$G452))</f>
        <v/>
      </c>
      <c r="T452" s="40" t="str">
        <f aca="false">IF($B452="","",IF($C452="","NIK kosong",IF(LEN($C452)&lt;&gt;16,"NIK bukan 16 digit",IF(COUNTIF($C$4:$C$2003,$C452&amp;"*")&gt;1,"NIK ganda",IF($E452="","Kadus kosong",IF($F452="","RT kosong",IF($H452="","Jabatan kosong",IF($I452="","No. HP kosong",IF($J452="","Alamat kosong",IF(AND($M452&lt;&gt;"",$M452&lt;17),"Usia di bawah 17",""))))))))))</f>
        <v/>
      </c>
      <c r="U452" s="40" t="str">
        <f aca="false">IF($B452="","",IF(AND(OR(CARI!$C$5="",ISNUMBER(SEARCH(CARI!$C$5,$B452&amp;" "&amp;$C452&amp;" "&amp;$I452&amp;" "&amp;$J452&amp;" "&amp;$Q452))),OR(CARI!$C$6="",$E452=CARI!$C$6),OR(CARI!$C$7="",$F452=CARI!$C$7),OR(CARI!$C$8="",$O452=CARI!$C$8)),MAX($U$3:U451)+1,""))</f>
        <v/>
      </c>
      <c r="V452" s="40" t="str">
        <f aca="false">IF($T452="","",MAX($V$3:V451)+1)</f>
        <v/>
      </c>
      <c r="W452" s="40" t="str">
        <f aca="false">IF($E452="","",$E452&amp;"#"&amp;COUNTIF($E$4:$E452,$E452))</f>
        <v/>
      </c>
      <c r="X452" s="40" t="str">
        <f aca="false">IF($B452="","",IF(AND(OR(CETAK!$J$10="",$E452=CETAK!$J$10),OR(CETAK!$J$11="",$F452=CETAK!$J$11),OR(CETAK!$J$12="",$K452=CETAK!$J$12),OR(CETAK!$J$13="",$H452=CETAK!$J$13),OR(CETAK!$J$14="",$O452=CETAK!$J$14)),MAX($X$3:X451)+1,""))</f>
        <v/>
      </c>
      <c r="Y452" s="40" t="str">
        <f aca="false">IF($B452="","",IF(AND(OR(ABSENSI!$H$10="",$E452=ABSENSI!$H$10),OR(ABSENSI!$H$11="",$F452=ABSENSI!$H$11),OR(ABSENSI!$H$12="",$K452=ABSENSI!$H$12)),MAX($Y$3:Y451)+1,""))</f>
        <v/>
      </c>
      <c r="Z452" s="40" t="str">
        <f aca="false">IF($B452="","",IF(AND(OR(KARTU!$K$6="",$E452=KARTU!$K$6),OR(KARTU!$K$7="",$F452=KARTU!$K$7),OR(KARTU!$K$8="",$K452=KARTU!$K$8)),MAX($Z$3:Z451)+1,""))</f>
        <v/>
      </c>
    </row>
    <row r="453" customFormat="false" ht="15" hidden="false" customHeight="false" outlineLevel="0" collapsed="false">
      <c r="A453" s="36" t="str">
        <f aca="false">IF($B453="","",COUNTA($B$4:$B453))</f>
        <v/>
      </c>
      <c r="B453" s="37"/>
      <c r="C453" s="38"/>
      <c r="D453" s="39"/>
      <c r="E453" s="37"/>
      <c r="F453" s="39"/>
      <c r="G453" s="40" t="str">
        <f aca="false">IF(OR($E453="",$F453=""),"",$E453&amp;" - RT "&amp;$F453)</f>
        <v/>
      </c>
      <c r="H453" s="37"/>
      <c r="I453" s="38"/>
      <c r="J453" s="37"/>
      <c r="K453" s="39"/>
      <c r="L453" s="41"/>
      <c r="M453" s="36" t="str">
        <f aca="true">IF(OR($B453="",$L453=""),"",DATEDIF($L453,TODAY(),"Y"))</f>
        <v/>
      </c>
      <c r="N453" s="40" t="str">
        <f aca="false">IF($M453="","",INDEX(usia_label,MATCH($M453,usia_min,1)))</f>
        <v/>
      </c>
      <c r="O453" s="37"/>
      <c r="P453" s="41"/>
      <c r="Q453" s="37"/>
      <c r="R453" s="37"/>
      <c r="S453" s="40" t="str">
        <f aca="false">IF($G453="","",$G453&amp;"#"&amp;COUNTIF($G$4:$G453,$G453))</f>
        <v/>
      </c>
      <c r="T453" s="40" t="str">
        <f aca="false">IF($B453="","",IF($C453="","NIK kosong",IF(LEN($C453)&lt;&gt;16,"NIK bukan 16 digit",IF(COUNTIF($C$4:$C$2003,$C453&amp;"*")&gt;1,"NIK ganda",IF($E453="","Kadus kosong",IF($F453="","RT kosong",IF($H453="","Jabatan kosong",IF($I453="","No. HP kosong",IF($J453="","Alamat kosong",IF(AND($M453&lt;&gt;"",$M453&lt;17),"Usia di bawah 17",""))))))))))</f>
        <v/>
      </c>
      <c r="U453" s="40" t="str">
        <f aca="false">IF($B453="","",IF(AND(OR(CARI!$C$5="",ISNUMBER(SEARCH(CARI!$C$5,$B453&amp;" "&amp;$C453&amp;" "&amp;$I453&amp;" "&amp;$J453&amp;" "&amp;$Q453))),OR(CARI!$C$6="",$E453=CARI!$C$6),OR(CARI!$C$7="",$F453=CARI!$C$7),OR(CARI!$C$8="",$O453=CARI!$C$8)),MAX($U$3:U452)+1,""))</f>
        <v/>
      </c>
      <c r="V453" s="40" t="str">
        <f aca="false">IF($T453="","",MAX($V$3:V452)+1)</f>
        <v/>
      </c>
      <c r="W453" s="40" t="str">
        <f aca="false">IF($E453="","",$E453&amp;"#"&amp;COUNTIF($E$4:$E453,$E453))</f>
        <v/>
      </c>
      <c r="X453" s="40" t="str">
        <f aca="false">IF($B453="","",IF(AND(OR(CETAK!$J$10="",$E453=CETAK!$J$10),OR(CETAK!$J$11="",$F453=CETAK!$J$11),OR(CETAK!$J$12="",$K453=CETAK!$J$12),OR(CETAK!$J$13="",$H453=CETAK!$J$13),OR(CETAK!$J$14="",$O453=CETAK!$J$14)),MAX($X$3:X452)+1,""))</f>
        <v/>
      </c>
      <c r="Y453" s="40" t="str">
        <f aca="false">IF($B453="","",IF(AND(OR(ABSENSI!$H$10="",$E453=ABSENSI!$H$10),OR(ABSENSI!$H$11="",$F453=ABSENSI!$H$11),OR(ABSENSI!$H$12="",$K453=ABSENSI!$H$12)),MAX($Y$3:Y452)+1,""))</f>
        <v/>
      </c>
      <c r="Z453" s="40" t="str">
        <f aca="false">IF($B453="","",IF(AND(OR(KARTU!$K$6="",$E453=KARTU!$K$6),OR(KARTU!$K$7="",$F453=KARTU!$K$7),OR(KARTU!$K$8="",$K453=KARTU!$K$8)),MAX($Z$3:Z452)+1,""))</f>
        <v/>
      </c>
    </row>
    <row r="454" customFormat="false" ht="15" hidden="false" customHeight="false" outlineLevel="0" collapsed="false">
      <c r="A454" s="36" t="str">
        <f aca="false">IF($B454="","",COUNTA($B$4:$B454))</f>
        <v/>
      </c>
      <c r="B454" s="37"/>
      <c r="C454" s="38"/>
      <c r="D454" s="39"/>
      <c r="E454" s="37"/>
      <c r="F454" s="39"/>
      <c r="G454" s="40" t="str">
        <f aca="false">IF(OR($E454="",$F454=""),"",$E454&amp;" - RT "&amp;$F454)</f>
        <v/>
      </c>
      <c r="H454" s="37"/>
      <c r="I454" s="38"/>
      <c r="J454" s="37"/>
      <c r="K454" s="39"/>
      <c r="L454" s="41"/>
      <c r="M454" s="36" t="str">
        <f aca="true">IF(OR($B454="",$L454=""),"",DATEDIF($L454,TODAY(),"Y"))</f>
        <v/>
      </c>
      <c r="N454" s="40" t="str">
        <f aca="false">IF($M454="","",INDEX(usia_label,MATCH($M454,usia_min,1)))</f>
        <v/>
      </c>
      <c r="O454" s="37"/>
      <c r="P454" s="41"/>
      <c r="Q454" s="37"/>
      <c r="R454" s="37"/>
      <c r="S454" s="40" t="str">
        <f aca="false">IF($G454="","",$G454&amp;"#"&amp;COUNTIF($G$4:$G454,$G454))</f>
        <v/>
      </c>
      <c r="T454" s="40" t="str">
        <f aca="false">IF($B454="","",IF($C454="","NIK kosong",IF(LEN($C454)&lt;&gt;16,"NIK bukan 16 digit",IF(COUNTIF($C$4:$C$2003,$C454&amp;"*")&gt;1,"NIK ganda",IF($E454="","Kadus kosong",IF($F454="","RT kosong",IF($H454="","Jabatan kosong",IF($I454="","No. HP kosong",IF($J454="","Alamat kosong",IF(AND($M454&lt;&gt;"",$M454&lt;17),"Usia di bawah 17",""))))))))))</f>
        <v/>
      </c>
      <c r="U454" s="40" t="str">
        <f aca="false">IF($B454="","",IF(AND(OR(CARI!$C$5="",ISNUMBER(SEARCH(CARI!$C$5,$B454&amp;" "&amp;$C454&amp;" "&amp;$I454&amp;" "&amp;$J454&amp;" "&amp;$Q454))),OR(CARI!$C$6="",$E454=CARI!$C$6),OR(CARI!$C$7="",$F454=CARI!$C$7),OR(CARI!$C$8="",$O454=CARI!$C$8)),MAX($U$3:U453)+1,""))</f>
        <v/>
      </c>
      <c r="V454" s="40" t="str">
        <f aca="false">IF($T454="","",MAX($V$3:V453)+1)</f>
        <v/>
      </c>
      <c r="W454" s="40" t="str">
        <f aca="false">IF($E454="","",$E454&amp;"#"&amp;COUNTIF($E$4:$E454,$E454))</f>
        <v/>
      </c>
      <c r="X454" s="40" t="str">
        <f aca="false">IF($B454="","",IF(AND(OR(CETAK!$J$10="",$E454=CETAK!$J$10),OR(CETAK!$J$11="",$F454=CETAK!$J$11),OR(CETAK!$J$12="",$K454=CETAK!$J$12),OR(CETAK!$J$13="",$H454=CETAK!$J$13),OR(CETAK!$J$14="",$O454=CETAK!$J$14)),MAX($X$3:X453)+1,""))</f>
        <v/>
      </c>
      <c r="Y454" s="40" t="str">
        <f aca="false">IF($B454="","",IF(AND(OR(ABSENSI!$H$10="",$E454=ABSENSI!$H$10),OR(ABSENSI!$H$11="",$F454=ABSENSI!$H$11),OR(ABSENSI!$H$12="",$K454=ABSENSI!$H$12)),MAX($Y$3:Y453)+1,""))</f>
        <v/>
      </c>
      <c r="Z454" s="40" t="str">
        <f aca="false">IF($B454="","",IF(AND(OR(KARTU!$K$6="",$E454=KARTU!$K$6),OR(KARTU!$K$7="",$F454=KARTU!$K$7),OR(KARTU!$K$8="",$K454=KARTU!$K$8)),MAX($Z$3:Z453)+1,""))</f>
        <v/>
      </c>
    </row>
    <row r="455" customFormat="false" ht="15" hidden="false" customHeight="false" outlineLevel="0" collapsed="false">
      <c r="A455" s="36" t="str">
        <f aca="false">IF($B455="","",COUNTA($B$4:$B455))</f>
        <v/>
      </c>
      <c r="B455" s="37"/>
      <c r="C455" s="38"/>
      <c r="D455" s="39"/>
      <c r="E455" s="37"/>
      <c r="F455" s="39"/>
      <c r="G455" s="40" t="str">
        <f aca="false">IF(OR($E455="",$F455=""),"",$E455&amp;" - RT "&amp;$F455)</f>
        <v/>
      </c>
      <c r="H455" s="37"/>
      <c r="I455" s="38"/>
      <c r="J455" s="37"/>
      <c r="K455" s="39"/>
      <c r="L455" s="41"/>
      <c r="M455" s="36" t="str">
        <f aca="true">IF(OR($B455="",$L455=""),"",DATEDIF($L455,TODAY(),"Y"))</f>
        <v/>
      </c>
      <c r="N455" s="40" t="str">
        <f aca="false">IF($M455="","",INDEX(usia_label,MATCH($M455,usia_min,1)))</f>
        <v/>
      </c>
      <c r="O455" s="37"/>
      <c r="P455" s="41"/>
      <c r="Q455" s="37"/>
      <c r="R455" s="37"/>
      <c r="S455" s="40" t="str">
        <f aca="false">IF($G455="","",$G455&amp;"#"&amp;COUNTIF($G$4:$G455,$G455))</f>
        <v/>
      </c>
      <c r="T455" s="40" t="str">
        <f aca="false">IF($B455="","",IF($C455="","NIK kosong",IF(LEN($C455)&lt;&gt;16,"NIK bukan 16 digit",IF(COUNTIF($C$4:$C$2003,$C455&amp;"*")&gt;1,"NIK ganda",IF($E455="","Kadus kosong",IF($F455="","RT kosong",IF($H455="","Jabatan kosong",IF($I455="","No. HP kosong",IF($J455="","Alamat kosong",IF(AND($M455&lt;&gt;"",$M455&lt;17),"Usia di bawah 17",""))))))))))</f>
        <v/>
      </c>
      <c r="U455" s="40" t="str">
        <f aca="false">IF($B455="","",IF(AND(OR(CARI!$C$5="",ISNUMBER(SEARCH(CARI!$C$5,$B455&amp;" "&amp;$C455&amp;" "&amp;$I455&amp;" "&amp;$J455&amp;" "&amp;$Q455))),OR(CARI!$C$6="",$E455=CARI!$C$6),OR(CARI!$C$7="",$F455=CARI!$C$7),OR(CARI!$C$8="",$O455=CARI!$C$8)),MAX($U$3:U454)+1,""))</f>
        <v/>
      </c>
      <c r="V455" s="40" t="str">
        <f aca="false">IF($T455="","",MAX($V$3:V454)+1)</f>
        <v/>
      </c>
      <c r="W455" s="40" t="str">
        <f aca="false">IF($E455="","",$E455&amp;"#"&amp;COUNTIF($E$4:$E455,$E455))</f>
        <v/>
      </c>
      <c r="X455" s="40" t="str">
        <f aca="false">IF($B455="","",IF(AND(OR(CETAK!$J$10="",$E455=CETAK!$J$10),OR(CETAK!$J$11="",$F455=CETAK!$J$11),OR(CETAK!$J$12="",$K455=CETAK!$J$12),OR(CETAK!$J$13="",$H455=CETAK!$J$13),OR(CETAK!$J$14="",$O455=CETAK!$J$14)),MAX($X$3:X454)+1,""))</f>
        <v/>
      </c>
      <c r="Y455" s="40" t="str">
        <f aca="false">IF($B455="","",IF(AND(OR(ABSENSI!$H$10="",$E455=ABSENSI!$H$10),OR(ABSENSI!$H$11="",$F455=ABSENSI!$H$11),OR(ABSENSI!$H$12="",$K455=ABSENSI!$H$12)),MAX($Y$3:Y454)+1,""))</f>
        <v/>
      </c>
      <c r="Z455" s="40" t="str">
        <f aca="false">IF($B455="","",IF(AND(OR(KARTU!$K$6="",$E455=KARTU!$K$6),OR(KARTU!$K$7="",$F455=KARTU!$K$7),OR(KARTU!$K$8="",$K455=KARTU!$K$8)),MAX($Z$3:Z454)+1,""))</f>
        <v/>
      </c>
    </row>
    <row r="456" customFormat="false" ht="15" hidden="false" customHeight="false" outlineLevel="0" collapsed="false">
      <c r="A456" s="36" t="str">
        <f aca="false">IF($B456="","",COUNTA($B$4:$B456))</f>
        <v/>
      </c>
      <c r="B456" s="37"/>
      <c r="C456" s="38"/>
      <c r="D456" s="39"/>
      <c r="E456" s="37"/>
      <c r="F456" s="39"/>
      <c r="G456" s="40" t="str">
        <f aca="false">IF(OR($E456="",$F456=""),"",$E456&amp;" - RT "&amp;$F456)</f>
        <v/>
      </c>
      <c r="H456" s="37"/>
      <c r="I456" s="38"/>
      <c r="J456" s="37"/>
      <c r="K456" s="39"/>
      <c r="L456" s="41"/>
      <c r="M456" s="36" t="str">
        <f aca="true">IF(OR($B456="",$L456=""),"",DATEDIF($L456,TODAY(),"Y"))</f>
        <v/>
      </c>
      <c r="N456" s="40" t="str">
        <f aca="false">IF($M456="","",INDEX(usia_label,MATCH($M456,usia_min,1)))</f>
        <v/>
      </c>
      <c r="O456" s="37"/>
      <c r="P456" s="41"/>
      <c r="Q456" s="37"/>
      <c r="R456" s="37"/>
      <c r="S456" s="40" t="str">
        <f aca="false">IF($G456="","",$G456&amp;"#"&amp;COUNTIF($G$4:$G456,$G456))</f>
        <v/>
      </c>
      <c r="T456" s="40" t="str">
        <f aca="false">IF($B456="","",IF($C456="","NIK kosong",IF(LEN($C456)&lt;&gt;16,"NIK bukan 16 digit",IF(COUNTIF($C$4:$C$2003,$C456&amp;"*")&gt;1,"NIK ganda",IF($E456="","Kadus kosong",IF($F456="","RT kosong",IF($H456="","Jabatan kosong",IF($I456="","No. HP kosong",IF($J456="","Alamat kosong",IF(AND($M456&lt;&gt;"",$M456&lt;17),"Usia di bawah 17",""))))))))))</f>
        <v/>
      </c>
      <c r="U456" s="40" t="str">
        <f aca="false">IF($B456="","",IF(AND(OR(CARI!$C$5="",ISNUMBER(SEARCH(CARI!$C$5,$B456&amp;" "&amp;$C456&amp;" "&amp;$I456&amp;" "&amp;$J456&amp;" "&amp;$Q456))),OR(CARI!$C$6="",$E456=CARI!$C$6),OR(CARI!$C$7="",$F456=CARI!$C$7),OR(CARI!$C$8="",$O456=CARI!$C$8)),MAX($U$3:U455)+1,""))</f>
        <v/>
      </c>
      <c r="V456" s="40" t="str">
        <f aca="false">IF($T456="","",MAX($V$3:V455)+1)</f>
        <v/>
      </c>
      <c r="W456" s="40" t="str">
        <f aca="false">IF($E456="","",$E456&amp;"#"&amp;COUNTIF($E$4:$E456,$E456))</f>
        <v/>
      </c>
      <c r="X456" s="40" t="str">
        <f aca="false">IF($B456="","",IF(AND(OR(CETAK!$J$10="",$E456=CETAK!$J$10),OR(CETAK!$J$11="",$F456=CETAK!$J$11),OR(CETAK!$J$12="",$K456=CETAK!$J$12),OR(CETAK!$J$13="",$H456=CETAK!$J$13),OR(CETAK!$J$14="",$O456=CETAK!$J$14)),MAX($X$3:X455)+1,""))</f>
        <v/>
      </c>
      <c r="Y456" s="40" t="str">
        <f aca="false">IF($B456="","",IF(AND(OR(ABSENSI!$H$10="",$E456=ABSENSI!$H$10),OR(ABSENSI!$H$11="",$F456=ABSENSI!$H$11),OR(ABSENSI!$H$12="",$K456=ABSENSI!$H$12)),MAX($Y$3:Y455)+1,""))</f>
        <v/>
      </c>
      <c r="Z456" s="40" t="str">
        <f aca="false">IF($B456="","",IF(AND(OR(KARTU!$K$6="",$E456=KARTU!$K$6),OR(KARTU!$K$7="",$F456=KARTU!$K$7),OR(KARTU!$K$8="",$K456=KARTU!$K$8)),MAX($Z$3:Z455)+1,""))</f>
        <v/>
      </c>
    </row>
    <row r="457" customFormat="false" ht="15" hidden="false" customHeight="false" outlineLevel="0" collapsed="false">
      <c r="A457" s="36" t="str">
        <f aca="false">IF($B457="","",COUNTA($B$4:$B457))</f>
        <v/>
      </c>
      <c r="B457" s="37"/>
      <c r="C457" s="38"/>
      <c r="D457" s="39"/>
      <c r="E457" s="37"/>
      <c r="F457" s="39"/>
      <c r="G457" s="40" t="str">
        <f aca="false">IF(OR($E457="",$F457=""),"",$E457&amp;" - RT "&amp;$F457)</f>
        <v/>
      </c>
      <c r="H457" s="37"/>
      <c r="I457" s="38"/>
      <c r="J457" s="37"/>
      <c r="K457" s="39"/>
      <c r="L457" s="41"/>
      <c r="M457" s="36" t="str">
        <f aca="true">IF(OR($B457="",$L457=""),"",DATEDIF($L457,TODAY(),"Y"))</f>
        <v/>
      </c>
      <c r="N457" s="40" t="str">
        <f aca="false">IF($M457="","",INDEX(usia_label,MATCH($M457,usia_min,1)))</f>
        <v/>
      </c>
      <c r="O457" s="37"/>
      <c r="P457" s="41"/>
      <c r="Q457" s="37"/>
      <c r="R457" s="37"/>
      <c r="S457" s="40" t="str">
        <f aca="false">IF($G457="","",$G457&amp;"#"&amp;COUNTIF($G$4:$G457,$G457))</f>
        <v/>
      </c>
      <c r="T457" s="40" t="str">
        <f aca="false">IF($B457="","",IF($C457="","NIK kosong",IF(LEN($C457)&lt;&gt;16,"NIK bukan 16 digit",IF(COUNTIF($C$4:$C$2003,$C457&amp;"*")&gt;1,"NIK ganda",IF($E457="","Kadus kosong",IF($F457="","RT kosong",IF($H457="","Jabatan kosong",IF($I457="","No. HP kosong",IF($J457="","Alamat kosong",IF(AND($M457&lt;&gt;"",$M457&lt;17),"Usia di bawah 17",""))))))))))</f>
        <v/>
      </c>
      <c r="U457" s="40" t="str">
        <f aca="false">IF($B457="","",IF(AND(OR(CARI!$C$5="",ISNUMBER(SEARCH(CARI!$C$5,$B457&amp;" "&amp;$C457&amp;" "&amp;$I457&amp;" "&amp;$J457&amp;" "&amp;$Q457))),OR(CARI!$C$6="",$E457=CARI!$C$6),OR(CARI!$C$7="",$F457=CARI!$C$7),OR(CARI!$C$8="",$O457=CARI!$C$8)),MAX($U$3:U456)+1,""))</f>
        <v/>
      </c>
      <c r="V457" s="40" t="str">
        <f aca="false">IF($T457="","",MAX($V$3:V456)+1)</f>
        <v/>
      </c>
      <c r="W457" s="40" t="str">
        <f aca="false">IF($E457="","",$E457&amp;"#"&amp;COUNTIF($E$4:$E457,$E457))</f>
        <v/>
      </c>
      <c r="X457" s="40" t="str">
        <f aca="false">IF($B457="","",IF(AND(OR(CETAK!$J$10="",$E457=CETAK!$J$10),OR(CETAK!$J$11="",$F457=CETAK!$J$11),OR(CETAK!$J$12="",$K457=CETAK!$J$12),OR(CETAK!$J$13="",$H457=CETAK!$J$13),OR(CETAK!$J$14="",$O457=CETAK!$J$14)),MAX($X$3:X456)+1,""))</f>
        <v/>
      </c>
      <c r="Y457" s="40" t="str">
        <f aca="false">IF($B457="","",IF(AND(OR(ABSENSI!$H$10="",$E457=ABSENSI!$H$10),OR(ABSENSI!$H$11="",$F457=ABSENSI!$H$11),OR(ABSENSI!$H$12="",$K457=ABSENSI!$H$12)),MAX($Y$3:Y456)+1,""))</f>
        <v/>
      </c>
      <c r="Z457" s="40" t="str">
        <f aca="false">IF($B457="","",IF(AND(OR(KARTU!$K$6="",$E457=KARTU!$K$6),OR(KARTU!$K$7="",$F457=KARTU!$K$7),OR(KARTU!$K$8="",$K457=KARTU!$K$8)),MAX($Z$3:Z456)+1,""))</f>
        <v/>
      </c>
    </row>
    <row r="458" customFormat="false" ht="15" hidden="false" customHeight="false" outlineLevel="0" collapsed="false">
      <c r="A458" s="36" t="str">
        <f aca="false">IF($B458="","",COUNTA($B$4:$B458))</f>
        <v/>
      </c>
      <c r="B458" s="37"/>
      <c r="C458" s="38"/>
      <c r="D458" s="39"/>
      <c r="E458" s="37"/>
      <c r="F458" s="39"/>
      <c r="G458" s="40" t="str">
        <f aca="false">IF(OR($E458="",$F458=""),"",$E458&amp;" - RT "&amp;$F458)</f>
        <v/>
      </c>
      <c r="H458" s="37"/>
      <c r="I458" s="38"/>
      <c r="J458" s="37"/>
      <c r="K458" s="39"/>
      <c r="L458" s="41"/>
      <c r="M458" s="36" t="str">
        <f aca="true">IF(OR($B458="",$L458=""),"",DATEDIF($L458,TODAY(),"Y"))</f>
        <v/>
      </c>
      <c r="N458" s="40" t="str">
        <f aca="false">IF($M458="","",INDEX(usia_label,MATCH($M458,usia_min,1)))</f>
        <v/>
      </c>
      <c r="O458" s="37"/>
      <c r="P458" s="41"/>
      <c r="Q458" s="37"/>
      <c r="R458" s="37"/>
      <c r="S458" s="40" t="str">
        <f aca="false">IF($G458="","",$G458&amp;"#"&amp;COUNTIF($G$4:$G458,$G458))</f>
        <v/>
      </c>
      <c r="T458" s="40" t="str">
        <f aca="false">IF($B458="","",IF($C458="","NIK kosong",IF(LEN($C458)&lt;&gt;16,"NIK bukan 16 digit",IF(COUNTIF($C$4:$C$2003,$C458&amp;"*")&gt;1,"NIK ganda",IF($E458="","Kadus kosong",IF($F458="","RT kosong",IF($H458="","Jabatan kosong",IF($I458="","No. HP kosong",IF($J458="","Alamat kosong",IF(AND($M458&lt;&gt;"",$M458&lt;17),"Usia di bawah 17",""))))))))))</f>
        <v/>
      </c>
      <c r="U458" s="40" t="str">
        <f aca="false">IF($B458="","",IF(AND(OR(CARI!$C$5="",ISNUMBER(SEARCH(CARI!$C$5,$B458&amp;" "&amp;$C458&amp;" "&amp;$I458&amp;" "&amp;$J458&amp;" "&amp;$Q458))),OR(CARI!$C$6="",$E458=CARI!$C$6),OR(CARI!$C$7="",$F458=CARI!$C$7),OR(CARI!$C$8="",$O458=CARI!$C$8)),MAX($U$3:U457)+1,""))</f>
        <v/>
      </c>
      <c r="V458" s="40" t="str">
        <f aca="false">IF($T458="","",MAX($V$3:V457)+1)</f>
        <v/>
      </c>
      <c r="W458" s="40" t="str">
        <f aca="false">IF($E458="","",$E458&amp;"#"&amp;COUNTIF($E$4:$E458,$E458))</f>
        <v/>
      </c>
      <c r="X458" s="40" t="str">
        <f aca="false">IF($B458="","",IF(AND(OR(CETAK!$J$10="",$E458=CETAK!$J$10),OR(CETAK!$J$11="",$F458=CETAK!$J$11),OR(CETAK!$J$12="",$K458=CETAK!$J$12),OR(CETAK!$J$13="",$H458=CETAK!$J$13),OR(CETAK!$J$14="",$O458=CETAK!$J$14)),MAX($X$3:X457)+1,""))</f>
        <v/>
      </c>
      <c r="Y458" s="40" t="str">
        <f aca="false">IF($B458="","",IF(AND(OR(ABSENSI!$H$10="",$E458=ABSENSI!$H$10),OR(ABSENSI!$H$11="",$F458=ABSENSI!$H$11),OR(ABSENSI!$H$12="",$K458=ABSENSI!$H$12)),MAX($Y$3:Y457)+1,""))</f>
        <v/>
      </c>
      <c r="Z458" s="40" t="str">
        <f aca="false">IF($B458="","",IF(AND(OR(KARTU!$K$6="",$E458=KARTU!$K$6),OR(KARTU!$K$7="",$F458=KARTU!$K$7),OR(KARTU!$K$8="",$K458=KARTU!$K$8)),MAX($Z$3:Z457)+1,""))</f>
        <v/>
      </c>
    </row>
    <row r="459" customFormat="false" ht="15" hidden="false" customHeight="false" outlineLevel="0" collapsed="false">
      <c r="A459" s="36" t="str">
        <f aca="false">IF($B459="","",COUNTA($B$4:$B459))</f>
        <v/>
      </c>
      <c r="B459" s="37"/>
      <c r="C459" s="38"/>
      <c r="D459" s="39"/>
      <c r="E459" s="37"/>
      <c r="F459" s="39"/>
      <c r="G459" s="40" t="str">
        <f aca="false">IF(OR($E459="",$F459=""),"",$E459&amp;" - RT "&amp;$F459)</f>
        <v/>
      </c>
      <c r="H459" s="37"/>
      <c r="I459" s="38"/>
      <c r="J459" s="37"/>
      <c r="K459" s="39"/>
      <c r="L459" s="41"/>
      <c r="M459" s="36" t="str">
        <f aca="true">IF(OR($B459="",$L459=""),"",DATEDIF($L459,TODAY(),"Y"))</f>
        <v/>
      </c>
      <c r="N459" s="40" t="str">
        <f aca="false">IF($M459="","",INDEX(usia_label,MATCH($M459,usia_min,1)))</f>
        <v/>
      </c>
      <c r="O459" s="37"/>
      <c r="P459" s="41"/>
      <c r="Q459" s="37"/>
      <c r="R459" s="37"/>
      <c r="S459" s="40" t="str">
        <f aca="false">IF($G459="","",$G459&amp;"#"&amp;COUNTIF($G$4:$G459,$G459))</f>
        <v/>
      </c>
      <c r="T459" s="40" t="str">
        <f aca="false">IF($B459="","",IF($C459="","NIK kosong",IF(LEN($C459)&lt;&gt;16,"NIK bukan 16 digit",IF(COUNTIF($C$4:$C$2003,$C459&amp;"*")&gt;1,"NIK ganda",IF($E459="","Kadus kosong",IF($F459="","RT kosong",IF($H459="","Jabatan kosong",IF($I459="","No. HP kosong",IF($J459="","Alamat kosong",IF(AND($M459&lt;&gt;"",$M459&lt;17),"Usia di bawah 17",""))))))))))</f>
        <v/>
      </c>
      <c r="U459" s="40" t="str">
        <f aca="false">IF($B459="","",IF(AND(OR(CARI!$C$5="",ISNUMBER(SEARCH(CARI!$C$5,$B459&amp;" "&amp;$C459&amp;" "&amp;$I459&amp;" "&amp;$J459&amp;" "&amp;$Q459))),OR(CARI!$C$6="",$E459=CARI!$C$6),OR(CARI!$C$7="",$F459=CARI!$C$7),OR(CARI!$C$8="",$O459=CARI!$C$8)),MAX($U$3:U458)+1,""))</f>
        <v/>
      </c>
      <c r="V459" s="40" t="str">
        <f aca="false">IF($T459="","",MAX($V$3:V458)+1)</f>
        <v/>
      </c>
      <c r="W459" s="40" t="str">
        <f aca="false">IF($E459="","",$E459&amp;"#"&amp;COUNTIF($E$4:$E459,$E459))</f>
        <v/>
      </c>
      <c r="X459" s="40" t="str">
        <f aca="false">IF($B459="","",IF(AND(OR(CETAK!$J$10="",$E459=CETAK!$J$10),OR(CETAK!$J$11="",$F459=CETAK!$J$11),OR(CETAK!$J$12="",$K459=CETAK!$J$12),OR(CETAK!$J$13="",$H459=CETAK!$J$13),OR(CETAK!$J$14="",$O459=CETAK!$J$14)),MAX($X$3:X458)+1,""))</f>
        <v/>
      </c>
      <c r="Y459" s="40" t="str">
        <f aca="false">IF($B459="","",IF(AND(OR(ABSENSI!$H$10="",$E459=ABSENSI!$H$10),OR(ABSENSI!$H$11="",$F459=ABSENSI!$H$11),OR(ABSENSI!$H$12="",$K459=ABSENSI!$H$12)),MAX($Y$3:Y458)+1,""))</f>
        <v/>
      </c>
      <c r="Z459" s="40" t="str">
        <f aca="false">IF($B459="","",IF(AND(OR(KARTU!$K$6="",$E459=KARTU!$K$6),OR(KARTU!$K$7="",$F459=KARTU!$K$7),OR(KARTU!$K$8="",$K459=KARTU!$K$8)),MAX($Z$3:Z458)+1,""))</f>
        <v/>
      </c>
    </row>
    <row r="460" customFormat="false" ht="15" hidden="false" customHeight="false" outlineLevel="0" collapsed="false">
      <c r="A460" s="36" t="str">
        <f aca="false">IF($B460="","",COUNTA($B$4:$B460))</f>
        <v/>
      </c>
      <c r="B460" s="37"/>
      <c r="C460" s="38"/>
      <c r="D460" s="39"/>
      <c r="E460" s="37"/>
      <c r="F460" s="39"/>
      <c r="G460" s="40" t="str">
        <f aca="false">IF(OR($E460="",$F460=""),"",$E460&amp;" - RT "&amp;$F460)</f>
        <v/>
      </c>
      <c r="H460" s="37"/>
      <c r="I460" s="38"/>
      <c r="J460" s="37"/>
      <c r="K460" s="39"/>
      <c r="L460" s="41"/>
      <c r="M460" s="36" t="str">
        <f aca="true">IF(OR($B460="",$L460=""),"",DATEDIF($L460,TODAY(),"Y"))</f>
        <v/>
      </c>
      <c r="N460" s="40" t="str">
        <f aca="false">IF($M460="","",INDEX(usia_label,MATCH($M460,usia_min,1)))</f>
        <v/>
      </c>
      <c r="O460" s="37"/>
      <c r="P460" s="41"/>
      <c r="Q460" s="37"/>
      <c r="R460" s="37"/>
      <c r="S460" s="40" t="str">
        <f aca="false">IF($G460="","",$G460&amp;"#"&amp;COUNTIF($G$4:$G460,$G460))</f>
        <v/>
      </c>
      <c r="T460" s="40" t="str">
        <f aca="false">IF($B460="","",IF($C460="","NIK kosong",IF(LEN($C460)&lt;&gt;16,"NIK bukan 16 digit",IF(COUNTIF($C$4:$C$2003,$C460&amp;"*")&gt;1,"NIK ganda",IF($E460="","Kadus kosong",IF($F460="","RT kosong",IF($H460="","Jabatan kosong",IF($I460="","No. HP kosong",IF($J460="","Alamat kosong",IF(AND($M460&lt;&gt;"",$M460&lt;17),"Usia di bawah 17",""))))))))))</f>
        <v/>
      </c>
      <c r="U460" s="40" t="str">
        <f aca="false">IF($B460="","",IF(AND(OR(CARI!$C$5="",ISNUMBER(SEARCH(CARI!$C$5,$B460&amp;" "&amp;$C460&amp;" "&amp;$I460&amp;" "&amp;$J460&amp;" "&amp;$Q460))),OR(CARI!$C$6="",$E460=CARI!$C$6),OR(CARI!$C$7="",$F460=CARI!$C$7),OR(CARI!$C$8="",$O460=CARI!$C$8)),MAX($U$3:U459)+1,""))</f>
        <v/>
      </c>
      <c r="V460" s="40" t="str">
        <f aca="false">IF($T460="","",MAX($V$3:V459)+1)</f>
        <v/>
      </c>
      <c r="W460" s="40" t="str">
        <f aca="false">IF($E460="","",$E460&amp;"#"&amp;COUNTIF($E$4:$E460,$E460))</f>
        <v/>
      </c>
      <c r="X460" s="40" t="str">
        <f aca="false">IF($B460="","",IF(AND(OR(CETAK!$J$10="",$E460=CETAK!$J$10),OR(CETAK!$J$11="",$F460=CETAK!$J$11),OR(CETAK!$J$12="",$K460=CETAK!$J$12),OR(CETAK!$J$13="",$H460=CETAK!$J$13),OR(CETAK!$J$14="",$O460=CETAK!$J$14)),MAX($X$3:X459)+1,""))</f>
        <v/>
      </c>
      <c r="Y460" s="40" t="str">
        <f aca="false">IF($B460="","",IF(AND(OR(ABSENSI!$H$10="",$E460=ABSENSI!$H$10),OR(ABSENSI!$H$11="",$F460=ABSENSI!$H$11),OR(ABSENSI!$H$12="",$K460=ABSENSI!$H$12)),MAX($Y$3:Y459)+1,""))</f>
        <v/>
      </c>
      <c r="Z460" s="40" t="str">
        <f aca="false">IF($B460="","",IF(AND(OR(KARTU!$K$6="",$E460=KARTU!$K$6),OR(KARTU!$K$7="",$F460=KARTU!$K$7),OR(KARTU!$K$8="",$K460=KARTU!$K$8)),MAX($Z$3:Z459)+1,""))</f>
        <v/>
      </c>
    </row>
    <row r="461" customFormat="false" ht="15" hidden="false" customHeight="false" outlineLevel="0" collapsed="false">
      <c r="A461" s="36" t="str">
        <f aca="false">IF($B461="","",COUNTA($B$4:$B461))</f>
        <v/>
      </c>
      <c r="B461" s="37"/>
      <c r="C461" s="38"/>
      <c r="D461" s="39"/>
      <c r="E461" s="37"/>
      <c r="F461" s="39"/>
      <c r="G461" s="40" t="str">
        <f aca="false">IF(OR($E461="",$F461=""),"",$E461&amp;" - RT "&amp;$F461)</f>
        <v/>
      </c>
      <c r="H461" s="37"/>
      <c r="I461" s="38"/>
      <c r="J461" s="37"/>
      <c r="K461" s="39"/>
      <c r="L461" s="41"/>
      <c r="M461" s="36" t="str">
        <f aca="true">IF(OR($B461="",$L461=""),"",DATEDIF($L461,TODAY(),"Y"))</f>
        <v/>
      </c>
      <c r="N461" s="40" t="str">
        <f aca="false">IF($M461="","",INDEX(usia_label,MATCH($M461,usia_min,1)))</f>
        <v/>
      </c>
      <c r="O461" s="37"/>
      <c r="P461" s="41"/>
      <c r="Q461" s="37"/>
      <c r="R461" s="37"/>
      <c r="S461" s="40" t="str">
        <f aca="false">IF($G461="","",$G461&amp;"#"&amp;COUNTIF($G$4:$G461,$G461))</f>
        <v/>
      </c>
      <c r="T461" s="40" t="str">
        <f aca="false">IF($B461="","",IF($C461="","NIK kosong",IF(LEN($C461)&lt;&gt;16,"NIK bukan 16 digit",IF(COUNTIF($C$4:$C$2003,$C461&amp;"*")&gt;1,"NIK ganda",IF($E461="","Kadus kosong",IF($F461="","RT kosong",IF($H461="","Jabatan kosong",IF($I461="","No. HP kosong",IF($J461="","Alamat kosong",IF(AND($M461&lt;&gt;"",$M461&lt;17),"Usia di bawah 17",""))))))))))</f>
        <v/>
      </c>
      <c r="U461" s="40" t="str">
        <f aca="false">IF($B461="","",IF(AND(OR(CARI!$C$5="",ISNUMBER(SEARCH(CARI!$C$5,$B461&amp;" "&amp;$C461&amp;" "&amp;$I461&amp;" "&amp;$J461&amp;" "&amp;$Q461))),OR(CARI!$C$6="",$E461=CARI!$C$6),OR(CARI!$C$7="",$F461=CARI!$C$7),OR(CARI!$C$8="",$O461=CARI!$C$8)),MAX($U$3:U460)+1,""))</f>
        <v/>
      </c>
      <c r="V461" s="40" t="str">
        <f aca="false">IF($T461="","",MAX($V$3:V460)+1)</f>
        <v/>
      </c>
      <c r="W461" s="40" t="str">
        <f aca="false">IF($E461="","",$E461&amp;"#"&amp;COUNTIF($E$4:$E461,$E461))</f>
        <v/>
      </c>
      <c r="X461" s="40" t="str">
        <f aca="false">IF($B461="","",IF(AND(OR(CETAK!$J$10="",$E461=CETAK!$J$10),OR(CETAK!$J$11="",$F461=CETAK!$J$11),OR(CETAK!$J$12="",$K461=CETAK!$J$12),OR(CETAK!$J$13="",$H461=CETAK!$J$13),OR(CETAK!$J$14="",$O461=CETAK!$J$14)),MAX($X$3:X460)+1,""))</f>
        <v/>
      </c>
      <c r="Y461" s="40" t="str">
        <f aca="false">IF($B461="","",IF(AND(OR(ABSENSI!$H$10="",$E461=ABSENSI!$H$10),OR(ABSENSI!$H$11="",$F461=ABSENSI!$H$11),OR(ABSENSI!$H$12="",$K461=ABSENSI!$H$12)),MAX($Y$3:Y460)+1,""))</f>
        <v/>
      </c>
      <c r="Z461" s="40" t="str">
        <f aca="false">IF($B461="","",IF(AND(OR(KARTU!$K$6="",$E461=KARTU!$K$6),OR(KARTU!$K$7="",$F461=KARTU!$K$7),OR(KARTU!$K$8="",$K461=KARTU!$K$8)),MAX($Z$3:Z460)+1,""))</f>
        <v/>
      </c>
    </row>
    <row r="462" customFormat="false" ht="15" hidden="false" customHeight="false" outlineLevel="0" collapsed="false">
      <c r="A462" s="36" t="str">
        <f aca="false">IF($B462="","",COUNTA($B$4:$B462))</f>
        <v/>
      </c>
      <c r="B462" s="37"/>
      <c r="C462" s="38"/>
      <c r="D462" s="39"/>
      <c r="E462" s="37"/>
      <c r="F462" s="39"/>
      <c r="G462" s="40" t="str">
        <f aca="false">IF(OR($E462="",$F462=""),"",$E462&amp;" - RT "&amp;$F462)</f>
        <v/>
      </c>
      <c r="H462" s="37"/>
      <c r="I462" s="38"/>
      <c r="J462" s="37"/>
      <c r="K462" s="39"/>
      <c r="L462" s="41"/>
      <c r="M462" s="36" t="str">
        <f aca="true">IF(OR($B462="",$L462=""),"",DATEDIF($L462,TODAY(),"Y"))</f>
        <v/>
      </c>
      <c r="N462" s="40" t="str">
        <f aca="false">IF($M462="","",INDEX(usia_label,MATCH($M462,usia_min,1)))</f>
        <v/>
      </c>
      <c r="O462" s="37"/>
      <c r="P462" s="41"/>
      <c r="Q462" s="37"/>
      <c r="R462" s="37"/>
      <c r="S462" s="40" t="str">
        <f aca="false">IF($G462="","",$G462&amp;"#"&amp;COUNTIF($G$4:$G462,$G462))</f>
        <v/>
      </c>
      <c r="T462" s="40" t="str">
        <f aca="false">IF($B462="","",IF($C462="","NIK kosong",IF(LEN($C462)&lt;&gt;16,"NIK bukan 16 digit",IF(COUNTIF($C$4:$C$2003,$C462&amp;"*")&gt;1,"NIK ganda",IF($E462="","Kadus kosong",IF($F462="","RT kosong",IF($H462="","Jabatan kosong",IF($I462="","No. HP kosong",IF($J462="","Alamat kosong",IF(AND($M462&lt;&gt;"",$M462&lt;17),"Usia di bawah 17",""))))))))))</f>
        <v/>
      </c>
      <c r="U462" s="40" t="str">
        <f aca="false">IF($B462="","",IF(AND(OR(CARI!$C$5="",ISNUMBER(SEARCH(CARI!$C$5,$B462&amp;" "&amp;$C462&amp;" "&amp;$I462&amp;" "&amp;$J462&amp;" "&amp;$Q462))),OR(CARI!$C$6="",$E462=CARI!$C$6),OR(CARI!$C$7="",$F462=CARI!$C$7),OR(CARI!$C$8="",$O462=CARI!$C$8)),MAX($U$3:U461)+1,""))</f>
        <v/>
      </c>
      <c r="V462" s="40" t="str">
        <f aca="false">IF($T462="","",MAX($V$3:V461)+1)</f>
        <v/>
      </c>
      <c r="W462" s="40" t="str">
        <f aca="false">IF($E462="","",$E462&amp;"#"&amp;COUNTIF($E$4:$E462,$E462))</f>
        <v/>
      </c>
      <c r="X462" s="40" t="str">
        <f aca="false">IF($B462="","",IF(AND(OR(CETAK!$J$10="",$E462=CETAK!$J$10),OR(CETAK!$J$11="",$F462=CETAK!$J$11),OR(CETAK!$J$12="",$K462=CETAK!$J$12),OR(CETAK!$J$13="",$H462=CETAK!$J$13),OR(CETAK!$J$14="",$O462=CETAK!$J$14)),MAX($X$3:X461)+1,""))</f>
        <v/>
      </c>
      <c r="Y462" s="40" t="str">
        <f aca="false">IF($B462="","",IF(AND(OR(ABSENSI!$H$10="",$E462=ABSENSI!$H$10),OR(ABSENSI!$H$11="",$F462=ABSENSI!$H$11),OR(ABSENSI!$H$12="",$K462=ABSENSI!$H$12)),MAX($Y$3:Y461)+1,""))</f>
        <v/>
      </c>
      <c r="Z462" s="40" t="str">
        <f aca="false">IF($B462="","",IF(AND(OR(KARTU!$K$6="",$E462=KARTU!$K$6),OR(KARTU!$K$7="",$F462=KARTU!$K$7),OR(KARTU!$K$8="",$K462=KARTU!$K$8)),MAX($Z$3:Z461)+1,""))</f>
        <v/>
      </c>
    </row>
    <row r="463" customFormat="false" ht="15" hidden="false" customHeight="false" outlineLevel="0" collapsed="false">
      <c r="A463" s="36" t="str">
        <f aca="false">IF($B463="","",COUNTA($B$4:$B463))</f>
        <v/>
      </c>
      <c r="B463" s="37"/>
      <c r="C463" s="38"/>
      <c r="D463" s="39"/>
      <c r="E463" s="37"/>
      <c r="F463" s="39"/>
      <c r="G463" s="40" t="str">
        <f aca="false">IF(OR($E463="",$F463=""),"",$E463&amp;" - RT "&amp;$F463)</f>
        <v/>
      </c>
      <c r="H463" s="37"/>
      <c r="I463" s="38"/>
      <c r="J463" s="37"/>
      <c r="K463" s="39"/>
      <c r="L463" s="41"/>
      <c r="M463" s="36" t="str">
        <f aca="true">IF(OR($B463="",$L463=""),"",DATEDIF($L463,TODAY(),"Y"))</f>
        <v/>
      </c>
      <c r="N463" s="40" t="str">
        <f aca="false">IF($M463="","",INDEX(usia_label,MATCH($M463,usia_min,1)))</f>
        <v/>
      </c>
      <c r="O463" s="37"/>
      <c r="P463" s="41"/>
      <c r="Q463" s="37"/>
      <c r="R463" s="37"/>
      <c r="S463" s="40" t="str">
        <f aca="false">IF($G463="","",$G463&amp;"#"&amp;COUNTIF($G$4:$G463,$G463))</f>
        <v/>
      </c>
      <c r="T463" s="40" t="str">
        <f aca="false">IF($B463="","",IF($C463="","NIK kosong",IF(LEN($C463)&lt;&gt;16,"NIK bukan 16 digit",IF(COUNTIF($C$4:$C$2003,$C463&amp;"*")&gt;1,"NIK ganda",IF($E463="","Kadus kosong",IF($F463="","RT kosong",IF($H463="","Jabatan kosong",IF($I463="","No. HP kosong",IF($J463="","Alamat kosong",IF(AND($M463&lt;&gt;"",$M463&lt;17),"Usia di bawah 17",""))))))))))</f>
        <v/>
      </c>
      <c r="U463" s="40" t="str">
        <f aca="false">IF($B463="","",IF(AND(OR(CARI!$C$5="",ISNUMBER(SEARCH(CARI!$C$5,$B463&amp;" "&amp;$C463&amp;" "&amp;$I463&amp;" "&amp;$J463&amp;" "&amp;$Q463))),OR(CARI!$C$6="",$E463=CARI!$C$6),OR(CARI!$C$7="",$F463=CARI!$C$7),OR(CARI!$C$8="",$O463=CARI!$C$8)),MAX($U$3:U462)+1,""))</f>
        <v/>
      </c>
      <c r="V463" s="40" t="str">
        <f aca="false">IF($T463="","",MAX($V$3:V462)+1)</f>
        <v/>
      </c>
      <c r="W463" s="40" t="str">
        <f aca="false">IF($E463="","",$E463&amp;"#"&amp;COUNTIF($E$4:$E463,$E463))</f>
        <v/>
      </c>
      <c r="X463" s="40" t="str">
        <f aca="false">IF($B463="","",IF(AND(OR(CETAK!$J$10="",$E463=CETAK!$J$10),OR(CETAK!$J$11="",$F463=CETAK!$J$11),OR(CETAK!$J$12="",$K463=CETAK!$J$12),OR(CETAK!$J$13="",$H463=CETAK!$J$13),OR(CETAK!$J$14="",$O463=CETAK!$J$14)),MAX($X$3:X462)+1,""))</f>
        <v/>
      </c>
      <c r="Y463" s="40" t="str">
        <f aca="false">IF($B463="","",IF(AND(OR(ABSENSI!$H$10="",$E463=ABSENSI!$H$10),OR(ABSENSI!$H$11="",$F463=ABSENSI!$H$11),OR(ABSENSI!$H$12="",$K463=ABSENSI!$H$12)),MAX($Y$3:Y462)+1,""))</f>
        <v/>
      </c>
      <c r="Z463" s="40" t="str">
        <f aca="false">IF($B463="","",IF(AND(OR(KARTU!$K$6="",$E463=KARTU!$K$6),OR(KARTU!$K$7="",$F463=KARTU!$K$7),OR(KARTU!$K$8="",$K463=KARTU!$K$8)),MAX($Z$3:Z462)+1,""))</f>
        <v/>
      </c>
    </row>
    <row r="464" customFormat="false" ht="15" hidden="false" customHeight="false" outlineLevel="0" collapsed="false">
      <c r="A464" s="36" t="str">
        <f aca="false">IF($B464="","",COUNTA($B$4:$B464))</f>
        <v/>
      </c>
      <c r="B464" s="37"/>
      <c r="C464" s="38"/>
      <c r="D464" s="39"/>
      <c r="E464" s="37"/>
      <c r="F464" s="39"/>
      <c r="G464" s="40" t="str">
        <f aca="false">IF(OR($E464="",$F464=""),"",$E464&amp;" - RT "&amp;$F464)</f>
        <v/>
      </c>
      <c r="H464" s="37"/>
      <c r="I464" s="38"/>
      <c r="J464" s="37"/>
      <c r="K464" s="39"/>
      <c r="L464" s="41"/>
      <c r="M464" s="36" t="str">
        <f aca="true">IF(OR($B464="",$L464=""),"",DATEDIF($L464,TODAY(),"Y"))</f>
        <v/>
      </c>
      <c r="N464" s="40" t="str">
        <f aca="false">IF($M464="","",INDEX(usia_label,MATCH($M464,usia_min,1)))</f>
        <v/>
      </c>
      <c r="O464" s="37"/>
      <c r="P464" s="41"/>
      <c r="Q464" s="37"/>
      <c r="R464" s="37"/>
      <c r="S464" s="40" t="str">
        <f aca="false">IF($G464="","",$G464&amp;"#"&amp;COUNTIF($G$4:$G464,$G464))</f>
        <v/>
      </c>
      <c r="T464" s="40" t="str">
        <f aca="false">IF($B464="","",IF($C464="","NIK kosong",IF(LEN($C464)&lt;&gt;16,"NIK bukan 16 digit",IF(COUNTIF($C$4:$C$2003,$C464&amp;"*")&gt;1,"NIK ganda",IF($E464="","Kadus kosong",IF($F464="","RT kosong",IF($H464="","Jabatan kosong",IF($I464="","No. HP kosong",IF($J464="","Alamat kosong",IF(AND($M464&lt;&gt;"",$M464&lt;17),"Usia di bawah 17",""))))))))))</f>
        <v/>
      </c>
      <c r="U464" s="40" t="str">
        <f aca="false">IF($B464="","",IF(AND(OR(CARI!$C$5="",ISNUMBER(SEARCH(CARI!$C$5,$B464&amp;" "&amp;$C464&amp;" "&amp;$I464&amp;" "&amp;$J464&amp;" "&amp;$Q464))),OR(CARI!$C$6="",$E464=CARI!$C$6),OR(CARI!$C$7="",$F464=CARI!$C$7),OR(CARI!$C$8="",$O464=CARI!$C$8)),MAX($U$3:U463)+1,""))</f>
        <v/>
      </c>
      <c r="V464" s="40" t="str">
        <f aca="false">IF($T464="","",MAX($V$3:V463)+1)</f>
        <v/>
      </c>
      <c r="W464" s="40" t="str">
        <f aca="false">IF($E464="","",$E464&amp;"#"&amp;COUNTIF($E$4:$E464,$E464))</f>
        <v/>
      </c>
      <c r="X464" s="40" t="str">
        <f aca="false">IF($B464="","",IF(AND(OR(CETAK!$J$10="",$E464=CETAK!$J$10),OR(CETAK!$J$11="",$F464=CETAK!$J$11),OR(CETAK!$J$12="",$K464=CETAK!$J$12),OR(CETAK!$J$13="",$H464=CETAK!$J$13),OR(CETAK!$J$14="",$O464=CETAK!$J$14)),MAX($X$3:X463)+1,""))</f>
        <v/>
      </c>
      <c r="Y464" s="40" t="str">
        <f aca="false">IF($B464="","",IF(AND(OR(ABSENSI!$H$10="",$E464=ABSENSI!$H$10),OR(ABSENSI!$H$11="",$F464=ABSENSI!$H$11),OR(ABSENSI!$H$12="",$K464=ABSENSI!$H$12)),MAX($Y$3:Y463)+1,""))</f>
        <v/>
      </c>
      <c r="Z464" s="40" t="str">
        <f aca="false">IF($B464="","",IF(AND(OR(KARTU!$K$6="",$E464=KARTU!$K$6),OR(KARTU!$K$7="",$F464=KARTU!$K$7),OR(KARTU!$K$8="",$K464=KARTU!$K$8)),MAX($Z$3:Z463)+1,""))</f>
        <v/>
      </c>
    </row>
    <row r="465" customFormat="false" ht="15" hidden="false" customHeight="false" outlineLevel="0" collapsed="false">
      <c r="A465" s="36" t="str">
        <f aca="false">IF($B465="","",COUNTA($B$4:$B465))</f>
        <v/>
      </c>
      <c r="B465" s="37"/>
      <c r="C465" s="38"/>
      <c r="D465" s="39"/>
      <c r="E465" s="37"/>
      <c r="F465" s="39"/>
      <c r="G465" s="40" t="str">
        <f aca="false">IF(OR($E465="",$F465=""),"",$E465&amp;" - RT "&amp;$F465)</f>
        <v/>
      </c>
      <c r="H465" s="37"/>
      <c r="I465" s="38"/>
      <c r="J465" s="37"/>
      <c r="K465" s="39"/>
      <c r="L465" s="41"/>
      <c r="M465" s="36" t="str">
        <f aca="true">IF(OR($B465="",$L465=""),"",DATEDIF($L465,TODAY(),"Y"))</f>
        <v/>
      </c>
      <c r="N465" s="40" t="str">
        <f aca="false">IF($M465="","",INDEX(usia_label,MATCH($M465,usia_min,1)))</f>
        <v/>
      </c>
      <c r="O465" s="37"/>
      <c r="P465" s="41"/>
      <c r="Q465" s="37"/>
      <c r="R465" s="37"/>
      <c r="S465" s="40" t="str">
        <f aca="false">IF($G465="","",$G465&amp;"#"&amp;COUNTIF($G$4:$G465,$G465))</f>
        <v/>
      </c>
      <c r="T465" s="40" t="str">
        <f aca="false">IF($B465="","",IF($C465="","NIK kosong",IF(LEN($C465)&lt;&gt;16,"NIK bukan 16 digit",IF(COUNTIF($C$4:$C$2003,$C465&amp;"*")&gt;1,"NIK ganda",IF($E465="","Kadus kosong",IF($F465="","RT kosong",IF($H465="","Jabatan kosong",IF($I465="","No. HP kosong",IF($J465="","Alamat kosong",IF(AND($M465&lt;&gt;"",$M465&lt;17),"Usia di bawah 17",""))))))))))</f>
        <v/>
      </c>
      <c r="U465" s="40" t="str">
        <f aca="false">IF($B465="","",IF(AND(OR(CARI!$C$5="",ISNUMBER(SEARCH(CARI!$C$5,$B465&amp;" "&amp;$C465&amp;" "&amp;$I465&amp;" "&amp;$J465&amp;" "&amp;$Q465))),OR(CARI!$C$6="",$E465=CARI!$C$6),OR(CARI!$C$7="",$F465=CARI!$C$7),OR(CARI!$C$8="",$O465=CARI!$C$8)),MAX($U$3:U464)+1,""))</f>
        <v/>
      </c>
      <c r="V465" s="40" t="str">
        <f aca="false">IF($T465="","",MAX($V$3:V464)+1)</f>
        <v/>
      </c>
      <c r="W465" s="40" t="str">
        <f aca="false">IF($E465="","",$E465&amp;"#"&amp;COUNTIF($E$4:$E465,$E465))</f>
        <v/>
      </c>
      <c r="X465" s="40" t="str">
        <f aca="false">IF($B465="","",IF(AND(OR(CETAK!$J$10="",$E465=CETAK!$J$10),OR(CETAK!$J$11="",$F465=CETAK!$J$11),OR(CETAK!$J$12="",$K465=CETAK!$J$12),OR(CETAK!$J$13="",$H465=CETAK!$J$13),OR(CETAK!$J$14="",$O465=CETAK!$J$14)),MAX($X$3:X464)+1,""))</f>
        <v/>
      </c>
      <c r="Y465" s="40" t="str">
        <f aca="false">IF($B465="","",IF(AND(OR(ABSENSI!$H$10="",$E465=ABSENSI!$H$10),OR(ABSENSI!$H$11="",$F465=ABSENSI!$H$11),OR(ABSENSI!$H$12="",$K465=ABSENSI!$H$12)),MAX($Y$3:Y464)+1,""))</f>
        <v/>
      </c>
      <c r="Z465" s="40" t="str">
        <f aca="false">IF($B465="","",IF(AND(OR(KARTU!$K$6="",$E465=KARTU!$K$6),OR(KARTU!$K$7="",$F465=KARTU!$K$7),OR(KARTU!$K$8="",$K465=KARTU!$K$8)),MAX($Z$3:Z464)+1,""))</f>
        <v/>
      </c>
    </row>
    <row r="466" customFormat="false" ht="15" hidden="false" customHeight="false" outlineLevel="0" collapsed="false">
      <c r="A466" s="36" t="str">
        <f aca="false">IF($B466="","",COUNTA($B$4:$B466))</f>
        <v/>
      </c>
      <c r="B466" s="37"/>
      <c r="C466" s="38"/>
      <c r="D466" s="39"/>
      <c r="E466" s="37"/>
      <c r="F466" s="39"/>
      <c r="G466" s="40" t="str">
        <f aca="false">IF(OR($E466="",$F466=""),"",$E466&amp;" - RT "&amp;$F466)</f>
        <v/>
      </c>
      <c r="H466" s="37"/>
      <c r="I466" s="38"/>
      <c r="J466" s="37"/>
      <c r="K466" s="39"/>
      <c r="L466" s="41"/>
      <c r="M466" s="36" t="str">
        <f aca="true">IF(OR($B466="",$L466=""),"",DATEDIF($L466,TODAY(),"Y"))</f>
        <v/>
      </c>
      <c r="N466" s="40" t="str">
        <f aca="false">IF($M466="","",INDEX(usia_label,MATCH($M466,usia_min,1)))</f>
        <v/>
      </c>
      <c r="O466" s="37"/>
      <c r="P466" s="41"/>
      <c r="Q466" s="37"/>
      <c r="R466" s="37"/>
      <c r="S466" s="40" t="str">
        <f aca="false">IF($G466="","",$G466&amp;"#"&amp;COUNTIF($G$4:$G466,$G466))</f>
        <v/>
      </c>
      <c r="T466" s="40" t="str">
        <f aca="false">IF($B466="","",IF($C466="","NIK kosong",IF(LEN($C466)&lt;&gt;16,"NIK bukan 16 digit",IF(COUNTIF($C$4:$C$2003,$C466&amp;"*")&gt;1,"NIK ganda",IF($E466="","Kadus kosong",IF($F466="","RT kosong",IF($H466="","Jabatan kosong",IF($I466="","No. HP kosong",IF($J466="","Alamat kosong",IF(AND($M466&lt;&gt;"",$M466&lt;17),"Usia di bawah 17",""))))))))))</f>
        <v/>
      </c>
      <c r="U466" s="40" t="str">
        <f aca="false">IF($B466="","",IF(AND(OR(CARI!$C$5="",ISNUMBER(SEARCH(CARI!$C$5,$B466&amp;" "&amp;$C466&amp;" "&amp;$I466&amp;" "&amp;$J466&amp;" "&amp;$Q466))),OR(CARI!$C$6="",$E466=CARI!$C$6),OR(CARI!$C$7="",$F466=CARI!$C$7),OR(CARI!$C$8="",$O466=CARI!$C$8)),MAX($U$3:U465)+1,""))</f>
        <v/>
      </c>
      <c r="V466" s="40" t="str">
        <f aca="false">IF($T466="","",MAX($V$3:V465)+1)</f>
        <v/>
      </c>
      <c r="W466" s="40" t="str">
        <f aca="false">IF($E466="","",$E466&amp;"#"&amp;COUNTIF($E$4:$E466,$E466))</f>
        <v/>
      </c>
      <c r="X466" s="40" t="str">
        <f aca="false">IF($B466="","",IF(AND(OR(CETAK!$J$10="",$E466=CETAK!$J$10),OR(CETAK!$J$11="",$F466=CETAK!$J$11),OR(CETAK!$J$12="",$K466=CETAK!$J$12),OR(CETAK!$J$13="",$H466=CETAK!$J$13),OR(CETAK!$J$14="",$O466=CETAK!$J$14)),MAX($X$3:X465)+1,""))</f>
        <v/>
      </c>
      <c r="Y466" s="40" t="str">
        <f aca="false">IF($B466="","",IF(AND(OR(ABSENSI!$H$10="",$E466=ABSENSI!$H$10),OR(ABSENSI!$H$11="",$F466=ABSENSI!$H$11),OR(ABSENSI!$H$12="",$K466=ABSENSI!$H$12)),MAX($Y$3:Y465)+1,""))</f>
        <v/>
      </c>
      <c r="Z466" s="40" t="str">
        <f aca="false">IF($B466="","",IF(AND(OR(KARTU!$K$6="",$E466=KARTU!$K$6),OR(KARTU!$K$7="",$F466=KARTU!$K$7),OR(KARTU!$K$8="",$K466=KARTU!$K$8)),MAX($Z$3:Z465)+1,""))</f>
        <v/>
      </c>
    </row>
    <row r="467" customFormat="false" ht="15" hidden="false" customHeight="false" outlineLevel="0" collapsed="false">
      <c r="A467" s="36" t="str">
        <f aca="false">IF($B467="","",COUNTA($B$4:$B467))</f>
        <v/>
      </c>
      <c r="B467" s="37"/>
      <c r="C467" s="38"/>
      <c r="D467" s="39"/>
      <c r="E467" s="37"/>
      <c r="F467" s="39"/>
      <c r="G467" s="40" t="str">
        <f aca="false">IF(OR($E467="",$F467=""),"",$E467&amp;" - RT "&amp;$F467)</f>
        <v/>
      </c>
      <c r="H467" s="37"/>
      <c r="I467" s="38"/>
      <c r="J467" s="37"/>
      <c r="K467" s="39"/>
      <c r="L467" s="41"/>
      <c r="M467" s="36" t="str">
        <f aca="true">IF(OR($B467="",$L467=""),"",DATEDIF($L467,TODAY(),"Y"))</f>
        <v/>
      </c>
      <c r="N467" s="40" t="str">
        <f aca="false">IF($M467="","",INDEX(usia_label,MATCH($M467,usia_min,1)))</f>
        <v/>
      </c>
      <c r="O467" s="37"/>
      <c r="P467" s="41"/>
      <c r="Q467" s="37"/>
      <c r="R467" s="37"/>
      <c r="S467" s="40" t="str">
        <f aca="false">IF($G467="","",$G467&amp;"#"&amp;COUNTIF($G$4:$G467,$G467))</f>
        <v/>
      </c>
      <c r="T467" s="40" t="str">
        <f aca="false">IF($B467="","",IF($C467="","NIK kosong",IF(LEN($C467)&lt;&gt;16,"NIK bukan 16 digit",IF(COUNTIF($C$4:$C$2003,$C467&amp;"*")&gt;1,"NIK ganda",IF($E467="","Kadus kosong",IF($F467="","RT kosong",IF($H467="","Jabatan kosong",IF($I467="","No. HP kosong",IF($J467="","Alamat kosong",IF(AND($M467&lt;&gt;"",$M467&lt;17),"Usia di bawah 17",""))))))))))</f>
        <v/>
      </c>
      <c r="U467" s="40" t="str">
        <f aca="false">IF($B467="","",IF(AND(OR(CARI!$C$5="",ISNUMBER(SEARCH(CARI!$C$5,$B467&amp;" "&amp;$C467&amp;" "&amp;$I467&amp;" "&amp;$J467&amp;" "&amp;$Q467))),OR(CARI!$C$6="",$E467=CARI!$C$6),OR(CARI!$C$7="",$F467=CARI!$C$7),OR(CARI!$C$8="",$O467=CARI!$C$8)),MAX($U$3:U466)+1,""))</f>
        <v/>
      </c>
      <c r="V467" s="40" t="str">
        <f aca="false">IF($T467="","",MAX($V$3:V466)+1)</f>
        <v/>
      </c>
      <c r="W467" s="40" t="str">
        <f aca="false">IF($E467="","",$E467&amp;"#"&amp;COUNTIF($E$4:$E467,$E467))</f>
        <v/>
      </c>
      <c r="X467" s="40" t="str">
        <f aca="false">IF($B467="","",IF(AND(OR(CETAK!$J$10="",$E467=CETAK!$J$10),OR(CETAK!$J$11="",$F467=CETAK!$J$11),OR(CETAK!$J$12="",$K467=CETAK!$J$12),OR(CETAK!$J$13="",$H467=CETAK!$J$13),OR(CETAK!$J$14="",$O467=CETAK!$J$14)),MAX($X$3:X466)+1,""))</f>
        <v/>
      </c>
      <c r="Y467" s="40" t="str">
        <f aca="false">IF($B467="","",IF(AND(OR(ABSENSI!$H$10="",$E467=ABSENSI!$H$10),OR(ABSENSI!$H$11="",$F467=ABSENSI!$H$11),OR(ABSENSI!$H$12="",$K467=ABSENSI!$H$12)),MAX($Y$3:Y466)+1,""))</f>
        <v/>
      </c>
      <c r="Z467" s="40" t="str">
        <f aca="false">IF($B467="","",IF(AND(OR(KARTU!$K$6="",$E467=KARTU!$K$6),OR(KARTU!$K$7="",$F467=KARTU!$K$7),OR(KARTU!$K$8="",$K467=KARTU!$K$8)),MAX($Z$3:Z466)+1,""))</f>
        <v/>
      </c>
    </row>
    <row r="468" customFormat="false" ht="15" hidden="false" customHeight="false" outlineLevel="0" collapsed="false">
      <c r="A468" s="36" t="str">
        <f aca="false">IF($B468="","",COUNTA($B$4:$B468))</f>
        <v/>
      </c>
      <c r="B468" s="37"/>
      <c r="C468" s="38"/>
      <c r="D468" s="39"/>
      <c r="E468" s="37"/>
      <c r="F468" s="39"/>
      <c r="G468" s="40" t="str">
        <f aca="false">IF(OR($E468="",$F468=""),"",$E468&amp;" - RT "&amp;$F468)</f>
        <v/>
      </c>
      <c r="H468" s="37"/>
      <c r="I468" s="38"/>
      <c r="J468" s="37"/>
      <c r="K468" s="39"/>
      <c r="L468" s="41"/>
      <c r="M468" s="36" t="str">
        <f aca="true">IF(OR($B468="",$L468=""),"",DATEDIF($L468,TODAY(),"Y"))</f>
        <v/>
      </c>
      <c r="N468" s="40" t="str">
        <f aca="false">IF($M468="","",INDEX(usia_label,MATCH($M468,usia_min,1)))</f>
        <v/>
      </c>
      <c r="O468" s="37"/>
      <c r="P468" s="41"/>
      <c r="Q468" s="37"/>
      <c r="R468" s="37"/>
      <c r="S468" s="40" t="str">
        <f aca="false">IF($G468="","",$G468&amp;"#"&amp;COUNTIF($G$4:$G468,$G468))</f>
        <v/>
      </c>
      <c r="T468" s="40" t="str">
        <f aca="false">IF($B468="","",IF($C468="","NIK kosong",IF(LEN($C468)&lt;&gt;16,"NIK bukan 16 digit",IF(COUNTIF($C$4:$C$2003,$C468&amp;"*")&gt;1,"NIK ganda",IF($E468="","Kadus kosong",IF($F468="","RT kosong",IF($H468="","Jabatan kosong",IF($I468="","No. HP kosong",IF($J468="","Alamat kosong",IF(AND($M468&lt;&gt;"",$M468&lt;17),"Usia di bawah 17",""))))))))))</f>
        <v/>
      </c>
      <c r="U468" s="40" t="str">
        <f aca="false">IF($B468="","",IF(AND(OR(CARI!$C$5="",ISNUMBER(SEARCH(CARI!$C$5,$B468&amp;" "&amp;$C468&amp;" "&amp;$I468&amp;" "&amp;$J468&amp;" "&amp;$Q468))),OR(CARI!$C$6="",$E468=CARI!$C$6),OR(CARI!$C$7="",$F468=CARI!$C$7),OR(CARI!$C$8="",$O468=CARI!$C$8)),MAX($U$3:U467)+1,""))</f>
        <v/>
      </c>
      <c r="V468" s="40" t="str">
        <f aca="false">IF($T468="","",MAX($V$3:V467)+1)</f>
        <v/>
      </c>
      <c r="W468" s="40" t="str">
        <f aca="false">IF($E468="","",$E468&amp;"#"&amp;COUNTIF($E$4:$E468,$E468))</f>
        <v/>
      </c>
      <c r="X468" s="40" t="str">
        <f aca="false">IF($B468="","",IF(AND(OR(CETAK!$J$10="",$E468=CETAK!$J$10),OR(CETAK!$J$11="",$F468=CETAK!$J$11),OR(CETAK!$J$12="",$K468=CETAK!$J$12),OR(CETAK!$J$13="",$H468=CETAK!$J$13),OR(CETAK!$J$14="",$O468=CETAK!$J$14)),MAX($X$3:X467)+1,""))</f>
        <v/>
      </c>
      <c r="Y468" s="40" t="str">
        <f aca="false">IF($B468="","",IF(AND(OR(ABSENSI!$H$10="",$E468=ABSENSI!$H$10),OR(ABSENSI!$H$11="",$F468=ABSENSI!$H$11),OR(ABSENSI!$H$12="",$K468=ABSENSI!$H$12)),MAX($Y$3:Y467)+1,""))</f>
        <v/>
      </c>
      <c r="Z468" s="40" t="str">
        <f aca="false">IF($B468="","",IF(AND(OR(KARTU!$K$6="",$E468=KARTU!$K$6),OR(KARTU!$K$7="",$F468=KARTU!$K$7),OR(KARTU!$K$8="",$K468=KARTU!$K$8)),MAX($Z$3:Z467)+1,""))</f>
        <v/>
      </c>
    </row>
    <row r="469" customFormat="false" ht="15" hidden="false" customHeight="false" outlineLevel="0" collapsed="false">
      <c r="A469" s="36" t="str">
        <f aca="false">IF($B469="","",COUNTA($B$4:$B469))</f>
        <v/>
      </c>
      <c r="B469" s="37"/>
      <c r="C469" s="38"/>
      <c r="D469" s="39"/>
      <c r="E469" s="37"/>
      <c r="F469" s="39"/>
      <c r="G469" s="40" t="str">
        <f aca="false">IF(OR($E469="",$F469=""),"",$E469&amp;" - RT "&amp;$F469)</f>
        <v/>
      </c>
      <c r="H469" s="37"/>
      <c r="I469" s="38"/>
      <c r="J469" s="37"/>
      <c r="K469" s="39"/>
      <c r="L469" s="41"/>
      <c r="M469" s="36" t="str">
        <f aca="true">IF(OR($B469="",$L469=""),"",DATEDIF($L469,TODAY(),"Y"))</f>
        <v/>
      </c>
      <c r="N469" s="40" t="str">
        <f aca="false">IF($M469="","",INDEX(usia_label,MATCH($M469,usia_min,1)))</f>
        <v/>
      </c>
      <c r="O469" s="37"/>
      <c r="P469" s="41"/>
      <c r="Q469" s="37"/>
      <c r="R469" s="37"/>
      <c r="S469" s="40" t="str">
        <f aca="false">IF($G469="","",$G469&amp;"#"&amp;COUNTIF($G$4:$G469,$G469))</f>
        <v/>
      </c>
      <c r="T469" s="40" t="str">
        <f aca="false">IF($B469="","",IF($C469="","NIK kosong",IF(LEN($C469)&lt;&gt;16,"NIK bukan 16 digit",IF(COUNTIF($C$4:$C$2003,$C469&amp;"*")&gt;1,"NIK ganda",IF($E469="","Kadus kosong",IF($F469="","RT kosong",IF($H469="","Jabatan kosong",IF($I469="","No. HP kosong",IF($J469="","Alamat kosong",IF(AND($M469&lt;&gt;"",$M469&lt;17),"Usia di bawah 17",""))))))))))</f>
        <v/>
      </c>
      <c r="U469" s="40" t="str">
        <f aca="false">IF($B469="","",IF(AND(OR(CARI!$C$5="",ISNUMBER(SEARCH(CARI!$C$5,$B469&amp;" "&amp;$C469&amp;" "&amp;$I469&amp;" "&amp;$J469&amp;" "&amp;$Q469))),OR(CARI!$C$6="",$E469=CARI!$C$6),OR(CARI!$C$7="",$F469=CARI!$C$7),OR(CARI!$C$8="",$O469=CARI!$C$8)),MAX($U$3:U468)+1,""))</f>
        <v/>
      </c>
      <c r="V469" s="40" t="str">
        <f aca="false">IF($T469="","",MAX($V$3:V468)+1)</f>
        <v/>
      </c>
      <c r="W469" s="40" t="str">
        <f aca="false">IF($E469="","",$E469&amp;"#"&amp;COUNTIF($E$4:$E469,$E469))</f>
        <v/>
      </c>
      <c r="X469" s="40" t="str">
        <f aca="false">IF($B469="","",IF(AND(OR(CETAK!$J$10="",$E469=CETAK!$J$10),OR(CETAK!$J$11="",$F469=CETAK!$J$11),OR(CETAK!$J$12="",$K469=CETAK!$J$12),OR(CETAK!$J$13="",$H469=CETAK!$J$13),OR(CETAK!$J$14="",$O469=CETAK!$J$14)),MAX($X$3:X468)+1,""))</f>
        <v/>
      </c>
      <c r="Y469" s="40" t="str">
        <f aca="false">IF($B469="","",IF(AND(OR(ABSENSI!$H$10="",$E469=ABSENSI!$H$10),OR(ABSENSI!$H$11="",$F469=ABSENSI!$H$11),OR(ABSENSI!$H$12="",$K469=ABSENSI!$H$12)),MAX($Y$3:Y468)+1,""))</f>
        <v/>
      </c>
      <c r="Z469" s="40" t="str">
        <f aca="false">IF($B469="","",IF(AND(OR(KARTU!$K$6="",$E469=KARTU!$K$6),OR(KARTU!$K$7="",$F469=KARTU!$K$7),OR(KARTU!$K$8="",$K469=KARTU!$K$8)),MAX($Z$3:Z468)+1,""))</f>
        <v/>
      </c>
    </row>
    <row r="470" customFormat="false" ht="15" hidden="false" customHeight="false" outlineLevel="0" collapsed="false">
      <c r="A470" s="36" t="str">
        <f aca="false">IF($B470="","",COUNTA($B$4:$B470))</f>
        <v/>
      </c>
      <c r="B470" s="37"/>
      <c r="C470" s="38"/>
      <c r="D470" s="39"/>
      <c r="E470" s="37"/>
      <c r="F470" s="39"/>
      <c r="G470" s="40" t="str">
        <f aca="false">IF(OR($E470="",$F470=""),"",$E470&amp;" - RT "&amp;$F470)</f>
        <v/>
      </c>
      <c r="H470" s="37"/>
      <c r="I470" s="38"/>
      <c r="J470" s="37"/>
      <c r="K470" s="39"/>
      <c r="L470" s="41"/>
      <c r="M470" s="36" t="str">
        <f aca="true">IF(OR($B470="",$L470=""),"",DATEDIF($L470,TODAY(),"Y"))</f>
        <v/>
      </c>
      <c r="N470" s="40" t="str">
        <f aca="false">IF($M470="","",INDEX(usia_label,MATCH($M470,usia_min,1)))</f>
        <v/>
      </c>
      <c r="O470" s="37"/>
      <c r="P470" s="41"/>
      <c r="Q470" s="37"/>
      <c r="R470" s="37"/>
      <c r="S470" s="40" t="str">
        <f aca="false">IF($G470="","",$G470&amp;"#"&amp;COUNTIF($G$4:$G470,$G470))</f>
        <v/>
      </c>
      <c r="T470" s="40" t="str">
        <f aca="false">IF($B470="","",IF($C470="","NIK kosong",IF(LEN($C470)&lt;&gt;16,"NIK bukan 16 digit",IF(COUNTIF($C$4:$C$2003,$C470&amp;"*")&gt;1,"NIK ganda",IF($E470="","Kadus kosong",IF($F470="","RT kosong",IF($H470="","Jabatan kosong",IF($I470="","No. HP kosong",IF($J470="","Alamat kosong",IF(AND($M470&lt;&gt;"",$M470&lt;17),"Usia di bawah 17",""))))))))))</f>
        <v/>
      </c>
      <c r="U470" s="40" t="str">
        <f aca="false">IF($B470="","",IF(AND(OR(CARI!$C$5="",ISNUMBER(SEARCH(CARI!$C$5,$B470&amp;" "&amp;$C470&amp;" "&amp;$I470&amp;" "&amp;$J470&amp;" "&amp;$Q470))),OR(CARI!$C$6="",$E470=CARI!$C$6),OR(CARI!$C$7="",$F470=CARI!$C$7),OR(CARI!$C$8="",$O470=CARI!$C$8)),MAX($U$3:U469)+1,""))</f>
        <v/>
      </c>
      <c r="V470" s="40" t="str">
        <f aca="false">IF($T470="","",MAX($V$3:V469)+1)</f>
        <v/>
      </c>
      <c r="W470" s="40" t="str">
        <f aca="false">IF($E470="","",$E470&amp;"#"&amp;COUNTIF($E$4:$E470,$E470))</f>
        <v/>
      </c>
      <c r="X470" s="40" t="str">
        <f aca="false">IF($B470="","",IF(AND(OR(CETAK!$J$10="",$E470=CETAK!$J$10),OR(CETAK!$J$11="",$F470=CETAK!$J$11),OR(CETAK!$J$12="",$K470=CETAK!$J$12),OR(CETAK!$J$13="",$H470=CETAK!$J$13),OR(CETAK!$J$14="",$O470=CETAK!$J$14)),MAX($X$3:X469)+1,""))</f>
        <v/>
      </c>
      <c r="Y470" s="40" t="str">
        <f aca="false">IF($B470="","",IF(AND(OR(ABSENSI!$H$10="",$E470=ABSENSI!$H$10),OR(ABSENSI!$H$11="",$F470=ABSENSI!$H$11),OR(ABSENSI!$H$12="",$K470=ABSENSI!$H$12)),MAX($Y$3:Y469)+1,""))</f>
        <v/>
      </c>
      <c r="Z470" s="40" t="str">
        <f aca="false">IF($B470="","",IF(AND(OR(KARTU!$K$6="",$E470=KARTU!$K$6),OR(KARTU!$K$7="",$F470=KARTU!$K$7),OR(KARTU!$K$8="",$K470=KARTU!$K$8)),MAX($Z$3:Z469)+1,""))</f>
        <v/>
      </c>
    </row>
    <row r="471" customFormat="false" ht="15" hidden="false" customHeight="false" outlineLevel="0" collapsed="false">
      <c r="A471" s="36" t="str">
        <f aca="false">IF($B471="","",COUNTA($B$4:$B471))</f>
        <v/>
      </c>
      <c r="B471" s="37"/>
      <c r="C471" s="38"/>
      <c r="D471" s="39"/>
      <c r="E471" s="37"/>
      <c r="F471" s="39"/>
      <c r="G471" s="40" t="str">
        <f aca="false">IF(OR($E471="",$F471=""),"",$E471&amp;" - RT "&amp;$F471)</f>
        <v/>
      </c>
      <c r="H471" s="37"/>
      <c r="I471" s="38"/>
      <c r="J471" s="37"/>
      <c r="K471" s="39"/>
      <c r="L471" s="41"/>
      <c r="M471" s="36" t="str">
        <f aca="true">IF(OR($B471="",$L471=""),"",DATEDIF($L471,TODAY(),"Y"))</f>
        <v/>
      </c>
      <c r="N471" s="40" t="str">
        <f aca="false">IF($M471="","",INDEX(usia_label,MATCH($M471,usia_min,1)))</f>
        <v/>
      </c>
      <c r="O471" s="37"/>
      <c r="P471" s="41"/>
      <c r="Q471" s="37"/>
      <c r="R471" s="37"/>
      <c r="S471" s="40" t="str">
        <f aca="false">IF($G471="","",$G471&amp;"#"&amp;COUNTIF($G$4:$G471,$G471))</f>
        <v/>
      </c>
      <c r="T471" s="40" t="str">
        <f aca="false">IF($B471="","",IF($C471="","NIK kosong",IF(LEN($C471)&lt;&gt;16,"NIK bukan 16 digit",IF(COUNTIF($C$4:$C$2003,$C471&amp;"*")&gt;1,"NIK ganda",IF($E471="","Kadus kosong",IF($F471="","RT kosong",IF($H471="","Jabatan kosong",IF($I471="","No. HP kosong",IF($J471="","Alamat kosong",IF(AND($M471&lt;&gt;"",$M471&lt;17),"Usia di bawah 17",""))))))))))</f>
        <v/>
      </c>
      <c r="U471" s="40" t="str">
        <f aca="false">IF($B471="","",IF(AND(OR(CARI!$C$5="",ISNUMBER(SEARCH(CARI!$C$5,$B471&amp;" "&amp;$C471&amp;" "&amp;$I471&amp;" "&amp;$J471&amp;" "&amp;$Q471))),OR(CARI!$C$6="",$E471=CARI!$C$6),OR(CARI!$C$7="",$F471=CARI!$C$7),OR(CARI!$C$8="",$O471=CARI!$C$8)),MAX($U$3:U470)+1,""))</f>
        <v/>
      </c>
      <c r="V471" s="40" t="str">
        <f aca="false">IF($T471="","",MAX($V$3:V470)+1)</f>
        <v/>
      </c>
      <c r="W471" s="40" t="str">
        <f aca="false">IF($E471="","",$E471&amp;"#"&amp;COUNTIF($E$4:$E471,$E471))</f>
        <v/>
      </c>
      <c r="X471" s="40" t="str">
        <f aca="false">IF($B471="","",IF(AND(OR(CETAK!$J$10="",$E471=CETAK!$J$10),OR(CETAK!$J$11="",$F471=CETAK!$J$11),OR(CETAK!$J$12="",$K471=CETAK!$J$12),OR(CETAK!$J$13="",$H471=CETAK!$J$13),OR(CETAK!$J$14="",$O471=CETAK!$J$14)),MAX($X$3:X470)+1,""))</f>
        <v/>
      </c>
      <c r="Y471" s="40" t="str">
        <f aca="false">IF($B471="","",IF(AND(OR(ABSENSI!$H$10="",$E471=ABSENSI!$H$10),OR(ABSENSI!$H$11="",$F471=ABSENSI!$H$11),OR(ABSENSI!$H$12="",$K471=ABSENSI!$H$12)),MAX($Y$3:Y470)+1,""))</f>
        <v/>
      </c>
      <c r="Z471" s="40" t="str">
        <f aca="false">IF($B471="","",IF(AND(OR(KARTU!$K$6="",$E471=KARTU!$K$6),OR(KARTU!$K$7="",$F471=KARTU!$K$7),OR(KARTU!$K$8="",$K471=KARTU!$K$8)),MAX($Z$3:Z470)+1,""))</f>
        <v/>
      </c>
    </row>
    <row r="472" customFormat="false" ht="15" hidden="false" customHeight="false" outlineLevel="0" collapsed="false">
      <c r="A472" s="36" t="str">
        <f aca="false">IF($B472="","",COUNTA($B$4:$B472))</f>
        <v/>
      </c>
      <c r="B472" s="37"/>
      <c r="C472" s="38"/>
      <c r="D472" s="39"/>
      <c r="E472" s="37"/>
      <c r="F472" s="39"/>
      <c r="G472" s="40" t="str">
        <f aca="false">IF(OR($E472="",$F472=""),"",$E472&amp;" - RT "&amp;$F472)</f>
        <v/>
      </c>
      <c r="H472" s="37"/>
      <c r="I472" s="38"/>
      <c r="J472" s="37"/>
      <c r="K472" s="39"/>
      <c r="L472" s="41"/>
      <c r="M472" s="36" t="str">
        <f aca="true">IF(OR($B472="",$L472=""),"",DATEDIF($L472,TODAY(),"Y"))</f>
        <v/>
      </c>
      <c r="N472" s="40" t="str">
        <f aca="false">IF($M472="","",INDEX(usia_label,MATCH($M472,usia_min,1)))</f>
        <v/>
      </c>
      <c r="O472" s="37"/>
      <c r="P472" s="41"/>
      <c r="Q472" s="37"/>
      <c r="R472" s="37"/>
      <c r="S472" s="40" t="str">
        <f aca="false">IF($G472="","",$G472&amp;"#"&amp;COUNTIF($G$4:$G472,$G472))</f>
        <v/>
      </c>
      <c r="T472" s="40" t="str">
        <f aca="false">IF($B472="","",IF($C472="","NIK kosong",IF(LEN($C472)&lt;&gt;16,"NIK bukan 16 digit",IF(COUNTIF($C$4:$C$2003,$C472&amp;"*")&gt;1,"NIK ganda",IF($E472="","Kadus kosong",IF($F472="","RT kosong",IF($H472="","Jabatan kosong",IF($I472="","No. HP kosong",IF($J472="","Alamat kosong",IF(AND($M472&lt;&gt;"",$M472&lt;17),"Usia di bawah 17",""))))))))))</f>
        <v/>
      </c>
      <c r="U472" s="40" t="str">
        <f aca="false">IF($B472="","",IF(AND(OR(CARI!$C$5="",ISNUMBER(SEARCH(CARI!$C$5,$B472&amp;" "&amp;$C472&amp;" "&amp;$I472&amp;" "&amp;$J472&amp;" "&amp;$Q472))),OR(CARI!$C$6="",$E472=CARI!$C$6),OR(CARI!$C$7="",$F472=CARI!$C$7),OR(CARI!$C$8="",$O472=CARI!$C$8)),MAX($U$3:U471)+1,""))</f>
        <v/>
      </c>
      <c r="V472" s="40" t="str">
        <f aca="false">IF($T472="","",MAX($V$3:V471)+1)</f>
        <v/>
      </c>
      <c r="W472" s="40" t="str">
        <f aca="false">IF($E472="","",$E472&amp;"#"&amp;COUNTIF($E$4:$E472,$E472))</f>
        <v/>
      </c>
      <c r="X472" s="40" t="str">
        <f aca="false">IF($B472="","",IF(AND(OR(CETAK!$J$10="",$E472=CETAK!$J$10),OR(CETAK!$J$11="",$F472=CETAK!$J$11),OR(CETAK!$J$12="",$K472=CETAK!$J$12),OR(CETAK!$J$13="",$H472=CETAK!$J$13),OR(CETAK!$J$14="",$O472=CETAK!$J$14)),MAX($X$3:X471)+1,""))</f>
        <v/>
      </c>
      <c r="Y472" s="40" t="str">
        <f aca="false">IF($B472="","",IF(AND(OR(ABSENSI!$H$10="",$E472=ABSENSI!$H$10),OR(ABSENSI!$H$11="",$F472=ABSENSI!$H$11),OR(ABSENSI!$H$12="",$K472=ABSENSI!$H$12)),MAX($Y$3:Y471)+1,""))</f>
        <v/>
      </c>
      <c r="Z472" s="40" t="str">
        <f aca="false">IF($B472="","",IF(AND(OR(KARTU!$K$6="",$E472=KARTU!$K$6),OR(KARTU!$K$7="",$F472=KARTU!$K$7),OR(KARTU!$K$8="",$K472=KARTU!$K$8)),MAX($Z$3:Z471)+1,""))</f>
        <v/>
      </c>
    </row>
    <row r="473" customFormat="false" ht="15" hidden="false" customHeight="false" outlineLevel="0" collapsed="false">
      <c r="A473" s="36" t="str">
        <f aca="false">IF($B473="","",COUNTA($B$4:$B473))</f>
        <v/>
      </c>
      <c r="B473" s="37"/>
      <c r="C473" s="38"/>
      <c r="D473" s="39"/>
      <c r="E473" s="37"/>
      <c r="F473" s="39"/>
      <c r="G473" s="40" t="str">
        <f aca="false">IF(OR($E473="",$F473=""),"",$E473&amp;" - RT "&amp;$F473)</f>
        <v/>
      </c>
      <c r="H473" s="37"/>
      <c r="I473" s="38"/>
      <c r="J473" s="37"/>
      <c r="K473" s="39"/>
      <c r="L473" s="41"/>
      <c r="M473" s="36" t="str">
        <f aca="true">IF(OR($B473="",$L473=""),"",DATEDIF($L473,TODAY(),"Y"))</f>
        <v/>
      </c>
      <c r="N473" s="40" t="str">
        <f aca="false">IF($M473="","",INDEX(usia_label,MATCH($M473,usia_min,1)))</f>
        <v/>
      </c>
      <c r="O473" s="37"/>
      <c r="P473" s="41"/>
      <c r="Q473" s="37"/>
      <c r="R473" s="37"/>
      <c r="S473" s="40" t="str">
        <f aca="false">IF($G473="","",$G473&amp;"#"&amp;COUNTIF($G$4:$G473,$G473))</f>
        <v/>
      </c>
      <c r="T473" s="40" t="str">
        <f aca="false">IF($B473="","",IF($C473="","NIK kosong",IF(LEN($C473)&lt;&gt;16,"NIK bukan 16 digit",IF(COUNTIF($C$4:$C$2003,$C473&amp;"*")&gt;1,"NIK ganda",IF($E473="","Kadus kosong",IF($F473="","RT kosong",IF($H473="","Jabatan kosong",IF($I473="","No. HP kosong",IF($J473="","Alamat kosong",IF(AND($M473&lt;&gt;"",$M473&lt;17),"Usia di bawah 17",""))))))))))</f>
        <v/>
      </c>
      <c r="U473" s="40" t="str">
        <f aca="false">IF($B473="","",IF(AND(OR(CARI!$C$5="",ISNUMBER(SEARCH(CARI!$C$5,$B473&amp;" "&amp;$C473&amp;" "&amp;$I473&amp;" "&amp;$J473&amp;" "&amp;$Q473))),OR(CARI!$C$6="",$E473=CARI!$C$6),OR(CARI!$C$7="",$F473=CARI!$C$7),OR(CARI!$C$8="",$O473=CARI!$C$8)),MAX($U$3:U472)+1,""))</f>
        <v/>
      </c>
      <c r="V473" s="40" t="str">
        <f aca="false">IF($T473="","",MAX($V$3:V472)+1)</f>
        <v/>
      </c>
      <c r="W473" s="40" t="str">
        <f aca="false">IF($E473="","",$E473&amp;"#"&amp;COUNTIF($E$4:$E473,$E473))</f>
        <v/>
      </c>
      <c r="X473" s="40" t="str">
        <f aca="false">IF($B473="","",IF(AND(OR(CETAK!$J$10="",$E473=CETAK!$J$10),OR(CETAK!$J$11="",$F473=CETAK!$J$11),OR(CETAK!$J$12="",$K473=CETAK!$J$12),OR(CETAK!$J$13="",$H473=CETAK!$J$13),OR(CETAK!$J$14="",$O473=CETAK!$J$14)),MAX($X$3:X472)+1,""))</f>
        <v/>
      </c>
      <c r="Y473" s="40" t="str">
        <f aca="false">IF($B473="","",IF(AND(OR(ABSENSI!$H$10="",$E473=ABSENSI!$H$10),OR(ABSENSI!$H$11="",$F473=ABSENSI!$H$11),OR(ABSENSI!$H$12="",$K473=ABSENSI!$H$12)),MAX($Y$3:Y472)+1,""))</f>
        <v/>
      </c>
      <c r="Z473" s="40" t="str">
        <f aca="false">IF($B473="","",IF(AND(OR(KARTU!$K$6="",$E473=KARTU!$K$6),OR(KARTU!$K$7="",$F473=KARTU!$K$7),OR(KARTU!$K$8="",$K473=KARTU!$K$8)),MAX($Z$3:Z472)+1,""))</f>
        <v/>
      </c>
    </row>
    <row r="474" customFormat="false" ht="15" hidden="false" customHeight="false" outlineLevel="0" collapsed="false">
      <c r="A474" s="36" t="str">
        <f aca="false">IF($B474="","",COUNTA($B$4:$B474))</f>
        <v/>
      </c>
      <c r="B474" s="37"/>
      <c r="C474" s="38"/>
      <c r="D474" s="39"/>
      <c r="E474" s="37"/>
      <c r="F474" s="39"/>
      <c r="G474" s="40" t="str">
        <f aca="false">IF(OR($E474="",$F474=""),"",$E474&amp;" - RT "&amp;$F474)</f>
        <v/>
      </c>
      <c r="H474" s="37"/>
      <c r="I474" s="38"/>
      <c r="J474" s="37"/>
      <c r="K474" s="39"/>
      <c r="L474" s="41"/>
      <c r="M474" s="36" t="str">
        <f aca="true">IF(OR($B474="",$L474=""),"",DATEDIF($L474,TODAY(),"Y"))</f>
        <v/>
      </c>
      <c r="N474" s="40" t="str">
        <f aca="false">IF($M474="","",INDEX(usia_label,MATCH($M474,usia_min,1)))</f>
        <v/>
      </c>
      <c r="O474" s="37"/>
      <c r="P474" s="41"/>
      <c r="Q474" s="37"/>
      <c r="R474" s="37"/>
      <c r="S474" s="40" t="str">
        <f aca="false">IF($G474="","",$G474&amp;"#"&amp;COUNTIF($G$4:$G474,$G474))</f>
        <v/>
      </c>
      <c r="T474" s="40" t="str">
        <f aca="false">IF($B474="","",IF($C474="","NIK kosong",IF(LEN($C474)&lt;&gt;16,"NIK bukan 16 digit",IF(COUNTIF($C$4:$C$2003,$C474&amp;"*")&gt;1,"NIK ganda",IF($E474="","Kadus kosong",IF($F474="","RT kosong",IF($H474="","Jabatan kosong",IF($I474="","No. HP kosong",IF($J474="","Alamat kosong",IF(AND($M474&lt;&gt;"",$M474&lt;17),"Usia di bawah 17",""))))))))))</f>
        <v/>
      </c>
      <c r="U474" s="40" t="str">
        <f aca="false">IF($B474="","",IF(AND(OR(CARI!$C$5="",ISNUMBER(SEARCH(CARI!$C$5,$B474&amp;" "&amp;$C474&amp;" "&amp;$I474&amp;" "&amp;$J474&amp;" "&amp;$Q474))),OR(CARI!$C$6="",$E474=CARI!$C$6),OR(CARI!$C$7="",$F474=CARI!$C$7),OR(CARI!$C$8="",$O474=CARI!$C$8)),MAX($U$3:U473)+1,""))</f>
        <v/>
      </c>
      <c r="V474" s="40" t="str">
        <f aca="false">IF($T474="","",MAX($V$3:V473)+1)</f>
        <v/>
      </c>
      <c r="W474" s="40" t="str">
        <f aca="false">IF($E474="","",$E474&amp;"#"&amp;COUNTIF($E$4:$E474,$E474))</f>
        <v/>
      </c>
      <c r="X474" s="40" t="str">
        <f aca="false">IF($B474="","",IF(AND(OR(CETAK!$J$10="",$E474=CETAK!$J$10),OR(CETAK!$J$11="",$F474=CETAK!$J$11),OR(CETAK!$J$12="",$K474=CETAK!$J$12),OR(CETAK!$J$13="",$H474=CETAK!$J$13),OR(CETAK!$J$14="",$O474=CETAK!$J$14)),MAX($X$3:X473)+1,""))</f>
        <v/>
      </c>
      <c r="Y474" s="40" t="str">
        <f aca="false">IF($B474="","",IF(AND(OR(ABSENSI!$H$10="",$E474=ABSENSI!$H$10),OR(ABSENSI!$H$11="",$F474=ABSENSI!$H$11),OR(ABSENSI!$H$12="",$K474=ABSENSI!$H$12)),MAX($Y$3:Y473)+1,""))</f>
        <v/>
      </c>
      <c r="Z474" s="40" t="str">
        <f aca="false">IF($B474="","",IF(AND(OR(KARTU!$K$6="",$E474=KARTU!$K$6),OR(KARTU!$K$7="",$F474=KARTU!$K$7),OR(KARTU!$K$8="",$K474=KARTU!$K$8)),MAX($Z$3:Z473)+1,""))</f>
        <v/>
      </c>
    </row>
    <row r="475" customFormat="false" ht="15" hidden="false" customHeight="false" outlineLevel="0" collapsed="false">
      <c r="A475" s="36" t="str">
        <f aca="false">IF($B475="","",COUNTA($B$4:$B475))</f>
        <v/>
      </c>
      <c r="B475" s="37"/>
      <c r="C475" s="38"/>
      <c r="D475" s="39"/>
      <c r="E475" s="37"/>
      <c r="F475" s="39"/>
      <c r="G475" s="40" t="str">
        <f aca="false">IF(OR($E475="",$F475=""),"",$E475&amp;" - RT "&amp;$F475)</f>
        <v/>
      </c>
      <c r="H475" s="37"/>
      <c r="I475" s="38"/>
      <c r="J475" s="37"/>
      <c r="K475" s="39"/>
      <c r="L475" s="41"/>
      <c r="M475" s="36" t="str">
        <f aca="true">IF(OR($B475="",$L475=""),"",DATEDIF($L475,TODAY(),"Y"))</f>
        <v/>
      </c>
      <c r="N475" s="40" t="str">
        <f aca="false">IF($M475="","",INDEX(usia_label,MATCH($M475,usia_min,1)))</f>
        <v/>
      </c>
      <c r="O475" s="37"/>
      <c r="P475" s="41"/>
      <c r="Q475" s="37"/>
      <c r="R475" s="37"/>
      <c r="S475" s="40" t="str">
        <f aca="false">IF($G475="","",$G475&amp;"#"&amp;COUNTIF($G$4:$G475,$G475))</f>
        <v/>
      </c>
      <c r="T475" s="40" t="str">
        <f aca="false">IF($B475="","",IF($C475="","NIK kosong",IF(LEN($C475)&lt;&gt;16,"NIK bukan 16 digit",IF(COUNTIF($C$4:$C$2003,$C475&amp;"*")&gt;1,"NIK ganda",IF($E475="","Kadus kosong",IF($F475="","RT kosong",IF($H475="","Jabatan kosong",IF($I475="","No. HP kosong",IF($J475="","Alamat kosong",IF(AND($M475&lt;&gt;"",$M475&lt;17),"Usia di bawah 17",""))))))))))</f>
        <v/>
      </c>
      <c r="U475" s="40" t="str">
        <f aca="false">IF($B475="","",IF(AND(OR(CARI!$C$5="",ISNUMBER(SEARCH(CARI!$C$5,$B475&amp;" "&amp;$C475&amp;" "&amp;$I475&amp;" "&amp;$J475&amp;" "&amp;$Q475))),OR(CARI!$C$6="",$E475=CARI!$C$6),OR(CARI!$C$7="",$F475=CARI!$C$7),OR(CARI!$C$8="",$O475=CARI!$C$8)),MAX($U$3:U474)+1,""))</f>
        <v/>
      </c>
      <c r="V475" s="40" t="str">
        <f aca="false">IF($T475="","",MAX($V$3:V474)+1)</f>
        <v/>
      </c>
      <c r="W475" s="40" t="str">
        <f aca="false">IF($E475="","",$E475&amp;"#"&amp;COUNTIF($E$4:$E475,$E475))</f>
        <v/>
      </c>
      <c r="X475" s="40" t="str">
        <f aca="false">IF($B475="","",IF(AND(OR(CETAK!$J$10="",$E475=CETAK!$J$10),OR(CETAK!$J$11="",$F475=CETAK!$J$11),OR(CETAK!$J$12="",$K475=CETAK!$J$12),OR(CETAK!$J$13="",$H475=CETAK!$J$13),OR(CETAK!$J$14="",$O475=CETAK!$J$14)),MAX($X$3:X474)+1,""))</f>
        <v/>
      </c>
      <c r="Y475" s="40" t="str">
        <f aca="false">IF($B475="","",IF(AND(OR(ABSENSI!$H$10="",$E475=ABSENSI!$H$10),OR(ABSENSI!$H$11="",$F475=ABSENSI!$H$11),OR(ABSENSI!$H$12="",$K475=ABSENSI!$H$12)),MAX($Y$3:Y474)+1,""))</f>
        <v/>
      </c>
      <c r="Z475" s="40" t="str">
        <f aca="false">IF($B475="","",IF(AND(OR(KARTU!$K$6="",$E475=KARTU!$K$6),OR(KARTU!$K$7="",$F475=KARTU!$K$7),OR(KARTU!$K$8="",$K475=KARTU!$K$8)),MAX($Z$3:Z474)+1,""))</f>
        <v/>
      </c>
    </row>
    <row r="476" customFormat="false" ht="15" hidden="false" customHeight="false" outlineLevel="0" collapsed="false">
      <c r="A476" s="36" t="str">
        <f aca="false">IF($B476="","",COUNTA($B$4:$B476))</f>
        <v/>
      </c>
      <c r="B476" s="37"/>
      <c r="C476" s="38"/>
      <c r="D476" s="39"/>
      <c r="E476" s="37"/>
      <c r="F476" s="39"/>
      <c r="G476" s="40" t="str">
        <f aca="false">IF(OR($E476="",$F476=""),"",$E476&amp;" - RT "&amp;$F476)</f>
        <v/>
      </c>
      <c r="H476" s="37"/>
      <c r="I476" s="38"/>
      <c r="J476" s="37"/>
      <c r="K476" s="39"/>
      <c r="L476" s="41"/>
      <c r="M476" s="36" t="str">
        <f aca="true">IF(OR($B476="",$L476=""),"",DATEDIF($L476,TODAY(),"Y"))</f>
        <v/>
      </c>
      <c r="N476" s="40" t="str">
        <f aca="false">IF($M476="","",INDEX(usia_label,MATCH($M476,usia_min,1)))</f>
        <v/>
      </c>
      <c r="O476" s="37"/>
      <c r="P476" s="41"/>
      <c r="Q476" s="37"/>
      <c r="R476" s="37"/>
      <c r="S476" s="40" t="str">
        <f aca="false">IF($G476="","",$G476&amp;"#"&amp;COUNTIF($G$4:$G476,$G476))</f>
        <v/>
      </c>
      <c r="T476" s="40" t="str">
        <f aca="false">IF($B476="","",IF($C476="","NIK kosong",IF(LEN($C476)&lt;&gt;16,"NIK bukan 16 digit",IF(COUNTIF($C$4:$C$2003,$C476&amp;"*")&gt;1,"NIK ganda",IF($E476="","Kadus kosong",IF($F476="","RT kosong",IF($H476="","Jabatan kosong",IF($I476="","No. HP kosong",IF($J476="","Alamat kosong",IF(AND($M476&lt;&gt;"",$M476&lt;17),"Usia di bawah 17",""))))))))))</f>
        <v/>
      </c>
      <c r="U476" s="40" t="str">
        <f aca="false">IF($B476="","",IF(AND(OR(CARI!$C$5="",ISNUMBER(SEARCH(CARI!$C$5,$B476&amp;" "&amp;$C476&amp;" "&amp;$I476&amp;" "&amp;$J476&amp;" "&amp;$Q476))),OR(CARI!$C$6="",$E476=CARI!$C$6),OR(CARI!$C$7="",$F476=CARI!$C$7),OR(CARI!$C$8="",$O476=CARI!$C$8)),MAX($U$3:U475)+1,""))</f>
        <v/>
      </c>
      <c r="V476" s="40" t="str">
        <f aca="false">IF($T476="","",MAX($V$3:V475)+1)</f>
        <v/>
      </c>
      <c r="W476" s="40" t="str">
        <f aca="false">IF($E476="","",$E476&amp;"#"&amp;COUNTIF($E$4:$E476,$E476))</f>
        <v/>
      </c>
      <c r="X476" s="40" t="str">
        <f aca="false">IF($B476="","",IF(AND(OR(CETAK!$J$10="",$E476=CETAK!$J$10),OR(CETAK!$J$11="",$F476=CETAK!$J$11),OR(CETAK!$J$12="",$K476=CETAK!$J$12),OR(CETAK!$J$13="",$H476=CETAK!$J$13),OR(CETAK!$J$14="",$O476=CETAK!$J$14)),MAX($X$3:X475)+1,""))</f>
        <v/>
      </c>
      <c r="Y476" s="40" t="str">
        <f aca="false">IF($B476="","",IF(AND(OR(ABSENSI!$H$10="",$E476=ABSENSI!$H$10),OR(ABSENSI!$H$11="",$F476=ABSENSI!$H$11),OR(ABSENSI!$H$12="",$K476=ABSENSI!$H$12)),MAX($Y$3:Y475)+1,""))</f>
        <v/>
      </c>
      <c r="Z476" s="40" t="str">
        <f aca="false">IF($B476="","",IF(AND(OR(KARTU!$K$6="",$E476=KARTU!$K$6),OR(KARTU!$K$7="",$F476=KARTU!$K$7),OR(KARTU!$K$8="",$K476=KARTU!$K$8)),MAX($Z$3:Z475)+1,""))</f>
        <v/>
      </c>
    </row>
    <row r="477" customFormat="false" ht="15" hidden="false" customHeight="false" outlineLevel="0" collapsed="false">
      <c r="A477" s="36" t="str">
        <f aca="false">IF($B477="","",COUNTA($B$4:$B477))</f>
        <v/>
      </c>
      <c r="B477" s="37"/>
      <c r="C477" s="38"/>
      <c r="D477" s="39"/>
      <c r="E477" s="37"/>
      <c r="F477" s="39"/>
      <c r="G477" s="40" t="str">
        <f aca="false">IF(OR($E477="",$F477=""),"",$E477&amp;" - RT "&amp;$F477)</f>
        <v/>
      </c>
      <c r="H477" s="37"/>
      <c r="I477" s="38"/>
      <c r="J477" s="37"/>
      <c r="K477" s="39"/>
      <c r="L477" s="41"/>
      <c r="M477" s="36" t="str">
        <f aca="true">IF(OR($B477="",$L477=""),"",DATEDIF($L477,TODAY(),"Y"))</f>
        <v/>
      </c>
      <c r="N477" s="40" t="str">
        <f aca="false">IF($M477="","",INDEX(usia_label,MATCH($M477,usia_min,1)))</f>
        <v/>
      </c>
      <c r="O477" s="37"/>
      <c r="P477" s="41"/>
      <c r="Q477" s="37"/>
      <c r="R477" s="37"/>
      <c r="S477" s="40" t="str">
        <f aca="false">IF($G477="","",$G477&amp;"#"&amp;COUNTIF($G$4:$G477,$G477))</f>
        <v/>
      </c>
      <c r="T477" s="40" t="str">
        <f aca="false">IF($B477="","",IF($C477="","NIK kosong",IF(LEN($C477)&lt;&gt;16,"NIK bukan 16 digit",IF(COUNTIF($C$4:$C$2003,$C477&amp;"*")&gt;1,"NIK ganda",IF($E477="","Kadus kosong",IF($F477="","RT kosong",IF($H477="","Jabatan kosong",IF($I477="","No. HP kosong",IF($J477="","Alamat kosong",IF(AND($M477&lt;&gt;"",$M477&lt;17),"Usia di bawah 17",""))))))))))</f>
        <v/>
      </c>
      <c r="U477" s="40" t="str">
        <f aca="false">IF($B477="","",IF(AND(OR(CARI!$C$5="",ISNUMBER(SEARCH(CARI!$C$5,$B477&amp;" "&amp;$C477&amp;" "&amp;$I477&amp;" "&amp;$J477&amp;" "&amp;$Q477))),OR(CARI!$C$6="",$E477=CARI!$C$6),OR(CARI!$C$7="",$F477=CARI!$C$7),OR(CARI!$C$8="",$O477=CARI!$C$8)),MAX($U$3:U476)+1,""))</f>
        <v/>
      </c>
      <c r="V477" s="40" t="str">
        <f aca="false">IF($T477="","",MAX($V$3:V476)+1)</f>
        <v/>
      </c>
      <c r="W477" s="40" t="str">
        <f aca="false">IF($E477="","",$E477&amp;"#"&amp;COUNTIF($E$4:$E477,$E477))</f>
        <v/>
      </c>
      <c r="X477" s="40" t="str">
        <f aca="false">IF($B477="","",IF(AND(OR(CETAK!$J$10="",$E477=CETAK!$J$10),OR(CETAK!$J$11="",$F477=CETAK!$J$11),OR(CETAK!$J$12="",$K477=CETAK!$J$12),OR(CETAK!$J$13="",$H477=CETAK!$J$13),OR(CETAK!$J$14="",$O477=CETAK!$J$14)),MAX($X$3:X476)+1,""))</f>
        <v/>
      </c>
      <c r="Y477" s="40" t="str">
        <f aca="false">IF($B477="","",IF(AND(OR(ABSENSI!$H$10="",$E477=ABSENSI!$H$10),OR(ABSENSI!$H$11="",$F477=ABSENSI!$H$11),OR(ABSENSI!$H$12="",$K477=ABSENSI!$H$12)),MAX($Y$3:Y476)+1,""))</f>
        <v/>
      </c>
      <c r="Z477" s="40" t="str">
        <f aca="false">IF($B477="","",IF(AND(OR(KARTU!$K$6="",$E477=KARTU!$K$6),OR(KARTU!$K$7="",$F477=KARTU!$K$7),OR(KARTU!$K$8="",$K477=KARTU!$K$8)),MAX($Z$3:Z476)+1,""))</f>
        <v/>
      </c>
    </row>
    <row r="478" customFormat="false" ht="15" hidden="false" customHeight="false" outlineLevel="0" collapsed="false">
      <c r="A478" s="36" t="str">
        <f aca="false">IF($B478="","",COUNTA($B$4:$B478))</f>
        <v/>
      </c>
      <c r="B478" s="37"/>
      <c r="C478" s="38"/>
      <c r="D478" s="39"/>
      <c r="E478" s="37"/>
      <c r="F478" s="39"/>
      <c r="G478" s="40" t="str">
        <f aca="false">IF(OR($E478="",$F478=""),"",$E478&amp;" - RT "&amp;$F478)</f>
        <v/>
      </c>
      <c r="H478" s="37"/>
      <c r="I478" s="38"/>
      <c r="J478" s="37"/>
      <c r="K478" s="39"/>
      <c r="L478" s="41"/>
      <c r="M478" s="36" t="str">
        <f aca="true">IF(OR($B478="",$L478=""),"",DATEDIF($L478,TODAY(),"Y"))</f>
        <v/>
      </c>
      <c r="N478" s="40" t="str">
        <f aca="false">IF($M478="","",INDEX(usia_label,MATCH($M478,usia_min,1)))</f>
        <v/>
      </c>
      <c r="O478" s="37"/>
      <c r="P478" s="41"/>
      <c r="Q478" s="37"/>
      <c r="R478" s="37"/>
      <c r="S478" s="40" t="str">
        <f aca="false">IF($G478="","",$G478&amp;"#"&amp;COUNTIF($G$4:$G478,$G478))</f>
        <v/>
      </c>
      <c r="T478" s="40" t="str">
        <f aca="false">IF($B478="","",IF($C478="","NIK kosong",IF(LEN($C478)&lt;&gt;16,"NIK bukan 16 digit",IF(COUNTIF($C$4:$C$2003,$C478&amp;"*")&gt;1,"NIK ganda",IF($E478="","Kadus kosong",IF($F478="","RT kosong",IF($H478="","Jabatan kosong",IF($I478="","No. HP kosong",IF($J478="","Alamat kosong",IF(AND($M478&lt;&gt;"",$M478&lt;17),"Usia di bawah 17",""))))))))))</f>
        <v/>
      </c>
      <c r="U478" s="40" t="str">
        <f aca="false">IF($B478="","",IF(AND(OR(CARI!$C$5="",ISNUMBER(SEARCH(CARI!$C$5,$B478&amp;" "&amp;$C478&amp;" "&amp;$I478&amp;" "&amp;$J478&amp;" "&amp;$Q478))),OR(CARI!$C$6="",$E478=CARI!$C$6),OR(CARI!$C$7="",$F478=CARI!$C$7),OR(CARI!$C$8="",$O478=CARI!$C$8)),MAX($U$3:U477)+1,""))</f>
        <v/>
      </c>
      <c r="V478" s="40" t="str">
        <f aca="false">IF($T478="","",MAX($V$3:V477)+1)</f>
        <v/>
      </c>
      <c r="W478" s="40" t="str">
        <f aca="false">IF($E478="","",$E478&amp;"#"&amp;COUNTIF($E$4:$E478,$E478))</f>
        <v/>
      </c>
      <c r="X478" s="40" t="str">
        <f aca="false">IF($B478="","",IF(AND(OR(CETAK!$J$10="",$E478=CETAK!$J$10),OR(CETAK!$J$11="",$F478=CETAK!$J$11),OR(CETAK!$J$12="",$K478=CETAK!$J$12),OR(CETAK!$J$13="",$H478=CETAK!$J$13),OR(CETAK!$J$14="",$O478=CETAK!$J$14)),MAX($X$3:X477)+1,""))</f>
        <v/>
      </c>
      <c r="Y478" s="40" t="str">
        <f aca="false">IF($B478="","",IF(AND(OR(ABSENSI!$H$10="",$E478=ABSENSI!$H$10),OR(ABSENSI!$H$11="",$F478=ABSENSI!$H$11),OR(ABSENSI!$H$12="",$K478=ABSENSI!$H$12)),MAX($Y$3:Y477)+1,""))</f>
        <v/>
      </c>
      <c r="Z478" s="40" t="str">
        <f aca="false">IF($B478="","",IF(AND(OR(KARTU!$K$6="",$E478=KARTU!$K$6),OR(KARTU!$K$7="",$F478=KARTU!$K$7),OR(KARTU!$K$8="",$K478=KARTU!$K$8)),MAX($Z$3:Z477)+1,""))</f>
        <v/>
      </c>
    </row>
    <row r="479" customFormat="false" ht="15" hidden="false" customHeight="false" outlineLevel="0" collapsed="false">
      <c r="A479" s="36" t="str">
        <f aca="false">IF($B479="","",COUNTA($B$4:$B479))</f>
        <v/>
      </c>
      <c r="B479" s="37"/>
      <c r="C479" s="38"/>
      <c r="D479" s="39"/>
      <c r="E479" s="37"/>
      <c r="F479" s="39"/>
      <c r="G479" s="40" t="str">
        <f aca="false">IF(OR($E479="",$F479=""),"",$E479&amp;" - RT "&amp;$F479)</f>
        <v/>
      </c>
      <c r="H479" s="37"/>
      <c r="I479" s="38"/>
      <c r="J479" s="37"/>
      <c r="K479" s="39"/>
      <c r="L479" s="41"/>
      <c r="M479" s="36" t="str">
        <f aca="true">IF(OR($B479="",$L479=""),"",DATEDIF($L479,TODAY(),"Y"))</f>
        <v/>
      </c>
      <c r="N479" s="40" t="str">
        <f aca="false">IF($M479="","",INDEX(usia_label,MATCH($M479,usia_min,1)))</f>
        <v/>
      </c>
      <c r="O479" s="37"/>
      <c r="P479" s="41"/>
      <c r="Q479" s="37"/>
      <c r="R479" s="37"/>
      <c r="S479" s="40" t="str">
        <f aca="false">IF($G479="","",$G479&amp;"#"&amp;COUNTIF($G$4:$G479,$G479))</f>
        <v/>
      </c>
      <c r="T479" s="40" t="str">
        <f aca="false">IF($B479="","",IF($C479="","NIK kosong",IF(LEN($C479)&lt;&gt;16,"NIK bukan 16 digit",IF(COUNTIF($C$4:$C$2003,$C479&amp;"*")&gt;1,"NIK ganda",IF($E479="","Kadus kosong",IF($F479="","RT kosong",IF($H479="","Jabatan kosong",IF($I479="","No. HP kosong",IF($J479="","Alamat kosong",IF(AND($M479&lt;&gt;"",$M479&lt;17),"Usia di bawah 17",""))))))))))</f>
        <v/>
      </c>
      <c r="U479" s="40" t="str">
        <f aca="false">IF($B479="","",IF(AND(OR(CARI!$C$5="",ISNUMBER(SEARCH(CARI!$C$5,$B479&amp;" "&amp;$C479&amp;" "&amp;$I479&amp;" "&amp;$J479&amp;" "&amp;$Q479))),OR(CARI!$C$6="",$E479=CARI!$C$6),OR(CARI!$C$7="",$F479=CARI!$C$7),OR(CARI!$C$8="",$O479=CARI!$C$8)),MAX($U$3:U478)+1,""))</f>
        <v/>
      </c>
      <c r="V479" s="40" t="str">
        <f aca="false">IF($T479="","",MAX($V$3:V478)+1)</f>
        <v/>
      </c>
      <c r="W479" s="40" t="str">
        <f aca="false">IF($E479="","",$E479&amp;"#"&amp;COUNTIF($E$4:$E479,$E479))</f>
        <v/>
      </c>
      <c r="X479" s="40" t="str">
        <f aca="false">IF($B479="","",IF(AND(OR(CETAK!$J$10="",$E479=CETAK!$J$10),OR(CETAK!$J$11="",$F479=CETAK!$J$11),OR(CETAK!$J$12="",$K479=CETAK!$J$12),OR(CETAK!$J$13="",$H479=CETAK!$J$13),OR(CETAK!$J$14="",$O479=CETAK!$J$14)),MAX($X$3:X478)+1,""))</f>
        <v/>
      </c>
      <c r="Y479" s="40" t="str">
        <f aca="false">IF($B479="","",IF(AND(OR(ABSENSI!$H$10="",$E479=ABSENSI!$H$10),OR(ABSENSI!$H$11="",$F479=ABSENSI!$H$11),OR(ABSENSI!$H$12="",$K479=ABSENSI!$H$12)),MAX($Y$3:Y478)+1,""))</f>
        <v/>
      </c>
      <c r="Z479" s="40" t="str">
        <f aca="false">IF($B479="","",IF(AND(OR(KARTU!$K$6="",$E479=KARTU!$K$6),OR(KARTU!$K$7="",$F479=KARTU!$K$7),OR(KARTU!$K$8="",$K479=KARTU!$K$8)),MAX($Z$3:Z478)+1,""))</f>
        <v/>
      </c>
    </row>
    <row r="480" customFormat="false" ht="15" hidden="false" customHeight="false" outlineLevel="0" collapsed="false">
      <c r="A480" s="36" t="str">
        <f aca="false">IF($B480="","",COUNTA($B$4:$B480))</f>
        <v/>
      </c>
      <c r="B480" s="37"/>
      <c r="C480" s="38"/>
      <c r="D480" s="39"/>
      <c r="E480" s="37"/>
      <c r="F480" s="39"/>
      <c r="G480" s="40" t="str">
        <f aca="false">IF(OR($E480="",$F480=""),"",$E480&amp;" - RT "&amp;$F480)</f>
        <v/>
      </c>
      <c r="H480" s="37"/>
      <c r="I480" s="38"/>
      <c r="J480" s="37"/>
      <c r="K480" s="39"/>
      <c r="L480" s="41"/>
      <c r="M480" s="36" t="str">
        <f aca="true">IF(OR($B480="",$L480=""),"",DATEDIF($L480,TODAY(),"Y"))</f>
        <v/>
      </c>
      <c r="N480" s="40" t="str">
        <f aca="false">IF($M480="","",INDEX(usia_label,MATCH($M480,usia_min,1)))</f>
        <v/>
      </c>
      <c r="O480" s="37"/>
      <c r="P480" s="41"/>
      <c r="Q480" s="37"/>
      <c r="R480" s="37"/>
      <c r="S480" s="40" t="str">
        <f aca="false">IF($G480="","",$G480&amp;"#"&amp;COUNTIF($G$4:$G480,$G480))</f>
        <v/>
      </c>
      <c r="T480" s="40" t="str">
        <f aca="false">IF($B480="","",IF($C480="","NIK kosong",IF(LEN($C480)&lt;&gt;16,"NIK bukan 16 digit",IF(COUNTIF($C$4:$C$2003,$C480&amp;"*")&gt;1,"NIK ganda",IF($E480="","Kadus kosong",IF($F480="","RT kosong",IF($H480="","Jabatan kosong",IF($I480="","No. HP kosong",IF($J480="","Alamat kosong",IF(AND($M480&lt;&gt;"",$M480&lt;17),"Usia di bawah 17",""))))))))))</f>
        <v/>
      </c>
      <c r="U480" s="40" t="str">
        <f aca="false">IF($B480="","",IF(AND(OR(CARI!$C$5="",ISNUMBER(SEARCH(CARI!$C$5,$B480&amp;" "&amp;$C480&amp;" "&amp;$I480&amp;" "&amp;$J480&amp;" "&amp;$Q480))),OR(CARI!$C$6="",$E480=CARI!$C$6),OR(CARI!$C$7="",$F480=CARI!$C$7),OR(CARI!$C$8="",$O480=CARI!$C$8)),MAX($U$3:U479)+1,""))</f>
        <v/>
      </c>
      <c r="V480" s="40" t="str">
        <f aca="false">IF($T480="","",MAX($V$3:V479)+1)</f>
        <v/>
      </c>
      <c r="W480" s="40" t="str">
        <f aca="false">IF($E480="","",$E480&amp;"#"&amp;COUNTIF($E$4:$E480,$E480))</f>
        <v/>
      </c>
      <c r="X480" s="40" t="str">
        <f aca="false">IF($B480="","",IF(AND(OR(CETAK!$J$10="",$E480=CETAK!$J$10),OR(CETAK!$J$11="",$F480=CETAK!$J$11),OR(CETAK!$J$12="",$K480=CETAK!$J$12),OR(CETAK!$J$13="",$H480=CETAK!$J$13),OR(CETAK!$J$14="",$O480=CETAK!$J$14)),MAX($X$3:X479)+1,""))</f>
        <v/>
      </c>
      <c r="Y480" s="40" t="str">
        <f aca="false">IF($B480="","",IF(AND(OR(ABSENSI!$H$10="",$E480=ABSENSI!$H$10),OR(ABSENSI!$H$11="",$F480=ABSENSI!$H$11),OR(ABSENSI!$H$12="",$K480=ABSENSI!$H$12)),MAX($Y$3:Y479)+1,""))</f>
        <v/>
      </c>
      <c r="Z480" s="40" t="str">
        <f aca="false">IF($B480="","",IF(AND(OR(KARTU!$K$6="",$E480=KARTU!$K$6),OR(KARTU!$K$7="",$F480=KARTU!$K$7),OR(KARTU!$K$8="",$K480=KARTU!$K$8)),MAX($Z$3:Z479)+1,""))</f>
        <v/>
      </c>
    </row>
    <row r="481" customFormat="false" ht="15" hidden="false" customHeight="false" outlineLevel="0" collapsed="false">
      <c r="A481" s="36" t="str">
        <f aca="false">IF($B481="","",COUNTA($B$4:$B481))</f>
        <v/>
      </c>
      <c r="B481" s="37"/>
      <c r="C481" s="38"/>
      <c r="D481" s="39"/>
      <c r="E481" s="37"/>
      <c r="F481" s="39"/>
      <c r="G481" s="40" t="str">
        <f aca="false">IF(OR($E481="",$F481=""),"",$E481&amp;" - RT "&amp;$F481)</f>
        <v/>
      </c>
      <c r="H481" s="37"/>
      <c r="I481" s="38"/>
      <c r="J481" s="37"/>
      <c r="K481" s="39"/>
      <c r="L481" s="41"/>
      <c r="M481" s="36" t="str">
        <f aca="true">IF(OR($B481="",$L481=""),"",DATEDIF($L481,TODAY(),"Y"))</f>
        <v/>
      </c>
      <c r="N481" s="40" t="str">
        <f aca="false">IF($M481="","",INDEX(usia_label,MATCH($M481,usia_min,1)))</f>
        <v/>
      </c>
      <c r="O481" s="37"/>
      <c r="P481" s="41"/>
      <c r="Q481" s="37"/>
      <c r="R481" s="37"/>
      <c r="S481" s="40" t="str">
        <f aca="false">IF($G481="","",$G481&amp;"#"&amp;COUNTIF($G$4:$G481,$G481))</f>
        <v/>
      </c>
      <c r="T481" s="40" t="str">
        <f aca="false">IF($B481="","",IF($C481="","NIK kosong",IF(LEN($C481)&lt;&gt;16,"NIK bukan 16 digit",IF(COUNTIF($C$4:$C$2003,$C481&amp;"*")&gt;1,"NIK ganda",IF($E481="","Kadus kosong",IF($F481="","RT kosong",IF($H481="","Jabatan kosong",IF($I481="","No. HP kosong",IF($J481="","Alamat kosong",IF(AND($M481&lt;&gt;"",$M481&lt;17),"Usia di bawah 17",""))))))))))</f>
        <v/>
      </c>
      <c r="U481" s="40" t="str">
        <f aca="false">IF($B481="","",IF(AND(OR(CARI!$C$5="",ISNUMBER(SEARCH(CARI!$C$5,$B481&amp;" "&amp;$C481&amp;" "&amp;$I481&amp;" "&amp;$J481&amp;" "&amp;$Q481))),OR(CARI!$C$6="",$E481=CARI!$C$6),OR(CARI!$C$7="",$F481=CARI!$C$7),OR(CARI!$C$8="",$O481=CARI!$C$8)),MAX($U$3:U480)+1,""))</f>
        <v/>
      </c>
      <c r="V481" s="40" t="str">
        <f aca="false">IF($T481="","",MAX($V$3:V480)+1)</f>
        <v/>
      </c>
      <c r="W481" s="40" t="str">
        <f aca="false">IF($E481="","",$E481&amp;"#"&amp;COUNTIF($E$4:$E481,$E481))</f>
        <v/>
      </c>
      <c r="X481" s="40" t="str">
        <f aca="false">IF($B481="","",IF(AND(OR(CETAK!$J$10="",$E481=CETAK!$J$10),OR(CETAK!$J$11="",$F481=CETAK!$J$11),OR(CETAK!$J$12="",$K481=CETAK!$J$12),OR(CETAK!$J$13="",$H481=CETAK!$J$13),OR(CETAK!$J$14="",$O481=CETAK!$J$14)),MAX($X$3:X480)+1,""))</f>
        <v/>
      </c>
      <c r="Y481" s="40" t="str">
        <f aca="false">IF($B481="","",IF(AND(OR(ABSENSI!$H$10="",$E481=ABSENSI!$H$10),OR(ABSENSI!$H$11="",$F481=ABSENSI!$H$11),OR(ABSENSI!$H$12="",$K481=ABSENSI!$H$12)),MAX($Y$3:Y480)+1,""))</f>
        <v/>
      </c>
      <c r="Z481" s="40" t="str">
        <f aca="false">IF($B481="","",IF(AND(OR(KARTU!$K$6="",$E481=KARTU!$K$6),OR(KARTU!$K$7="",$F481=KARTU!$K$7),OR(KARTU!$K$8="",$K481=KARTU!$K$8)),MAX($Z$3:Z480)+1,""))</f>
        <v/>
      </c>
    </row>
    <row r="482" customFormat="false" ht="15" hidden="false" customHeight="false" outlineLevel="0" collapsed="false">
      <c r="A482" s="36" t="str">
        <f aca="false">IF($B482="","",COUNTA($B$4:$B482))</f>
        <v/>
      </c>
      <c r="B482" s="37"/>
      <c r="C482" s="38"/>
      <c r="D482" s="39"/>
      <c r="E482" s="37"/>
      <c r="F482" s="39"/>
      <c r="G482" s="40" t="str">
        <f aca="false">IF(OR($E482="",$F482=""),"",$E482&amp;" - RT "&amp;$F482)</f>
        <v/>
      </c>
      <c r="H482" s="37"/>
      <c r="I482" s="38"/>
      <c r="J482" s="37"/>
      <c r="K482" s="39"/>
      <c r="L482" s="41"/>
      <c r="M482" s="36" t="str">
        <f aca="true">IF(OR($B482="",$L482=""),"",DATEDIF($L482,TODAY(),"Y"))</f>
        <v/>
      </c>
      <c r="N482" s="40" t="str">
        <f aca="false">IF($M482="","",INDEX(usia_label,MATCH($M482,usia_min,1)))</f>
        <v/>
      </c>
      <c r="O482" s="37"/>
      <c r="P482" s="41"/>
      <c r="Q482" s="37"/>
      <c r="R482" s="37"/>
      <c r="S482" s="40" t="str">
        <f aca="false">IF($G482="","",$G482&amp;"#"&amp;COUNTIF($G$4:$G482,$G482))</f>
        <v/>
      </c>
      <c r="T482" s="40" t="str">
        <f aca="false">IF($B482="","",IF($C482="","NIK kosong",IF(LEN($C482)&lt;&gt;16,"NIK bukan 16 digit",IF(COUNTIF($C$4:$C$2003,$C482&amp;"*")&gt;1,"NIK ganda",IF($E482="","Kadus kosong",IF($F482="","RT kosong",IF($H482="","Jabatan kosong",IF($I482="","No. HP kosong",IF($J482="","Alamat kosong",IF(AND($M482&lt;&gt;"",$M482&lt;17),"Usia di bawah 17",""))))))))))</f>
        <v/>
      </c>
      <c r="U482" s="40" t="str">
        <f aca="false">IF($B482="","",IF(AND(OR(CARI!$C$5="",ISNUMBER(SEARCH(CARI!$C$5,$B482&amp;" "&amp;$C482&amp;" "&amp;$I482&amp;" "&amp;$J482&amp;" "&amp;$Q482))),OR(CARI!$C$6="",$E482=CARI!$C$6),OR(CARI!$C$7="",$F482=CARI!$C$7),OR(CARI!$C$8="",$O482=CARI!$C$8)),MAX($U$3:U481)+1,""))</f>
        <v/>
      </c>
      <c r="V482" s="40" t="str">
        <f aca="false">IF($T482="","",MAX($V$3:V481)+1)</f>
        <v/>
      </c>
      <c r="W482" s="40" t="str">
        <f aca="false">IF($E482="","",$E482&amp;"#"&amp;COUNTIF($E$4:$E482,$E482))</f>
        <v/>
      </c>
      <c r="X482" s="40" t="str">
        <f aca="false">IF($B482="","",IF(AND(OR(CETAK!$J$10="",$E482=CETAK!$J$10),OR(CETAK!$J$11="",$F482=CETAK!$J$11),OR(CETAK!$J$12="",$K482=CETAK!$J$12),OR(CETAK!$J$13="",$H482=CETAK!$J$13),OR(CETAK!$J$14="",$O482=CETAK!$J$14)),MAX($X$3:X481)+1,""))</f>
        <v/>
      </c>
      <c r="Y482" s="40" t="str">
        <f aca="false">IF($B482="","",IF(AND(OR(ABSENSI!$H$10="",$E482=ABSENSI!$H$10),OR(ABSENSI!$H$11="",$F482=ABSENSI!$H$11),OR(ABSENSI!$H$12="",$K482=ABSENSI!$H$12)),MAX($Y$3:Y481)+1,""))</f>
        <v/>
      </c>
      <c r="Z482" s="40" t="str">
        <f aca="false">IF($B482="","",IF(AND(OR(KARTU!$K$6="",$E482=KARTU!$K$6),OR(KARTU!$K$7="",$F482=KARTU!$K$7),OR(KARTU!$K$8="",$K482=KARTU!$K$8)),MAX($Z$3:Z481)+1,""))</f>
        <v/>
      </c>
    </row>
    <row r="483" customFormat="false" ht="15" hidden="false" customHeight="false" outlineLevel="0" collapsed="false">
      <c r="A483" s="36" t="str">
        <f aca="false">IF($B483="","",COUNTA($B$4:$B483))</f>
        <v/>
      </c>
      <c r="B483" s="37"/>
      <c r="C483" s="38"/>
      <c r="D483" s="39"/>
      <c r="E483" s="37"/>
      <c r="F483" s="39"/>
      <c r="G483" s="40" t="str">
        <f aca="false">IF(OR($E483="",$F483=""),"",$E483&amp;" - RT "&amp;$F483)</f>
        <v/>
      </c>
      <c r="H483" s="37"/>
      <c r="I483" s="38"/>
      <c r="J483" s="37"/>
      <c r="K483" s="39"/>
      <c r="L483" s="41"/>
      <c r="M483" s="36" t="str">
        <f aca="true">IF(OR($B483="",$L483=""),"",DATEDIF($L483,TODAY(),"Y"))</f>
        <v/>
      </c>
      <c r="N483" s="40" t="str">
        <f aca="false">IF($M483="","",INDEX(usia_label,MATCH($M483,usia_min,1)))</f>
        <v/>
      </c>
      <c r="O483" s="37"/>
      <c r="P483" s="41"/>
      <c r="Q483" s="37"/>
      <c r="R483" s="37"/>
      <c r="S483" s="40" t="str">
        <f aca="false">IF($G483="","",$G483&amp;"#"&amp;COUNTIF($G$4:$G483,$G483))</f>
        <v/>
      </c>
      <c r="T483" s="40" t="str">
        <f aca="false">IF($B483="","",IF($C483="","NIK kosong",IF(LEN($C483)&lt;&gt;16,"NIK bukan 16 digit",IF(COUNTIF($C$4:$C$2003,$C483&amp;"*")&gt;1,"NIK ganda",IF($E483="","Kadus kosong",IF($F483="","RT kosong",IF($H483="","Jabatan kosong",IF($I483="","No. HP kosong",IF($J483="","Alamat kosong",IF(AND($M483&lt;&gt;"",$M483&lt;17),"Usia di bawah 17",""))))))))))</f>
        <v/>
      </c>
      <c r="U483" s="40" t="str">
        <f aca="false">IF($B483="","",IF(AND(OR(CARI!$C$5="",ISNUMBER(SEARCH(CARI!$C$5,$B483&amp;" "&amp;$C483&amp;" "&amp;$I483&amp;" "&amp;$J483&amp;" "&amp;$Q483))),OR(CARI!$C$6="",$E483=CARI!$C$6),OR(CARI!$C$7="",$F483=CARI!$C$7),OR(CARI!$C$8="",$O483=CARI!$C$8)),MAX($U$3:U482)+1,""))</f>
        <v/>
      </c>
      <c r="V483" s="40" t="str">
        <f aca="false">IF($T483="","",MAX($V$3:V482)+1)</f>
        <v/>
      </c>
      <c r="W483" s="40" t="str">
        <f aca="false">IF($E483="","",$E483&amp;"#"&amp;COUNTIF($E$4:$E483,$E483))</f>
        <v/>
      </c>
      <c r="X483" s="40" t="str">
        <f aca="false">IF($B483="","",IF(AND(OR(CETAK!$J$10="",$E483=CETAK!$J$10),OR(CETAK!$J$11="",$F483=CETAK!$J$11),OR(CETAK!$J$12="",$K483=CETAK!$J$12),OR(CETAK!$J$13="",$H483=CETAK!$J$13),OR(CETAK!$J$14="",$O483=CETAK!$J$14)),MAX($X$3:X482)+1,""))</f>
        <v/>
      </c>
      <c r="Y483" s="40" t="str">
        <f aca="false">IF($B483="","",IF(AND(OR(ABSENSI!$H$10="",$E483=ABSENSI!$H$10),OR(ABSENSI!$H$11="",$F483=ABSENSI!$H$11),OR(ABSENSI!$H$12="",$K483=ABSENSI!$H$12)),MAX($Y$3:Y482)+1,""))</f>
        <v/>
      </c>
      <c r="Z483" s="40" t="str">
        <f aca="false">IF($B483="","",IF(AND(OR(KARTU!$K$6="",$E483=KARTU!$K$6),OR(KARTU!$K$7="",$F483=KARTU!$K$7),OR(KARTU!$K$8="",$K483=KARTU!$K$8)),MAX($Z$3:Z482)+1,""))</f>
        <v/>
      </c>
    </row>
    <row r="484" customFormat="false" ht="15" hidden="false" customHeight="false" outlineLevel="0" collapsed="false">
      <c r="A484" s="36" t="str">
        <f aca="false">IF($B484="","",COUNTA($B$4:$B484))</f>
        <v/>
      </c>
      <c r="B484" s="37"/>
      <c r="C484" s="38"/>
      <c r="D484" s="39"/>
      <c r="E484" s="37"/>
      <c r="F484" s="39"/>
      <c r="G484" s="40" t="str">
        <f aca="false">IF(OR($E484="",$F484=""),"",$E484&amp;" - RT "&amp;$F484)</f>
        <v/>
      </c>
      <c r="H484" s="37"/>
      <c r="I484" s="38"/>
      <c r="J484" s="37"/>
      <c r="K484" s="39"/>
      <c r="L484" s="41"/>
      <c r="M484" s="36" t="str">
        <f aca="true">IF(OR($B484="",$L484=""),"",DATEDIF($L484,TODAY(),"Y"))</f>
        <v/>
      </c>
      <c r="N484" s="40" t="str">
        <f aca="false">IF($M484="","",INDEX(usia_label,MATCH($M484,usia_min,1)))</f>
        <v/>
      </c>
      <c r="O484" s="37"/>
      <c r="P484" s="41"/>
      <c r="Q484" s="37"/>
      <c r="R484" s="37"/>
      <c r="S484" s="40" t="str">
        <f aca="false">IF($G484="","",$G484&amp;"#"&amp;COUNTIF($G$4:$G484,$G484))</f>
        <v/>
      </c>
      <c r="T484" s="40" t="str">
        <f aca="false">IF($B484="","",IF($C484="","NIK kosong",IF(LEN($C484)&lt;&gt;16,"NIK bukan 16 digit",IF(COUNTIF($C$4:$C$2003,$C484&amp;"*")&gt;1,"NIK ganda",IF($E484="","Kadus kosong",IF($F484="","RT kosong",IF($H484="","Jabatan kosong",IF($I484="","No. HP kosong",IF($J484="","Alamat kosong",IF(AND($M484&lt;&gt;"",$M484&lt;17),"Usia di bawah 17",""))))))))))</f>
        <v/>
      </c>
      <c r="U484" s="40" t="str">
        <f aca="false">IF($B484="","",IF(AND(OR(CARI!$C$5="",ISNUMBER(SEARCH(CARI!$C$5,$B484&amp;" "&amp;$C484&amp;" "&amp;$I484&amp;" "&amp;$J484&amp;" "&amp;$Q484))),OR(CARI!$C$6="",$E484=CARI!$C$6),OR(CARI!$C$7="",$F484=CARI!$C$7),OR(CARI!$C$8="",$O484=CARI!$C$8)),MAX($U$3:U483)+1,""))</f>
        <v/>
      </c>
      <c r="V484" s="40" t="str">
        <f aca="false">IF($T484="","",MAX($V$3:V483)+1)</f>
        <v/>
      </c>
      <c r="W484" s="40" t="str">
        <f aca="false">IF($E484="","",$E484&amp;"#"&amp;COUNTIF($E$4:$E484,$E484))</f>
        <v/>
      </c>
      <c r="X484" s="40" t="str">
        <f aca="false">IF($B484="","",IF(AND(OR(CETAK!$J$10="",$E484=CETAK!$J$10),OR(CETAK!$J$11="",$F484=CETAK!$J$11),OR(CETAK!$J$12="",$K484=CETAK!$J$12),OR(CETAK!$J$13="",$H484=CETAK!$J$13),OR(CETAK!$J$14="",$O484=CETAK!$J$14)),MAX($X$3:X483)+1,""))</f>
        <v/>
      </c>
      <c r="Y484" s="40" t="str">
        <f aca="false">IF($B484="","",IF(AND(OR(ABSENSI!$H$10="",$E484=ABSENSI!$H$10),OR(ABSENSI!$H$11="",$F484=ABSENSI!$H$11),OR(ABSENSI!$H$12="",$K484=ABSENSI!$H$12)),MAX($Y$3:Y483)+1,""))</f>
        <v/>
      </c>
      <c r="Z484" s="40" t="str">
        <f aca="false">IF($B484="","",IF(AND(OR(KARTU!$K$6="",$E484=KARTU!$K$6),OR(KARTU!$K$7="",$F484=KARTU!$K$7),OR(KARTU!$K$8="",$K484=KARTU!$K$8)),MAX($Z$3:Z483)+1,""))</f>
        <v/>
      </c>
    </row>
    <row r="485" customFormat="false" ht="15" hidden="false" customHeight="false" outlineLevel="0" collapsed="false">
      <c r="A485" s="36" t="str">
        <f aca="false">IF($B485="","",COUNTA($B$4:$B485))</f>
        <v/>
      </c>
      <c r="B485" s="37"/>
      <c r="C485" s="38"/>
      <c r="D485" s="39"/>
      <c r="E485" s="37"/>
      <c r="F485" s="39"/>
      <c r="G485" s="40" t="str">
        <f aca="false">IF(OR($E485="",$F485=""),"",$E485&amp;" - RT "&amp;$F485)</f>
        <v/>
      </c>
      <c r="H485" s="37"/>
      <c r="I485" s="38"/>
      <c r="J485" s="37"/>
      <c r="K485" s="39"/>
      <c r="L485" s="41"/>
      <c r="M485" s="36" t="str">
        <f aca="true">IF(OR($B485="",$L485=""),"",DATEDIF($L485,TODAY(),"Y"))</f>
        <v/>
      </c>
      <c r="N485" s="40" t="str">
        <f aca="false">IF($M485="","",INDEX(usia_label,MATCH($M485,usia_min,1)))</f>
        <v/>
      </c>
      <c r="O485" s="37"/>
      <c r="P485" s="41"/>
      <c r="Q485" s="37"/>
      <c r="R485" s="37"/>
      <c r="S485" s="40" t="str">
        <f aca="false">IF($G485="","",$G485&amp;"#"&amp;COUNTIF($G$4:$G485,$G485))</f>
        <v/>
      </c>
      <c r="T485" s="40" t="str">
        <f aca="false">IF($B485="","",IF($C485="","NIK kosong",IF(LEN($C485)&lt;&gt;16,"NIK bukan 16 digit",IF(COUNTIF($C$4:$C$2003,$C485&amp;"*")&gt;1,"NIK ganda",IF($E485="","Kadus kosong",IF($F485="","RT kosong",IF($H485="","Jabatan kosong",IF($I485="","No. HP kosong",IF($J485="","Alamat kosong",IF(AND($M485&lt;&gt;"",$M485&lt;17),"Usia di bawah 17",""))))))))))</f>
        <v/>
      </c>
      <c r="U485" s="40" t="str">
        <f aca="false">IF($B485="","",IF(AND(OR(CARI!$C$5="",ISNUMBER(SEARCH(CARI!$C$5,$B485&amp;" "&amp;$C485&amp;" "&amp;$I485&amp;" "&amp;$J485&amp;" "&amp;$Q485))),OR(CARI!$C$6="",$E485=CARI!$C$6),OR(CARI!$C$7="",$F485=CARI!$C$7),OR(CARI!$C$8="",$O485=CARI!$C$8)),MAX($U$3:U484)+1,""))</f>
        <v/>
      </c>
      <c r="V485" s="40" t="str">
        <f aca="false">IF($T485="","",MAX($V$3:V484)+1)</f>
        <v/>
      </c>
      <c r="W485" s="40" t="str">
        <f aca="false">IF($E485="","",$E485&amp;"#"&amp;COUNTIF($E$4:$E485,$E485))</f>
        <v/>
      </c>
      <c r="X485" s="40" t="str">
        <f aca="false">IF($B485="","",IF(AND(OR(CETAK!$J$10="",$E485=CETAK!$J$10),OR(CETAK!$J$11="",$F485=CETAK!$J$11),OR(CETAK!$J$12="",$K485=CETAK!$J$12),OR(CETAK!$J$13="",$H485=CETAK!$J$13),OR(CETAK!$J$14="",$O485=CETAK!$J$14)),MAX($X$3:X484)+1,""))</f>
        <v/>
      </c>
      <c r="Y485" s="40" t="str">
        <f aca="false">IF($B485="","",IF(AND(OR(ABSENSI!$H$10="",$E485=ABSENSI!$H$10),OR(ABSENSI!$H$11="",$F485=ABSENSI!$H$11),OR(ABSENSI!$H$12="",$K485=ABSENSI!$H$12)),MAX($Y$3:Y484)+1,""))</f>
        <v/>
      </c>
      <c r="Z485" s="40" t="str">
        <f aca="false">IF($B485="","",IF(AND(OR(KARTU!$K$6="",$E485=KARTU!$K$6),OR(KARTU!$K$7="",$F485=KARTU!$K$7),OR(KARTU!$K$8="",$K485=KARTU!$K$8)),MAX($Z$3:Z484)+1,""))</f>
        <v/>
      </c>
    </row>
    <row r="486" customFormat="false" ht="15" hidden="false" customHeight="false" outlineLevel="0" collapsed="false">
      <c r="A486" s="36" t="str">
        <f aca="false">IF($B486="","",COUNTA($B$4:$B486))</f>
        <v/>
      </c>
      <c r="B486" s="37"/>
      <c r="C486" s="38"/>
      <c r="D486" s="39"/>
      <c r="E486" s="37"/>
      <c r="F486" s="39"/>
      <c r="G486" s="40" t="str">
        <f aca="false">IF(OR($E486="",$F486=""),"",$E486&amp;" - RT "&amp;$F486)</f>
        <v/>
      </c>
      <c r="H486" s="37"/>
      <c r="I486" s="38"/>
      <c r="J486" s="37"/>
      <c r="K486" s="39"/>
      <c r="L486" s="41"/>
      <c r="M486" s="36" t="str">
        <f aca="true">IF(OR($B486="",$L486=""),"",DATEDIF($L486,TODAY(),"Y"))</f>
        <v/>
      </c>
      <c r="N486" s="40" t="str">
        <f aca="false">IF($M486="","",INDEX(usia_label,MATCH($M486,usia_min,1)))</f>
        <v/>
      </c>
      <c r="O486" s="37"/>
      <c r="P486" s="41"/>
      <c r="Q486" s="37"/>
      <c r="R486" s="37"/>
      <c r="S486" s="40" t="str">
        <f aca="false">IF($G486="","",$G486&amp;"#"&amp;COUNTIF($G$4:$G486,$G486))</f>
        <v/>
      </c>
      <c r="T486" s="40" t="str">
        <f aca="false">IF($B486="","",IF($C486="","NIK kosong",IF(LEN($C486)&lt;&gt;16,"NIK bukan 16 digit",IF(COUNTIF($C$4:$C$2003,$C486&amp;"*")&gt;1,"NIK ganda",IF($E486="","Kadus kosong",IF($F486="","RT kosong",IF($H486="","Jabatan kosong",IF($I486="","No. HP kosong",IF($J486="","Alamat kosong",IF(AND($M486&lt;&gt;"",$M486&lt;17),"Usia di bawah 17",""))))))))))</f>
        <v/>
      </c>
      <c r="U486" s="40" t="str">
        <f aca="false">IF($B486="","",IF(AND(OR(CARI!$C$5="",ISNUMBER(SEARCH(CARI!$C$5,$B486&amp;" "&amp;$C486&amp;" "&amp;$I486&amp;" "&amp;$J486&amp;" "&amp;$Q486))),OR(CARI!$C$6="",$E486=CARI!$C$6),OR(CARI!$C$7="",$F486=CARI!$C$7),OR(CARI!$C$8="",$O486=CARI!$C$8)),MAX($U$3:U485)+1,""))</f>
        <v/>
      </c>
      <c r="V486" s="40" t="str">
        <f aca="false">IF($T486="","",MAX($V$3:V485)+1)</f>
        <v/>
      </c>
      <c r="W486" s="40" t="str">
        <f aca="false">IF($E486="","",$E486&amp;"#"&amp;COUNTIF($E$4:$E486,$E486))</f>
        <v/>
      </c>
      <c r="X486" s="40" t="str">
        <f aca="false">IF($B486="","",IF(AND(OR(CETAK!$J$10="",$E486=CETAK!$J$10),OR(CETAK!$J$11="",$F486=CETAK!$J$11),OR(CETAK!$J$12="",$K486=CETAK!$J$12),OR(CETAK!$J$13="",$H486=CETAK!$J$13),OR(CETAK!$J$14="",$O486=CETAK!$J$14)),MAX($X$3:X485)+1,""))</f>
        <v/>
      </c>
      <c r="Y486" s="40" t="str">
        <f aca="false">IF($B486="","",IF(AND(OR(ABSENSI!$H$10="",$E486=ABSENSI!$H$10),OR(ABSENSI!$H$11="",$F486=ABSENSI!$H$11),OR(ABSENSI!$H$12="",$K486=ABSENSI!$H$12)),MAX($Y$3:Y485)+1,""))</f>
        <v/>
      </c>
      <c r="Z486" s="40" t="str">
        <f aca="false">IF($B486="","",IF(AND(OR(KARTU!$K$6="",$E486=KARTU!$K$6),OR(KARTU!$K$7="",$F486=KARTU!$K$7),OR(KARTU!$K$8="",$K486=KARTU!$K$8)),MAX($Z$3:Z485)+1,""))</f>
        <v/>
      </c>
    </row>
    <row r="487" customFormat="false" ht="15" hidden="false" customHeight="false" outlineLevel="0" collapsed="false">
      <c r="A487" s="36" t="str">
        <f aca="false">IF($B487="","",COUNTA($B$4:$B487))</f>
        <v/>
      </c>
      <c r="B487" s="37"/>
      <c r="C487" s="38"/>
      <c r="D487" s="39"/>
      <c r="E487" s="37"/>
      <c r="F487" s="39"/>
      <c r="G487" s="40" t="str">
        <f aca="false">IF(OR($E487="",$F487=""),"",$E487&amp;" - RT "&amp;$F487)</f>
        <v/>
      </c>
      <c r="H487" s="37"/>
      <c r="I487" s="38"/>
      <c r="J487" s="37"/>
      <c r="K487" s="39"/>
      <c r="L487" s="41"/>
      <c r="M487" s="36" t="str">
        <f aca="true">IF(OR($B487="",$L487=""),"",DATEDIF($L487,TODAY(),"Y"))</f>
        <v/>
      </c>
      <c r="N487" s="40" t="str">
        <f aca="false">IF($M487="","",INDEX(usia_label,MATCH($M487,usia_min,1)))</f>
        <v/>
      </c>
      <c r="O487" s="37"/>
      <c r="P487" s="41"/>
      <c r="Q487" s="37"/>
      <c r="R487" s="37"/>
      <c r="S487" s="40" t="str">
        <f aca="false">IF($G487="","",$G487&amp;"#"&amp;COUNTIF($G$4:$G487,$G487))</f>
        <v/>
      </c>
      <c r="T487" s="40" t="str">
        <f aca="false">IF($B487="","",IF($C487="","NIK kosong",IF(LEN($C487)&lt;&gt;16,"NIK bukan 16 digit",IF(COUNTIF($C$4:$C$2003,$C487&amp;"*")&gt;1,"NIK ganda",IF($E487="","Kadus kosong",IF($F487="","RT kosong",IF($H487="","Jabatan kosong",IF($I487="","No. HP kosong",IF($J487="","Alamat kosong",IF(AND($M487&lt;&gt;"",$M487&lt;17),"Usia di bawah 17",""))))))))))</f>
        <v/>
      </c>
      <c r="U487" s="40" t="str">
        <f aca="false">IF($B487="","",IF(AND(OR(CARI!$C$5="",ISNUMBER(SEARCH(CARI!$C$5,$B487&amp;" "&amp;$C487&amp;" "&amp;$I487&amp;" "&amp;$J487&amp;" "&amp;$Q487))),OR(CARI!$C$6="",$E487=CARI!$C$6),OR(CARI!$C$7="",$F487=CARI!$C$7),OR(CARI!$C$8="",$O487=CARI!$C$8)),MAX($U$3:U486)+1,""))</f>
        <v/>
      </c>
      <c r="V487" s="40" t="str">
        <f aca="false">IF($T487="","",MAX($V$3:V486)+1)</f>
        <v/>
      </c>
      <c r="W487" s="40" t="str">
        <f aca="false">IF($E487="","",$E487&amp;"#"&amp;COUNTIF($E$4:$E487,$E487))</f>
        <v/>
      </c>
      <c r="X487" s="40" t="str">
        <f aca="false">IF($B487="","",IF(AND(OR(CETAK!$J$10="",$E487=CETAK!$J$10),OR(CETAK!$J$11="",$F487=CETAK!$J$11),OR(CETAK!$J$12="",$K487=CETAK!$J$12),OR(CETAK!$J$13="",$H487=CETAK!$J$13),OR(CETAK!$J$14="",$O487=CETAK!$J$14)),MAX($X$3:X486)+1,""))</f>
        <v/>
      </c>
      <c r="Y487" s="40" t="str">
        <f aca="false">IF($B487="","",IF(AND(OR(ABSENSI!$H$10="",$E487=ABSENSI!$H$10),OR(ABSENSI!$H$11="",$F487=ABSENSI!$H$11),OR(ABSENSI!$H$12="",$K487=ABSENSI!$H$12)),MAX($Y$3:Y486)+1,""))</f>
        <v/>
      </c>
      <c r="Z487" s="40" t="str">
        <f aca="false">IF($B487="","",IF(AND(OR(KARTU!$K$6="",$E487=KARTU!$K$6),OR(KARTU!$K$7="",$F487=KARTU!$K$7),OR(KARTU!$K$8="",$K487=KARTU!$K$8)),MAX($Z$3:Z486)+1,""))</f>
        <v/>
      </c>
    </row>
    <row r="488" customFormat="false" ht="15" hidden="false" customHeight="false" outlineLevel="0" collapsed="false">
      <c r="A488" s="36" t="str">
        <f aca="false">IF($B488="","",COUNTA($B$4:$B488))</f>
        <v/>
      </c>
      <c r="B488" s="37"/>
      <c r="C488" s="38"/>
      <c r="D488" s="39"/>
      <c r="E488" s="37"/>
      <c r="F488" s="39"/>
      <c r="G488" s="40" t="str">
        <f aca="false">IF(OR($E488="",$F488=""),"",$E488&amp;" - RT "&amp;$F488)</f>
        <v/>
      </c>
      <c r="H488" s="37"/>
      <c r="I488" s="38"/>
      <c r="J488" s="37"/>
      <c r="K488" s="39"/>
      <c r="L488" s="41"/>
      <c r="M488" s="36" t="str">
        <f aca="true">IF(OR($B488="",$L488=""),"",DATEDIF($L488,TODAY(),"Y"))</f>
        <v/>
      </c>
      <c r="N488" s="40" t="str">
        <f aca="false">IF($M488="","",INDEX(usia_label,MATCH($M488,usia_min,1)))</f>
        <v/>
      </c>
      <c r="O488" s="37"/>
      <c r="P488" s="41"/>
      <c r="Q488" s="37"/>
      <c r="R488" s="37"/>
      <c r="S488" s="40" t="str">
        <f aca="false">IF($G488="","",$G488&amp;"#"&amp;COUNTIF($G$4:$G488,$G488))</f>
        <v/>
      </c>
      <c r="T488" s="40" t="str">
        <f aca="false">IF($B488="","",IF($C488="","NIK kosong",IF(LEN($C488)&lt;&gt;16,"NIK bukan 16 digit",IF(COUNTIF($C$4:$C$2003,$C488&amp;"*")&gt;1,"NIK ganda",IF($E488="","Kadus kosong",IF($F488="","RT kosong",IF($H488="","Jabatan kosong",IF($I488="","No. HP kosong",IF($J488="","Alamat kosong",IF(AND($M488&lt;&gt;"",$M488&lt;17),"Usia di bawah 17",""))))))))))</f>
        <v/>
      </c>
      <c r="U488" s="40" t="str">
        <f aca="false">IF($B488="","",IF(AND(OR(CARI!$C$5="",ISNUMBER(SEARCH(CARI!$C$5,$B488&amp;" "&amp;$C488&amp;" "&amp;$I488&amp;" "&amp;$J488&amp;" "&amp;$Q488))),OR(CARI!$C$6="",$E488=CARI!$C$6),OR(CARI!$C$7="",$F488=CARI!$C$7),OR(CARI!$C$8="",$O488=CARI!$C$8)),MAX($U$3:U487)+1,""))</f>
        <v/>
      </c>
      <c r="V488" s="40" t="str">
        <f aca="false">IF($T488="","",MAX($V$3:V487)+1)</f>
        <v/>
      </c>
      <c r="W488" s="40" t="str">
        <f aca="false">IF($E488="","",$E488&amp;"#"&amp;COUNTIF($E$4:$E488,$E488))</f>
        <v/>
      </c>
      <c r="X488" s="40" t="str">
        <f aca="false">IF($B488="","",IF(AND(OR(CETAK!$J$10="",$E488=CETAK!$J$10),OR(CETAK!$J$11="",$F488=CETAK!$J$11),OR(CETAK!$J$12="",$K488=CETAK!$J$12),OR(CETAK!$J$13="",$H488=CETAK!$J$13),OR(CETAK!$J$14="",$O488=CETAK!$J$14)),MAX($X$3:X487)+1,""))</f>
        <v/>
      </c>
      <c r="Y488" s="40" t="str">
        <f aca="false">IF($B488="","",IF(AND(OR(ABSENSI!$H$10="",$E488=ABSENSI!$H$10),OR(ABSENSI!$H$11="",$F488=ABSENSI!$H$11),OR(ABSENSI!$H$12="",$K488=ABSENSI!$H$12)),MAX($Y$3:Y487)+1,""))</f>
        <v/>
      </c>
      <c r="Z488" s="40" t="str">
        <f aca="false">IF($B488="","",IF(AND(OR(KARTU!$K$6="",$E488=KARTU!$K$6),OR(KARTU!$K$7="",$F488=KARTU!$K$7),OR(KARTU!$K$8="",$K488=KARTU!$K$8)),MAX($Z$3:Z487)+1,""))</f>
        <v/>
      </c>
    </row>
    <row r="489" customFormat="false" ht="15" hidden="false" customHeight="false" outlineLevel="0" collapsed="false">
      <c r="A489" s="36" t="str">
        <f aca="false">IF($B489="","",COUNTA($B$4:$B489))</f>
        <v/>
      </c>
      <c r="B489" s="37"/>
      <c r="C489" s="38"/>
      <c r="D489" s="39"/>
      <c r="E489" s="37"/>
      <c r="F489" s="39"/>
      <c r="G489" s="40" t="str">
        <f aca="false">IF(OR($E489="",$F489=""),"",$E489&amp;" - RT "&amp;$F489)</f>
        <v/>
      </c>
      <c r="H489" s="37"/>
      <c r="I489" s="38"/>
      <c r="J489" s="37"/>
      <c r="K489" s="39"/>
      <c r="L489" s="41"/>
      <c r="M489" s="36" t="str">
        <f aca="true">IF(OR($B489="",$L489=""),"",DATEDIF($L489,TODAY(),"Y"))</f>
        <v/>
      </c>
      <c r="N489" s="40" t="str">
        <f aca="false">IF($M489="","",INDEX(usia_label,MATCH($M489,usia_min,1)))</f>
        <v/>
      </c>
      <c r="O489" s="37"/>
      <c r="P489" s="41"/>
      <c r="Q489" s="37"/>
      <c r="R489" s="37"/>
      <c r="S489" s="40" t="str">
        <f aca="false">IF($G489="","",$G489&amp;"#"&amp;COUNTIF($G$4:$G489,$G489))</f>
        <v/>
      </c>
      <c r="T489" s="40" t="str">
        <f aca="false">IF($B489="","",IF($C489="","NIK kosong",IF(LEN($C489)&lt;&gt;16,"NIK bukan 16 digit",IF(COUNTIF($C$4:$C$2003,$C489&amp;"*")&gt;1,"NIK ganda",IF($E489="","Kadus kosong",IF($F489="","RT kosong",IF($H489="","Jabatan kosong",IF($I489="","No. HP kosong",IF($J489="","Alamat kosong",IF(AND($M489&lt;&gt;"",$M489&lt;17),"Usia di bawah 17",""))))))))))</f>
        <v/>
      </c>
      <c r="U489" s="40" t="str">
        <f aca="false">IF($B489="","",IF(AND(OR(CARI!$C$5="",ISNUMBER(SEARCH(CARI!$C$5,$B489&amp;" "&amp;$C489&amp;" "&amp;$I489&amp;" "&amp;$J489&amp;" "&amp;$Q489))),OR(CARI!$C$6="",$E489=CARI!$C$6),OR(CARI!$C$7="",$F489=CARI!$C$7),OR(CARI!$C$8="",$O489=CARI!$C$8)),MAX($U$3:U488)+1,""))</f>
        <v/>
      </c>
      <c r="V489" s="40" t="str">
        <f aca="false">IF($T489="","",MAX($V$3:V488)+1)</f>
        <v/>
      </c>
      <c r="W489" s="40" t="str">
        <f aca="false">IF($E489="","",$E489&amp;"#"&amp;COUNTIF($E$4:$E489,$E489))</f>
        <v/>
      </c>
      <c r="X489" s="40" t="str">
        <f aca="false">IF($B489="","",IF(AND(OR(CETAK!$J$10="",$E489=CETAK!$J$10),OR(CETAK!$J$11="",$F489=CETAK!$J$11),OR(CETAK!$J$12="",$K489=CETAK!$J$12),OR(CETAK!$J$13="",$H489=CETAK!$J$13),OR(CETAK!$J$14="",$O489=CETAK!$J$14)),MAX($X$3:X488)+1,""))</f>
        <v/>
      </c>
      <c r="Y489" s="40" t="str">
        <f aca="false">IF($B489="","",IF(AND(OR(ABSENSI!$H$10="",$E489=ABSENSI!$H$10),OR(ABSENSI!$H$11="",$F489=ABSENSI!$H$11),OR(ABSENSI!$H$12="",$K489=ABSENSI!$H$12)),MAX($Y$3:Y488)+1,""))</f>
        <v/>
      </c>
      <c r="Z489" s="40" t="str">
        <f aca="false">IF($B489="","",IF(AND(OR(KARTU!$K$6="",$E489=KARTU!$K$6),OR(KARTU!$K$7="",$F489=KARTU!$K$7),OR(KARTU!$K$8="",$K489=KARTU!$K$8)),MAX($Z$3:Z488)+1,""))</f>
        <v/>
      </c>
    </row>
    <row r="490" customFormat="false" ht="15" hidden="false" customHeight="false" outlineLevel="0" collapsed="false">
      <c r="A490" s="36" t="str">
        <f aca="false">IF($B490="","",COUNTA($B$4:$B490))</f>
        <v/>
      </c>
      <c r="B490" s="37"/>
      <c r="C490" s="38"/>
      <c r="D490" s="39"/>
      <c r="E490" s="37"/>
      <c r="F490" s="39"/>
      <c r="G490" s="40" t="str">
        <f aca="false">IF(OR($E490="",$F490=""),"",$E490&amp;" - RT "&amp;$F490)</f>
        <v/>
      </c>
      <c r="H490" s="37"/>
      <c r="I490" s="38"/>
      <c r="J490" s="37"/>
      <c r="K490" s="39"/>
      <c r="L490" s="41"/>
      <c r="M490" s="36" t="str">
        <f aca="true">IF(OR($B490="",$L490=""),"",DATEDIF($L490,TODAY(),"Y"))</f>
        <v/>
      </c>
      <c r="N490" s="40" t="str">
        <f aca="false">IF($M490="","",INDEX(usia_label,MATCH($M490,usia_min,1)))</f>
        <v/>
      </c>
      <c r="O490" s="37"/>
      <c r="P490" s="41"/>
      <c r="Q490" s="37"/>
      <c r="R490" s="37"/>
      <c r="S490" s="40" t="str">
        <f aca="false">IF($G490="","",$G490&amp;"#"&amp;COUNTIF($G$4:$G490,$G490))</f>
        <v/>
      </c>
      <c r="T490" s="40" t="str">
        <f aca="false">IF($B490="","",IF($C490="","NIK kosong",IF(LEN($C490)&lt;&gt;16,"NIK bukan 16 digit",IF(COUNTIF($C$4:$C$2003,$C490&amp;"*")&gt;1,"NIK ganda",IF($E490="","Kadus kosong",IF($F490="","RT kosong",IF($H490="","Jabatan kosong",IF($I490="","No. HP kosong",IF($J490="","Alamat kosong",IF(AND($M490&lt;&gt;"",$M490&lt;17),"Usia di bawah 17",""))))))))))</f>
        <v/>
      </c>
      <c r="U490" s="40" t="str">
        <f aca="false">IF($B490="","",IF(AND(OR(CARI!$C$5="",ISNUMBER(SEARCH(CARI!$C$5,$B490&amp;" "&amp;$C490&amp;" "&amp;$I490&amp;" "&amp;$J490&amp;" "&amp;$Q490))),OR(CARI!$C$6="",$E490=CARI!$C$6),OR(CARI!$C$7="",$F490=CARI!$C$7),OR(CARI!$C$8="",$O490=CARI!$C$8)),MAX($U$3:U489)+1,""))</f>
        <v/>
      </c>
      <c r="V490" s="40" t="str">
        <f aca="false">IF($T490="","",MAX($V$3:V489)+1)</f>
        <v/>
      </c>
      <c r="W490" s="40" t="str">
        <f aca="false">IF($E490="","",$E490&amp;"#"&amp;COUNTIF($E$4:$E490,$E490))</f>
        <v/>
      </c>
      <c r="X490" s="40" t="str">
        <f aca="false">IF($B490="","",IF(AND(OR(CETAK!$J$10="",$E490=CETAK!$J$10),OR(CETAK!$J$11="",$F490=CETAK!$J$11),OR(CETAK!$J$12="",$K490=CETAK!$J$12),OR(CETAK!$J$13="",$H490=CETAK!$J$13),OR(CETAK!$J$14="",$O490=CETAK!$J$14)),MAX($X$3:X489)+1,""))</f>
        <v/>
      </c>
      <c r="Y490" s="40" t="str">
        <f aca="false">IF($B490="","",IF(AND(OR(ABSENSI!$H$10="",$E490=ABSENSI!$H$10),OR(ABSENSI!$H$11="",$F490=ABSENSI!$H$11),OR(ABSENSI!$H$12="",$K490=ABSENSI!$H$12)),MAX($Y$3:Y489)+1,""))</f>
        <v/>
      </c>
      <c r="Z490" s="40" t="str">
        <f aca="false">IF($B490="","",IF(AND(OR(KARTU!$K$6="",$E490=KARTU!$K$6),OR(KARTU!$K$7="",$F490=KARTU!$K$7),OR(KARTU!$K$8="",$K490=KARTU!$K$8)),MAX($Z$3:Z489)+1,""))</f>
        <v/>
      </c>
    </row>
    <row r="491" customFormat="false" ht="15" hidden="false" customHeight="false" outlineLevel="0" collapsed="false">
      <c r="A491" s="36" t="str">
        <f aca="false">IF($B491="","",COUNTA($B$4:$B491))</f>
        <v/>
      </c>
      <c r="B491" s="37"/>
      <c r="C491" s="38"/>
      <c r="D491" s="39"/>
      <c r="E491" s="37"/>
      <c r="F491" s="39"/>
      <c r="G491" s="40" t="str">
        <f aca="false">IF(OR($E491="",$F491=""),"",$E491&amp;" - RT "&amp;$F491)</f>
        <v/>
      </c>
      <c r="H491" s="37"/>
      <c r="I491" s="38"/>
      <c r="J491" s="37"/>
      <c r="K491" s="39"/>
      <c r="L491" s="41"/>
      <c r="M491" s="36" t="str">
        <f aca="true">IF(OR($B491="",$L491=""),"",DATEDIF($L491,TODAY(),"Y"))</f>
        <v/>
      </c>
      <c r="N491" s="40" t="str">
        <f aca="false">IF($M491="","",INDEX(usia_label,MATCH($M491,usia_min,1)))</f>
        <v/>
      </c>
      <c r="O491" s="37"/>
      <c r="P491" s="41"/>
      <c r="Q491" s="37"/>
      <c r="R491" s="37"/>
      <c r="S491" s="40" t="str">
        <f aca="false">IF($G491="","",$G491&amp;"#"&amp;COUNTIF($G$4:$G491,$G491))</f>
        <v/>
      </c>
      <c r="T491" s="40" t="str">
        <f aca="false">IF($B491="","",IF($C491="","NIK kosong",IF(LEN($C491)&lt;&gt;16,"NIK bukan 16 digit",IF(COUNTIF($C$4:$C$2003,$C491&amp;"*")&gt;1,"NIK ganda",IF($E491="","Kadus kosong",IF($F491="","RT kosong",IF($H491="","Jabatan kosong",IF($I491="","No. HP kosong",IF($J491="","Alamat kosong",IF(AND($M491&lt;&gt;"",$M491&lt;17),"Usia di bawah 17",""))))))))))</f>
        <v/>
      </c>
      <c r="U491" s="40" t="str">
        <f aca="false">IF($B491="","",IF(AND(OR(CARI!$C$5="",ISNUMBER(SEARCH(CARI!$C$5,$B491&amp;" "&amp;$C491&amp;" "&amp;$I491&amp;" "&amp;$J491&amp;" "&amp;$Q491))),OR(CARI!$C$6="",$E491=CARI!$C$6),OR(CARI!$C$7="",$F491=CARI!$C$7),OR(CARI!$C$8="",$O491=CARI!$C$8)),MAX($U$3:U490)+1,""))</f>
        <v/>
      </c>
      <c r="V491" s="40" t="str">
        <f aca="false">IF($T491="","",MAX($V$3:V490)+1)</f>
        <v/>
      </c>
      <c r="W491" s="40" t="str">
        <f aca="false">IF($E491="","",$E491&amp;"#"&amp;COUNTIF($E$4:$E491,$E491))</f>
        <v/>
      </c>
      <c r="X491" s="40" t="str">
        <f aca="false">IF($B491="","",IF(AND(OR(CETAK!$J$10="",$E491=CETAK!$J$10),OR(CETAK!$J$11="",$F491=CETAK!$J$11),OR(CETAK!$J$12="",$K491=CETAK!$J$12),OR(CETAK!$J$13="",$H491=CETAK!$J$13),OR(CETAK!$J$14="",$O491=CETAK!$J$14)),MAX($X$3:X490)+1,""))</f>
        <v/>
      </c>
      <c r="Y491" s="40" t="str">
        <f aca="false">IF($B491="","",IF(AND(OR(ABSENSI!$H$10="",$E491=ABSENSI!$H$10),OR(ABSENSI!$H$11="",$F491=ABSENSI!$H$11),OR(ABSENSI!$H$12="",$K491=ABSENSI!$H$12)),MAX($Y$3:Y490)+1,""))</f>
        <v/>
      </c>
      <c r="Z491" s="40" t="str">
        <f aca="false">IF($B491="","",IF(AND(OR(KARTU!$K$6="",$E491=KARTU!$K$6),OR(KARTU!$K$7="",$F491=KARTU!$K$7),OR(KARTU!$K$8="",$K491=KARTU!$K$8)),MAX($Z$3:Z490)+1,""))</f>
        <v/>
      </c>
    </row>
    <row r="492" customFormat="false" ht="15" hidden="false" customHeight="false" outlineLevel="0" collapsed="false">
      <c r="A492" s="36" t="str">
        <f aca="false">IF($B492="","",COUNTA($B$4:$B492))</f>
        <v/>
      </c>
      <c r="B492" s="37"/>
      <c r="C492" s="38"/>
      <c r="D492" s="39"/>
      <c r="E492" s="37"/>
      <c r="F492" s="39"/>
      <c r="G492" s="40" t="str">
        <f aca="false">IF(OR($E492="",$F492=""),"",$E492&amp;" - RT "&amp;$F492)</f>
        <v/>
      </c>
      <c r="H492" s="37"/>
      <c r="I492" s="38"/>
      <c r="J492" s="37"/>
      <c r="K492" s="39"/>
      <c r="L492" s="41"/>
      <c r="M492" s="36" t="str">
        <f aca="true">IF(OR($B492="",$L492=""),"",DATEDIF($L492,TODAY(),"Y"))</f>
        <v/>
      </c>
      <c r="N492" s="40" t="str">
        <f aca="false">IF($M492="","",INDEX(usia_label,MATCH($M492,usia_min,1)))</f>
        <v/>
      </c>
      <c r="O492" s="37"/>
      <c r="P492" s="41"/>
      <c r="Q492" s="37"/>
      <c r="R492" s="37"/>
      <c r="S492" s="40" t="str">
        <f aca="false">IF($G492="","",$G492&amp;"#"&amp;COUNTIF($G$4:$G492,$G492))</f>
        <v/>
      </c>
      <c r="T492" s="40" t="str">
        <f aca="false">IF($B492="","",IF($C492="","NIK kosong",IF(LEN($C492)&lt;&gt;16,"NIK bukan 16 digit",IF(COUNTIF($C$4:$C$2003,$C492&amp;"*")&gt;1,"NIK ganda",IF($E492="","Kadus kosong",IF($F492="","RT kosong",IF($H492="","Jabatan kosong",IF($I492="","No. HP kosong",IF($J492="","Alamat kosong",IF(AND($M492&lt;&gt;"",$M492&lt;17),"Usia di bawah 17",""))))))))))</f>
        <v/>
      </c>
      <c r="U492" s="40" t="str">
        <f aca="false">IF($B492="","",IF(AND(OR(CARI!$C$5="",ISNUMBER(SEARCH(CARI!$C$5,$B492&amp;" "&amp;$C492&amp;" "&amp;$I492&amp;" "&amp;$J492&amp;" "&amp;$Q492))),OR(CARI!$C$6="",$E492=CARI!$C$6),OR(CARI!$C$7="",$F492=CARI!$C$7),OR(CARI!$C$8="",$O492=CARI!$C$8)),MAX($U$3:U491)+1,""))</f>
        <v/>
      </c>
      <c r="V492" s="40" t="str">
        <f aca="false">IF($T492="","",MAX($V$3:V491)+1)</f>
        <v/>
      </c>
      <c r="W492" s="40" t="str">
        <f aca="false">IF($E492="","",$E492&amp;"#"&amp;COUNTIF($E$4:$E492,$E492))</f>
        <v/>
      </c>
      <c r="X492" s="40" t="str">
        <f aca="false">IF($B492="","",IF(AND(OR(CETAK!$J$10="",$E492=CETAK!$J$10),OR(CETAK!$J$11="",$F492=CETAK!$J$11),OR(CETAK!$J$12="",$K492=CETAK!$J$12),OR(CETAK!$J$13="",$H492=CETAK!$J$13),OR(CETAK!$J$14="",$O492=CETAK!$J$14)),MAX($X$3:X491)+1,""))</f>
        <v/>
      </c>
      <c r="Y492" s="40" t="str">
        <f aca="false">IF($B492="","",IF(AND(OR(ABSENSI!$H$10="",$E492=ABSENSI!$H$10),OR(ABSENSI!$H$11="",$F492=ABSENSI!$H$11),OR(ABSENSI!$H$12="",$K492=ABSENSI!$H$12)),MAX($Y$3:Y491)+1,""))</f>
        <v/>
      </c>
      <c r="Z492" s="40" t="str">
        <f aca="false">IF($B492="","",IF(AND(OR(KARTU!$K$6="",$E492=KARTU!$K$6),OR(KARTU!$K$7="",$F492=KARTU!$K$7),OR(KARTU!$K$8="",$K492=KARTU!$K$8)),MAX($Z$3:Z491)+1,""))</f>
        <v/>
      </c>
    </row>
    <row r="493" customFormat="false" ht="15" hidden="false" customHeight="false" outlineLevel="0" collapsed="false">
      <c r="A493" s="36" t="str">
        <f aca="false">IF($B493="","",COUNTA($B$4:$B493))</f>
        <v/>
      </c>
      <c r="B493" s="37"/>
      <c r="C493" s="38"/>
      <c r="D493" s="39"/>
      <c r="E493" s="37"/>
      <c r="F493" s="39"/>
      <c r="G493" s="40" t="str">
        <f aca="false">IF(OR($E493="",$F493=""),"",$E493&amp;" - RT "&amp;$F493)</f>
        <v/>
      </c>
      <c r="H493" s="37"/>
      <c r="I493" s="38"/>
      <c r="J493" s="37"/>
      <c r="K493" s="39"/>
      <c r="L493" s="41"/>
      <c r="M493" s="36" t="str">
        <f aca="true">IF(OR($B493="",$L493=""),"",DATEDIF($L493,TODAY(),"Y"))</f>
        <v/>
      </c>
      <c r="N493" s="40" t="str">
        <f aca="false">IF($M493="","",INDEX(usia_label,MATCH($M493,usia_min,1)))</f>
        <v/>
      </c>
      <c r="O493" s="37"/>
      <c r="P493" s="41"/>
      <c r="Q493" s="37"/>
      <c r="R493" s="37"/>
      <c r="S493" s="40" t="str">
        <f aca="false">IF($G493="","",$G493&amp;"#"&amp;COUNTIF($G$4:$G493,$G493))</f>
        <v/>
      </c>
      <c r="T493" s="40" t="str">
        <f aca="false">IF($B493="","",IF($C493="","NIK kosong",IF(LEN($C493)&lt;&gt;16,"NIK bukan 16 digit",IF(COUNTIF($C$4:$C$2003,$C493&amp;"*")&gt;1,"NIK ganda",IF($E493="","Kadus kosong",IF($F493="","RT kosong",IF($H493="","Jabatan kosong",IF($I493="","No. HP kosong",IF($J493="","Alamat kosong",IF(AND($M493&lt;&gt;"",$M493&lt;17),"Usia di bawah 17",""))))))))))</f>
        <v/>
      </c>
      <c r="U493" s="40" t="str">
        <f aca="false">IF($B493="","",IF(AND(OR(CARI!$C$5="",ISNUMBER(SEARCH(CARI!$C$5,$B493&amp;" "&amp;$C493&amp;" "&amp;$I493&amp;" "&amp;$J493&amp;" "&amp;$Q493))),OR(CARI!$C$6="",$E493=CARI!$C$6),OR(CARI!$C$7="",$F493=CARI!$C$7),OR(CARI!$C$8="",$O493=CARI!$C$8)),MAX($U$3:U492)+1,""))</f>
        <v/>
      </c>
      <c r="V493" s="40" t="str">
        <f aca="false">IF($T493="","",MAX($V$3:V492)+1)</f>
        <v/>
      </c>
      <c r="W493" s="40" t="str">
        <f aca="false">IF($E493="","",$E493&amp;"#"&amp;COUNTIF($E$4:$E493,$E493))</f>
        <v/>
      </c>
      <c r="X493" s="40" t="str">
        <f aca="false">IF($B493="","",IF(AND(OR(CETAK!$J$10="",$E493=CETAK!$J$10),OR(CETAK!$J$11="",$F493=CETAK!$J$11),OR(CETAK!$J$12="",$K493=CETAK!$J$12),OR(CETAK!$J$13="",$H493=CETAK!$J$13),OR(CETAK!$J$14="",$O493=CETAK!$J$14)),MAX($X$3:X492)+1,""))</f>
        <v/>
      </c>
      <c r="Y493" s="40" t="str">
        <f aca="false">IF($B493="","",IF(AND(OR(ABSENSI!$H$10="",$E493=ABSENSI!$H$10),OR(ABSENSI!$H$11="",$F493=ABSENSI!$H$11),OR(ABSENSI!$H$12="",$K493=ABSENSI!$H$12)),MAX($Y$3:Y492)+1,""))</f>
        <v/>
      </c>
      <c r="Z493" s="40" t="str">
        <f aca="false">IF($B493="","",IF(AND(OR(KARTU!$K$6="",$E493=KARTU!$K$6),OR(KARTU!$K$7="",$F493=KARTU!$K$7),OR(KARTU!$K$8="",$K493=KARTU!$K$8)),MAX($Z$3:Z492)+1,""))</f>
        <v/>
      </c>
    </row>
    <row r="494" customFormat="false" ht="15" hidden="false" customHeight="false" outlineLevel="0" collapsed="false">
      <c r="A494" s="36" t="str">
        <f aca="false">IF($B494="","",COUNTA($B$4:$B494))</f>
        <v/>
      </c>
      <c r="B494" s="37"/>
      <c r="C494" s="38"/>
      <c r="D494" s="39"/>
      <c r="E494" s="37"/>
      <c r="F494" s="39"/>
      <c r="G494" s="40" t="str">
        <f aca="false">IF(OR($E494="",$F494=""),"",$E494&amp;" - RT "&amp;$F494)</f>
        <v/>
      </c>
      <c r="H494" s="37"/>
      <c r="I494" s="38"/>
      <c r="J494" s="37"/>
      <c r="K494" s="39"/>
      <c r="L494" s="41"/>
      <c r="M494" s="36" t="str">
        <f aca="true">IF(OR($B494="",$L494=""),"",DATEDIF($L494,TODAY(),"Y"))</f>
        <v/>
      </c>
      <c r="N494" s="40" t="str">
        <f aca="false">IF($M494="","",INDEX(usia_label,MATCH($M494,usia_min,1)))</f>
        <v/>
      </c>
      <c r="O494" s="37"/>
      <c r="P494" s="41"/>
      <c r="Q494" s="37"/>
      <c r="R494" s="37"/>
      <c r="S494" s="40" t="str">
        <f aca="false">IF($G494="","",$G494&amp;"#"&amp;COUNTIF($G$4:$G494,$G494))</f>
        <v/>
      </c>
      <c r="T494" s="40" t="str">
        <f aca="false">IF($B494="","",IF($C494="","NIK kosong",IF(LEN($C494)&lt;&gt;16,"NIK bukan 16 digit",IF(COUNTIF($C$4:$C$2003,$C494&amp;"*")&gt;1,"NIK ganda",IF($E494="","Kadus kosong",IF($F494="","RT kosong",IF($H494="","Jabatan kosong",IF($I494="","No. HP kosong",IF($J494="","Alamat kosong",IF(AND($M494&lt;&gt;"",$M494&lt;17),"Usia di bawah 17",""))))))))))</f>
        <v/>
      </c>
      <c r="U494" s="40" t="str">
        <f aca="false">IF($B494="","",IF(AND(OR(CARI!$C$5="",ISNUMBER(SEARCH(CARI!$C$5,$B494&amp;" "&amp;$C494&amp;" "&amp;$I494&amp;" "&amp;$J494&amp;" "&amp;$Q494))),OR(CARI!$C$6="",$E494=CARI!$C$6),OR(CARI!$C$7="",$F494=CARI!$C$7),OR(CARI!$C$8="",$O494=CARI!$C$8)),MAX($U$3:U493)+1,""))</f>
        <v/>
      </c>
      <c r="V494" s="40" t="str">
        <f aca="false">IF($T494="","",MAX($V$3:V493)+1)</f>
        <v/>
      </c>
      <c r="W494" s="40" t="str">
        <f aca="false">IF($E494="","",$E494&amp;"#"&amp;COUNTIF($E$4:$E494,$E494))</f>
        <v/>
      </c>
      <c r="X494" s="40" t="str">
        <f aca="false">IF($B494="","",IF(AND(OR(CETAK!$J$10="",$E494=CETAK!$J$10),OR(CETAK!$J$11="",$F494=CETAK!$J$11),OR(CETAK!$J$12="",$K494=CETAK!$J$12),OR(CETAK!$J$13="",$H494=CETAK!$J$13),OR(CETAK!$J$14="",$O494=CETAK!$J$14)),MAX($X$3:X493)+1,""))</f>
        <v/>
      </c>
      <c r="Y494" s="40" t="str">
        <f aca="false">IF($B494="","",IF(AND(OR(ABSENSI!$H$10="",$E494=ABSENSI!$H$10),OR(ABSENSI!$H$11="",$F494=ABSENSI!$H$11),OR(ABSENSI!$H$12="",$K494=ABSENSI!$H$12)),MAX($Y$3:Y493)+1,""))</f>
        <v/>
      </c>
      <c r="Z494" s="40" t="str">
        <f aca="false">IF($B494="","",IF(AND(OR(KARTU!$K$6="",$E494=KARTU!$K$6),OR(KARTU!$K$7="",$F494=KARTU!$K$7),OR(KARTU!$K$8="",$K494=KARTU!$K$8)),MAX($Z$3:Z493)+1,""))</f>
        <v/>
      </c>
    </row>
    <row r="495" customFormat="false" ht="15" hidden="false" customHeight="false" outlineLevel="0" collapsed="false">
      <c r="A495" s="36" t="str">
        <f aca="false">IF($B495="","",COUNTA($B$4:$B495))</f>
        <v/>
      </c>
      <c r="B495" s="37"/>
      <c r="C495" s="38"/>
      <c r="D495" s="39"/>
      <c r="E495" s="37"/>
      <c r="F495" s="39"/>
      <c r="G495" s="40" t="str">
        <f aca="false">IF(OR($E495="",$F495=""),"",$E495&amp;" - RT "&amp;$F495)</f>
        <v/>
      </c>
      <c r="H495" s="37"/>
      <c r="I495" s="38"/>
      <c r="J495" s="37"/>
      <c r="K495" s="39"/>
      <c r="L495" s="41"/>
      <c r="M495" s="36" t="str">
        <f aca="true">IF(OR($B495="",$L495=""),"",DATEDIF($L495,TODAY(),"Y"))</f>
        <v/>
      </c>
      <c r="N495" s="40" t="str">
        <f aca="false">IF($M495="","",INDEX(usia_label,MATCH($M495,usia_min,1)))</f>
        <v/>
      </c>
      <c r="O495" s="37"/>
      <c r="P495" s="41"/>
      <c r="Q495" s="37"/>
      <c r="R495" s="37"/>
      <c r="S495" s="40" t="str">
        <f aca="false">IF($G495="","",$G495&amp;"#"&amp;COUNTIF($G$4:$G495,$G495))</f>
        <v/>
      </c>
      <c r="T495" s="40" t="str">
        <f aca="false">IF($B495="","",IF($C495="","NIK kosong",IF(LEN($C495)&lt;&gt;16,"NIK bukan 16 digit",IF(COUNTIF($C$4:$C$2003,$C495&amp;"*")&gt;1,"NIK ganda",IF($E495="","Kadus kosong",IF($F495="","RT kosong",IF($H495="","Jabatan kosong",IF($I495="","No. HP kosong",IF($J495="","Alamat kosong",IF(AND($M495&lt;&gt;"",$M495&lt;17),"Usia di bawah 17",""))))))))))</f>
        <v/>
      </c>
      <c r="U495" s="40" t="str">
        <f aca="false">IF($B495="","",IF(AND(OR(CARI!$C$5="",ISNUMBER(SEARCH(CARI!$C$5,$B495&amp;" "&amp;$C495&amp;" "&amp;$I495&amp;" "&amp;$J495&amp;" "&amp;$Q495))),OR(CARI!$C$6="",$E495=CARI!$C$6),OR(CARI!$C$7="",$F495=CARI!$C$7),OR(CARI!$C$8="",$O495=CARI!$C$8)),MAX($U$3:U494)+1,""))</f>
        <v/>
      </c>
      <c r="V495" s="40" t="str">
        <f aca="false">IF($T495="","",MAX($V$3:V494)+1)</f>
        <v/>
      </c>
      <c r="W495" s="40" t="str">
        <f aca="false">IF($E495="","",$E495&amp;"#"&amp;COUNTIF($E$4:$E495,$E495))</f>
        <v/>
      </c>
      <c r="X495" s="40" t="str">
        <f aca="false">IF($B495="","",IF(AND(OR(CETAK!$J$10="",$E495=CETAK!$J$10),OR(CETAK!$J$11="",$F495=CETAK!$J$11),OR(CETAK!$J$12="",$K495=CETAK!$J$12),OR(CETAK!$J$13="",$H495=CETAK!$J$13),OR(CETAK!$J$14="",$O495=CETAK!$J$14)),MAX($X$3:X494)+1,""))</f>
        <v/>
      </c>
      <c r="Y495" s="40" t="str">
        <f aca="false">IF($B495="","",IF(AND(OR(ABSENSI!$H$10="",$E495=ABSENSI!$H$10),OR(ABSENSI!$H$11="",$F495=ABSENSI!$H$11),OR(ABSENSI!$H$12="",$K495=ABSENSI!$H$12)),MAX($Y$3:Y494)+1,""))</f>
        <v/>
      </c>
      <c r="Z495" s="40" t="str">
        <f aca="false">IF($B495="","",IF(AND(OR(KARTU!$K$6="",$E495=KARTU!$K$6),OR(KARTU!$K$7="",$F495=KARTU!$K$7),OR(KARTU!$K$8="",$K495=KARTU!$K$8)),MAX($Z$3:Z494)+1,""))</f>
        <v/>
      </c>
    </row>
    <row r="496" customFormat="false" ht="15" hidden="false" customHeight="false" outlineLevel="0" collapsed="false">
      <c r="A496" s="36" t="str">
        <f aca="false">IF($B496="","",COUNTA($B$4:$B496))</f>
        <v/>
      </c>
      <c r="B496" s="37"/>
      <c r="C496" s="38"/>
      <c r="D496" s="39"/>
      <c r="E496" s="37"/>
      <c r="F496" s="39"/>
      <c r="G496" s="40" t="str">
        <f aca="false">IF(OR($E496="",$F496=""),"",$E496&amp;" - RT "&amp;$F496)</f>
        <v/>
      </c>
      <c r="H496" s="37"/>
      <c r="I496" s="38"/>
      <c r="J496" s="37"/>
      <c r="K496" s="39"/>
      <c r="L496" s="41"/>
      <c r="M496" s="36" t="str">
        <f aca="true">IF(OR($B496="",$L496=""),"",DATEDIF($L496,TODAY(),"Y"))</f>
        <v/>
      </c>
      <c r="N496" s="40" t="str">
        <f aca="false">IF($M496="","",INDEX(usia_label,MATCH($M496,usia_min,1)))</f>
        <v/>
      </c>
      <c r="O496" s="37"/>
      <c r="P496" s="41"/>
      <c r="Q496" s="37"/>
      <c r="R496" s="37"/>
      <c r="S496" s="40" t="str">
        <f aca="false">IF($G496="","",$G496&amp;"#"&amp;COUNTIF($G$4:$G496,$G496))</f>
        <v/>
      </c>
      <c r="T496" s="40" t="str">
        <f aca="false">IF($B496="","",IF($C496="","NIK kosong",IF(LEN($C496)&lt;&gt;16,"NIK bukan 16 digit",IF(COUNTIF($C$4:$C$2003,$C496&amp;"*")&gt;1,"NIK ganda",IF($E496="","Kadus kosong",IF($F496="","RT kosong",IF($H496="","Jabatan kosong",IF($I496="","No. HP kosong",IF($J496="","Alamat kosong",IF(AND($M496&lt;&gt;"",$M496&lt;17),"Usia di bawah 17",""))))))))))</f>
        <v/>
      </c>
      <c r="U496" s="40" t="str">
        <f aca="false">IF($B496="","",IF(AND(OR(CARI!$C$5="",ISNUMBER(SEARCH(CARI!$C$5,$B496&amp;" "&amp;$C496&amp;" "&amp;$I496&amp;" "&amp;$J496&amp;" "&amp;$Q496))),OR(CARI!$C$6="",$E496=CARI!$C$6),OR(CARI!$C$7="",$F496=CARI!$C$7),OR(CARI!$C$8="",$O496=CARI!$C$8)),MAX($U$3:U495)+1,""))</f>
        <v/>
      </c>
      <c r="V496" s="40" t="str">
        <f aca="false">IF($T496="","",MAX($V$3:V495)+1)</f>
        <v/>
      </c>
      <c r="W496" s="40" t="str">
        <f aca="false">IF($E496="","",$E496&amp;"#"&amp;COUNTIF($E$4:$E496,$E496))</f>
        <v/>
      </c>
      <c r="X496" s="40" t="str">
        <f aca="false">IF($B496="","",IF(AND(OR(CETAK!$J$10="",$E496=CETAK!$J$10),OR(CETAK!$J$11="",$F496=CETAK!$J$11),OR(CETAK!$J$12="",$K496=CETAK!$J$12),OR(CETAK!$J$13="",$H496=CETAK!$J$13),OR(CETAK!$J$14="",$O496=CETAK!$J$14)),MAX($X$3:X495)+1,""))</f>
        <v/>
      </c>
      <c r="Y496" s="40" t="str">
        <f aca="false">IF($B496="","",IF(AND(OR(ABSENSI!$H$10="",$E496=ABSENSI!$H$10),OR(ABSENSI!$H$11="",$F496=ABSENSI!$H$11),OR(ABSENSI!$H$12="",$K496=ABSENSI!$H$12)),MAX($Y$3:Y495)+1,""))</f>
        <v/>
      </c>
      <c r="Z496" s="40" t="str">
        <f aca="false">IF($B496="","",IF(AND(OR(KARTU!$K$6="",$E496=KARTU!$K$6),OR(KARTU!$K$7="",$F496=KARTU!$K$7),OR(KARTU!$K$8="",$K496=KARTU!$K$8)),MAX($Z$3:Z495)+1,""))</f>
        <v/>
      </c>
    </row>
    <row r="497" customFormat="false" ht="15" hidden="false" customHeight="false" outlineLevel="0" collapsed="false">
      <c r="A497" s="36" t="str">
        <f aca="false">IF($B497="","",COUNTA($B$4:$B497))</f>
        <v/>
      </c>
      <c r="B497" s="37"/>
      <c r="C497" s="38"/>
      <c r="D497" s="39"/>
      <c r="E497" s="37"/>
      <c r="F497" s="39"/>
      <c r="G497" s="40" t="str">
        <f aca="false">IF(OR($E497="",$F497=""),"",$E497&amp;" - RT "&amp;$F497)</f>
        <v/>
      </c>
      <c r="H497" s="37"/>
      <c r="I497" s="38"/>
      <c r="J497" s="37"/>
      <c r="K497" s="39"/>
      <c r="L497" s="41"/>
      <c r="M497" s="36" t="str">
        <f aca="true">IF(OR($B497="",$L497=""),"",DATEDIF($L497,TODAY(),"Y"))</f>
        <v/>
      </c>
      <c r="N497" s="40" t="str">
        <f aca="false">IF($M497="","",INDEX(usia_label,MATCH($M497,usia_min,1)))</f>
        <v/>
      </c>
      <c r="O497" s="37"/>
      <c r="P497" s="41"/>
      <c r="Q497" s="37"/>
      <c r="R497" s="37"/>
      <c r="S497" s="40" t="str">
        <f aca="false">IF($G497="","",$G497&amp;"#"&amp;COUNTIF($G$4:$G497,$G497))</f>
        <v/>
      </c>
      <c r="T497" s="40" t="str">
        <f aca="false">IF($B497="","",IF($C497="","NIK kosong",IF(LEN($C497)&lt;&gt;16,"NIK bukan 16 digit",IF(COUNTIF($C$4:$C$2003,$C497&amp;"*")&gt;1,"NIK ganda",IF($E497="","Kadus kosong",IF($F497="","RT kosong",IF($H497="","Jabatan kosong",IF($I497="","No. HP kosong",IF($J497="","Alamat kosong",IF(AND($M497&lt;&gt;"",$M497&lt;17),"Usia di bawah 17",""))))))))))</f>
        <v/>
      </c>
      <c r="U497" s="40" t="str">
        <f aca="false">IF($B497="","",IF(AND(OR(CARI!$C$5="",ISNUMBER(SEARCH(CARI!$C$5,$B497&amp;" "&amp;$C497&amp;" "&amp;$I497&amp;" "&amp;$J497&amp;" "&amp;$Q497))),OR(CARI!$C$6="",$E497=CARI!$C$6),OR(CARI!$C$7="",$F497=CARI!$C$7),OR(CARI!$C$8="",$O497=CARI!$C$8)),MAX($U$3:U496)+1,""))</f>
        <v/>
      </c>
      <c r="V497" s="40" t="str">
        <f aca="false">IF($T497="","",MAX($V$3:V496)+1)</f>
        <v/>
      </c>
      <c r="W497" s="40" t="str">
        <f aca="false">IF($E497="","",$E497&amp;"#"&amp;COUNTIF($E$4:$E497,$E497))</f>
        <v/>
      </c>
      <c r="X497" s="40" t="str">
        <f aca="false">IF($B497="","",IF(AND(OR(CETAK!$J$10="",$E497=CETAK!$J$10),OR(CETAK!$J$11="",$F497=CETAK!$J$11),OR(CETAK!$J$12="",$K497=CETAK!$J$12),OR(CETAK!$J$13="",$H497=CETAK!$J$13),OR(CETAK!$J$14="",$O497=CETAK!$J$14)),MAX($X$3:X496)+1,""))</f>
        <v/>
      </c>
      <c r="Y497" s="40" t="str">
        <f aca="false">IF($B497="","",IF(AND(OR(ABSENSI!$H$10="",$E497=ABSENSI!$H$10),OR(ABSENSI!$H$11="",$F497=ABSENSI!$H$11),OR(ABSENSI!$H$12="",$K497=ABSENSI!$H$12)),MAX($Y$3:Y496)+1,""))</f>
        <v/>
      </c>
      <c r="Z497" s="40" t="str">
        <f aca="false">IF($B497="","",IF(AND(OR(KARTU!$K$6="",$E497=KARTU!$K$6),OR(KARTU!$K$7="",$F497=KARTU!$K$7),OR(KARTU!$K$8="",$K497=KARTU!$K$8)),MAX($Z$3:Z496)+1,""))</f>
        <v/>
      </c>
    </row>
    <row r="498" customFormat="false" ht="15" hidden="false" customHeight="false" outlineLevel="0" collapsed="false">
      <c r="A498" s="36" t="str">
        <f aca="false">IF($B498="","",COUNTA($B$4:$B498))</f>
        <v/>
      </c>
      <c r="B498" s="37"/>
      <c r="C498" s="38"/>
      <c r="D498" s="39"/>
      <c r="E498" s="37"/>
      <c r="F498" s="39"/>
      <c r="G498" s="40" t="str">
        <f aca="false">IF(OR($E498="",$F498=""),"",$E498&amp;" - RT "&amp;$F498)</f>
        <v/>
      </c>
      <c r="H498" s="37"/>
      <c r="I498" s="38"/>
      <c r="J498" s="37"/>
      <c r="K498" s="39"/>
      <c r="L498" s="41"/>
      <c r="M498" s="36" t="str">
        <f aca="true">IF(OR($B498="",$L498=""),"",DATEDIF($L498,TODAY(),"Y"))</f>
        <v/>
      </c>
      <c r="N498" s="40" t="str">
        <f aca="false">IF($M498="","",INDEX(usia_label,MATCH($M498,usia_min,1)))</f>
        <v/>
      </c>
      <c r="O498" s="37"/>
      <c r="P498" s="41"/>
      <c r="Q498" s="37"/>
      <c r="R498" s="37"/>
      <c r="S498" s="40" t="str">
        <f aca="false">IF($G498="","",$G498&amp;"#"&amp;COUNTIF($G$4:$G498,$G498))</f>
        <v/>
      </c>
      <c r="T498" s="40" t="str">
        <f aca="false">IF($B498="","",IF($C498="","NIK kosong",IF(LEN($C498)&lt;&gt;16,"NIK bukan 16 digit",IF(COUNTIF($C$4:$C$2003,$C498&amp;"*")&gt;1,"NIK ganda",IF($E498="","Kadus kosong",IF($F498="","RT kosong",IF($H498="","Jabatan kosong",IF($I498="","No. HP kosong",IF($J498="","Alamat kosong",IF(AND($M498&lt;&gt;"",$M498&lt;17),"Usia di bawah 17",""))))))))))</f>
        <v/>
      </c>
      <c r="U498" s="40" t="str">
        <f aca="false">IF($B498="","",IF(AND(OR(CARI!$C$5="",ISNUMBER(SEARCH(CARI!$C$5,$B498&amp;" "&amp;$C498&amp;" "&amp;$I498&amp;" "&amp;$J498&amp;" "&amp;$Q498))),OR(CARI!$C$6="",$E498=CARI!$C$6),OR(CARI!$C$7="",$F498=CARI!$C$7),OR(CARI!$C$8="",$O498=CARI!$C$8)),MAX($U$3:U497)+1,""))</f>
        <v/>
      </c>
      <c r="V498" s="40" t="str">
        <f aca="false">IF($T498="","",MAX($V$3:V497)+1)</f>
        <v/>
      </c>
      <c r="W498" s="40" t="str">
        <f aca="false">IF($E498="","",$E498&amp;"#"&amp;COUNTIF($E$4:$E498,$E498))</f>
        <v/>
      </c>
      <c r="X498" s="40" t="str">
        <f aca="false">IF($B498="","",IF(AND(OR(CETAK!$J$10="",$E498=CETAK!$J$10),OR(CETAK!$J$11="",$F498=CETAK!$J$11),OR(CETAK!$J$12="",$K498=CETAK!$J$12),OR(CETAK!$J$13="",$H498=CETAK!$J$13),OR(CETAK!$J$14="",$O498=CETAK!$J$14)),MAX($X$3:X497)+1,""))</f>
        <v/>
      </c>
      <c r="Y498" s="40" t="str">
        <f aca="false">IF($B498="","",IF(AND(OR(ABSENSI!$H$10="",$E498=ABSENSI!$H$10),OR(ABSENSI!$H$11="",$F498=ABSENSI!$H$11),OR(ABSENSI!$H$12="",$K498=ABSENSI!$H$12)),MAX($Y$3:Y497)+1,""))</f>
        <v/>
      </c>
      <c r="Z498" s="40" t="str">
        <f aca="false">IF($B498="","",IF(AND(OR(KARTU!$K$6="",$E498=KARTU!$K$6),OR(KARTU!$K$7="",$F498=KARTU!$K$7),OR(KARTU!$K$8="",$K498=KARTU!$K$8)),MAX($Z$3:Z497)+1,""))</f>
        <v/>
      </c>
    </row>
    <row r="499" customFormat="false" ht="15" hidden="false" customHeight="false" outlineLevel="0" collapsed="false">
      <c r="A499" s="36" t="str">
        <f aca="false">IF($B499="","",COUNTA($B$4:$B499))</f>
        <v/>
      </c>
      <c r="B499" s="37"/>
      <c r="C499" s="38"/>
      <c r="D499" s="39"/>
      <c r="E499" s="37"/>
      <c r="F499" s="39"/>
      <c r="G499" s="40" t="str">
        <f aca="false">IF(OR($E499="",$F499=""),"",$E499&amp;" - RT "&amp;$F499)</f>
        <v/>
      </c>
      <c r="H499" s="37"/>
      <c r="I499" s="38"/>
      <c r="J499" s="37"/>
      <c r="K499" s="39"/>
      <c r="L499" s="41"/>
      <c r="M499" s="36" t="str">
        <f aca="true">IF(OR($B499="",$L499=""),"",DATEDIF($L499,TODAY(),"Y"))</f>
        <v/>
      </c>
      <c r="N499" s="40" t="str">
        <f aca="false">IF($M499="","",INDEX(usia_label,MATCH($M499,usia_min,1)))</f>
        <v/>
      </c>
      <c r="O499" s="37"/>
      <c r="P499" s="41"/>
      <c r="Q499" s="37"/>
      <c r="R499" s="37"/>
      <c r="S499" s="40" t="str">
        <f aca="false">IF($G499="","",$G499&amp;"#"&amp;COUNTIF($G$4:$G499,$G499))</f>
        <v/>
      </c>
      <c r="T499" s="40" t="str">
        <f aca="false">IF($B499="","",IF($C499="","NIK kosong",IF(LEN($C499)&lt;&gt;16,"NIK bukan 16 digit",IF(COUNTIF($C$4:$C$2003,$C499&amp;"*")&gt;1,"NIK ganda",IF($E499="","Kadus kosong",IF($F499="","RT kosong",IF($H499="","Jabatan kosong",IF($I499="","No. HP kosong",IF($J499="","Alamat kosong",IF(AND($M499&lt;&gt;"",$M499&lt;17),"Usia di bawah 17",""))))))))))</f>
        <v/>
      </c>
      <c r="U499" s="40" t="str">
        <f aca="false">IF($B499="","",IF(AND(OR(CARI!$C$5="",ISNUMBER(SEARCH(CARI!$C$5,$B499&amp;" "&amp;$C499&amp;" "&amp;$I499&amp;" "&amp;$J499&amp;" "&amp;$Q499))),OR(CARI!$C$6="",$E499=CARI!$C$6),OR(CARI!$C$7="",$F499=CARI!$C$7),OR(CARI!$C$8="",$O499=CARI!$C$8)),MAX($U$3:U498)+1,""))</f>
        <v/>
      </c>
      <c r="V499" s="40" t="str">
        <f aca="false">IF($T499="","",MAX($V$3:V498)+1)</f>
        <v/>
      </c>
      <c r="W499" s="40" t="str">
        <f aca="false">IF($E499="","",$E499&amp;"#"&amp;COUNTIF($E$4:$E499,$E499))</f>
        <v/>
      </c>
      <c r="X499" s="40" t="str">
        <f aca="false">IF($B499="","",IF(AND(OR(CETAK!$J$10="",$E499=CETAK!$J$10),OR(CETAK!$J$11="",$F499=CETAK!$J$11),OR(CETAK!$J$12="",$K499=CETAK!$J$12),OR(CETAK!$J$13="",$H499=CETAK!$J$13),OR(CETAK!$J$14="",$O499=CETAK!$J$14)),MAX($X$3:X498)+1,""))</f>
        <v/>
      </c>
      <c r="Y499" s="40" t="str">
        <f aca="false">IF($B499="","",IF(AND(OR(ABSENSI!$H$10="",$E499=ABSENSI!$H$10),OR(ABSENSI!$H$11="",$F499=ABSENSI!$H$11),OR(ABSENSI!$H$12="",$K499=ABSENSI!$H$12)),MAX($Y$3:Y498)+1,""))</f>
        <v/>
      </c>
      <c r="Z499" s="40" t="str">
        <f aca="false">IF($B499="","",IF(AND(OR(KARTU!$K$6="",$E499=KARTU!$K$6),OR(KARTU!$K$7="",$F499=KARTU!$K$7),OR(KARTU!$K$8="",$K499=KARTU!$K$8)),MAX($Z$3:Z498)+1,""))</f>
        <v/>
      </c>
    </row>
    <row r="500" customFormat="false" ht="15" hidden="false" customHeight="false" outlineLevel="0" collapsed="false">
      <c r="A500" s="36" t="str">
        <f aca="false">IF($B500="","",COUNTA($B$4:$B500))</f>
        <v/>
      </c>
      <c r="B500" s="37"/>
      <c r="C500" s="38"/>
      <c r="D500" s="39"/>
      <c r="E500" s="37"/>
      <c r="F500" s="39"/>
      <c r="G500" s="40" t="str">
        <f aca="false">IF(OR($E500="",$F500=""),"",$E500&amp;" - RT "&amp;$F500)</f>
        <v/>
      </c>
      <c r="H500" s="37"/>
      <c r="I500" s="38"/>
      <c r="J500" s="37"/>
      <c r="K500" s="39"/>
      <c r="L500" s="41"/>
      <c r="M500" s="36" t="str">
        <f aca="true">IF(OR($B500="",$L500=""),"",DATEDIF($L500,TODAY(),"Y"))</f>
        <v/>
      </c>
      <c r="N500" s="40" t="str">
        <f aca="false">IF($M500="","",INDEX(usia_label,MATCH($M500,usia_min,1)))</f>
        <v/>
      </c>
      <c r="O500" s="37"/>
      <c r="P500" s="41"/>
      <c r="Q500" s="37"/>
      <c r="R500" s="37"/>
      <c r="S500" s="40" t="str">
        <f aca="false">IF($G500="","",$G500&amp;"#"&amp;COUNTIF($G$4:$G500,$G500))</f>
        <v/>
      </c>
      <c r="T500" s="40" t="str">
        <f aca="false">IF($B500="","",IF($C500="","NIK kosong",IF(LEN($C500)&lt;&gt;16,"NIK bukan 16 digit",IF(COUNTIF($C$4:$C$2003,$C500&amp;"*")&gt;1,"NIK ganda",IF($E500="","Kadus kosong",IF($F500="","RT kosong",IF($H500="","Jabatan kosong",IF($I500="","No. HP kosong",IF($J500="","Alamat kosong",IF(AND($M500&lt;&gt;"",$M500&lt;17),"Usia di bawah 17",""))))))))))</f>
        <v/>
      </c>
      <c r="U500" s="40" t="str">
        <f aca="false">IF($B500="","",IF(AND(OR(CARI!$C$5="",ISNUMBER(SEARCH(CARI!$C$5,$B500&amp;" "&amp;$C500&amp;" "&amp;$I500&amp;" "&amp;$J500&amp;" "&amp;$Q500))),OR(CARI!$C$6="",$E500=CARI!$C$6),OR(CARI!$C$7="",$F500=CARI!$C$7),OR(CARI!$C$8="",$O500=CARI!$C$8)),MAX($U$3:U499)+1,""))</f>
        <v/>
      </c>
      <c r="V500" s="40" t="str">
        <f aca="false">IF($T500="","",MAX($V$3:V499)+1)</f>
        <v/>
      </c>
      <c r="W500" s="40" t="str">
        <f aca="false">IF($E500="","",$E500&amp;"#"&amp;COUNTIF($E$4:$E500,$E500))</f>
        <v/>
      </c>
      <c r="X500" s="40" t="str">
        <f aca="false">IF($B500="","",IF(AND(OR(CETAK!$J$10="",$E500=CETAK!$J$10),OR(CETAK!$J$11="",$F500=CETAK!$J$11),OR(CETAK!$J$12="",$K500=CETAK!$J$12),OR(CETAK!$J$13="",$H500=CETAK!$J$13),OR(CETAK!$J$14="",$O500=CETAK!$J$14)),MAX($X$3:X499)+1,""))</f>
        <v/>
      </c>
      <c r="Y500" s="40" t="str">
        <f aca="false">IF($B500="","",IF(AND(OR(ABSENSI!$H$10="",$E500=ABSENSI!$H$10),OR(ABSENSI!$H$11="",$F500=ABSENSI!$H$11),OR(ABSENSI!$H$12="",$K500=ABSENSI!$H$12)),MAX($Y$3:Y499)+1,""))</f>
        <v/>
      </c>
      <c r="Z500" s="40" t="str">
        <f aca="false">IF($B500="","",IF(AND(OR(KARTU!$K$6="",$E500=KARTU!$K$6),OR(KARTU!$K$7="",$F500=KARTU!$K$7),OR(KARTU!$K$8="",$K500=KARTU!$K$8)),MAX($Z$3:Z499)+1,""))</f>
        <v/>
      </c>
    </row>
    <row r="501" customFormat="false" ht="15" hidden="false" customHeight="false" outlineLevel="0" collapsed="false">
      <c r="A501" s="36" t="str">
        <f aca="false">IF($B501="","",COUNTA($B$4:$B501))</f>
        <v/>
      </c>
      <c r="B501" s="37"/>
      <c r="C501" s="38"/>
      <c r="D501" s="39"/>
      <c r="E501" s="37"/>
      <c r="F501" s="39"/>
      <c r="G501" s="40" t="str">
        <f aca="false">IF(OR($E501="",$F501=""),"",$E501&amp;" - RT "&amp;$F501)</f>
        <v/>
      </c>
      <c r="H501" s="37"/>
      <c r="I501" s="38"/>
      <c r="J501" s="37"/>
      <c r="K501" s="39"/>
      <c r="L501" s="41"/>
      <c r="M501" s="36" t="str">
        <f aca="true">IF(OR($B501="",$L501=""),"",DATEDIF($L501,TODAY(),"Y"))</f>
        <v/>
      </c>
      <c r="N501" s="40" t="str">
        <f aca="false">IF($M501="","",INDEX(usia_label,MATCH($M501,usia_min,1)))</f>
        <v/>
      </c>
      <c r="O501" s="37"/>
      <c r="P501" s="41"/>
      <c r="Q501" s="37"/>
      <c r="R501" s="37"/>
      <c r="S501" s="40" t="str">
        <f aca="false">IF($G501="","",$G501&amp;"#"&amp;COUNTIF($G$4:$G501,$G501))</f>
        <v/>
      </c>
      <c r="T501" s="40" t="str">
        <f aca="false">IF($B501="","",IF($C501="","NIK kosong",IF(LEN($C501)&lt;&gt;16,"NIK bukan 16 digit",IF(COUNTIF($C$4:$C$2003,$C501&amp;"*")&gt;1,"NIK ganda",IF($E501="","Kadus kosong",IF($F501="","RT kosong",IF($H501="","Jabatan kosong",IF($I501="","No. HP kosong",IF($J501="","Alamat kosong",IF(AND($M501&lt;&gt;"",$M501&lt;17),"Usia di bawah 17",""))))))))))</f>
        <v/>
      </c>
      <c r="U501" s="40" t="str">
        <f aca="false">IF($B501="","",IF(AND(OR(CARI!$C$5="",ISNUMBER(SEARCH(CARI!$C$5,$B501&amp;" "&amp;$C501&amp;" "&amp;$I501&amp;" "&amp;$J501&amp;" "&amp;$Q501))),OR(CARI!$C$6="",$E501=CARI!$C$6),OR(CARI!$C$7="",$F501=CARI!$C$7),OR(CARI!$C$8="",$O501=CARI!$C$8)),MAX($U$3:U500)+1,""))</f>
        <v/>
      </c>
      <c r="V501" s="40" t="str">
        <f aca="false">IF($T501="","",MAX($V$3:V500)+1)</f>
        <v/>
      </c>
      <c r="W501" s="40" t="str">
        <f aca="false">IF($E501="","",$E501&amp;"#"&amp;COUNTIF($E$4:$E501,$E501))</f>
        <v/>
      </c>
      <c r="X501" s="40" t="str">
        <f aca="false">IF($B501="","",IF(AND(OR(CETAK!$J$10="",$E501=CETAK!$J$10),OR(CETAK!$J$11="",$F501=CETAK!$J$11),OR(CETAK!$J$12="",$K501=CETAK!$J$12),OR(CETAK!$J$13="",$H501=CETAK!$J$13),OR(CETAK!$J$14="",$O501=CETAK!$J$14)),MAX($X$3:X500)+1,""))</f>
        <v/>
      </c>
      <c r="Y501" s="40" t="str">
        <f aca="false">IF($B501="","",IF(AND(OR(ABSENSI!$H$10="",$E501=ABSENSI!$H$10),OR(ABSENSI!$H$11="",$F501=ABSENSI!$H$11),OR(ABSENSI!$H$12="",$K501=ABSENSI!$H$12)),MAX($Y$3:Y500)+1,""))</f>
        <v/>
      </c>
      <c r="Z501" s="40" t="str">
        <f aca="false">IF($B501="","",IF(AND(OR(KARTU!$K$6="",$E501=KARTU!$K$6),OR(KARTU!$K$7="",$F501=KARTU!$K$7),OR(KARTU!$K$8="",$K501=KARTU!$K$8)),MAX($Z$3:Z500)+1,""))</f>
        <v/>
      </c>
    </row>
    <row r="502" customFormat="false" ht="15" hidden="false" customHeight="false" outlineLevel="0" collapsed="false">
      <c r="A502" s="36" t="str">
        <f aca="false">IF($B502="","",COUNTA($B$4:$B502))</f>
        <v/>
      </c>
      <c r="B502" s="37"/>
      <c r="C502" s="38"/>
      <c r="D502" s="39"/>
      <c r="E502" s="37"/>
      <c r="F502" s="39"/>
      <c r="G502" s="40" t="str">
        <f aca="false">IF(OR($E502="",$F502=""),"",$E502&amp;" - RT "&amp;$F502)</f>
        <v/>
      </c>
      <c r="H502" s="37"/>
      <c r="I502" s="38"/>
      <c r="J502" s="37"/>
      <c r="K502" s="39"/>
      <c r="L502" s="41"/>
      <c r="M502" s="36" t="str">
        <f aca="true">IF(OR($B502="",$L502=""),"",DATEDIF($L502,TODAY(),"Y"))</f>
        <v/>
      </c>
      <c r="N502" s="40" t="str">
        <f aca="false">IF($M502="","",INDEX(usia_label,MATCH($M502,usia_min,1)))</f>
        <v/>
      </c>
      <c r="O502" s="37"/>
      <c r="P502" s="41"/>
      <c r="Q502" s="37"/>
      <c r="R502" s="37"/>
      <c r="S502" s="40" t="str">
        <f aca="false">IF($G502="","",$G502&amp;"#"&amp;COUNTIF($G$4:$G502,$G502))</f>
        <v/>
      </c>
      <c r="T502" s="40" t="str">
        <f aca="false">IF($B502="","",IF($C502="","NIK kosong",IF(LEN($C502)&lt;&gt;16,"NIK bukan 16 digit",IF(COUNTIF($C$4:$C$2003,$C502&amp;"*")&gt;1,"NIK ganda",IF($E502="","Kadus kosong",IF($F502="","RT kosong",IF($H502="","Jabatan kosong",IF($I502="","No. HP kosong",IF($J502="","Alamat kosong",IF(AND($M502&lt;&gt;"",$M502&lt;17),"Usia di bawah 17",""))))))))))</f>
        <v/>
      </c>
      <c r="U502" s="40" t="str">
        <f aca="false">IF($B502="","",IF(AND(OR(CARI!$C$5="",ISNUMBER(SEARCH(CARI!$C$5,$B502&amp;" "&amp;$C502&amp;" "&amp;$I502&amp;" "&amp;$J502&amp;" "&amp;$Q502))),OR(CARI!$C$6="",$E502=CARI!$C$6),OR(CARI!$C$7="",$F502=CARI!$C$7),OR(CARI!$C$8="",$O502=CARI!$C$8)),MAX($U$3:U501)+1,""))</f>
        <v/>
      </c>
      <c r="V502" s="40" t="str">
        <f aca="false">IF($T502="","",MAX($V$3:V501)+1)</f>
        <v/>
      </c>
      <c r="W502" s="40" t="str">
        <f aca="false">IF($E502="","",$E502&amp;"#"&amp;COUNTIF($E$4:$E502,$E502))</f>
        <v/>
      </c>
      <c r="X502" s="40" t="str">
        <f aca="false">IF($B502="","",IF(AND(OR(CETAK!$J$10="",$E502=CETAK!$J$10),OR(CETAK!$J$11="",$F502=CETAK!$J$11),OR(CETAK!$J$12="",$K502=CETAK!$J$12),OR(CETAK!$J$13="",$H502=CETAK!$J$13),OR(CETAK!$J$14="",$O502=CETAK!$J$14)),MAX($X$3:X501)+1,""))</f>
        <v/>
      </c>
      <c r="Y502" s="40" t="str">
        <f aca="false">IF($B502="","",IF(AND(OR(ABSENSI!$H$10="",$E502=ABSENSI!$H$10),OR(ABSENSI!$H$11="",$F502=ABSENSI!$H$11),OR(ABSENSI!$H$12="",$K502=ABSENSI!$H$12)),MAX($Y$3:Y501)+1,""))</f>
        <v/>
      </c>
      <c r="Z502" s="40" t="str">
        <f aca="false">IF($B502="","",IF(AND(OR(KARTU!$K$6="",$E502=KARTU!$K$6),OR(KARTU!$K$7="",$F502=KARTU!$K$7),OR(KARTU!$K$8="",$K502=KARTU!$K$8)),MAX($Z$3:Z501)+1,""))</f>
        <v/>
      </c>
    </row>
    <row r="503" customFormat="false" ht="15" hidden="false" customHeight="false" outlineLevel="0" collapsed="false">
      <c r="A503" s="36" t="str">
        <f aca="false">IF($B503="","",COUNTA($B$4:$B503))</f>
        <v/>
      </c>
      <c r="B503" s="37"/>
      <c r="C503" s="38"/>
      <c r="D503" s="39"/>
      <c r="E503" s="37"/>
      <c r="F503" s="39"/>
      <c r="G503" s="40" t="str">
        <f aca="false">IF(OR($E503="",$F503=""),"",$E503&amp;" - RT "&amp;$F503)</f>
        <v/>
      </c>
      <c r="H503" s="37"/>
      <c r="I503" s="38"/>
      <c r="J503" s="37"/>
      <c r="K503" s="39"/>
      <c r="L503" s="41"/>
      <c r="M503" s="36" t="str">
        <f aca="true">IF(OR($B503="",$L503=""),"",DATEDIF($L503,TODAY(),"Y"))</f>
        <v/>
      </c>
      <c r="N503" s="40" t="str">
        <f aca="false">IF($M503="","",INDEX(usia_label,MATCH($M503,usia_min,1)))</f>
        <v/>
      </c>
      <c r="O503" s="37"/>
      <c r="P503" s="41"/>
      <c r="Q503" s="37"/>
      <c r="R503" s="37"/>
      <c r="S503" s="40" t="str">
        <f aca="false">IF($G503="","",$G503&amp;"#"&amp;COUNTIF($G$4:$G503,$G503))</f>
        <v/>
      </c>
      <c r="T503" s="40" t="str">
        <f aca="false">IF($B503="","",IF($C503="","NIK kosong",IF(LEN($C503)&lt;&gt;16,"NIK bukan 16 digit",IF(COUNTIF($C$4:$C$2003,$C503&amp;"*")&gt;1,"NIK ganda",IF($E503="","Kadus kosong",IF($F503="","RT kosong",IF($H503="","Jabatan kosong",IF($I503="","No. HP kosong",IF($J503="","Alamat kosong",IF(AND($M503&lt;&gt;"",$M503&lt;17),"Usia di bawah 17",""))))))))))</f>
        <v/>
      </c>
      <c r="U503" s="40" t="str">
        <f aca="false">IF($B503="","",IF(AND(OR(CARI!$C$5="",ISNUMBER(SEARCH(CARI!$C$5,$B503&amp;" "&amp;$C503&amp;" "&amp;$I503&amp;" "&amp;$J503&amp;" "&amp;$Q503))),OR(CARI!$C$6="",$E503=CARI!$C$6),OR(CARI!$C$7="",$F503=CARI!$C$7),OR(CARI!$C$8="",$O503=CARI!$C$8)),MAX($U$3:U502)+1,""))</f>
        <v/>
      </c>
      <c r="V503" s="40" t="str">
        <f aca="false">IF($T503="","",MAX($V$3:V502)+1)</f>
        <v/>
      </c>
      <c r="W503" s="40" t="str">
        <f aca="false">IF($E503="","",$E503&amp;"#"&amp;COUNTIF($E$4:$E503,$E503))</f>
        <v/>
      </c>
      <c r="X503" s="40" t="str">
        <f aca="false">IF($B503="","",IF(AND(OR(CETAK!$J$10="",$E503=CETAK!$J$10),OR(CETAK!$J$11="",$F503=CETAK!$J$11),OR(CETAK!$J$12="",$K503=CETAK!$J$12),OR(CETAK!$J$13="",$H503=CETAK!$J$13),OR(CETAK!$J$14="",$O503=CETAK!$J$14)),MAX($X$3:X502)+1,""))</f>
        <v/>
      </c>
      <c r="Y503" s="40" t="str">
        <f aca="false">IF($B503="","",IF(AND(OR(ABSENSI!$H$10="",$E503=ABSENSI!$H$10),OR(ABSENSI!$H$11="",$F503=ABSENSI!$H$11),OR(ABSENSI!$H$12="",$K503=ABSENSI!$H$12)),MAX($Y$3:Y502)+1,""))</f>
        <v/>
      </c>
      <c r="Z503" s="40" t="str">
        <f aca="false">IF($B503="","",IF(AND(OR(KARTU!$K$6="",$E503=KARTU!$K$6),OR(KARTU!$K$7="",$F503=KARTU!$K$7),OR(KARTU!$K$8="",$K503=KARTU!$K$8)),MAX($Z$3:Z502)+1,""))</f>
        <v/>
      </c>
    </row>
    <row r="504" customFormat="false" ht="15" hidden="false" customHeight="false" outlineLevel="0" collapsed="false">
      <c r="A504" s="36" t="str">
        <f aca="false">IF($B504="","",COUNTA($B$4:$B504))</f>
        <v/>
      </c>
      <c r="B504" s="37"/>
      <c r="C504" s="38"/>
      <c r="D504" s="39"/>
      <c r="E504" s="37"/>
      <c r="F504" s="39"/>
      <c r="G504" s="40" t="str">
        <f aca="false">IF(OR($E504="",$F504=""),"",$E504&amp;" - RT "&amp;$F504)</f>
        <v/>
      </c>
      <c r="H504" s="37"/>
      <c r="I504" s="38"/>
      <c r="J504" s="37"/>
      <c r="K504" s="39"/>
      <c r="L504" s="41"/>
      <c r="M504" s="36" t="str">
        <f aca="true">IF(OR($B504="",$L504=""),"",DATEDIF($L504,TODAY(),"Y"))</f>
        <v/>
      </c>
      <c r="N504" s="40" t="str">
        <f aca="false">IF($M504="","",INDEX(usia_label,MATCH($M504,usia_min,1)))</f>
        <v/>
      </c>
      <c r="O504" s="37"/>
      <c r="P504" s="41"/>
      <c r="Q504" s="37"/>
      <c r="R504" s="37"/>
      <c r="S504" s="40" t="str">
        <f aca="false">IF($G504="","",$G504&amp;"#"&amp;COUNTIF($G$4:$G504,$G504))</f>
        <v/>
      </c>
      <c r="T504" s="40" t="str">
        <f aca="false">IF($B504="","",IF($C504="","NIK kosong",IF(LEN($C504)&lt;&gt;16,"NIK bukan 16 digit",IF(COUNTIF($C$4:$C$2003,$C504&amp;"*")&gt;1,"NIK ganda",IF($E504="","Kadus kosong",IF($F504="","RT kosong",IF($H504="","Jabatan kosong",IF($I504="","No. HP kosong",IF($J504="","Alamat kosong",IF(AND($M504&lt;&gt;"",$M504&lt;17),"Usia di bawah 17",""))))))))))</f>
        <v/>
      </c>
      <c r="U504" s="40" t="str">
        <f aca="false">IF($B504="","",IF(AND(OR(CARI!$C$5="",ISNUMBER(SEARCH(CARI!$C$5,$B504&amp;" "&amp;$C504&amp;" "&amp;$I504&amp;" "&amp;$J504&amp;" "&amp;$Q504))),OR(CARI!$C$6="",$E504=CARI!$C$6),OR(CARI!$C$7="",$F504=CARI!$C$7),OR(CARI!$C$8="",$O504=CARI!$C$8)),MAX($U$3:U503)+1,""))</f>
        <v/>
      </c>
      <c r="V504" s="40" t="str">
        <f aca="false">IF($T504="","",MAX($V$3:V503)+1)</f>
        <v/>
      </c>
      <c r="W504" s="40" t="str">
        <f aca="false">IF($E504="","",$E504&amp;"#"&amp;COUNTIF($E$4:$E504,$E504))</f>
        <v/>
      </c>
      <c r="X504" s="40" t="str">
        <f aca="false">IF($B504="","",IF(AND(OR(CETAK!$J$10="",$E504=CETAK!$J$10),OR(CETAK!$J$11="",$F504=CETAK!$J$11),OR(CETAK!$J$12="",$K504=CETAK!$J$12),OR(CETAK!$J$13="",$H504=CETAK!$J$13),OR(CETAK!$J$14="",$O504=CETAK!$J$14)),MAX($X$3:X503)+1,""))</f>
        <v/>
      </c>
      <c r="Y504" s="40" t="str">
        <f aca="false">IF($B504="","",IF(AND(OR(ABSENSI!$H$10="",$E504=ABSENSI!$H$10),OR(ABSENSI!$H$11="",$F504=ABSENSI!$H$11),OR(ABSENSI!$H$12="",$K504=ABSENSI!$H$12)),MAX($Y$3:Y503)+1,""))</f>
        <v/>
      </c>
      <c r="Z504" s="40" t="str">
        <f aca="false">IF($B504="","",IF(AND(OR(KARTU!$K$6="",$E504=KARTU!$K$6),OR(KARTU!$K$7="",$F504=KARTU!$K$7),OR(KARTU!$K$8="",$K504=KARTU!$K$8)),MAX($Z$3:Z503)+1,""))</f>
        <v/>
      </c>
    </row>
    <row r="505" customFormat="false" ht="15" hidden="false" customHeight="false" outlineLevel="0" collapsed="false">
      <c r="A505" s="36" t="str">
        <f aca="false">IF($B505="","",COUNTA($B$4:$B505))</f>
        <v/>
      </c>
      <c r="B505" s="37"/>
      <c r="C505" s="38"/>
      <c r="D505" s="39"/>
      <c r="E505" s="37"/>
      <c r="F505" s="39"/>
      <c r="G505" s="40" t="str">
        <f aca="false">IF(OR($E505="",$F505=""),"",$E505&amp;" - RT "&amp;$F505)</f>
        <v/>
      </c>
      <c r="H505" s="37"/>
      <c r="I505" s="38"/>
      <c r="J505" s="37"/>
      <c r="K505" s="39"/>
      <c r="L505" s="41"/>
      <c r="M505" s="36" t="str">
        <f aca="true">IF(OR($B505="",$L505=""),"",DATEDIF($L505,TODAY(),"Y"))</f>
        <v/>
      </c>
      <c r="N505" s="40" t="str">
        <f aca="false">IF($M505="","",INDEX(usia_label,MATCH($M505,usia_min,1)))</f>
        <v/>
      </c>
      <c r="O505" s="37"/>
      <c r="P505" s="41"/>
      <c r="Q505" s="37"/>
      <c r="R505" s="37"/>
      <c r="S505" s="40" t="str">
        <f aca="false">IF($G505="","",$G505&amp;"#"&amp;COUNTIF($G$4:$G505,$G505))</f>
        <v/>
      </c>
      <c r="T505" s="40" t="str">
        <f aca="false">IF($B505="","",IF($C505="","NIK kosong",IF(LEN($C505)&lt;&gt;16,"NIK bukan 16 digit",IF(COUNTIF($C$4:$C$2003,$C505&amp;"*")&gt;1,"NIK ganda",IF($E505="","Kadus kosong",IF($F505="","RT kosong",IF($H505="","Jabatan kosong",IF($I505="","No. HP kosong",IF($J505="","Alamat kosong",IF(AND($M505&lt;&gt;"",$M505&lt;17),"Usia di bawah 17",""))))))))))</f>
        <v/>
      </c>
      <c r="U505" s="40" t="str">
        <f aca="false">IF($B505="","",IF(AND(OR(CARI!$C$5="",ISNUMBER(SEARCH(CARI!$C$5,$B505&amp;" "&amp;$C505&amp;" "&amp;$I505&amp;" "&amp;$J505&amp;" "&amp;$Q505))),OR(CARI!$C$6="",$E505=CARI!$C$6),OR(CARI!$C$7="",$F505=CARI!$C$7),OR(CARI!$C$8="",$O505=CARI!$C$8)),MAX($U$3:U504)+1,""))</f>
        <v/>
      </c>
      <c r="V505" s="40" t="str">
        <f aca="false">IF($T505="","",MAX($V$3:V504)+1)</f>
        <v/>
      </c>
      <c r="W505" s="40" t="str">
        <f aca="false">IF($E505="","",$E505&amp;"#"&amp;COUNTIF($E$4:$E505,$E505))</f>
        <v/>
      </c>
      <c r="X505" s="40" t="str">
        <f aca="false">IF($B505="","",IF(AND(OR(CETAK!$J$10="",$E505=CETAK!$J$10),OR(CETAK!$J$11="",$F505=CETAK!$J$11),OR(CETAK!$J$12="",$K505=CETAK!$J$12),OR(CETAK!$J$13="",$H505=CETAK!$J$13),OR(CETAK!$J$14="",$O505=CETAK!$J$14)),MAX($X$3:X504)+1,""))</f>
        <v/>
      </c>
      <c r="Y505" s="40" t="str">
        <f aca="false">IF($B505="","",IF(AND(OR(ABSENSI!$H$10="",$E505=ABSENSI!$H$10),OR(ABSENSI!$H$11="",$F505=ABSENSI!$H$11),OR(ABSENSI!$H$12="",$K505=ABSENSI!$H$12)),MAX($Y$3:Y504)+1,""))</f>
        <v/>
      </c>
      <c r="Z505" s="40" t="str">
        <f aca="false">IF($B505="","",IF(AND(OR(KARTU!$K$6="",$E505=KARTU!$K$6),OR(KARTU!$K$7="",$F505=KARTU!$K$7),OR(KARTU!$K$8="",$K505=KARTU!$K$8)),MAX($Z$3:Z504)+1,""))</f>
        <v/>
      </c>
    </row>
    <row r="506" customFormat="false" ht="15" hidden="false" customHeight="false" outlineLevel="0" collapsed="false">
      <c r="A506" s="36" t="str">
        <f aca="false">IF($B506="","",COUNTA($B$4:$B506))</f>
        <v/>
      </c>
      <c r="B506" s="37"/>
      <c r="C506" s="38"/>
      <c r="D506" s="39"/>
      <c r="E506" s="37"/>
      <c r="F506" s="39"/>
      <c r="G506" s="40" t="str">
        <f aca="false">IF(OR($E506="",$F506=""),"",$E506&amp;" - RT "&amp;$F506)</f>
        <v/>
      </c>
      <c r="H506" s="37"/>
      <c r="I506" s="38"/>
      <c r="J506" s="37"/>
      <c r="K506" s="39"/>
      <c r="L506" s="41"/>
      <c r="M506" s="36" t="str">
        <f aca="true">IF(OR($B506="",$L506=""),"",DATEDIF($L506,TODAY(),"Y"))</f>
        <v/>
      </c>
      <c r="N506" s="40" t="str">
        <f aca="false">IF($M506="","",INDEX(usia_label,MATCH($M506,usia_min,1)))</f>
        <v/>
      </c>
      <c r="O506" s="37"/>
      <c r="P506" s="41"/>
      <c r="Q506" s="37"/>
      <c r="R506" s="37"/>
      <c r="S506" s="40" t="str">
        <f aca="false">IF($G506="","",$G506&amp;"#"&amp;COUNTIF($G$4:$G506,$G506))</f>
        <v/>
      </c>
      <c r="T506" s="40" t="str">
        <f aca="false">IF($B506="","",IF($C506="","NIK kosong",IF(LEN($C506)&lt;&gt;16,"NIK bukan 16 digit",IF(COUNTIF($C$4:$C$2003,$C506&amp;"*")&gt;1,"NIK ganda",IF($E506="","Kadus kosong",IF($F506="","RT kosong",IF($H506="","Jabatan kosong",IF($I506="","No. HP kosong",IF($J506="","Alamat kosong",IF(AND($M506&lt;&gt;"",$M506&lt;17),"Usia di bawah 17",""))))))))))</f>
        <v/>
      </c>
      <c r="U506" s="40" t="str">
        <f aca="false">IF($B506="","",IF(AND(OR(CARI!$C$5="",ISNUMBER(SEARCH(CARI!$C$5,$B506&amp;" "&amp;$C506&amp;" "&amp;$I506&amp;" "&amp;$J506&amp;" "&amp;$Q506))),OR(CARI!$C$6="",$E506=CARI!$C$6),OR(CARI!$C$7="",$F506=CARI!$C$7),OR(CARI!$C$8="",$O506=CARI!$C$8)),MAX($U$3:U505)+1,""))</f>
        <v/>
      </c>
      <c r="V506" s="40" t="str">
        <f aca="false">IF($T506="","",MAX($V$3:V505)+1)</f>
        <v/>
      </c>
      <c r="W506" s="40" t="str">
        <f aca="false">IF($E506="","",$E506&amp;"#"&amp;COUNTIF($E$4:$E506,$E506))</f>
        <v/>
      </c>
      <c r="X506" s="40" t="str">
        <f aca="false">IF($B506="","",IF(AND(OR(CETAK!$J$10="",$E506=CETAK!$J$10),OR(CETAK!$J$11="",$F506=CETAK!$J$11),OR(CETAK!$J$12="",$K506=CETAK!$J$12),OR(CETAK!$J$13="",$H506=CETAK!$J$13),OR(CETAK!$J$14="",$O506=CETAK!$J$14)),MAX($X$3:X505)+1,""))</f>
        <v/>
      </c>
      <c r="Y506" s="40" t="str">
        <f aca="false">IF($B506="","",IF(AND(OR(ABSENSI!$H$10="",$E506=ABSENSI!$H$10),OR(ABSENSI!$H$11="",$F506=ABSENSI!$H$11),OR(ABSENSI!$H$12="",$K506=ABSENSI!$H$12)),MAX($Y$3:Y505)+1,""))</f>
        <v/>
      </c>
      <c r="Z506" s="40" t="str">
        <f aca="false">IF($B506="","",IF(AND(OR(KARTU!$K$6="",$E506=KARTU!$K$6),OR(KARTU!$K$7="",$F506=KARTU!$K$7),OR(KARTU!$K$8="",$K506=KARTU!$K$8)),MAX($Z$3:Z505)+1,""))</f>
        <v/>
      </c>
    </row>
    <row r="507" customFormat="false" ht="15" hidden="false" customHeight="false" outlineLevel="0" collapsed="false">
      <c r="A507" s="36" t="str">
        <f aca="false">IF($B507="","",COUNTA($B$4:$B507))</f>
        <v/>
      </c>
      <c r="B507" s="37"/>
      <c r="C507" s="38"/>
      <c r="D507" s="39"/>
      <c r="E507" s="37"/>
      <c r="F507" s="39"/>
      <c r="G507" s="40" t="str">
        <f aca="false">IF(OR($E507="",$F507=""),"",$E507&amp;" - RT "&amp;$F507)</f>
        <v/>
      </c>
      <c r="H507" s="37"/>
      <c r="I507" s="38"/>
      <c r="J507" s="37"/>
      <c r="K507" s="39"/>
      <c r="L507" s="41"/>
      <c r="M507" s="36" t="str">
        <f aca="true">IF(OR($B507="",$L507=""),"",DATEDIF($L507,TODAY(),"Y"))</f>
        <v/>
      </c>
      <c r="N507" s="40" t="str">
        <f aca="false">IF($M507="","",INDEX(usia_label,MATCH($M507,usia_min,1)))</f>
        <v/>
      </c>
      <c r="O507" s="37"/>
      <c r="P507" s="41"/>
      <c r="Q507" s="37"/>
      <c r="R507" s="37"/>
      <c r="S507" s="40" t="str">
        <f aca="false">IF($G507="","",$G507&amp;"#"&amp;COUNTIF($G$4:$G507,$G507))</f>
        <v/>
      </c>
      <c r="T507" s="40" t="str">
        <f aca="false">IF($B507="","",IF($C507="","NIK kosong",IF(LEN($C507)&lt;&gt;16,"NIK bukan 16 digit",IF(COUNTIF($C$4:$C$2003,$C507&amp;"*")&gt;1,"NIK ganda",IF($E507="","Kadus kosong",IF($F507="","RT kosong",IF($H507="","Jabatan kosong",IF($I507="","No. HP kosong",IF($J507="","Alamat kosong",IF(AND($M507&lt;&gt;"",$M507&lt;17),"Usia di bawah 17",""))))))))))</f>
        <v/>
      </c>
      <c r="U507" s="40" t="str">
        <f aca="false">IF($B507="","",IF(AND(OR(CARI!$C$5="",ISNUMBER(SEARCH(CARI!$C$5,$B507&amp;" "&amp;$C507&amp;" "&amp;$I507&amp;" "&amp;$J507&amp;" "&amp;$Q507))),OR(CARI!$C$6="",$E507=CARI!$C$6),OR(CARI!$C$7="",$F507=CARI!$C$7),OR(CARI!$C$8="",$O507=CARI!$C$8)),MAX($U$3:U506)+1,""))</f>
        <v/>
      </c>
      <c r="V507" s="40" t="str">
        <f aca="false">IF($T507="","",MAX($V$3:V506)+1)</f>
        <v/>
      </c>
      <c r="W507" s="40" t="str">
        <f aca="false">IF($E507="","",$E507&amp;"#"&amp;COUNTIF($E$4:$E507,$E507))</f>
        <v/>
      </c>
      <c r="X507" s="40" t="str">
        <f aca="false">IF($B507="","",IF(AND(OR(CETAK!$J$10="",$E507=CETAK!$J$10),OR(CETAK!$J$11="",$F507=CETAK!$J$11),OR(CETAK!$J$12="",$K507=CETAK!$J$12),OR(CETAK!$J$13="",$H507=CETAK!$J$13),OR(CETAK!$J$14="",$O507=CETAK!$J$14)),MAX($X$3:X506)+1,""))</f>
        <v/>
      </c>
      <c r="Y507" s="40" t="str">
        <f aca="false">IF($B507="","",IF(AND(OR(ABSENSI!$H$10="",$E507=ABSENSI!$H$10),OR(ABSENSI!$H$11="",$F507=ABSENSI!$H$11),OR(ABSENSI!$H$12="",$K507=ABSENSI!$H$12)),MAX($Y$3:Y506)+1,""))</f>
        <v/>
      </c>
      <c r="Z507" s="40" t="str">
        <f aca="false">IF($B507="","",IF(AND(OR(KARTU!$K$6="",$E507=KARTU!$K$6),OR(KARTU!$K$7="",$F507=KARTU!$K$7),OR(KARTU!$K$8="",$K507=KARTU!$K$8)),MAX($Z$3:Z506)+1,""))</f>
        <v/>
      </c>
    </row>
    <row r="508" customFormat="false" ht="15" hidden="false" customHeight="false" outlineLevel="0" collapsed="false">
      <c r="A508" s="36" t="str">
        <f aca="false">IF($B508="","",COUNTA($B$4:$B508))</f>
        <v/>
      </c>
      <c r="B508" s="37"/>
      <c r="C508" s="38"/>
      <c r="D508" s="39"/>
      <c r="E508" s="37"/>
      <c r="F508" s="39"/>
      <c r="G508" s="40" t="str">
        <f aca="false">IF(OR($E508="",$F508=""),"",$E508&amp;" - RT "&amp;$F508)</f>
        <v/>
      </c>
      <c r="H508" s="37"/>
      <c r="I508" s="38"/>
      <c r="J508" s="37"/>
      <c r="K508" s="39"/>
      <c r="L508" s="41"/>
      <c r="M508" s="36" t="str">
        <f aca="true">IF(OR($B508="",$L508=""),"",DATEDIF($L508,TODAY(),"Y"))</f>
        <v/>
      </c>
      <c r="N508" s="40" t="str">
        <f aca="false">IF($M508="","",INDEX(usia_label,MATCH($M508,usia_min,1)))</f>
        <v/>
      </c>
      <c r="O508" s="37"/>
      <c r="P508" s="41"/>
      <c r="Q508" s="37"/>
      <c r="R508" s="37"/>
      <c r="S508" s="40" t="str">
        <f aca="false">IF($G508="","",$G508&amp;"#"&amp;COUNTIF($G$4:$G508,$G508))</f>
        <v/>
      </c>
      <c r="T508" s="40" t="str">
        <f aca="false">IF($B508="","",IF($C508="","NIK kosong",IF(LEN($C508)&lt;&gt;16,"NIK bukan 16 digit",IF(COUNTIF($C$4:$C$2003,$C508&amp;"*")&gt;1,"NIK ganda",IF($E508="","Kadus kosong",IF($F508="","RT kosong",IF($H508="","Jabatan kosong",IF($I508="","No. HP kosong",IF($J508="","Alamat kosong",IF(AND($M508&lt;&gt;"",$M508&lt;17),"Usia di bawah 17",""))))))))))</f>
        <v/>
      </c>
      <c r="U508" s="40" t="str">
        <f aca="false">IF($B508="","",IF(AND(OR(CARI!$C$5="",ISNUMBER(SEARCH(CARI!$C$5,$B508&amp;" "&amp;$C508&amp;" "&amp;$I508&amp;" "&amp;$J508&amp;" "&amp;$Q508))),OR(CARI!$C$6="",$E508=CARI!$C$6),OR(CARI!$C$7="",$F508=CARI!$C$7),OR(CARI!$C$8="",$O508=CARI!$C$8)),MAX($U$3:U507)+1,""))</f>
        <v/>
      </c>
      <c r="V508" s="40" t="str">
        <f aca="false">IF($T508="","",MAX($V$3:V507)+1)</f>
        <v/>
      </c>
      <c r="W508" s="40" t="str">
        <f aca="false">IF($E508="","",$E508&amp;"#"&amp;COUNTIF($E$4:$E508,$E508))</f>
        <v/>
      </c>
      <c r="X508" s="40" t="str">
        <f aca="false">IF($B508="","",IF(AND(OR(CETAK!$J$10="",$E508=CETAK!$J$10),OR(CETAK!$J$11="",$F508=CETAK!$J$11),OR(CETAK!$J$12="",$K508=CETAK!$J$12),OR(CETAK!$J$13="",$H508=CETAK!$J$13),OR(CETAK!$J$14="",$O508=CETAK!$J$14)),MAX($X$3:X507)+1,""))</f>
        <v/>
      </c>
      <c r="Y508" s="40" t="str">
        <f aca="false">IF($B508="","",IF(AND(OR(ABSENSI!$H$10="",$E508=ABSENSI!$H$10),OR(ABSENSI!$H$11="",$F508=ABSENSI!$H$11),OR(ABSENSI!$H$12="",$K508=ABSENSI!$H$12)),MAX($Y$3:Y507)+1,""))</f>
        <v/>
      </c>
      <c r="Z508" s="40" t="str">
        <f aca="false">IF($B508="","",IF(AND(OR(KARTU!$K$6="",$E508=KARTU!$K$6),OR(KARTU!$K$7="",$F508=KARTU!$K$7),OR(KARTU!$K$8="",$K508=KARTU!$K$8)),MAX($Z$3:Z507)+1,""))</f>
        <v/>
      </c>
    </row>
    <row r="509" customFormat="false" ht="15" hidden="false" customHeight="false" outlineLevel="0" collapsed="false">
      <c r="A509" s="36" t="str">
        <f aca="false">IF($B509="","",COUNTA($B$4:$B509))</f>
        <v/>
      </c>
      <c r="B509" s="37"/>
      <c r="C509" s="38"/>
      <c r="D509" s="39"/>
      <c r="E509" s="37"/>
      <c r="F509" s="39"/>
      <c r="G509" s="40" t="str">
        <f aca="false">IF(OR($E509="",$F509=""),"",$E509&amp;" - RT "&amp;$F509)</f>
        <v/>
      </c>
      <c r="H509" s="37"/>
      <c r="I509" s="38"/>
      <c r="J509" s="37"/>
      <c r="K509" s="39"/>
      <c r="L509" s="41"/>
      <c r="M509" s="36" t="str">
        <f aca="true">IF(OR($B509="",$L509=""),"",DATEDIF($L509,TODAY(),"Y"))</f>
        <v/>
      </c>
      <c r="N509" s="40" t="str">
        <f aca="false">IF($M509="","",INDEX(usia_label,MATCH($M509,usia_min,1)))</f>
        <v/>
      </c>
      <c r="O509" s="37"/>
      <c r="P509" s="41"/>
      <c r="Q509" s="37"/>
      <c r="R509" s="37"/>
      <c r="S509" s="40" t="str">
        <f aca="false">IF($G509="","",$G509&amp;"#"&amp;COUNTIF($G$4:$G509,$G509))</f>
        <v/>
      </c>
      <c r="T509" s="40" t="str">
        <f aca="false">IF($B509="","",IF($C509="","NIK kosong",IF(LEN($C509)&lt;&gt;16,"NIK bukan 16 digit",IF(COUNTIF($C$4:$C$2003,$C509&amp;"*")&gt;1,"NIK ganda",IF($E509="","Kadus kosong",IF($F509="","RT kosong",IF($H509="","Jabatan kosong",IF($I509="","No. HP kosong",IF($J509="","Alamat kosong",IF(AND($M509&lt;&gt;"",$M509&lt;17),"Usia di bawah 17",""))))))))))</f>
        <v/>
      </c>
      <c r="U509" s="40" t="str">
        <f aca="false">IF($B509="","",IF(AND(OR(CARI!$C$5="",ISNUMBER(SEARCH(CARI!$C$5,$B509&amp;" "&amp;$C509&amp;" "&amp;$I509&amp;" "&amp;$J509&amp;" "&amp;$Q509))),OR(CARI!$C$6="",$E509=CARI!$C$6),OR(CARI!$C$7="",$F509=CARI!$C$7),OR(CARI!$C$8="",$O509=CARI!$C$8)),MAX($U$3:U508)+1,""))</f>
        <v/>
      </c>
      <c r="V509" s="40" t="str">
        <f aca="false">IF($T509="","",MAX($V$3:V508)+1)</f>
        <v/>
      </c>
      <c r="W509" s="40" t="str">
        <f aca="false">IF($E509="","",$E509&amp;"#"&amp;COUNTIF($E$4:$E509,$E509))</f>
        <v/>
      </c>
      <c r="X509" s="40" t="str">
        <f aca="false">IF($B509="","",IF(AND(OR(CETAK!$J$10="",$E509=CETAK!$J$10),OR(CETAK!$J$11="",$F509=CETAK!$J$11),OR(CETAK!$J$12="",$K509=CETAK!$J$12),OR(CETAK!$J$13="",$H509=CETAK!$J$13),OR(CETAK!$J$14="",$O509=CETAK!$J$14)),MAX($X$3:X508)+1,""))</f>
        <v/>
      </c>
      <c r="Y509" s="40" t="str">
        <f aca="false">IF($B509="","",IF(AND(OR(ABSENSI!$H$10="",$E509=ABSENSI!$H$10),OR(ABSENSI!$H$11="",$F509=ABSENSI!$H$11),OR(ABSENSI!$H$12="",$K509=ABSENSI!$H$12)),MAX($Y$3:Y508)+1,""))</f>
        <v/>
      </c>
      <c r="Z509" s="40" t="str">
        <f aca="false">IF($B509="","",IF(AND(OR(KARTU!$K$6="",$E509=KARTU!$K$6),OR(KARTU!$K$7="",$F509=KARTU!$K$7),OR(KARTU!$K$8="",$K509=KARTU!$K$8)),MAX($Z$3:Z508)+1,""))</f>
        <v/>
      </c>
    </row>
    <row r="510" customFormat="false" ht="15" hidden="false" customHeight="false" outlineLevel="0" collapsed="false">
      <c r="A510" s="36" t="str">
        <f aca="false">IF($B510="","",COUNTA($B$4:$B510))</f>
        <v/>
      </c>
      <c r="B510" s="37"/>
      <c r="C510" s="38"/>
      <c r="D510" s="39"/>
      <c r="E510" s="37"/>
      <c r="F510" s="39"/>
      <c r="G510" s="40" t="str">
        <f aca="false">IF(OR($E510="",$F510=""),"",$E510&amp;" - RT "&amp;$F510)</f>
        <v/>
      </c>
      <c r="H510" s="37"/>
      <c r="I510" s="38"/>
      <c r="J510" s="37"/>
      <c r="K510" s="39"/>
      <c r="L510" s="41"/>
      <c r="M510" s="36" t="str">
        <f aca="true">IF(OR($B510="",$L510=""),"",DATEDIF($L510,TODAY(),"Y"))</f>
        <v/>
      </c>
      <c r="N510" s="40" t="str">
        <f aca="false">IF($M510="","",INDEX(usia_label,MATCH($M510,usia_min,1)))</f>
        <v/>
      </c>
      <c r="O510" s="37"/>
      <c r="P510" s="41"/>
      <c r="Q510" s="37"/>
      <c r="R510" s="37"/>
      <c r="S510" s="40" t="str">
        <f aca="false">IF($G510="","",$G510&amp;"#"&amp;COUNTIF($G$4:$G510,$G510))</f>
        <v/>
      </c>
      <c r="T510" s="40" t="str">
        <f aca="false">IF($B510="","",IF($C510="","NIK kosong",IF(LEN($C510)&lt;&gt;16,"NIK bukan 16 digit",IF(COUNTIF($C$4:$C$2003,$C510&amp;"*")&gt;1,"NIK ganda",IF($E510="","Kadus kosong",IF($F510="","RT kosong",IF($H510="","Jabatan kosong",IF($I510="","No. HP kosong",IF($J510="","Alamat kosong",IF(AND($M510&lt;&gt;"",$M510&lt;17),"Usia di bawah 17",""))))))))))</f>
        <v/>
      </c>
      <c r="U510" s="40" t="str">
        <f aca="false">IF($B510="","",IF(AND(OR(CARI!$C$5="",ISNUMBER(SEARCH(CARI!$C$5,$B510&amp;" "&amp;$C510&amp;" "&amp;$I510&amp;" "&amp;$J510&amp;" "&amp;$Q510))),OR(CARI!$C$6="",$E510=CARI!$C$6),OR(CARI!$C$7="",$F510=CARI!$C$7),OR(CARI!$C$8="",$O510=CARI!$C$8)),MAX($U$3:U509)+1,""))</f>
        <v/>
      </c>
      <c r="V510" s="40" t="str">
        <f aca="false">IF($T510="","",MAX($V$3:V509)+1)</f>
        <v/>
      </c>
      <c r="W510" s="40" t="str">
        <f aca="false">IF($E510="","",$E510&amp;"#"&amp;COUNTIF($E$4:$E510,$E510))</f>
        <v/>
      </c>
      <c r="X510" s="40" t="str">
        <f aca="false">IF($B510="","",IF(AND(OR(CETAK!$J$10="",$E510=CETAK!$J$10),OR(CETAK!$J$11="",$F510=CETAK!$J$11),OR(CETAK!$J$12="",$K510=CETAK!$J$12),OR(CETAK!$J$13="",$H510=CETAK!$J$13),OR(CETAK!$J$14="",$O510=CETAK!$J$14)),MAX($X$3:X509)+1,""))</f>
        <v/>
      </c>
      <c r="Y510" s="40" t="str">
        <f aca="false">IF($B510="","",IF(AND(OR(ABSENSI!$H$10="",$E510=ABSENSI!$H$10),OR(ABSENSI!$H$11="",$F510=ABSENSI!$H$11),OR(ABSENSI!$H$12="",$K510=ABSENSI!$H$12)),MAX($Y$3:Y509)+1,""))</f>
        <v/>
      </c>
      <c r="Z510" s="40" t="str">
        <f aca="false">IF($B510="","",IF(AND(OR(KARTU!$K$6="",$E510=KARTU!$K$6),OR(KARTU!$K$7="",$F510=KARTU!$K$7),OR(KARTU!$K$8="",$K510=KARTU!$K$8)),MAX($Z$3:Z509)+1,""))</f>
        <v/>
      </c>
    </row>
    <row r="511" customFormat="false" ht="15" hidden="false" customHeight="false" outlineLevel="0" collapsed="false">
      <c r="A511" s="36" t="str">
        <f aca="false">IF($B511="","",COUNTA($B$4:$B511))</f>
        <v/>
      </c>
      <c r="B511" s="37"/>
      <c r="C511" s="38"/>
      <c r="D511" s="39"/>
      <c r="E511" s="37"/>
      <c r="F511" s="39"/>
      <c r="G511" s="40" t="str">
        <f aca="false">IF(OR($E511="",$F511=""),"",$E511&amp;" - RT "&amp;$F511)</f>
        <v/>
      </c>
      <c r="H511" s="37"/>
      <c r="I511" s="38"/>
      <c r="J511" s="37"/>
      <c r="K511" s="39"/>
      <c r="L511" s="41"/>
      <c r="M511" s="36" t="str">
        <f aca="true">IF(OR($B511="",$L511=""),"",DATEDIF($L511,TODAY(),"Y"))</f>
        <v/>
      </c>
      <c r="N511" s="40" t="str">
        <f aca="false">IF($M511="","",INDEX(usia_label,MATCH($M511,usia_min,1)))</f>
        <v/>
      </c>
      <c r="O511" s="37"/>
      <c r="P511" s="41"/>
      <c r="Q511" s="37"/>
      <c r="R511" s="37"/>
      <c r="S511" s="40" t="str">
        <f aca="false">IF($G511="","",$G511&amp;"#"&amp;COUNTIF($G$4:$G511,$G511))</f>
        <v/>
      </c>
      <c r="T511" s="40" t="str">
        <f aca="false">IF($B511="","",IF($C511="","NIK kosong",IF(LEN($C511)&lt;&gt;16,"NIK bukan 16 digit",IF(COUNTIF($C$4:$C$2003,$C511&amp;"*")&gt;1,"NIK ganda",IF($E511="","Kadus kosong",IF($F511="","RT kosong",IF($H511="","Jabatan kosong",IF($I511="","No. HP kosong",IF($J511="","Alamat kosong",IF(AND($M511&lt;&gt;"",$M511&lt;17),"Usia di bawah 17",""))))))))))</f>
        <v/>
      </c>
      <c r="U511" s="40" t="str">
        <f aca="false">IF($B511="","",IF(AND(OR(CARI!$C$5="",ISNUMBER(SEARCH(CARI!$C$5,$B511&amp;" "&amp;$C511&amp;" "&amp;$I511&amp;" "&amp;$J511&amp;" "&amp;$Q511))),OR(CARI!$C$6="",$E511=CARI!$C$6),OR(CARI!$C$7="",$F511=CARI!$C$7),OR(CARI!$C$8="",$O511=CARI!$C$8)),MAX($U$3:U510)+1,""))</f>
        <v/>
      </c>
      <c r="V511" s="40" t="str">
        <f aca="false">IF($T511="","",MAX($V$3:V510)+1)</f>
        <v/>
      </c>
      <c r="W511" s="40" t="str">
        <f aca="false">IF($E511="","",$E511&amp;"#"&amp;COUNTIF($E$4:$E511,$E511))</f>
        <v/>
      </c>
      <c r="X511" s="40" t="str">
        <f aca="false">IF($B511="","",IF(AND(OR(CETAK!$J$10="",$E511=CETAK!$J$10),OR(CETAK!$J$11="",$F511=CETAK!$J$11),OR(CETAK!$J$12="",$K511=CETAK!$J$12),OR(CETAK!$J$13="",$H511=CETAK!$J$13),OR(CETAK!$J$14="",$O511=CETAK!$J$14)),MAX($X$3:X510)+1,""))</f>
        <v/>
      </c>
      <c r="Y511" s="40" t="str">
        <f aca="false">IF($B511="","",IF(AND(OR(ABSENSI!$H$10="",$E511=ABSENSI!$H$10),OR(ABSENSI!$H$11="",$F511=ABSENSI!$H$11),OR(ABSENSI!$H$12="",$K511=ABSENSI!$H$12)),MAX($Y$3:Y510)+1,""))</f>
        <v/>
      </c>
      <c r="Z511" s="40" t="str">
        <f aca="false">IF($B511="","",IF(AND(OR(KARTU!$K$6="",$E511=KARTU!$K$6),OR(KARTU!$K$7="",$F511=KARTU!$K$7),OR(KARTU!$K$8="",$K511=KARTU!$K$8)),MAX($Z$3:Z510)+1,""))</f>
        <v/>
      </c>
    </row>
    <row r="512" customFormat="false" ht="15" hidden="false" customHeight="false" outlineLevel="0" collapsed="false">
      <c r="A512" s="36" t="str">
        <f aca="false">IF($B512="","",COUNTA($B$4:$B512))</f>
        <v/>
      </c>
      <c r="B512" s="37"/>
      <c r="C512" s="38"/>
      <c r="D512" s="39"/>
      <c r="E512" s="37"/>
      <c r="F512" s="39"/>
      <c r="G512" s="40" t="str">
        <f aca="false">IF(OR($E512="",$F512=""),"",$E512&amp;" - RT "&amp;$F512)</f>
        <v/>
      </c>
      <c r="H512" s="37"/>
      <c r="I512" s="38"/>
      <c r="J512" s="37"/>
      <c r="K512" s="39"/>
      <c r="L512" s="41"/>
      <c r="M512" s="36" t="str">
        <f aca="true">IF(OR($B512="",$L512=""),"",DATEDIF($L512,TODAY(),"Y"))</f>
        <v/>
      </c>
      <c r="N512" s="40" t="str">
        <f aca="false">IF($M512="","",INDEX(usia_label,MATCH($M512,usia_min,1)))</f>
        <v/>
      </c>
      <c r="O512" s="37"/>
      <c r="P512" s="41"/>
      <c r="Q512" s="37"/>
      <c r="R512" s="37"/>
      <c r="S512" s="40" t="str">
        <f aca="false">IF($G512="","",$G512&amp;"#"&amp;COUNTIF($G$4:$G512,$G512))</f>
        <v/>
      </c>
      <c r="T512" s="40" t="str">
        <f aca="false">IF($B512="","",IF($C512="","NIK kosong",IF(LEN($C512)&lt;&gt;16,"NIK bukan 16 digit",IF(COUNTIF($C$4:$C$2003,$C512&amp;"*")&gt;1,"NIK ganda",IF($E512="","Kadus kosong",IF($F512="","RT kosong",IF($H512="","Jabatan kosong",IF($I512="","No. HP kosong",IF($J512="","Alamat kosong",IF(AND($M512&lt;&gt;"",$M512&lt;17),"Usia di bawah 17",""))))))))))</f>
        <v/>
      </c>
      <c r="U512" s="40" t="str">
        <f aca="false">IF($B512="","",IF(AND(OR(CARI!$C$5="",ISNUMBER(SEARCH(CARI!$C$5,$B512&amp;" "&amp;$C512&amp;" "&amp;$I512&amp;" "&amp;$J512&amp;" "&amp;$Q512))),OR(CARI!$C$6="",$E512=CARI!$C$6),OR(CARI!$C$7="",$F512=CARI!$C$7),OR(CARI!$C$8="",$O512=CARI!$C$8)),MAX($U$3:U511)+1,""))</f>
        <v/>
      </c>
      <c r="V512" s="40" t="str">
        <f aca="false">IF($T512="","",MAX($V$3:V511)+1)</f>
        <v/>
      </c>
      <c r="W512" s="40" t="str">
        <f aca="false">IF($E512="","",$E512&amp;"#"&amp;COUNTIF($E$4:$E512,$E512))</f>
        <v/>
      </c>
      <c r="X512" s="40" t="str">
        <f aca="false">IF($B512="","",IF(AND(OR(CETAK!$J$10="",$E512=CETAK!$J$10),OR(CETAK!$J$11="",$F512=CETAK!$J$11),OR(CETAK!$J$12="",$K512=CETAK!$J$12),OR(CETAK!$J$13="",$H512=CETAK!$J$13),OR(CETAK!$J$14="",$O512=CETAK!$J$14)),MAX($X$3:X511)+1,""))</f>
        <v/>
      </c>
      <c r="Y512" s="40" t="str">
        <f aca="false">IF($B512="","",IF(AND(OR(ABSENSI!$H$10="",$E512=ABSENSI!$H$10),OR(ABSENSI!$H$11="",$F512=ABSENSI!$H$11),OR(ABSENSI!$H$12="",$K512=ABSENSI!$H$12)),MAX($Y$3:Y511)+1,""))</f>
        <v/>
      </c>
      <c r="Z512" s="40" t="str">
        <f aca="false">IF($B512="","",IF(AND(OR(KARTU!$K$6="",$E512=KARTU!$K$6),OR(KARTU!$K$7="",$F512=KARTU!$K$7),OR(KARTU!$K$8="",$K512=KARTU!$K$8)),MAX($Z$3:Z511)+1,""))</f>
        <v/>
      </c>
    </row>
    <row r="513" customFormat="false" ht="15" hidden="false" customHeight="false" outlineLevel="0" collapsed="false">
      <c r="A513" s="36" t="str">
        <f aca="false">IF($B513="","",COUNTA($B$4:$B513))</f>
        <v/>
      </c>
      <c r="B513" s="37"/>
      <c r="C513" s="38"/>
      <c r="D513" s="39"/>
      <c r="E513" s="37"/>
      <c r="F513" s="39"/>
      <c r="G513" s="40" t="str">
        <f aca="false">IF(OR($E513="",$F513=""),"",$E513&amp;" - RT "&amp;$F513)</f>
        <v/>
      </c>
      <c r="H513" s="37"/>
      <c r="I513" s="38"/>
      <c r="J513" s="37"/>
      <c r="K513" s="39"/>
      <c r="L513" s="41"/>
      <c r="M513" s="36" t="str">
        <f aca="true">IF(OR($B513="",$L513=""),"",DATEDIF($L513,TODAY(),"Y"))</f>
        <v/>
      </c>
      <c r="N513" s="40" t="str">
        <f aca="false">IF($M513="","",INDEX(usia_label,MATCH($M513,usia_min,1)))</f>
        <v/>
      </c>
      <c r="O513" s="37"/>
      <c r="P513" s="41"/>
      <c r="Q513" s="37"/>
      <c r="R513" s="37"/>
      <c r="S513" s="40" t="str">
        <f aca="false">IF($G513="","",$G513&amp;"#"&amp;COUNTIF($G$4:$G513,$G513))</f>
        <v/>
      </c>
      <c r="T513" s="40" t="str">
        <f aca="false">IF($B513="","",IF($C513="","NIK kosong",IF(LEN($C513)&lt;&gt;16,"NIK bukan 16 digit",IF(COUNTIF($C$4:$C$2003,$C513&amp;"*")&gt;1,"NIK ganda",IF($E513="","Kadus kosong",IF($F513="","RT kosong",IF($H513="","Jabatan kosong",IF($I513="","No. HP kosong",IF($J513="","Alamat kosong",IF(AND($M513&lt;&gt;"",$M513&lt;17),"Usia di bawah 17",""))))))))))</f>
        <v/>
      </c>
      <c r="U513" s="40" t="str">
        <f aca="false">IF($B513="","",IF(AND(OR(CARI!$C$5="",ISNUMBER(SEARCH(CARI!$C$5,$B513&amp;" "&amp;$C513&amp;" "&amp;$I513&amp;" "&amp;$J513&amp;" "&amp;$Q513))),OR(CARI!$C$6="",$E513=CARI!$C$6),OR(CARI!$C$7="",$F513=CARI!$C$7),OR(CARI!$C$8="",$O513=CARI!$C$8)),MAX($U$3:U512)+1,""))</f>
        <v/>
      </c>
      <c r="V513" s="40" t="str">
        <f aca="false">IF($T513="","",MAX($V$3:V512)+1)</f>
        <v/>
      </c>
      <c r="W513" s="40" t="str">
        <f aca="false">IF($E513="","",$E513&amp;"#"&amp;COUNTIF($E$4:$E513,$E513))</f>
        <v/>
      </c>
      <c r="X513" s="40" t="str">
        <f aca="false">IF($B513="","",IF(AND(OR(CETAK!$J$10="",$E513=CETAK!$J$10),OR(CETAK!$J$11="",$F513=CETAK!$J$11),OR(CETAK!$J$12="",$K513=CETAK!$J$12),OR(CETAK!$J$13="",$H513=CETAK!$J$13),OR(CETAK!$J$14="",$O513=CETAK!$J$14)),MAX($X$3:X512)+1,""))</f>
        <v/>
      </c>
      <c r="Y513" s="40" t="str">
        <f aca="false">IF($B513="","",IF(AND(OR(ABSENSI!$H$10="",$E513=ABSENSI!$H$10),OR(ABSENSI!$H$11="",$F513=ABSENSI!$H$11),OR(ABSENSI!$H$12="",$K513=ABSENSI!$H$12)),MAX($Y$3:Y512)+1,""))</f>
        <v/>
      </c>
      <c r="Z513" s="40" t="str">
        <f aca="false">IF($B513="","",IF(AND(OR(KARTU!$K$6="",$E513=KARTU!$K$6),OR(KARTU!$K$7="",$F513=KARTU!$K$7),OR(KARTU!$K$8="",$K513=KARTU!$K$8)),MAX($Z$3:Z512)+1,""))</f>
        <v/>
      </c>
    </row>
    <row r="514" customFormat="false" ht="15" hidden="false" customHeight="false" outlineLevel="0" collapsed="false">
      <c r="A514" s="36" t="str">
        <f aca="false">IF($B514="","",COUNTA($B$4:$B514))</f>
        <v/>
      </c>
      <c r="B514" s="37"/>
      <c r="C514" s="38"/>
      <c r="D514" s="39"/>
      <c r="E514" s="37"/>
      <c r="F514" s="39"/>
      <c r="G514" s="40" t="str">
        <f aca="false">IF(OR($E514="",$F514=""),"",$E514&amp;" - RT "&amp;$F514)</f>
        <v/>
      </c>
      <c r="H514" s="37"/>
      <c r="I514" s="38"/>
      <c r="J514" s="37"/>
      <c r="K514" s="39"/>
      <c r="L514" s="41"/>
      <c r="M514" s="36" t="str">
        <f aca="true">IF(OR($B514="",$L514=""),"",DATEDIF($L514,TODAY(),"Y"))</f>
        <v/>
      </c>
      <c r="N514" s="40" t="str">
        <f aca="false">IF($M514="","",INDEX(usia_label,MATCH($M514,usia_min,1)))</f>
        <v/>
      </c>
      <c r="O514" s="37"/>
      <c r="P514" s="41"/>
      <c r="Q514" s="37"/>
      <c r="R514" s="37"/>
      <c r="S514" s="40" t="str">
        <f aca="false">IF($G514="","",$G514&amp;"#"&amp;COUNTIF($G$4:$G514,$G514))</f>
        <v/>
      </c>
      <c r="T514" s="40" t="str">
        <f aca="false">IF($B514="","",IF($C514="","NIK kosong",IF(LEN($C514)&lt;&gt;16,"NIK bukan 16 digit",IF(COUNTIF($C$4:$C$2003,$C514&amp;"*")&gt;1,"NIK ganda",IF($E514="","Kadus kosong",IF($F514="","RT kosong",IF($H514="","Jabatan kosong",IF($I514="","No. HP kosong",IF($J514="","Alamat kosong",IF(AND($M514&lt;&gt;"",$M514&lt;17),"Usia di bawah 17",""))))))))))</f>
        <v/>
      </c>
      <c r="U514" s="40" t="str">
        <f aca="false">IF($B514="","",IF(AND(OR(CARI!$C$5="",ISNUMBER(SEARCH(CARI!$C$5,$B514&amp;" "&amp;$C514&amp;" "&amp;$I514&amp;" "&amp;$J514&amp;" "&amp;$Q514))),OR(CARI!$C$6="",$E514=CARI!$C$6),OR(CARI!$C$7="",$F514=CARI!$C$7),OR(CARI!$C$8="",$O514=CARI!$C$8)),MAX($U$3:U513)+1,""))</f>
        <v/>
      </c>
      <c r="V514" s="40" t="str">
        <f aca="false">IF($T514="","",MAX($V$3:V513)+1)</f>
        <v/>
      </c>
      <c r="W514" s="40" t="str">
        <f aca="false">IF($E514="","",$E514&amp;"#"&amp;COUNTIF($E$4:$E514,$E514))</f>
        <v/>
      </c>
      <c r="X514" s="40" t="str">
        <f aca="false">IF($B514="","",IF(AND(OR(CETAK!$J$10="",$E514=CETAK!$J$10),OR(CETAK!$J$11="",$F514=CETAK!$J$11),OR(CETAK!$J$12="",$K514=CETAK!$J$12),OR(CETAK!$J$13="",$H514=CETAK!$J$13),OR(CETAK!$J$14="",$O514=CETAK!$J$14)),MAX($X$3:X513)+1,""))</f>
        <v/>
      </c>
      <c r="Y514" s="40" t="str">
        <f aca="false">IF($B514="","",IF(AND(OR(ABSENSI!$H$10="",$E514=ABSENSI!$H$10),OR(ABSENSI!$H$11="",$F514=ABSENSI!$H$11),OR(ABSENSI!$H$12="",$K514=ABSENSI!$H$12)),MAX($Y$3:Y513)+1,""))</f>
        <v/>
      </c>
      <c r="Z514" s="40" t="str">
        <f aca="false">IF($B514="","",IF(AND(OR(KARTU!$K$6="",$E514=KARTU!$K$6),OR(KARTU!$K$7="",$F514=KARTU!$K$7),OR(KARTU!$K$8="",$K514=KARTU!$K$8)),MAX($Z$3:Z513)+1,""))</f>
        <v/>
      </c>
    </row>
    <row r="515" customFormat="false" ht="15" hidden="false" customHeight="false" outlineLevel="0" collapsed="false">
      <c r="A515" s="36" t="str">
        <f aca="false">IF($B515="","",COUNTA($B$4:$B515))</f>
        <v/>
      </c>
      <c r="B515" s="37"/>
      <c r="C515" s="38"/>
      <c r="D515" s="39"/>
      <c r="E515" s="37"/>
      <c r="F515" s="39"/>
      <c r="G515" s="40" t="str">
        <f aca="false">IF(OR($E515="",$F515=""),"",$E515&amp;" - RT "&amp;$F515)</f>
        <v/>
      </c>
      <c r="H515" s="37"/>
      <c r="I515" s="38"/>
      <c r="J515" s="37"/>
      <c r="K515" s="39"/>
      <c r="L515" s="41"/>
      <c r="M515" s="36" t="str">
        <f aca="true">IF(OR($B515="",$L515=""),"",DATEDIF($L515,TODAY(),"Y"))</f>
        <v/>
      </c>
      <c r="N515" s="40" t="str">
        <f aca="false">IF($M515="","",INDEX(usia_label,MATCH($M515,usia_min,1)))</f>
        <v/>
      </c>
      <c r="O515" s="37"/>
      <c r="P515" s="41"/>
      <c r="Q515" s="37"/>
      <c r="R515" s="37"/>
      <c r="S515" s="40" t="str">
        <f aca="false">IF($G515="","",$G515&amp;"#"&amp;COUNTIF($G$4:$G515,$G515))</f>
        <v/>
      </c>
      <c r="T515" s="40" t="str">
        <f aca="false">IF($B515="","",IF($C515="","NIK kosong",IF(LEN($C515)&lt;&gt;16,"NIK bukan 16 digit",IF(COUNTIF($C$4:$C$2003,$C515&amp;"*")&gt;1,"NIK ganda",IF($E515="","Kadus kosong",IF($F515="","RT kosong",IF($H515="","Jabatan kosong",IF($I515="","No. HP kosong",IF($J515="","Alamat kosong",IF(AND($M515&lt;&gt;"",$M515&lt;17),"Usia di bawah 17",""))))))))))</f>
        <v/>
      </c>
      <c r="U515" s="40" t="str">
        <f aca="false">IF($B515="","",IF(AND(OR(CARI!$C$5="",ISNUMBER(SEARCH(CARI!$C$5,$B515&amp;" "&amp;$C515&amp;" "&amp;$I515&amp;" "&amp;$J515&amp;" "&amp;$Q515))),OR(CARI!$C$6="",$E515=CARI!$C$6),OR(CARI!$C$7="",$F515=CARI!$C$7),OR(CARI!$C$8="",$O515=CARI!$C$8)),MAX($U$3:U514)+1,""))</f>
        <v/>
      </c>
      <c r="V515" s="40" t="str">
        <f aca="false">IF($T515="","",MAX($V$3:V514)+1)</f>
        <v/>
      </c>
      <c r="W515" s="40" t="str">
        <f aca="false">IF($E515="","",$E515&amp;"#"&amp;COUNTIF($E$4:$E515,$E515))</f>
        <v/>
      </c>
      <c r="X515" s="40" t="str">
        <f aca="false">IF($B515="","",IF(AND(OR(CETAK!$J$10="",$E515=CETAK!$J$10),OR(CETAK!$J$11="",$F515=CETAK!$J$11),OR(CETAK!$J$12="",$K515=CETAK!$J$12),OR(CETAK!$J$13="",$H515=CETAK!$J$13),OR(CETAK!$J$14="",$O515=CETAK!$J$14)),MAX($X$3:X514)+1,""))</f>
        <v/>
      </c>
      <c r="Y515" s="40" t="str">
        <f aca="false">IF($B515="","",IF(AND(OR(ABSENSI!$H$10="",$E515=ABSENSI!$H$10),OR(ABSENSI!$H$11="",$F515=ABSENSI!$H$11),OR(ABSENSI!$H$12="",$K515=ABSENSI!$H$12)),MAX($Y$3:Y514)+1,""))</f>
        <v/>
      </c>
      <c r="Z515" s="40" t="str">
        <f aca="false">IF($B515="","",IF(AND(OR(KARTU!$K$6="",$E515=KARTU!$K$6),OR(KARTU!$K$7="",$F515=KARTU!$K$7),OR(KARTU!$K$8="",$K515=KARTU!$K$8)),MAX($Z$3:Z514)+1,""))</f>
        <v/>
      </c>
    </row>
    <row r="516" customFormat="false" ht="15" hidden="false" customHeight="false" outlineLevel="0" collapsed="false">
      <c r="A516" s="36" t="str">
        <f aca="false">IF($B516="","",COUNTA($B$4:$B516))</f>
        <v/>
      </c>
      <c r="B516" s="37"/>
      <c r="C516" s="38"/>
      <c r="D516" s="39"/>
      <c r="E516" s="37"/>
      <c r="F516" s="39"/>
      <c r="G516" s="40" t="str">
        <f aca="false">IF(OR($E516="",$F516=""),"",$E516&amp;" - RT "&amp;$F516)</f>
        <v/>
      </c>
      <c r="H516" s="37"/>
      <c r="I516" s="38"/>
      <c r="J516" s="37"/>
      <c r="K516" s="39"/>
      <c r="L516" s="41"/>
      <c r="M516" s="36" t="str">
        <f aca="true">IF(OR($B516="",$L516=""),"",DATEDIF($L516,TODAY(),"Y"))</f>
        <v/>
      </c>
      <c r="N516" s="40" t="str">
        <f aca="false">IF($M516="","",INDEX(usia_label,MATCH($M516,usia_min,1)))</f>
        <v/>
      </c>
      <c r="O516" s="37"/>
      <c r="P516" s="41"/>
      <c r="Q516" s="37"/>
      <c r="R516" s="37"/>
      <c r="S516" s="40" t="str">
        <f aca="false">IF($G516="","",$G516&amp;"#"&amp;COUNTIF($G$4:$G516,$G516))</f>
        <v/>
      </c>
      <c r="T516" s="40" t="str">
        <f aca="false">IF($B516="","",IF($C516="","NIK kosong",IF(LEN($C516)&lt;&gt;16,"NIK bukan 16 digit",IF(COUNTIF($C$4:$C$2003,$C516&amp;"*")&gt;1,"NIK ganda",IF($E516="","Kadus kosong",IF($F516="","RT kosong",IF($H516="","Jabatan kosong",IF($I516="","No. HP kosong",IF($J516="","Alamat kosong",IF(AND($M516&lt;&gt;"",$M516&lt;17),"Usia di bawah 17",""))))))))))</f>
        <v/>
      </c>
      <c r="U516" s="40" t="str">
        <f aca="false">IF($B516="","",IF(AND(OR(CARI!$C$5="",ISNUMBER(SEARCH(CARI!$C$5,$B516&amp;" "&amp;$C516&amp;" "&amp;$I516&amp;" "&amp;$J516&amp;" "&amp;$Q516))),OR(CARI!$C$6="",$E516=CARI!$C$6),OR(CARI!$C$7="",$F516=CARI!$C$7),OR(CARI!$C$8="",$O516=CARI!$C$8)),MAX($U$3:U515)+1,""))</f>
        <v/>
      </c>
      <c r="V516" s="40" t="str">
        <f aca="false">IF($T516="","",MAX($V$3:V515)+1)</f>
        <v/>
      </c>
      <c r="W516" s="40" t="str">
        <f aca="false">IF($E516="","",$E516&amp;"#"&amp;COUNTIF($E$4:$E516,$E516))</f>
        <v/>
      </c>
      <c r="X516" s="40" t="str">
        <f aca="false">IF($B516="","",IF(AND(OR(CETAK!$J$10="",$E516=CETAK!$J$10),OR(CETAK!$J$11="",$F516=CETAK!$J$11),OR(CETAK!$J$12="",$K516=CETAK!$J$12),OR(CETAK!$J$13="",$H516=CETAK!$J$13),OR(CETAK!$J$14="",$O516=CETAK!$J$14)),MAX($X$3:X515)+1,""))</f>
        <v/>
      </c>
      <c r="Y516" s="40" t="str">
        <f aca="false">IF($B516="","",IF(AND(OR(ABSENSI!$H$10="",$E516=ABSENSI!$H$10),OR(ABSENSI!$H$11="",$F516=ABSENSI!$H$11),OR(ABSENSI!$H$12="",$K516=ABSENSI!$H$12)),MAX($Y$3:Y515)+1,""))</f>
        <v/>
      </c>
      <c r="Z516" s="40" t="str">
        <f aca="false">IF($B516="","",IF(AND(OR(KARTU!$K$6="",$E516=KARTU!$K$6),OR(KARTU!$K$7="",$F516=KARTU!$K$7),OR(KARTU!$K$8="",$K516=KARTU!$K$8)),MAX($Z$3:Z515)+1,""))</f>
        <v/>
      </c>
    </row>
    <row r="517" customFormat="false" ht="15" hidden="false" customHeight="false" outlineLevel="0" collapsed="false">
      <c r="A517" s="36" t="str">
        <f aca="false">IF($B517="","",COUNTA($B$4:$B517))</f>
        <v/>
      </c>
      <c r="B517" s="37"/>
      <c r="C517" s="38"/>
      <c r="D517" s="39"/>
      <c r="E517" s="37"/>
      <c r="F517" s="39"/>
      <c r="G517" s="40" t="str">
        <f aca="false">IF(OR($E517="",$F517=""),"",$E517&amp;" - RT "&amp;$F517)</f>
        <v/>
      </c>
      <c r="H517" s="37"/>
      <c r="I517" s="38"/>
      <c r="J517" s="37"/>
      <c r="K517" s="39"/>
      <c r="L517" s="41"/>
      <c r="M517" s="36" t="str">
        <f aca="true">IF(OR($B517="",$L517=""),"",DATEDIF($L517,TODAY(),"Y"))</f>
        <v/>
      </c>
      <c r="N517" s="40" t="str">
        <f aca="false">IF($M517="","",INDEX(usia_label,MATCH($M517,usia_min,1)))</f>
        <v/>
      </c>
      <c r="O517" s="37"/>
      <c r="P517" s="41"/>
      <c r="Q517" s="37"/>
      <c r="R517" s="37"/>
      <c r="S517" s="40" t="str">
        <f aca="false">IF($G517="","",$G517&amp;"#"&amp;COUNTIF($G$4:$G517,$G517))</f>
        <v/>
      </c>
      <c r="T517" s="40" t="str">
        <f aca="false">IF($B517="","",IF($C517="","NIK kosong",IF(LEN($C517)&lt;&gt;16,"NIK bukan 16 digit",IF(COUNTIF($C$4:$C$2003,$C517&amp;"*")&gt;1,"NIK ganda",IF($E517="","Kadus kosong",IF($F517="","RT kosong",IF($H517="","Jabatan kosong",IF($I517="","No. HP kosong",IF($J517="","Alamat kosong",IF(AND($M517&lt;&gt;"",$M517&lt;17),"Usia di bawah 17",""))))))))))</f>
        <v/>
      </c>
      <c r="U517" s="40" t="str">
        <f aca="false">IF($B517="","",IF(AND(OR(CARI!$C$5="",ISNUMBER(SEARCH(CARI!$C$5,$B517&amp;" "&amp;$C517&amp;" "&amp;$I517&amp;" "&amp;$J517&amp;" "&amp;$Q517))),OR(CARI!$C$6="",$E517=CARI!$C$6),OR(CARI!$C$7="",$F517=CARI!$C$7),OR(CARI!$C$8="",$O517=CARI!$C$8)),MAX($U$3:U516)+1,""))</f>
        <v/>
      </c>
      <c r="V517" s="40" t="str">
        <f aca="false">IF($T517="","",MAX($V$3:V516)+1)</f>
        <v/>
      </c>
      <c r="W517" s="40" t="str">
        <f aca="false">IF($E517="","",$E517&amp;"#"&amp;COUNTIF($E$4:$E517,$E517))</f>
        <v/>
      </c>
      <c r="X517" s="40" t="str">
        <f aca="false">IF($B517="","",IF(AND(OR(CETAK!$J$10="",$E517=CETAK!$J$10),OR(CETAK!$J$11="",$F517=CETAK!$J$11),OR(CETAK!$J$12="",$K517=CETAK!$J$12),OR(CETAK!$J$13="",$H517=CETAK!$J$13),OR(CETAK!$J$14="",$O517=CETAK!$J$14)),MAX($X$3:X516)+1,""))</f>
        <v/>
      </c>
      <c r="Y517" s="40" t="str">
        <f aca="false">IF($B517="","",IF(AND(OR(ABSENSI!$H$10="",$E517=ABSENSI!$H$10),OR(ABSENSI!$H$11="",$F517=ABSENSI!$H$11),OR(ABSENSI!$H$12="",$K517=ABSENSI!$H$12)),MAX($Y$3:Y516)+1,""))</f>
        <v/>
      </c>
      <c r="Z517" s="40" t="str">
        <f aca="false">IF($B517="","",IF(AND(OR(KARTU!$K$6="",$E517=KARTU!$K$6),OR(KARTU!$K$7="",$F517=KARTU!$K$7),OR(KARTU!$K$8="",$K517=KARTU!$K$8)),MAX($Z$3:Z516)+1,""))</f>
        <v/>
      </c>
    </row>
    <row r="518" customFormat="false" ht="15" hidden="false" customHeight="false" outlineLevel="0" collapsed="false">
      <c r="A518" s="36" t="str">
        <f aca="false">IF($B518="","",COUNTA($B$4:$B518))</f>
        <v/>
      </c>
      <c r="B518" s="37"/>
      <c r="C518" s="38"/>
      <c r="D518" s="39"/>
      <c r="E518" s="37"/>
      <c r="F518" s="39"/>
      <c r="G518" s="40" t="str">
        <f aca="false">IF(OR($E518="",$F518=""),"",$E518&amp;" - RT "&amp;$F518)</f>
        <v/>
      </c>
      <c r="H518" s="37"/>
      <c r="I518" s="38"/>
      <c r="J518" s="37"/>
      <c r="K518" s="39"/>
      <c r="L518" s="41"/>
      <c r="M518" s="36" t="str">
        <f aca="true">IF(OR($B518="",$L518=""),"",DATEDIF($L518,TODAY(),"Y"))</f>
        <v/>
      </c>
      <c r="N518" s="40" t="str">
        <f aca="false">IF($M518="","",INDEX(usia_label,MATCH($M518,usia_min,1)))</f>
        <v/>
      </c>
      <c r="O518" s="37"/>
      <c r="P518" s="41"/>
      <c r="Q518" s="37"/>
      <c r="R518" s="37"/>
      <c r="S518" s="40" t="str">
        <f aca="false">IF($G518="","",$G518&amp;"#"&amp;COUNTIF($G$4:$G518,$G518))</f>
        <v/>
      </c>
      <c r="T518" s="40" t="str">
        <f aca="false">IF($B518="","",IF($C518="","NIK kosong",IF(LEN($C518)&lt;&gt;16,"NIK bukan 16 digit",IF(COUNTIF($C$4:$C$2003,$C518&amp;"*")&gt;1,"NIK ganda",IF($E518="","Kadus kosong",IF($F518="","RT kosong",IF($H518="","Jabatan kosong",IF($I518="","No. HP kosong",IF($J518="","Alamat kosong",IF(AND($M518&lt;&gt;"",$M518&lt;17),"Usia di bawah 17",""))))))))))</f>
        <v/>
      </c>
      <c r="U518" s="40" t="str">
        <f aca="false">IF($B518="","",IF(AND(OR(CARI!$C$5="",ISNUMBER(SEARCH(CARI!$C$5,$B518&amp;" "&amp;$C518&amp;" "&amp;$I518&amp;" "&amp;$J518&amp;" "&amp;$Q518))),OR(CARI!$C$6="",$E518=CARI!$C$6),OR(CARI!$C$7="",$F518=CARI!$C$7),OR(CARI!$C$8="",$O518=CARI!$C$8)),MAX($U$3:U517)+1,""))</f>
        <v/>
      </c>
      <c r="V518" s="40" t="str">
        <f aca="false">IF($T518="","",MAX($V$3:V517)+1)</f>
        <v/>
      </c>
      <c r="W518" s="40" t="str">
        <f aca="false">IF($E518="","",$E518&amp;"#"&amp;COUNTIF($E$4:$E518,$E518))</f>
        <v/>
      </c>
      <c r="X518" s="40" t="str">
        <f aca="false">IF($B518="","",IF(AND(OR(CETAK!$J$10="",$E518=CETAK!$J$10),OR(CETAK!$J$11="",$F518=CETAK!$J$11),OR(CETAK!$J$12="",$K518=CETAK!$J$12),OR(CETAK!$J$13="",$H518=CETAK!$J$13),OR(CETAK!$J$14="",$O518=CETAK!$J$14)),MAX($X$3:X517)+1,""))</f>
        <v/>
      </c>
      <c r="Y518" s="40" t="str">
        <f aca="false">IF($B518="","",IF(AND(OR(ABSENSI!$H$10="",$E518=ABSENSI!$H$10),OR(ABSENSI!$H$11="",$F518=ABSENSI!$H$11),OR(ABSENSI!$H$12="",$K518=ABSENSI!$H$12)),MAX($Y$3:Y517)+1,""))</f>
        <v/>
      </c>
      <c r="Z518" s="40" t="str">
        <f aca="false">IF($B518="","",IF(AND(OR(KARTU!$K$6="",$E518=KARTU!$K$6),OR(KARTU!$K$7="",$F518=KARTU!$K$7),OR(KARTU!$K$8="",$K518=KARTU!$K$8)),MAX($Z$3:Z517)+1,""))</f>
        <v/>
      </c>
    </row>
    <row r="519" customFormat="false" ht="15" hidden="false" customHeight="false" outlineLevel="0" collapsed="false">
      <c r="A519" s="36" t="str">
        <f aca="false">IF($B519="","",COUNTA($B$4:$B519))</f>
        <v/>
      </c>
      <c r="B519" s="37"/>
      <c r="C519" s="38"/>
      <c r="D519" s="39"/>
      <c r="E519" s="37"/>
      <c r="F519" s="39"/>
      <c r="G519" s="40" t="str">
        <f aca="false">IF(OR($E519="",$F519=""),"",$E519&amp;" - RT "&amp;$F519)</f>
        <v/>
      </c>
      <c r="H519" s="37"/>
      <c r="I519" s="38"/>
      <c r="J519" s="37"/>
      <c r="K519" s="39"/>
      <c r="L519" s="41"/>
      <c r="M519" s="36" t="str">
        <f aca="true">IF(OR($B519="",$L519=""),"",DATEDIF($L519,TODAY(),"Y"))</f>
        <v/>
      </c>
      <c r="N519" s="40" t="str">
        <f aca="false">IF($M519="","",INDEX(usia_label,MATCH($M519,usia_min,1)))</f>
        <v/>
      </c>
      <c r="O519" s="37"/>
      <c r="P519" s="41"/>
      <c r="Q519" s="37"/>
      <c r="R519" s="37"/>
      <c r="S519" s="40" t="str">
        <f aca="false">IF($G519="","",$G519&amp;"#"&amp;COUNTIF($G$4:$G519,$G519))</f>
        <v/>
      </c>
      <c r="T519" s="40" t="str">
        <f aca="false">IF($B519="","",IF($C519="","NIK kosong",IF(LEN($C519)&lt;&gt;16,"NIK bukan 16 digit",IF(COUNTIF($C$4:$C$2003,$C519&amp;"*")&gt;1,"NIK ganda",IF($E519="","Kadus kosong",IF($F519="","RT kosong",IF($H519="","Jabatan kosong",IF($I519="","No. HP kosong",IF($J519="","Alamat kosong",IF(AND($M519&lt;&gt;"",$M519&lt;17),"Usia di bawah 17",""))))))))))</f>
        <v/>
      </c>
      <c r="U519" s="40" t="str">
        <f aca="false">IF($B519="","",IF(AND(OR(CARI!$C$5="",ISNUMBER(SEARCH(CARI!$C$5,$B519&amp;" "&amp;$C519&amp;" "&amp;$I519&amp;" "&amp;$J519&amp;" "&amp;$Q519))),OR(CARI!$C$6="",$E519=CARI!$C$6),OR(CARI!$C$7="",$F519=CARI!$C$7),OR(CARI!$C$8="",$O519=CARI!$C$8)),MAX($U$3:U518)+1,""))</f>
        <v/>
      </c>
      <c r="V519" s="40" t="str">
        <f aca="false">IF($T519="","",MAX($V$3:V518)+1)</f>
        <v/>
      </c>
      <c r="W519" s="40" t="str">
        <f aca="false">IF($E519="","",$E519&amp;"#"&amp;COUNTIF($E$4:$E519,$E519))</f>
        <v/>
      </c>
      <c r="X519" s="40" t="str">
        <f aca="false">IF($B519="","",IF(AND(OR(CETAK!$J$10="",$E519=CETAK!$J$10),OR(CETAK!$J$11="",$F519=CETAK!$J$11),OR(CETAK!$J$12="",$K519=CETAK!$J$12),OR(CETAK!$J$13="",$H519=CETAK!$J$13),OR(CETAK!$J$14="",$O519=CETAK!$J$14)),MAX($X$3:X518)+1,""))</f>
        <v/>
      </c>
      <c r="Y519" s="40" t="str">
        <f aca="false">IF($B519="","",IF(AND(OR(ABSENSI!$H$10="",$E519=ABSENSI!$H$10),OR(ABSENSI!$H$11="",$F519=ABSENSI!$H$11),OR(ABSENSI!$H$12="",$K519=ABSENSI!$H$12)),MAX($Y$3:Y518)+1,""))</f>
        <v/>
      </c>
      <c r="Z519" s="40" t="str">
        <f aca="false">IF($B519="","",IF(AND(OR(KARTU!$K$6="",$E519=KARTU!$K$6),OR(KARTU!$K$7="",$F519=KARTU!$K$7),OR(KARTU!$K$8="",$K519=KARTU!$K$8)),MAX($Z$3:Z518)+1,""))</f>
        <v/>
      </c>
    </row>
    <row r="520" customFormat="false" ht="15" hidden="false" customHeight="false" outlineLevel="0" collapsed="false">
      <c r="A520" s="36" t="str">
        <f aca="false">IF($B520="","",COUNTA($B$4:$B520))</f>
        <v/>
      </c>
      <c r="B520" s="37"/>
      <c r="C520" s="38"/>
      <c r="D520" s="39"/>
      <c r="E520" s="37"/>
      <c r="F520" s="39"/>
      <c r="G520" s="40" t="str">
        <f aca="false">IF(OR($E520="",$F520=""),"",$E520&amp;" - RT "&amp;$F520)</f>
        <v/>
      </c>
      <c r="H520" s="37"/>
      <c r="I520" s="38"/>
      <c r="J520" s="37"/>
      <c r="K520" s="39"/>
      <c r="L520" s="41"/>
      <c r="M520" s="36" t="str">
        <f aca="true">IF(OR($B520="",$L520=""),"",DATEDIF($L520,TODAY(),"Y"))</f>
        <v/>
      </c>
      <c r="N520" s="40" t="str">
        <f aca="false">IF($M520="","",INDEX(usia_label,MATCH($M520,usia_min,1)))</f>
        <v/>
      </c>
      <c r="O520" s="37"/>
      <c r="P520" s="41"/>
      <c r="Q520" s="37"/>
      <c r="R520" s="37"/>
      <c r="S520" s="40" t="str">
        <f aca="false">IF($G520="","",$G520&amp;"#"&amp;COUNTIF($G$4:$G520,$G520))</f>
        <v/>
      </c>
      <c r="T520" s="40" t="str">
        <f aca="false">IF($B520="","",IF($C520="","NIK kosong",IF(LEN($C520)&lt;&gt;16,"NIK bukan 16 digit",IF(COUNTIF($C$4:$C$2003,$C520&amp;"*")&gt;1,"NIK ganda",IF($E520="","Kadus kosong",IF($F520="","RT kosong",IF($H520="","Jabatan kosong",IF($I520="","No. HP kosong",IF($J520="","Alamat kosong",IF(AND($M520&lt;&gt;"",$M520&lt;17),"Usia di bawah 17",""))))))))))</f>
        <v/>
      </c>
      <c r="U520" s="40" t="str">
        <f aca="false">IF($B520="","",IF(AND(OR(CARI!$C$5="",ISNUMBER(SEARCH(CARI!$C$5,$B520&amp;" "&amp;$C520&amp;" "&amp;$I520&amp;" "&amp;$J520&amp;" "&amp;$Q520))),OR(CARI!$C$6="",$E520=CARI!$C$6),OR(CARI!$C$7="",$F520=CARI!$C$7),OR(CARI!$C$8="",$O520=CARI!$C$8)),MAX($U$3:U519)+1,""))</f>
        <v/>
      </c>
      <c r="V520" s="40" t="str">
        <f aca="false">IF($T520="","",MAX($V$3:V519)+1)</f>
        <v/>
      </c>
      <c r="W520" s="40" t="str">
        <f aca="false">IF($E520="","",$E520&amp;"#"&amp;COUNTIF($E$4:$E520,$E520))</f>
        <v/>
      </c>
      <c r="X520" s="40" t="str">
        <f aca="false">IF($B520="","",IF(AND(OR(CETAK!$J$10="",$E520=CETAK!$J$10),OR(CETAK!$J$11="",$F520=CETAK!$J$11),OR(CETAK!$J$12="",$K520=CETAK!$J$12),OR(CETAK!$J$13="",$H520=CETAK!$J$13),OR(CETAK!$J$14="",$O520=CETAK!$J$14)),MAX($X$3:X519)+1,""))</f>
        <v/>
      </c>
      <c r="Y520" s="40" t="str">
        <f aca="false">IF($B520="","",IF(AND(OR(ABSENSI!$H$10="",$E520=ABSENSI!$H$10),OR(ABSENSI!$H$11="",$F520=ABSENSI!$H$11),OR(ABSENSI!$H$12="",$K520=ABSENSI!$H$12)),MAX($Y$3:Y519)+1,""))</f>
        <v/>
      </c>
      <c r="Z520" s="40" t="str">
        <f aca="false">IF($B520="","",IF(AND(OR(KARTU!$K$6="",$E520=KARTU!$K$6),OR(KARTU!$K$7="",$F520=KARTU!$K$7),OR(KARTU!$K$8="",$K520=KARTU!$K$8)),MAX($Z$3:Z519)+1,""))</f>
        <v/>
      </c>
    </row>
    <row r="521" customFormat="false" ht="15" hidden="false" customHeight="false" outlineLevel="0" collapsed="false">
      <c r="A521" s="36" t="str">
        <f aca="false">IF($B521="","",COUNTA($B$4:$B521))</f>
        <v/>
      </c>
      <c r="B521" s="37"/>
      <c r="C521" s="38"/>
      <c r="D521" s="39"/>
      <c r="E521" s="37"/>
      <c r="F521" s="39"/>
      <c r="G521" s="40" t="str">
        <f aca="false">IF(OR($E521="",$F521=""),"",$E521&amp;" - RT "&amp;$F521)</f>
        <v/>
      </c>
      <c r="H521" s="37"/>
      <c r="I521" s="38"/>
      <c r="J521" s="37"/>
      <c r="K521" s="39"/>
      <c r="L521" s="41"/>
      <c r="M521" s="36" t="str">
        <f aca="true">IF(OR($B521="",$L521=""),"",DATEDIF($L521,TODAY(),"Y"))</f>
        <v/>
      </c>
      <c r="N521" s="40" t="str">
        <f aca="false">IF($M521="","",INDEX(usia_label,MATCH($M521,usia_min,1)))</f>
        <v/>
      </c>
      <c r="O521" s="37"/>
      <c r="P521" s="41"/>
      <c r="Q521" s="37"/>
      <c r="R521" s="37"/>
      <c r="S521" s="40" t="str">
        <f aca="false">IF($G521="","",$G521&amp;"#"&amp;COUNTIF($G$4:$G521,$G521))</f>
        <v/>
      </c>
      <c r="T521" s="40" t="str">
        <f aca="false">IF($B521="","",IF($C521="","NIK kosong",IF(LEN($C521)&lt;&gt;16,"NIK bukan 16 digit",IF(COUNTIF($C$4:$C$2003,$C521&amp;"*")&gt;1,"NIK ganda",IF($E521="","Kadus kosong",IF($F521="","RT kosong",IF($H521="","Jabatan kosong",IF($I521="","No. HP kosong",IF($J521="","Alamat kosong",IF(AND($M521&lt;&gt;"",$M521&lt;17),"Usia di bawah 17",""))))))))))</f>
        <v/>
      </c>
      <c r="U521" s="40" t="str">
        <f aca="false">IF($B521="","",IF(AND(OR(CARI!$C$5="",ISNUMBER(SEARCH(CARI!$C$5,$B521&amp;" "&amp;$C521&amp;" "&amp;$I521&amp;" "&amp;$J521&amp;" "&amp;$Q521))),OR(CARI!$C$6="",$E521=CARI!$C$6),OR(CARI!$C$7="",$F521=CARI!$C$7),OR(CARI!$C$8="",$O521=CARI!$C$8)),MAX($U$3:U520)+1,""))</f>
        <v/>
      </c>
      <c r="V521" s="40" t="str">
        <f aca="false">IF($T521="","",MAX($V$3:V520)+1)</f>
        <v/>
      </c>
      <c r="W521" s="40" t="str">
        <f aca="false">IF($E521="","",$E521&amp;"#"&amp;COUNTIF($E$4:$E521,$E521))</f>
        <v/>
      </c>
      <c r="X521" s="40" t="str">
        <f aca="false">IF($B521="","",IF(AND(OR(CETAK!$J$10="",$E521=CETAK!$J$10),OR(CETAK!$J$11="",$F521=CETAK!$J$11),OR(CETAK!$J$12="",$K521=CETAK!$J$12),OR(CETAK!$J$13="",$H521=CETAK!$J$13),OR(CETAK!$J$14="",$O521=CETAK!$J$14)),MAX($X$3:X520)+1,""))</f>
        <v/>
      </c>
      <c r="Y521" s="40" t="str">
        <f aca="false">IF($B521="","",IF(AND(OR(ABSENSI!$H$10="",$E521=ABSENSI!$H$10),OR(ABSENSI!$H$11="",$F521=ABSENSI!$H$11),OR(ABSENSI!$H$12="",$K521=ABSENSI!$H$12)),MAX($Y$3:Y520)+1,""))</f>
        <v/>
      </c>
      <c r="Z521" s="40" t="str">
        <f aca="false">IF($B521="","",IF(AND(OR(KARTU!$K$6="",$E521=KARTU!$K$6),OR(KARTU!$K$7="",$F521=KARTU!$K$7),OR(KARTU!$K$8="",$K521=KARTU!$K$8)),MAX($Z$3:Z520)+1,""))</f>
        <v/>
      </c>
    </row>
    <row r="522" customFormat="false" ht="15" hidden="false" customHeight="false" outlineLevel="0" collapsed="false">
      <c r="A522" s="36" t="str">
        <f aca="false">IF($B522="","",COUNTA($B$4:$B522))</f>
        <v/>
      </c>
      <c r="B522" s="37"/>
      <c r="C522" s="38"/>
      <c r="D522" s="39"/>
      <c r="E522" s="37"/>
      <c r="F522" s="39"/>
      <c r="G522" s="40" t="str">
        <f aca="false">IF(OR($E522="",$F522=""),"",$E522&amp;" - RT "&amp;$F522)</f>
        <v/>
      </c>
      <c r="H522" s="37"/>
      <c r="I522" s="38"/>
      <c r="J522" s="37"/>
      <c r="K522" s="39"/>
      <c r="L522" s="41"/>
      <c r="M522" s="36" t="str">
        <f aca="true">IF(OR($B522="",$L522=""),"",DATEDIF($L522,TODAY(),"Y"))</f>
        <v/>
      </c>
      <c r="N522" s="40" t="str">
        <f aca="false">IF($M522="","",INDEX(usia_label,MATCH($M522,usia_min,1)))</f>
        <v/>
      </c>
      <c r="O522" s="37"/>
      <c r="P522" s="41"/>
      <c r="Q522" s="37"/>
      <c r="R522" s="37"/>
      <c r="S522" s="40" t="str">
        <f aca="false">IF($G522="","",$G522&amp;"#"&amp;COUNTIF($G$4:$G522,$G522))</f>
        <v/>
      </c>
      <c r="T522" s="40" t="str">
        <f aca="false">IF($B522="","",IF($C522="","NIK kosong",IF(LEN($C522)&lt;&gt;16,"NIK bukan 16 digit",IF(COUNTIF($C$4:$C$2003,$C522&amp;"*")&gt;1,"NIK ganda",IF($E522="","Kadus kosong",IF($F522="","RT kosong",IF($H522="","Jabatan kosong",IF($I522="","No. HP kosong",IF($J522="","Alamat kosong",IF(AND($M522&lt;&gt;"",$M522&lt;17),"Usia di bawah 17",""))))))))))</f>
        <v/>
      </c>
      <c r="U522" s="40" t="str">
        <f aca="false">IF($B522="","",IF(AND(OR(CARI!$C$5="",ISNUMBER(SEARCH(CARI!$C$5,$B522&amp;" "&amp;$C522&amp;" "&amp;$I522&amp;" "&amp;$J522&amp;" "&amp;$Q522))),OR(CARI!$C$6="",$E522=CARI!$C$6),OR(CARI!$C$7="",$F522=CARI!$C$7),OR(CARI!$C$8="",$O522=CARI!$C$8)),MAX($U$3:U521)+1,""))</f>
        <v/>
      </c>
      <c r="V522" s="40" t="str">
        <f aca="false">IF($T522="","",MAX($V$3:V521)+1)</f>
        <v/>
      </c>
      <c r="W522" s="40" t="str">
        <f aca="false">IF($E522="","",$E522&amp;"#"&amp;COUNTIF($E$4:$E522,$E522))</f>
        <v/>
      </c>
      <c r="X522" s="40" t="str">
        <f aca="false">IF($B522="","",IF(AND(OR(CETAK!$J$10="",$E522=CETAK!$J$10),OR(CETAK!$J$11="",$F522=CETAK!$J$11),OR(CETAK!$J$12="",$K522=CETAK!$J$12),OR(CETAK!$J$13="",$H522=CETAK!$J$13),OR(CETAK!$J$14="",$O522=CETAK!$J$14)),MAX($X$3:X521)+1,""))</f>
        <v/>
      </c>
      <c r="Y522" s="40" t="str">
        <f aca="false">IF($B522="","",IF(AND(OR(ABSENSI!$H$10="",$E522=ABSENSI!$H$10),OR(ABSENSI!$H$11="",$F522=ABSENSI!$H$11),OR(ABSENSI!$H$12="",$K522=ABSENSI!$H$12)),MAX($Y$3:Y521)+1,""))</f>
        <v/>
      </c>
      <c r="Z522" s="40" t="str">
        <f aca="false">IF($B522="","",IF(AND(OR(KARTU!$K$6="",$E522=KARTU!$K$6),OR(KARTU!$K$7="",$F522=KARTU!$K$7),OR(KARTU!$K$8="",$K522=KARTU!$K$8)),MAX($Z$3:Z521)+1,""))</f>
        <v/>
      </c>
    </row>
    <row r="523" customFormat="false" ht="15" hidden="false" customHeight="false" outlineLevel="0" collapsed="false">
      <c r="A523" s="36" t="str">
        <f aca="false">IF($B523="","",COUNTA($B$4:$B523))</f>
        <v/>
      </c>
      <c r="B523" s="37"/>
      <c r="C523" s="38"/>
      <c r="D523" s="39"/>
      <c r="E523" s="37"/>
      <c r="F523" s="39"/>
      <c r="G523" s="40" t="str">
        <f aca="false">IF(OR($E523="",$F523=""),"",$E523&amp;" - RT "&amp;$F523)</f>
        <v/>
      </c>
      <c r="H523" s="37"/>
      <c r="I523" s="38"/>
      <c r="J523" s="37"/>
      <c r="K523" s="39"/>
      <c r="L523" s="41"/>
      <c r="M523" s="36" t="str">
        <f aca="true">IF(OR($B523="",$L523=""),"",DATEDIF($L523,TODAY(),"Y"))</f>
        <v/>
      </c>
      <c r="N523" s="40" t="str">
        <f aca="false">IF($M523="","",INDEX(usia_label,MATCH($M523,usia_min,1)))</f>
        <v/>
      </c>
      <c r="O523" s="37"/>
      <c r="P523" s="41"/>
      <c r="Q523" s="37"/>
      <c r="R523" s="37"/>
      <c r="S523" s="40" t="str">
        <f aca="false">IF($G523="","",$G523&amp;"#"&amp;COUNTIF($G$4:$G523,$G523))</f>
        <v/>
      </c>
      <c r="T523" s="40" t="str">
        <f aca="false">IF($B523="","",IF($C523="","NIK kosong",IF(LEN($C523)&lt;&gt;16,"NIK bukan 16 digit",IF(COUNTIF($C$4:$C$2003,$C523&amp;"*")&gt;1,"NIK ganda",IF($E523="","Kadus kosong",IF($F523="","RT kosong",IF($H523="","Jabatan kosong",IF($I523="","No. HP kosong",IF($J523="","Alamat kosong",IF(AND($M523&lt;&gt;"",$M523&lt;17),"Usia di bawah 17",""))))))))))</f>
        <v/>
      </c>
      <c r="U523" s="40" t="str">
        <f aca="false">IF($B523="","",IF(AND(OR(CARI!$C$5="",ISNUMBER(SEARCH(CARI!$C$5,$B523&amp;" "&amp;$C523&amp;" "&amp;$I523&amp;" "&amp;$J523&amp;" "&amp;$Q523))),OR(CARI!$C$6="",$E523=CARI!$C$6),OR(CARI!$C$7="",$F523=CARI!$C$7),OR(CARI!$C$8="",$O523=CARI!$C$8)),MAX($U$3:U522)+1,""))</f>
        <v/>
      </c>
      <c r="V523" s="40" t="str">
        <f aca="false">IF($T523="","",MAX($V$3:V522)+1)</f>
        <v/>
      </c>
      <c r="W523" s="40" t="str">
        <f aca="false">IF($E523="","",$E523&amp;"#"&amp;COUNTIF($E$4:$E523,$E523))</f>
        <v/>
      </c>
      <c r="X523" s="40" t="str">
        <f aca="false">IF($B523="","",IF(AND(OR(CETAK!$J$10="",$E523=CETAK!$J$10),OR(CETAK!$J$11="",$F523=CETAK!$J$11),OR(CETAK!$J$12="",$K523=CETAK!$J$12),OR(CETAK!$J$13="",$H523=CETAK!$J$13),OR(CETAK!$J$14="",$O523=CETAK!$J$14)),MAX($X$3:X522)+1,""))</f>
        <v/>
      </c>
      <c r="Y523" s="40" t="str">
        <f aca="false">IF($B523="","",IF(AND(OR(ABSENSI!$H$10="",$E523=ABSENSI!$H$10),OR(ABSENSI!$H$11="",$F523=ABSENSI!$H$11),OR(ABSENSI!$H$12="",$K523=ABSENSI!$H$12)),MAX($Y$3:Y522)+1,""))</f>
        <v/>
      </c>
      <c r="Z523" s="40" t="str">
        <f aca="false">IF($B523="","",IF(AND(OR(KARTU!$K$6="",$E523=KARTU!$K$6),OR(KARTU!$K$7="",$F523=KARTU!$K$7),OR(KARTU!$K$8="",$K523=KARTU!$K$8)),MAX($Z$3:Z522)+1,""))</f>
        <v/>
      </c>
    </row>
    <row r="524" customFormat="false" ht="15" hidden="false" customHeight="false" outlineLevel="0" collapsed="false">
      <c r="A524" s="36" t="str">
        <f aca="false">IF($B524="","",COUNTA($B$4:$B524))</f>
        <v/>
      </c>
      <c r="B524" s="37"/>
      <c r="C524" s="38"/>
      <c r="D524" s="39"/>
      <c r="E524" s="37"/>
      <c r="F524" s="39"/>
      <c r="G524" s="40" t="str">
        <f aca="false">IF(OR($E524="",$F524=""),"",$E524&amp;" - RT "&amp;$F524)</f>
        <v/>
      </c>
      <c r="H524" s="37"/>
      <c r="I524" s="38"/>
      <c r="J524" s="37"/>
      <c r="K524" s="39"/>
      <c r="L524" s="41"/>
      <c r="M524" s="36" t="str">
        <f aca="true">IF(OR($B524="",$L524=""),"",DATEDIF($L524,TODAY(),"Y"))</f>
        <v/>
      </c>
      <c r="N524" s="40" t="str">
        <f aca="false">IF($M524="","",INDEX(usia_label,MATCH($M524,usia_min,1)))</f>
        <v/>
      </c>
      <c r="O524" s="37"/>
      <c r="P524" s="41"/>
      <c r="Q524" s="37"/>
      <c r="R524" s="37"/>
      <c r="S524" s="40" t="str">
        <f aca="false">IF($G524="","",$G524&amp;"#"&amp;COUNTIF($G$4:$G524,$G524))</f>
        <v/>
      </c>
      <c r="T524" s="40" t="str">
        <f aca="false">IF($B524="","",IF($C524="","NIK kosong",IF(LEN($C524)&lt;&gt;16,"NIK bukan 16 digit",IF(COUNTIF($C$4:$C$2003,$C524&amp;"*")&gt;1,"NIK ganda",IF($E524="","Kadus kosong",IF($F524="","RT kosong",IF($H524="","Jabatan kosong",IF($I524="","No. HP kosong",IF($J524="","Alamat kosong",IF(AND($M524&lt;&gt;"",$M524&lt;17),"Usia di bawah 17",""))))))))))</f>
        <v/>
      </c>
      <c r="U524" s="40" t="str">
        <f aca="false">IF($B524="","",IF(AND(OR(CARI!$C$5="",ISNUMBER(SEARCH(CARI!$C$5,$B524&amp;" "&amp;$C524&amp;" "&amp;$I524&amp;" "&amp;$J524&amp;" "&amp;$Q524))),OR(CARI!$C$6="",$E524=CARI!$C$6),OR(CARI!$C$7="",$F524=CARI!$C$7),OR(CARI!$C$8="",$O524=CARI!$C$8)),MAX($U$3:U523)+1,""))</f>
        <v/>
      </c>
      <c r="V524" s="40" t="str">
        <f aca="false">IF($T524="","",MAX($V$3:V523)+1)</f>
        <v/>
      </c>
      <c r="W524" s="40" t="str">
        <f aca="false">IF($E524="","",$E524&amp;"#"&amp;COUNTIF($E$4:$E524,$E524))</f>
        <v/>
      </c>
      <c r="X524" s="40" t="str">
        <f aca="false">IF($B524="","",IF(AND(OR(CETAK!$J$10="",$E524=CETAK!$J$10),OR(CETAK!$J$11="",$F524=CETAK!$J$11),OR(CETAK!$J$12="",$K524=CETAK!$J$12),OR(CETAK!$J$13="",$H524=CETAK!$J$13),OR(CETAK!$J$14="",$O524=CETAK!$J$14)),MAX($X$3:X523)+1,""))</f>
        <v/>
      </c>
      <c r="Y524" s="40" t="str">
        <f aca="false">IF($B524="","",IF(AND(OR(ABSENSI!$H$10="",$E524=ABSENSI!$H$10),OR(ABSENSI!$H$11="",$F524=ABSENSI!$H$11),OR(ABSENSI!$H$12="",$K524=ABSENSI!$H$12)),MAX($Y$3:Y523)+1,""))</f>
        <v/>
      </c>
      <c r="Z524" s="40" t="str">
        <f aca="false">IF($B524="","",IF(AND(OR(KARTU!$K$6="",$E524=KARTU!$K$6),OR(KARTU!$K$7="",$F524=KARTU!$K$7),OR(KARTU!$K$8="",$K524=KARTU!$K$8)),MAX($Z$3:Z523)+1,""))</f>
        <v/>
      </c>
    </row>
    <row r="525" customFormat="false" ht="15" hidden="false" customHeight="false" outlineLevel="0" collapsed="false">
      <c r="A525" s="36" t="str">
        <f aca="false">IF($B525="","",COUNTA($B$4:$B525))</f>
        <v/>
      </c>
      <c r="B525" s="37"/>
      <c r="C525" s="38"/>
      <c r="D525" s="39"/>
      <c r="E525" s="37"/>
      <c r="F525" s="39"/>
      <c r="G525" s="40" t="str">
        <f aca="false">IF(OR($E525="",$F525=""),"",$E525&amp;" - RT "&amp;$F525)</f>
        <v/>
      </c>
      <c r="H525" s="37"/>
      <c r="I525" s="38"/>
      <c r="J525" s="37"/>
      <c r="K525" s="39"/>
      <c r="L525" s="41"/>
      <c r="M525" s="36" t="str">
        <f aca="true">IF(OR($B525="",$L525=""),"",DATEDIF($L525,TODAY(),"Y"))</f>
        <v/>
      </c>
      <c r="N525" s="40" t="str">
        <f aca="false">IF($M525="","",INDEX(usia_label,MATCH($M525,usia_min,1)))</f>
        <v/>
      </c>
      <c r="O525" s="37"/>
      <c r="P525" s="41"/>
      <c r="Q525" s="37"/>
      <c r="R525" s="37"/>
      <c r="S525" s="40" t="str">
        <f aca="false">IF($G525="","",$G525&amp;"#"&amp;COUNTIF($G$4:$G525,$G525))</f>
        <v/>
      </c>
      <c r="T525" s="40" t="str">
        <f aca="false">IF($B525="","",IF($C525="","NIK kosong",IF(LEN($C525)&lt;&gt;16,"NIK bukan 16 digit",IF(COUNTIF($C$4:$C$2003,$C525&amp;"*")&gt;1,"NIK ganda",IF($E525="","Kadus kosong",IF($F525="","RT kosong",IF($H525="","Jabatan kosong",IF($I525="","No. HP kosong",IF($J525="","Alamat kosong",IF(AND($M525&lt;&gt;"",$M525&lt;17),"Usia di bawah 17",""))))))))))</f>
        <v/>
      </c>
      <c r="U525" s="40" t="str">
        <f aca="false">IF($B525="","",IF(AND(OR(CARI!$C$5="",ISNUMBER(SEARCH(CARI!$C$5,$B525&amp;" "&amp;$C525&amp;" "&amp;$I525&amp;" "&amp;$J525&amp;" "&amp;$Q525))),OR(CARI!$C$6="",$E525=CARI!$C$6),OR(CARI!$C$7="",$F525=CARI!$C$7),OR(CARI!$C$8="",$O525=CARI!$C$8)),MAX($U$3:U524)+1,""))</f>
        <v/>
      </c>
      <c r="V525" s="40" t="str">
        <f aca="false">IF($T525="","",MAX($V$3:V524)+1)</f>
        <v/>
      </c>
      <c r="W525" s="40" t="str">
        <f aca="false">IF($E525="","",$E525&amp;"#"&amp;COUNTIF($E$4:$E525,$E525))</f>
        <v/>
      </c>
      <c r="X525" s="40" t="str">
        <f aca="false">IF($B525="","",IF(AND(OR(CETAK!$J$10="",$E525=CETAK!$J$10),OR(CETAK!$J$11="",$F525=CETAK!$J$11),OR(CETAK!$J$12="",$K525=CETAK!$J$12),OR(CETAK!$J$13="",$H525=CETAK!$J$13),OR(CETAK!$J$14="",$O525=CETAK!$J$14)),MAX($X$3:X524)+1,""))</f>
        <v/>
      </c>
      <c r="Y525" s="40" t="str">
        <f aca="false">IF($B525="","",IF(AND(OR(ABSENSI!$H$10="",$E525=ABSENSI!$H$10),OR(ABSENSI!$H$11="",$F525=ABSENSI!$H$11),OR(ABSENSI!$H$12="",$K525=ABSENSI!$H$12)),MAX($Y$3:Y524)+1,""))</f>
        <v/>
      </c>
      <c r="Z525" s="40" t="str">
        <f aca="false">IF($B525="","",IF(AND(OR(KARTU!$K$6="",$E525=KARTU!$K$6),OR(KARTU!$K$7="",$F525=KARTU!$K$7),OR(KARTU!$K$8="",$K525=KARTU!$K$8)),MAX($Z$3:Z524)+1,""))</f>
        <v/>
      </c>
    </row>
    <row r="526" customFormat="false" ht="15" hidden="false" customHeight="false" outlineLevel="0" collapsed="false">
      <c r="A526" s="36" t="str">
        <f aca="false">IF($B526="","",COUNTA($B$4:$B526))</f>
        <v/>
      </c>
      <c r="B526" s="37"/>
      <c r="C526" s="38"/>
      <c r="D526" s="39"/>
      <c r="E526" s="37"/>
      <c r="F526" s="39"/>
      <c r="G526" s="40" t="str">
        <f aca="false">IF(OR($E526="",$F526=""),"",$E526&amp;" - RT "&amp;$F526)</f>
        <v/>
      </c>
      <c r="H526" s="37"/>
      <c r="I526" s="38"/>
      <c r="J526" s="37"/>
      <c r="K526" s="39"/>
      <c r="L526" s="41"/>
      <c r="M526" s="36" t="str">
        <f aca="true">IF(OR($B526="",$L526=""),"",DATEDIF($L526,TODAY(),"Y"))</f>
        <v/>
      </c>
      <c r="N526" s="40" t="str">
        <f aca="false">IF($M526="","",INDEX(usia_label,MATCH($M526,usia_min,1)))</f>
        <v/>
      </c>
      <c r="O526" s="37"/>
      <c r="P526" s="41"/>
      <c r="Q526" s="37"/>
      <c r="R526" s="37"/>
      <c r="S526" s="40" t="str">
        <f aca="false">IF($G526="","",$G526&amp;"#"&amp;COUNTIF($G$4:$G526,$G526))</f>
        <v/>
      </c>
      <c r="T526" s="40" t="str">
        <f aca="false">IF($B526="","",IF($C526="","NIK kosong",IF(LEN($C526)&lt;&gt;16,"NIK bukan 16 digit",IF(COUNTIF($C$4:$C$2003,$C526&amp;"*")&gt;1,"NIK ganda",IF($E526="","Kadus kosong",IF($F526="","RT kosong",IF($H526="","Jabatan kosong",IF($I526="","No. HP kosong",IF($J526="","Alamat kosong",IF(AND($M526&lt;&gt;"",$M526&lt;17),"Usia di bawah 17",""))))))))))</f>
        <v/>
      </c>
      <c r="U526" s="40" t="str">
        <f aca="false">IF($B526="","",IF(AND(OR(CARI!$C$5="",ISNUMBER(SEARCH(CARI!$C$5,$B526&amp;" "&amp;$C526&amp;" "&amp;$I526&amp;" "&amp;$J526&amp;" "&amp;$Q526))),OR(CARI!$C$6="",$E526=CARI!$C$6),OR(CARI!$C$7="",$F526=CARI!$C$7),OR(CARI!$C$8="",$O526=CARI!$C$8)),MAX($U$3:U525)+1,""))</f>
        <v/>
      </c>
      <c r="V526" s="40" t="str">
        <f aca="false">IF($T526="","",MAX($V$3:V525)+1)</f>
        <v/>
      </c>
      <c r="W526" s="40" t="str">
        <f aca="false">IF($E526="","",$E526&amp;"#"&amp;COUNTIF($E$4:$E526,$E526))</f>
        <v/>
      </c>
      <c r="X526" s="40" t="str">
        <f aca="false">IF($B526="","",IF(AND(OR(CETAK!$J$10="",$E526=CETAK!$J$10),OR(CETAK!$J$11="",$F526=CETAK!$J$11),OR(CETAK!$J$12="",$K526=CETAK!$J$12),OR(CETAK!$J$13="",$H526=CETAK!$J$13),OR(CETAK!$J$14="",$O526=CETAK!$J$14)),MAX($X$3:X525)+1,""))</f>
        <v/>
      </c>
      <c r="Y526" s="40" t="str">
        <f aca="false">IF($B526="","",IF(AND(OR(ABSENSI!$H$10="",$E526=ABSENSI!$H$10),OR(ABSENSI!$H$11="",$F526=ABSENSI!$H$11),OR(ABSENSI!$H$12="",$K526=ABSENSI!$H$12)),MAX($Y$3:Y525)+1,""))</f>
        <v/>
      </c>
      <c r="Z526" s="40" t="str">
        <f aca="false">IF($B526="","",IF(AND(OR(KARTU!$K$6="",$E526=KARTU!$K$6),OR(KARTU!$K$7="",$F526=KARTU!$K$7),OR(KARTU!$K$8="",$K526=KARTU!$K$8)),MAX($Z$3:Z525)+1,""))</f>
        <v/>
      </c>
    </row>
    <row r="527" customFormat="false" ht="15" hidden="false" customHeight="false" outlineLevel="0" collapsed="false">
      <c r="A527" s="36" t="str">
        <f aca="false">IF($B527="","",COUNTA($B$4:$B527))</f>
        <v/>
      </c>
      <c r="B527" s="37"/>
      <c r="C527" s="38"/>
      <c r="D527" s="39"/>
      <c r="E527" s="37"/>
      <c r="F527" s="39"/>
      <c r="G527" s="40" t="str">
        <f aca="false">IF(OR($E527="",$F527=""),"",$E527&amp;" - RT "&amp;$F527)</f>
        <v/>
      </c>
      <c r="H527" s="37"/>
      <c r="I527" s="38"/>
      <c r="J527" s="37"/>
      <c r="K527" s="39"/>
      <c r="L527" s="41"/>
      <c r="M527" s="36" t="str">
        <f aca="true">IF(OR($B527="",$L527=""),"",DATEDIF($L527,TODAY(),"Y"))</f>
        <v/>
      </c>
      <c r="N527" s="40" t="str">
        <f aca="false">IF($M527="","",INDEX(usia_label,MATCH($M527,usia_min,1)))</f>
        <v/>
      </c>
      <c r="O527" s="37"/>
      <c r="P527" s="41"/>
      <c r="Q527" s="37"/>
      <c r="R527" s="37"/>
      <c r="S527" s="40" t="str">
        <f aca="false">IF($G527="","",$G527&amp;"#"&amp;COUNTIF($G$4:$G527,$G527))</f>
        <v/>
      </c>
      <c r="T527" s="40" t="str">
        <f aca="false">IF($B527="","",IF($C527="","NIK kosong",IF(LEN($C527)&lt;&gt;16,"NIK bukan 16 digit",IF(COUNTIF($C$4:$C$2003,$C527&amp;"*")&gt;1,"NIK ganda",IF($E527="","Kadus kosong",IF($F527="","RT kosong",IF($H527="","Jabatan kosong",IF($I527="","No. HP kosong",IF($J527="","Alamat kosong",IF(AND($M527&lt;&gt;"",$M527&lt;17),"Usia di bawah 17",""))))))))))</f>
        <v/>
      </c>
      <c r="U527" s="40" t="str">
        <f aca="false">IF($B527="","",IF(AND(OR(CARI!$C$5="",ISNUMBER(SEARCH(CARI!$C$5,$B527&amp;" "&amp;$C527&amp;" "&amp;$I527&amp;" "&amp;$J527&amp;" "&amp;$Q527))),OR(CARI!$C$6="",$E527=CARI!$C$6),OR(CARI!$C$7="",$F527=CARI!$C$7),OR(CARI!$C$8="",$O527=CARI!$C$8)),MAX($U$3:U526)+1,""))</f>
        <v/>
      </c>
      <c r="V527" s="40" t="str">
        <f aca="false">IF($T527="","",MAX($V$3:V526)+1)</f>
        <v/>
      </c>
      <c r="W527" s="40" t="str">
        <f aca="false">IF($E527="","",$E527&amp;"#"&amp;COUNTIF($E$4:$E527,$E527))</f>
        <v/>
      </c>
      <c r="X527" s="40" t="str">
        <f aca="false">IF($B527="","",IF(AND(OR(CETAK!$J$10="",$E527=CETAK!$J$10),OR(CETAK!$J$11="",$F527=CETAK!$J$11),OR(CETAK!$J$12="",$K527=CETAK!$J$12),OR(CETAK!$J$13="",$H527=CETAK!$J$13),OR(CETAK!$J$14="",$O527=CETAK!$J$14)),MAX($X$3:X526)+1,""))</f>
        <v/>
      </c>
      <c r="Y527" s="40" t="str">
        <f aca="false">IF($B527="","",IF(AND(OR(ABSENSI!$H$10="",$E527=ABSENSI!$H$10),OR(ABSENSI!$H$11="",$F527=ABSENSI!$H$11),OR(ABSENSI!$H$12="",$K527=ABSENSI!$H$12)),MAX($Y$3:Y526)+1,""))</f>
        <v/>
      </c>
      <c r="Z527" s="40" t="str">
        <f aca="false">IF($B527="","",IF(AND(OR(KARTU!$K$6="",$E527=KARTU!$K$6),OR(KARTU!$K$7="",$F527=KARTU!$K$7),OR(KARTU!$K$8="",$K527=KARTU!$K$8)),MAX($Z$3:Z526)+1,""))</f>
        <v/>
      </c>
    </row>
    <row r="528" customFormat="false" ht="15" hidden="false" customHeight="false" outlineLevel="0" collapsed="false">
      <c r="A528" s="36" t="str">
        <f aca="false">IF($B528="","",COUNTA($B$4:$B528))</f>
        <v/>
      </c>
      <c r="B528" s="37"/>
      <c r="C528" s="38"/>
      <c r="D528" s="39"/>
      <c r="E528" s="37"/>
      <c r="F528" s="39"/>
      <c r="G528" s="40" t="str">
        <f aca="false">IF(OR($E528="",$F528=""),"",$E528&amp;" - RT "&amp;$F528)</f>
        <v/>
      </c>
      <c r="H528" s="37"/>
      <c r="I528" s="38"/>
      <c r="J528" s="37"/>
      <c r="K528" s="39"/>
      <c r="L528" s="41"/>
      <c r="M528" s="36" t="str">
        <f aca="true">IF(OR($B528="",$L528=""),"",DATEDIF($L528,TODAY(),"Y"))</f>
        <v/>
      </c>
      <c r="N528" s="40" t="str">
        <f aca="false">IF($M528="","",INDEX(usia_label,MATCH($M528,usia_min,1)))</f>
        <v/>
      </c>
      <c r="O528" s="37"/>
      <c r="P528" s="41"/>
      <c r="Q528" s="37"/>
      <c r="R528" s="37"/>
      <c r="S528" s="40" t="str">
        <f aca="false">IF($G528="","",$G528&amp;"#"&amp;COUNTIF($G$4:$G528,$G528))</f>
        <v/>
      </c>
      <c r="T528" s="40" t="str">
        <f aca="false">IF($B528="","",IF($C528="","NIK kosong",IF(LEN($C528)&lt;&gt;16,"NIK bukan 16 digit",IF(COUNTIF($C$4:$C$2003,$C528&amp;"*")&gt;1,"NIK ganda",IF($E528="","Kadus kosong",IF($F528="","RT kosong",IF($H528="","Jabatan kosong",IF($I528="","No. HP kosong",IF($J528="","Alamat kosong",IF(AND($M528&lt;&gt;"",$M528&lt;17),"Usia di bawah 17",""))))))))))</f>
        <v/>
      </c>
      <c r="U528" s="40" t="str">
        <f aca="false">IF($B528="","",IF(AND(OR(CARI!$C$5="",ISNUMBER(SEARCH(CARI!$C$5,$B528&amp;" "&amp;$C528&amp;" "&amp;$I528&amp;" "&amp;$J528&amp;" "&amp;$Q528))),OR(CARI!$C$6="",$E528=CARI!$C$6),OR(CARI!$C$7="",$F528=CARI!$C$7),OR(CARI!$C$8="",$O528=CARI!$C$8)),MAX($U$3:U527)+1,""))</f>
        <v/>
      </c>
      <c r="V528" s="40" t="str">
        <f aca="false">IF($T528="","",MAX($V$3:V527)+1)</f>
        <v/>
      </c>
      <c r="W528" s="40" t="str">
        <f aca="false">IF($E528="","",$E528&amp;"#"&amp;COUNTIF($E$4:$E528,$E528))</f>
        <v/>
      </c>
      <c r="X528" s="40" t="str">
        <f aca="false">IF($B528="","",IF(AND(OR(CETAK!$J$10="",$E528=CETAK!$J$10),OR(CETAK!$J$11="",$F528=CETAK!$J$11),OR(CETAK!$J$12="",$K528=CETAK!$J$12),OR(CETAK!$J$13="",$H528=CETAK!$J$13),OR(CETAK!$J$14="",$O528=CETAK!$J$14)),MAX($X$3:X527)+1,""))</f>
        <v/>
      </c>
      <c r="Y528" s="40" t="str">
        <f aca="false">IF($B528="","",IF(AND(OR(ABSENSI!$H$10="",$E528=ABSENSI!$H$10),OR(ABSENSI!$H$11="",$F528=ABSENSI!$H$11),OR(ABSENSI!$H$12="",$K528=ABSENSI!$H$12)),MAX($Y$3:Y527)+1,""))</f>
        <v/>
      </c>
      <c r="Z528" s="40" t="str">
        <f aca="false">IF($B528="","",IF(AND(OR(KARTU!$K$6="",$E528=KARTU!$K$6),OR(KARTU!$K$7="",$F528=KARTU!$K$7),OR(KARTU!$K$8="",$K528=KARTU!$K$8)),MAX($Z$3:Z527)+1,""))</f>
        <v/>
      </c>
    </row>
    <row r="529" customFormat="false" ht="15" hidden="false" customHeight="false" outlineLevel="0" collapsed="false">
      <c r="A529" s="36" t="str">
        <f aca="false">IF($B529="","",COUNTA($B$4:$B529))</f>
        <v/>
      </c>
      <c r="B529" s="37"/>
      <c r="C529" s="38"/>
      <c r="D529" s="39"/>
      <c r="E529" s="37"/>
      <c r="F529" s="39"/>
      <c r="G529" s="40" t="str">
        <f aca="false">IF(OR($E529="",$F529=""),"",$E529&amp;" - RT "&amp;$F529)</f>
        <v/>
      </c>
      <c r="H529" s="37"/>
      <c r="I529" s="38"/>
      <c r="J529" s="37"/>
      <c r="K529" s="39"/>
      <c r="L529" s="41"/>
      <c r="M529" s="36" t="str">
        <f aca="true">IF(OR($B529="",$L529=""),"",DATEDIF($L529,TODAY(),"Y"))</f>
        <v/>
      </c>
      <c r="N529" s="40" t="str">
        <f aca="false">IF($M529="","",INDEX(usia_label,MATCH($M529,usia_min,1)))</f>
        <v/>
      </c>
      <c r="O529" s="37"/>
      <c r="P529" s="41"/>
      <c r="Q529" s="37"/>
      <c r="R529" s="37"/>
      <c r="S529" s="40" t="str">
        <f aca="false">IF($G529="","",$G529&amp;"#"&amp;COUNTIF($G$4:$G529,$G529))</f>
        <v/>
      </c>
      <c r="T529" s="40" t="str">
        <f aca="false">IF($B529="","",IF($C529="","NIK kosong",IF(LEN($C529)&lt;&gt;16,"NIK bukan 16 digit",IF(COUNTIF($C$4:$C$2003,$C529&amp;"*")&gt;1,"NIK ganda",IF($E529="","Kadus kosong",IF($F529="","RT kosong",IF($H529="","Jabatan kosong",IF($I529="","No. HP kosong",IF($J529="","Alamat kosong",IF(AND($M529&lt;&gt;"",$M529&lt;17),"Usia di bawah 17",""))))))))))</f>
        <v/>
      </c>
      <c r="U529" s="40" t="str">
        <f aca="false">IF($B529="","",IF(AND(OR(CARI!$C$5="",ISNUMBER(SEARCH(CARI!$C$5,$B529&amp;" "&amp;$C529&amp;" "&amp;$I529&amp;" "&amp;$J529&amp;" "&amp;$Q529))),OR(CARI!$C$6="",$E529=CARI!$C$6),OR(CARI!$C$7="",$F529=CARI!$C$7),OR(CARI!$C$8="",$O529=CARI!$C$8)),MAX($U$3:U528)+1,""))</f>
        <v/>
      </c>
      <c r="V529" s="40" t="str">
        <f aca="false">IF($T529="","",MAX($V$3:V528)+1)</f>
        <v/>
      </c>
      <c r="W529" s="40" t="str">
        <f aca="false">IF($E529="","",$E529&amp;"#"&amp;COUNTIF($E$4:$E529,$E529))</f>
        <v/>
      </c>
      <c r="X529" s="40" t="str">
        <f aca="false">IF($B529="","",IF(AND(OR(CETAK!$J$10="",$E529=CETAK!$J$10),OR(CETAK!$J$11="",$F529=CETAK!$J$11),OR(CETAK!$J$12="",$K529=CETAK!$J$12),OR(CETAK!$J$13="",$H529=CETAK!$J$13),OR(CETAK!$J$14="",$O529=CETAK!$J$14)),MAX($X$3:X528)+1,""))</f>
        <v/>
      </c>
      <c r="Y529" s="40" t="str">
        <f aca="false">IF($B529="","",IF(AND(OR(ABSENSI!$H$10="",$E529=ABSENSI!$H$10),OR(ABSENSI!$H$11="",$F529=ABSENSI!$H$11),OR(ABSENSI!$H$12="",$K529=ABSENSI!$H$12)),MAX($Y$3:Y528)+1,""))</f>
        <v/>
      </c>
      <c r="Z529" s="40" t="str">
        <f aca="false">IF($B529="","",IF(AND(OR(KARTU!$K$6="",$E529=KARTU!$K$6),OR(KARTU!$K$7="",$F529=KARTU!$K$7),OR(KARTU!$K$8="",$K529=KARTU!$K$8)),MAX($Z$3:Z528)+1,""))</f>
        <v/>
      </c>
    </row>
    <row r="530" customFormat="false" ht="15" hidden="false" customHeight="false" outlineLevel="0" collapsed="false">
      <c r="A530" s="36" t="str">
        <f aca="false">IF($B530="","",COUNTA($B$4:$B530))</f>
        <v/>
      </c>
      <c r="B530" s="37"/>
      <c r="C530" s="38"/>
      <c r="D530" s="39"/>
      <c r="E530" s="37"/>
      <c r="F530" s="39"/>
      <c r="G530" s="40" t="str">
        <f aca="false">IF(OR($E530="",$F530=""),"",$E530&amp;" - RT "&amp;$F530)</f>
        <v/>
      </c>
      <c r="H530" s="37"/>
      <c r="I530" s="38"/>
      <c r="J530" s="37"/>
      <c r="K530" s="39"/>
      <c r="L530" s="41"/>
      <c r="M530" s="36" t="str">
        <f aca="true">IF(OR($B530="",$L530=""),"",DATEDIF($L530,TODAY(),"Y"))</f>
        <v/>
      </c>
      <c r="N530" s="40" t="str">
        <f aca="false">IF($M530="","",INDEX(usia_label,MATCH($M530,usia_min,1)))</f>
        <v/>
      </c>
      <c r="O530" s="37"/>
      <c r="P530" s="41"/>
      <c r="Q530" s="37"/>
      <c r="R530" s="37"/>
      <c r="S530" s="40" t="str">
        <f aca="false">IF($G530="","",$G530&amp;"#"&amp;COUNTIF($G$4:$G530,$G530))</f>
        <v/>
      </c>
      <c r="T530" s="40" t="str">
        <f aca="false">IF($B530="","",IF($C530="","NIK kosong",IF(LEN($C530)&lt;&gt;16,"NIK bukan 16 digit",IF(COUNTIF($C$4:$C$2003,$C530&amp;"*")&gt;1,"NIK ganda",IF($E530="","Kadus kosong",IF($F530="","RT kosong",IF($H530="","Jabatan kosong",IF($I530="","No. HP kosong",IF($J530="","Alamat kosong",IF(AND($M530&lt;&gt;"",$M530&lt;17),"Usia di bawah 17",""))))))))))</f>
        <v/>
      </c>
      <c r="U530" s="40" t="str">
        <f aca="false">IF($B530="","",IF(AND(OR(CARI!$C$5="",ISNUMBER(SEARCH(CARI!$C$5,$B530&amp;" "&amp;$C530&amp;" "&amp;$I530&amp;" "&amp;$J530&amp;" "&amp;$Q530))),OR(CARI!$C$6="",$E530=CARI!$C$6),OR(CARI!$C$7="",$F530=CARI!$C$7),OR(CARI!$C$8="",$O530=CARI!$C$8)),MAX($U$3:U529)+1,""))</f>
        <v/>
      </c>
      <c r="V530" s="40" t="str">
        <f aca="false">IF($T530="","",MAX($V$3:V529)+1)</f>
        <v/>
      </c>
      <c r="W530" s="40" t="str">
        <f aca="false">IF($E530="","",$E530&amp;"#"&amp;COUNTIF($E$4:$E530,$E530))</f>
        <v/>
      </c>
      <c r="X530" s="40" t="str">
        <f aca="false">IF($B530="","",IF(AND(OR(CETAK!$J$10="",$E530=CETAK!$J$10),OR(CETAK!$J$11="",$F530=CETAK!$J$11),OR(CETAK!$J$12="",$K530=CETAK!$J$12),OR(CETAK!$J$13="",$H530=CETAK!$J$13),OR(CETAK!$J$14="",$O530=CETAK!$J$14)),MAX($X$3:X529)+1,""))</f>
        <v/>
      </c>
      <c r="Y530" s="40" t="str">
        <f aca="false">IF($B530="","",IF(AND(OR(ABSENSI!$H$10="",$E530=ABSENSI!$H$10),OR(ABSENSI!$H$11="",$F530=ABSENSI!$H$11),OR(ABSENSI!$H$12="",$K530=ABSENSI!$H$12)),MAX($Y$3:Y529)+1,""))</f>
        <v/>
      </c>
      <c r="Z530" s="40" t="str">
        <f aca="false">IF($B530="","",IF(AND(OR(KARTU!$K$6="",$E530=KARTU!$K$6),OR(KARTU!$K$7="",$F530=KARTU!$K$7),OR(KARTU!$K$8="",$K530=KARTU!$K$8)),MAX($Z$3:Z529)+1,""))</f>
        <v/>
      </c>
    </row>
    <row r="531" customFormat="false" ht="15" hidden="false" customHeight="false" outlineLevel="0" collapsed="false">
      <c r="A531" s="36" t="str">
        <f aca="false">IF($B531="","",COUNTA($B$4:$B531))</f>
        <v/>
      </c>
      <c r="B531" s="37"/>
      <c r="C531" s="38"/>
      <c r="D531" s="39"/>
      <c r="E531" s="37"/>
      <c r="F531" s="39"/>
      <c r="G531" s="40" t="str">
        <f aca="false">IF(OR($E531="",$F531=""),"",$E531&amp;" - RT "&amp;$F531)</f>
        <v/>
      </c>
      <c r="H531" s="37"/>
      <c r="I531" s="38"/>
      <c r="J531" s="37"/>
      <c r="K531" s="39"/>
      <c r="L531" s="41"/>
      <c r="M531" s="36" t="str">
        <f aca="true">IF(OR($B531="",$L531=""),"",DATEDIF($L531,TODAY(),"Y"))</f>
        <v/>
      </c>
      <c r="N531" s="40" t="str">
        <f aca="false">IF($M531="","",INDEX(usia_label,MATCH($M531,usia_min,1)))</f>
        <v/>
      </c>
      <c r="O531" s="37"/>
      <c r="P531" s="41"/>
      <c r="Q531" s="37"/>
      <c r="R531" s="37"/>
      <c r="S531" s="40" t="str">
        <f aca="false">IF($G531="","",$G531&amp;"#"&amp;COUNTIF($G$4:$G531,$G531))</f>
        <v/>
      </c>
      <c r="T531" s="40" t="str">
        <f aca="false">IF($B531="","",IF($C531="","NIK kosong",IF(LEN($C531)&lt;&gt;16,"NIK bukan 16 digit",IF(COUNTIF($C$4:$C$2003,$C531&amp;"*")&gt;1,"NIK ganda",IF($E531="","Kadus kosong",IF($F531="","RT kosong",IF($H531="","Jabatan kosong",IF($I531="","No. HP kosong",IF($J531="","Alamat kosong",IF(AND($M531&lt;&gt;"",$M531&lt;17),"Usia di bawah 17",""))))))))))</f>
        <v/>
      </c>
      <c r="U531" s="40" t="str">
        <f aca="false">IF($B531="","",IF(AND(OR(CARI!$C$5="",ISNUMBER(SEARCH(CARI!$C$5,$B531&amp;" "&amp;$C531&amp;" "&amp;$I531&amp;" "&amp;$J531&amp;" "&amp;$Q531))),OR(CARI!$C$6="",$E531=CARI!$C$6),OR(CARI!$C$7="",$F531=CARI!$C$7),OR(CARI!$C$8="",$O531=CARI!$C$8)),MAX($U$3:U530)+1,""))</f>
        <v/>
      </c>
      <c r="V531" s="40" t="str">
        <f aca="false">IF($T531="","",MAX($V$3:V530)+1)</f>
        <v/>
      </c>
      <c r="W531" s="40" t="str">
        <f aca="false">IF($E531="","",$E531&amp;"#"&amp;COUNTIF($E$4:$E531,$E531))</f>
        <v/>
      </c>
      <c r="X531" s="40" t="str">
        <f aca="false">IF($B531="","",IF(AND(OR(CETAK!$J$10="",$E531=CETAK!$J$10),OR(CETAK!$J$11="",$F531=CETAK!$J$11),OR(CETAK!$J$12="",$K531=CETAK!$J$12),OR(CETAK!$J$13="",$H531=CETAK!$J$13),OR(CETAK!$J$14="",$O531=CETAK!$J$14)),MAX($X$3:X530)+1,""))</f>
        <v/>
      </c>
      <c r="Y531" s="40" t="str">
        <f aca="false">IF($B531="","",IF(AND(OR(ABSENSI!$H$10="",$E531=ABSENSI!$H$10),OR(ABSENSI!$H$11="",$F531=ABSENSI!$H$11),OR(ABSENSI!$H$12="",$K531=ABSENSI!$H$12)),MAX($Y$3:Y530)+1,""))</f>
        <v/>
      </c>
      <c r="Z531" s="40" t="str">
        <f aca="false">IF($B531="","",IF(AND(OR(KARTU!$K$6="",$E531=KARTU!$K$6),OR(KARTU!$K$7="",$F531=KARTU!$K$7),OR(KARTU!$K$8="",$K531=KARTU!$K$8)),MAX($Z$3:Z530)+1,""))</f>
        <v/>
      </c>
    </row>
    <row r="532" customFormat="false" ht="15" hidden="false" customHeight="false" outlineLevel="0" collapsed="false">
      <c r="A532" s="36" t="str">
        <f aca="false">IF($B532="","",COUNTA($B$4:$B532))</f>
        <v/>
      </c>
      <c r="B532" s="37"/>
      <c r="C532" s="38"/>
      <c r="D532" s="39"/>
      <c r="E532" s="37"/>
      <c r="F532" s="39"/>
      <c r="G532" s="40" t="str">
        <f aca="false">IF(OR($E532="",$F532=""),"",$E532&amp;" - RT "&amp;$F532)</f>
        <v/>
      </c>
      <c r="H532" s="37"/>
      <c r="I532" s="38"/>
      <c r="J532" s="37"/>
      <c r="K532" s="39"/>
      <c r="L532" s="41"/>
      <c r="M532" s="36" t="str">
        <f aca="true">IF(OR($B532="",$L532=""),"",DATEDIF($L532,TODAY(),"Y"))</f>
        <v/>
      </c>
      <c r="N532" s="40" t="str">
        <f aca="false">IF($M532="","",INDEX(usia_label,MATCH($M532,usia_min,1)))</f>
        <v/>
      </c>
      <c r="O532" s="37"/>
      <c r="P532" s="41"/>
      <c r="Q532" s="37"/>
      <c r="R532" s="37"/>
      <c r="S532" s="40" t="str">
        <f aca="false">IF($G532="","",$G532&amp;"#"&amp;COUNTIF($G$4:$G532,$G532))</f>
        <v/>
      </c>
      <c r="T532" s="40" t="str">
        <f aca="false">IF($B532="","",IF($C532="","NIK kosong",IF(LEN($C532)&lt;&gt;16,"NIK bukan 16 digit",IF(COUNTIF($C$4:$C$2003,$C532&amp;"*")&gt;1,"NIK ganda",IF($E532="","Kadus kosong",IF($F532="","RT kosong",IF($H532="","Jabatan kosong",IF($I532="","No. HP kosong",IF($J532="","Alamat kosong",IF(AND($M532&lt;&gt;"",$M532&lt;17),"Usia di bawah 17",""))))))))))</f>
        <v/>
      </c>
      <c r="U532" s="40" t="str">
        <f aca="false">IF($B532="","",IF(AND(OR(CARI!$C$5="",ISNUMBER(SEARCH(CARI!$C$5,$B532&amp;" "&amp;$C532&amp;" "&amp;$I532&amp;" "&amp;$J532&amp;" "&amp;$Q532))),OR(CARI!$C$6="",$E532=CARI!$C$6),OR(CARI!$C$7="",$F532=CARI!$C$7),OR(CARI!$C$8="",$O532=CARI!$C$8)),MAX($U$3:U531)+1,""))</f>
        <v/>
      </c>
      <c r="V532" s="40" t="str">
        <f aca="false">IF($T532="","",MAX($V$3:V531)+1)</f>
        <v/>
      </c>
      <c r="W532" s="40" t="str">
        <f aca="false">IF($E532="","",$E532&amp;"#"&amp;COUNTIF($E$4:$E532,$E532))</f>
        <v/>
      </c>
      <c r="X532" s="40" t="str">
        <f aca="false">IF($B532="","",IF(AND(OR(CETAK!$J$10="",$E532=CETAK!$J$10),OR(CETAK!$J$11="",$F532=CETAK!$J$11),OR(CETAK!$J$12="",$K532=CETAK!$J$12),OR(CETAK!$J$13="",$H532=CETAK!$J$13),OR(CETAK!$J$14="",$O532=CETAK!$J$14)),MAX($X$3:X531)+1,""))</f>
        <v/>
      </c>
      <c r="Y532" s="40" t="str">
        <f aca="false">IF($B532="","",IF(AND(OR(ABSENSI!$H$10="",$E532=ABSENSI!$H$10),OR(ABSENSI!$H$11="",$F532=ABSENSI!$H$11),OR(ABSENSI!$H$12="",$K532=ABSENSI!$H$12)),MAX($Y$3:Y531)+1,""))</f>
        <v/>
      </c>
      <c r="Z532" s="40" t="str">
        <f aca="false">IF($B532="","",IF(AND(OR(KARTU!$K$6="",$E532=KARTU!$K$6),OR(KARTU!$K$7="",$F532=KARTU!$K$7),OR(KARTU!$K$8="",$K532=KARTU!$K$8)),MAX($Z$3:Z531)+1,""))</f>
        <v/>
      </c>
    </row>
    <row r="533" customFormat="false" ht="15" hidden="false" customHeight="false" outlineLevel="0" collapsed="false">
      <c r="A533" s="36" t="str">
        <f aca="false">IF($B533="","",COUNTA($B$4:$B533))</f>
        <v/>
      </c>
      <c r="B533" s="37"/>
      <c r="C533" s="38"/>
      <c r="D533" s="39"/>
      <c r="E533" s="37"/>
      <c r="F533" s="39"/>
      <c r="G533" s="40" t="str">
        <f aca="false">IF(OR($E533="",$F533=""),"",$E533&amp;" - RT "&amp;$F533)</f>
        <v/>
      </c>
      <c r="H533" s="37"/>
      <c r="I533" s="38"/>
      <c r="J533" s="37"/>
      <c r="K533" s="39"/>
      <c r="L533" s="41"/>
      <c r="M533" s="36" t="str">
        <f aca="true">IF(OR($B533="",$L533=""),"",DATEDIF($L533,TODAY(),"Y"))</f>
        <v/>
      </c>
      <c r="N533" s="40" t="str">
        <f aca="false">IF($M533="","",INDEX(usia_label,MATCH($M533,usia_min,1)))</f>
        <v/>
      </c>
      <c r="O533" s="37"/>
      <c r="P533" s="41"/>
      <c r="Q533" s="37"/>
      <c r="R533" s="37"/>
      <c r="S533" s="40" t="str">
        <f aca="false">IF($G533="","",$G533&amp;"#"&amp;COUNTIF($G$4:$G533,$G533))</f>
        <v/>
      </c>
      <c r="T533" s="40" t="str">
        <f aca="false">IF($B533="","",IF($C533="","NIK kosong",IF(LEN($C533)&lt;&gt;16,"NIK bukan 16 digit",IF(COUNTIF($C$4:$C$2003,$C533&amp;"*")&gt;1,"NIK ganda",IF($E533="","Kadus kosong",IF($F533="","RT kosong",IF($H533="","Jabatan kosong",IF($I533="","No. HP kosong",IF($J533="","Alamat kosong",IF(AND($M533&lt;&gt;"",$M533&lt;17),"Usia di bawah 17",""))))))))))</f>
        <v/>
      </c>
      <c r="U533" s="40" t="str">
        <f aca="false">IF($B533="","",IF(AND(OR(CARI!$C$5="",ISNUMBER(SEARCH(CARI!$C$5,$B533&amp;" "&amp;$C533&amp;" "&amp;$I533&amp;" "&amp;$J533&amp;" "&amp;$Q533))),OR(CARI!$C$6="",$E533=CARI!$C$6),OR(CARI!$C$7="",$F533=CARI!$C$7),OR(CARI!$C$8="",$O533=CARI!$C$8)),MAX($U$3:U532)+1,""))</f>
        <v/>
      </c>
      <c r="V533" s="40" t="str">
        <f aca="false">IF($T533="","",MAX($V$3:V532)+1)</f>
        <v/>
      </c>
      <c r="W533" s="40" t="str">
        <f aca="false">IF($E533="","",$E533&amp;"#"&amp;COUNTIF($E$4:$E533,$E533))</f>
        <v/>
      </c>
      <c r="X533" s="40" t="str">
        <f aca="false">IF($B533="","",IF(AND(OR(CETAK!$J$10="",$E533=CETAK!$J$10),OR(CETAK!$J$11="",$F533=CETAK!$J$11),OR(CETAK!$J$12="",$K533=CETAK!$J$12),OR(CETAK!$J$13="",$H533=CETAK!$J$13),OR(CETAK!$J$14="",$O533=CETAK!$J$14)),MAX($X$3:X532)+1,""))</f>
        <v/>
      </c>
      <c r="Y533" s="40" t="str">
        <f aca="false">IF($B533="","",IF(AND(OR(ABSENSI!$H$10="",$E533=ABSENSI!$H$10),OR(ABSENSI!$H$11="",$F533=ABSENSI!$H$11),OR(ABSENSI!$H$12="",$K533=ABSENSI!$H$12)),MAX($Y$3:Y532)+1,""))</f>
        <v/>
      </c>
      <c r="Z533" s="40" t="str">
        <f aca="false">IF($B533="","",IF(AND(OR(KARTU!$K$6="",$E533=KARTU!$K$6),OR(KARTU!$K$7="",$F533=KARTU!$K$7),OR(KARTU!$K$8="",$K533=KARTU!$K$8)),MAX($Z$3:Z532)+1,""))</f>
        <v/>
      </c>
    </row>
    <row r="534" customFormat="false" ht="15" hidden="false" customHeight="false" outlineLevel="0" collapsed="false">
      <c r="A534" s="36" t="str">
        <f aca="false">IF($B534="","",COUNTA($B$4:$B534))</f>
        <v/>
      </c>
      <c r="B534" s="37"/>
      <c r="C534" s="38"/>
      <c r="D534" s="39"/>
      <c r="E534" s="37"/>
      <c r="F534" s="39"/>
      <c r="G534" s="40" t="str">
        <f aca="false">IF(OR($E534="",$F534=""),"",$E534&amp;" - RT "&amp;$F534)</f>
        <v/>
      </c>
      <c r="H534" s="37"/>
      <c r="I534" s="38"/>
      <c r="J534" s="37"/>
      <c r="K534" s="39"/>
      <c r="L534" s="41"/>
      <c r="M534" s="36" t="str">
        <f aca="true">IF(OR($B534="",$L534=""),"",DATEDIF($L534,TODAY(),"Y"))</f>
        <v/>
      </c>
      <c r="N534" s="40" t="str">
        <f aca="false">IF($M534="","",INDEX(usia_label,MATCH($M534,usia_min,1)))</f>
        <v/>
      </c>
      <c r="O534" s="37"/>
      <c r="P534" s="41"/>
      <c r="Q534" s="37"/>
      <c r="R534" s="37"/>
      <c r="S534" s="40" t="str">
        <f aca="false">IF($G534="","",$G534&amp;"#"&amp;COUNTIF($G$4:$G534,$G534))</f>
        <v/>
      </c>
      <c r="T534" s="40" t="str">
        <f aca="false">IF($B534="","",IF($C534="","NIK kosong",IF(LEN($C534)&lt;&gt;16,"NIK bukan 16 digit",IF(COUNTIF($C$4:$C$2003,$C534&amp;"*")&gt;1,"NIK ganda",IF($E534="","Kadus kosong",IF($F534="","RT kosong",IF($H534="","Jabatan kosong",IF($I534="","No. HP kosong",IF($J534="","Alamat kosong",IF(AND($M534&lt;&gt;"",$M534&lt;17),"Usia di bawah 17",""))))))))))</f>
        <v/>
      </c>
      <c r="U534" s="40" t="str">
        <f aca="false">IF($B534="","",IF(AND(OR(CARI!$C$5="",ISNUMBER(SEARCH(CARI!$C$5,$B534&amp;" "&amp;$C534&amp;" "&amp;$I534&amp;" "&amp;$J534&amp;" "&amp;$Q534))),OR(CARI!$C$6="",$E534=CARI!$C$6),OR(CARI!$C$7="",$F534=CARI!$C$7),OR(CARI!$C$8="",$O534=CARI!$C$8)),MAX($U$3:U533)+1,""))</f>
        <v/>
      </c>
      <c r="V534" s="40" t="str">
        <f aca="false">IF($T534="","",MAX($V$3:V533)+1)</f>
        <v/>
      </c>
      <c r="W534" s="40" t="str">
        <f aca="false">IF($E534="","",$E534&amp;"#"&amp;COUNTIF($E$4:$E534,$E534))</f>
        <v/>
      </c>
      <c r="X534" s="40" t="str">
        <f aca="false">IF($B534="","",IF(AND(OR(CETAK!$J$10="",$E534=CETAK!$J$10),OR(CETAK!$J$11="",$F534=CETAK!$J$11),OR(CETAK!$J$12="",$K534=CETAK!$J$12),OR(CETAK!$J$13="",$H534=CETAK!$J$13),OR(CETAK!$J$14="",$O534=CETAK!$J$14)),MAX($X$3:X533)+1,""))</f>
        <v/>
      </c>
      <c r="Y534" s="40" t="str">
        <f aca="false">IF($B534="","",IF(AND(OR(ABSENSI!$H$10="",$E534=ABSENSI!$H$10),OR(ABSENSI!$H$11="",$F534=ABSENSI!$H$11),OR(ABSENSI!$H$12="",$K534=ABSENSI!$H$12)),MAX($Y$3:Y533)+1,""))</f>
        <v/>
      </c>
      <c r="Z534" s="40" t="str">
        <f aca="false">IF($B534="","",IF(AND(OR(KARTU!$K$6="",$E534=KARTU!$K$6),OR(KARTU!$K$7="",$F534=KARTU!$K$7),OR(KARTU!$K$8="",$K534=KARTU!$K$8)),MAX($Z$3:Z533)+1,""))</f>
        <v/>
      </c>
    </row>
    <row r="535" customFormat="false" ht="15" hidden="false" customHeight="false" outlineLevel="0" collapsed="false">
      <c r="A535" s="36" t="str">
        <f aca="false">IF($B535="","",COUNTA($B$4:$B535))</f>
        <v/>
      </c>
      <c r="B535" s="37"/>
      <c r="C535" s="38"/>
      <c r="D535" s="39"/>
      <c r="E535" s="37"/>
      <c r="F535" s="39"/>
      <c r="G535" s="40" t="str">
        <f aca="false">IF(OR($E535="",$F535=""),"",$E535&amp;" - RT "&amp;$F535)</f>
        <v/>
      </c>
      <c r="H535" s="37"/>
      <c r="I535" s="38"/>
      <c r="J535" s="37"/>
      <c r="K535" s="39"/>
      <c r="L535" s="41"/>
      <c r="M535" s="36" t="str">
        <f aca="true">IF(OR($B535="",$L535=""),"",DATEDIF($L535,TODAY(),"Y"))</f>
        <v/>
      </c>
      <c r="N535" s="40" t="str">
        <f aca="false">IF($M535="","",INDEX(usia_label,MATCH($M535,usia_min,1)))</f>
        <v/>
      </c>
      <c r="O535" s="37"/>
      <c r="P535" s="41"/>
      <c r="Q535" s="37"/>
      <c r="R535" s="37"/>
      <c r="S535" s="40" t="str">
        <f aca="false">IF($G535="","",$G535&amp;"#"&amp;COUNTIF($G$4:$G535,$G535))</f>
        <v/>
      </c>
      <c r="T535" s="40" t="str">
        <f aca="false">IF($B535="","",IF($C535="","NIK kosong",IF(LEN($C535)&lt;&gt;16,"NIK bukan 16 digit",IF(COUNTIF($C$4:$C$2003,$C535&amp;"*")&gt;1,"NIK ganda",IF($E535="","Kadus kosong",IF($F535="","RT kosong",IF($H535="","Jabatan kosong",IF($I535="","No. HP kosong",IF($J535="","Alamat kosong",IF(AND($M535&lt;&gt;"",$M535&lt;17),"Usia di bawah 17",""))))))))))</f>
        <v/>
      </c>
      <c r="U535" s="40" t="str">
        <f aca="false">IF($B535="","",IF(AND(OR(CARI!$C$5="",ISNUMBER(SEARCH(CARI!$C$5,$B535&amp;" "&amp;$C535&amp;" "&amp;$I535&amp;" "&amp;$J535&amp;" "&amp;$Q535))),OR(CARI!$C$6="",$E535=CARI!$C$6),OR(CARI!$C$7="",$F535=CARI!$C$7),OR(CARI!$C$8="",$O535=CARI!$C$8)),MAX($U$3:U534)+1,""))</f>
        <v/>
      </c>
      <c r="V535" s="40" t="str">
        <f aca="false">IF($T535="","",MAX($V$3:V534)+1)</f>
        <v/>
      </c>
      <c r="W535" s="40" t="str">
        <f aca="false">IF($E535="","",$E535&amp;"#"&amp;COUNTIF($E$4:$E535,$E535))</f>
        <v/>
      </c>
      <c r="X535" s="40" t="str">
        <f aca="false">IF($B535="","",IF(AND(OR(CETAK!$J$10="",$E535=CETAK!$J$10),OR(CETAK!$J$11="",$F535=CETAK!$J$11),OR(CETAK!$J$12="",$K535=CETAK!$J$12),OR(CETAK!$J$13="",$H535=CETAK!$J$13),OR(CETAK!$J$14="",$O535=CETAK!$J$14)),MAX($X$3:X534)+1,""))</f>
        <v/>
      </c>
      <c r="Y535" s="40" t="str">
        <f aca="false">IF($B535="","",IF(AND(OR(ABSENSI!$H$10="",$E535=ABSENSI!$H$10),OR(ABSENSI!$H$11="",$F535=ABSENSI!$H$11),OR(ABSENSI!$H$12="",$K535=ABSENSI!$H$12)),MAX($Y$3:Y534)+1,""))</f>
        <v/>
      </c>
      <c r="Z535" s="40" t="str">
        <f aca="false">IF($B535="","",IF(AND(OR(KARTU!$K$6="",$E535=KARTU!$K$6),OR(KARTU!$K$7="",$F535=KARTU!$K$7),OR(KARTU!$K$8="",$K535=KARTU!$K$8)),MAX($Z$3:Z534)+1,""))</f>
        <v/>
      </c>
    </row>
    <row r="536" customFormat="false" ht="15" hidden="false" customHeight="false" outlineLevel="0" collapsed="false">
      <c r="A536" s="36" t="str">
        <f aca="false">IF($B536="","",COUNTA($B$4:$B536))</f>
        <v/>
      </c>
      <c r="B536" s="37"/>
      <c r="C536" s="38"/>
      <c r="D536" s="39"/>
      <c r="E536" s="37"/>
      <c r="F536" s="39"/>
      <c r="G536" s="40" t="str">
        <f aca="false">IF(OR($E536="",$F536=""),"",$E536&amp;" - RT "&amp;$F536)</f>
        <v/>
      </c>
      <c r="H536" s="37"/>
      <c r="I536" s="38"/>
      <c r="J536" s="37"/>
      <c r="K536" s="39"/>
      <c r="L536" s="41"/>
      <c r="M536" s="36" t="str">
        <f aca="true">IF(OR($B536="",$L536=""),"",DATEDIF($L536,TODAY(),"Y"))</f>
        <v/>
      </c>
      <c r="N536" s="40" t="str">
        <f aca="false">IF($M536="","",INDEX(usia_label,MATCH($M536,usia_min,1)))</f>
        <v/>
      </c>
      <c r="O536" s="37"/>
      <c r="P536" s="41"/>
      <c r="Q536" s="37"/>
      <c r="R536" s="37"/>
      <c r="S536" s="40" t="str">
        <f aca="false">IF($G536="","",$G536&amp;"#"&amp;COUNTIF($G$4:$G536,$G536))</f>
        <v/>
      </c>
      <c r="T536" s="40" t="str">
        <f aca="false">IF($B536="","",IF($C536="","NIK kosong",IF(LEN($C536)&lt;&gt;16,"NIK bukan 16 digit",IF(COUNTIF($C$4:$C$2003,$C536&amp;"*")&gt;1,"NIK ganda",IF($E536="","Kadus kosong",IF($F536="","RT kosong",IF($H536="","Jabatan kosong",IF($I536="","No. HP kosong",IF($J536="","Alamat kosong",IF(AND($M536&lt;&gt;"",$M536&lt;17),"Usia di bawah 17",""))))))))))</f>
        <v/>
      </c>
      <c r="U536" s="40" t="str">
        <f aca="false">IF($B536="","",IF(AND(OR(CARI!$C$5="",ISNUMBER(SEARCH(CARI!$C$5,$B536&amp;" "&amp;$C536&amp;" "&amp;$I536&amp;" "&amp;$J536&amp;" "&amp;$Q536))),OR(CARI!$C$6="",$E536=CARI!$C$6),OR(CARI!$C$7="",$F536=CARI!$C$7),OR(CARI!$C$8="",$O536=CARI!$C$8)),MAX($U$3:U535)+1,""))</f>
        <v/>
      </c>
      <c r="V536" s="40" t="str">
        <f aca="false">IF($T536="","",MAX($V$3:V535)+1)</f>
        <v/>
      </c>
      <c r="W536" s="40" t="str">
        <f aca="false">IF($E536="","",$E536&amp;"#"&amp;COUNTIF($E$4:$E536,$E536))</f>
        <v/>
      </c>
      <c r="X536" s="40" t="str">
        <f aca="false">IF($B536="","",IF(AND(OR(CETAK!$J$10="",$E536=CETAK!$J$10),OR(CETAK!$J$11="",$F536=CETAK!$J$11),OR(CETAK!$J$12="",$K536=CETAK!$J$12),OR(CETAK!$J$13="",$H536=CETAK!$J$13),OR(CETAK!$J$14="",$O536=CETAK!$J$14)),MAX($X$3:X535)+1,""))</f>
        <v/>
      </c>
      <c r="Y536" s="40" t="str">
        <f aca="false">IF($B536="","",IF(AND(OR(ABSENSI!$H$10="",$E536=ABSENSI!$H$10),OR(ABSENSI!$H$11="",$F536=ABSENSI!$H$11),OR(ABSENSI!$H$12="",$K536=ABSENSI!$H$12)),MAX($Y$3:Y535)+1,""))</f>
        <v/>
      </c>
      <c r="Z536" s="40" t="str">
        <f aca="false">IF($B536="","",IF(AND(OR(KARTU!$K$6="",$E536=KARTU!$K$6),OR(KARTU!$K$7="",$F536=KARTU!$K$7),OR(KARTU!$K$8="",$K536=KARTU!$K$8)),MAX($Z$3:Z535)+1,""))</f>
        <v/>
      </c>
    </row>
    <row r="537" customFormat="false" ht="15" hidden="false" customHeight="false" outlineLevel="0" collapsed="false">
      <c r="A537" s="36" t="str">
        <f aca="false">IF($B537="","",COUNTA($B$4:$B537))</f>
        <v/>
      </c>
      <c r="B537" s="37"/>
      <c r="C537" s="38"/>
      <c r="D537" s="39"/>
      <c r="E537" s="37"/>
      <c r="F537" s="39"/>
      <c r="G537" s="40" t="str">
        <f aca="false">IF(OR($E537="",$F537=""),"",$E537&amp;" - RT "&amp;$F537)</f>
        <v/>
      </c>
      <c r="H537" s="37"/>
      <c r="I537" s="38"/>
      <c r="J537" s="37"/>
      <c r="K537" s="39"/>
      <c r="L537" s="41"/>
      <c r="M537" s="36" t="str">
        <f aca="true">IF(OR($B537="",$L537=""),"",DATEDIF($L537,TODAY(),"Y"))</f>
        <v/>
      </c>
      <c r="N537" s="40" t="str">
        <f aca="false">IF($M537="","",INDEX(usia_label,MATCH($M537,usia_min,1)))</f>
        <v/>
      </c>
      <c r="O537" s="37"/>
      <c r="P537" s="41"/>
      <c r="Q537" s="37"/>
      <c r="R537" s="37"/>
      <c r="S537" s="40" t="str">
        <f aca="false">IF($G537="","",$G537&amp;"#"&amp;COUNTIF($G$4:$G537,$G537))</f>
        <v/>
      </c>
      <c r="T537" s="40" t="str">
        <f aca="false">IF($B537="","",IF($C537="","NIK kosong",IF(LEN($C537)&lt;&gt;16,"NIK bukan 16 digit",IF(COUNTIF($C$4:$C$2003,$C537&amp;"*")&gt;1,"NIK ganda",IF($E537="","Kadus kosong",IF($F537="","RT kosong",IF($H537="","Jabatan kosong",IF($I537="","No. HP kosong",IF($J537="","Alamat kosong",IF(AND($M537&lt;&gt;"",$M537&lt;17),"Usia di bawah 17",""))))))))))</f>
        <v/>
      </c>
      <c r="U537" s="40" t="str">
        <f aca="false">IF($B537="","",IF(AND(OR(CARI!$C$5="",ISNUMBER(SEARCH(CARI!$C$5,$B537&amp;" "&amp;$C537&amp;" "&amp;$I537&amp;" "&amp;$J537&amp;" "&amp;$Q537))),OR(CARI!$C$6="",$E537=CARI!$C$6),OR(CARI!$C$7="",$F537=CARI!$C$7),OR(CARI!$C$8="",$O537=CARI!$C$8)),MAX($U$3:U536)+1,""))</f>
        <v/>
      </c>
      <c r="V537" s="40" t="str">
        <f aca="false">IF($T537="","",MAX($V$3:V536)+1)</f>
        <v/>
      </c>
      <c r="W537" s="40" t="str">
        <f aca="false">IF($E537="","",$E537&amp;"#"&amp;COUNTIF($E$4:$E537,$E537))</f>
        <v/>
      </c>
      <c r="X537" s="40" t="str">
        <f aca="false">IF($B537="","",IF(AND(OR(CETAK!$J$10="",$E537=CETAK!$J$10),OR(CETAK!$J$11="",$F537=CETAK!$J$11),OR(CETAK!$J$12="",$K537=CETAK!$J$12),OR(CETAK!$J$13="",$H537=CETAK!$J$13),OR(CETAK!$J$14="",$O537=CETAK!$J$14)),MAX($X$3:X536)+1,""))</f>
        <v/>
      </c>
      <c r="Y537" s="40" t="str">
        <f aca="false">IF($B537="","",IF(AND(OR(ABSENSI!$H$10="",$E537=ABSENSI!$H$10),OR(ABSENSI!$H$11="",$F537=ABSENSI!$H$11),OR(ABSENSI!$H$12="",$K537=ABSENSI!$H$12)),MAX($Y$3:Y536)+1,""))</f>
        <v/>
      </c>
      <c r="Z537" s="40" t="str">
        <f aca="false">IF($B537="","",IF(AND(OR(KARTU!$K$6="",$E537=KARTU!$K$6),OR(KARTU!$K$7="",$F537=KARTU!$K$7),OR(KARTU!$K$8="",$K537=KARTU!$K$8)),MAX($Z$3:Z536)+1,""))</f>
        <v/>
      </c>
    </row>
    <row r="538" customFormat="false" ht="15" hidden="false" customHeight="false" outlineLevel="0" collapsed="false">
      <c r="A538" s="36" t="str">
        <f aca="false">IF($B538="","",COUNTA($B$4:$B538))</f>
        <v/>
      </c>
      <c r="B538" s="37"/>
      <c r="C538" s="38"/>
      <c r="D538" s="39"/>
      <c r="E538" s="37"/>
      <c r="F538" s="39"/>
      <c r="G538" s="40" t="str">
        <f aca="false">IF(OR($E538="",$F538=""),"",$E538&amp;" - RT "&amp;$F538)</f>
        <v/>
      </c>
      <c r="H538" s="37"/>
      <c r="I538" s="38"/>
      <c r="J538" s="37"/>
      <c r="K538" s="39"/>
      <c r="L538" s="41"/>
      <c r="M538" s="36" t="str">
        <f aca="true">IF(OR($B538="",$L538=""),"",DATEDIF($L538,TODAY(),"Y"))</f>
        <v/>
      </c>
      <c r="N538" s="40" t="str">
        <f aca="false">IF($M538="","",INDEX(usia_label,MATCH($M538,usia_min,1)))</f>
        <v/>
      </c>
      <c r="O538" s="37"/>
      <c r="P538" s="41"/>
      <c r="Q538" s="37"/>
      <c r="R538" s="37"/>
      <c r="S538" s="40" t="str">
        <f aca="false">IF($G538="","",$G538&amp;"#"&amp;COUNTIF($G$4:$G538,$G538))</f>
        <v/>
      </c>
      <c r="T538" s="40" t="str">
        <f aca="false">IF($B538="","",IF($C538="","NIK kosong",IF(LEN($C538)&lt;&gt;16,"NIK bukan 16 digit",IF(COUNTIF($C$4:$C$2003,$C538&amp;"*")&gt;1,"NIK ganda",IF($E538="","Kadus kosong",IF($F538="","RT kosong",IF($H538="","Jabatan kosong",IF($I538="","No. HP kosong",IF($J538="","Alamat kosong",IF(AND($M538&lt;&gt;"",$M538&lt;17),"Usia di bawah 17",""))))))))))</f>
        <v/>
      </c>
      <c r="U538" s="40" t="str">
        <f aca="false">IF($B538="","",IF(AND(OR(CARI!$C$5="",ISNUMBER(SEARCH(CARI!$C$5,$B538&amp;" "&amp;$C538&amp;" "&amp;$I538&amp;" "&amp;$J538&amp;" "&amp;$Q538))),OR(CARI!$C$6="",$E538=CARI!$C$6),OR(CARI!$C$7="",$F538=CARI!$C$7),OR(CARI!$C$8="",$O538=CARI!$C$8)),MAX($U$3:U537)+1,""))</f>
        <v/>
      </c>
      <c r="V538" s="40" t="str">
        <f aca="false">IF($T538="","",MAX($V$3:V537)+1)</f>
        <v/>
      </c>
      <c r="W538" s="40" t="str">
        <f aca="false">IF($E538="","",$E538&amp;"#"&amp;COUNTIF($E$4:$E538,$E538))</f>
        <v/>
      </c>
      <c r="X538" s="40" t="str">
        <f aca="false">IF($B538="","",IF(AND(OR(CETAK!$J$10="",$E538=CETAK!$J$10),OR(CETAK!$J$11="",$F538=CETAK!$J$11),OR(CETAK!$J$12="",$K538=CETAK!$J$12),OR(CETAK!$J$13="",$H538=CETAK!$J$13),OR(CETAK!$J$14="",$O538=CETAK!$J$14)),MAX($X$3:X537)+1,""))</f>
        <v/>
      </c>
      <c r="Y538" s="40" t="str">
        <f aca="false">IF($B538="","",IF(AND(OR(ABSENSI!$H$10="",$E538=ABSENSI!$H$10),OR(ABSENSI!$H$11="",$F538=ABSENSI!$H$11),OR(ABSENSI!$H$12="",$K538=ABSENSI!$H$12)),MAX($Y$3:Y537)+1,""))</f>
        <v/>
      </c>
      <c r="Z538" s="40" t="str">
        <f aca="false">IF($B538="","",IF(AND(OR(KARTU!$K$6="",$E538=KARTU!$K$6),OR(KARTU!$K$7="",$F538=KARTU!$K$7),OR(KARTU!$K$8="",$K538=KARTU!$K$8)),MAX($Z$3:Z537)+1,""))</f>
        <v/>
      </c>
    </row>
    <row r="539" customFormat="false" ht="15" hidden="false" customHeight="false" outlineLevel="0" collapsed="false">
      <c r="A539" s="36" t="str">
        <f aca="false">IF($B539="","",COUNTA($B$4:$B539))</f>
        <v/>
      </c>
      <c r="B539" s="37"/>
      <c r="C539" s="38"/>
      <c r="D539" s="39"/>
      <c r="E539" s="37"/>
      <c r="F539" s="39"/>
      <c r="G539" s="40" t="str">
        <f aca="false">IF(OR($E539="",$F539=""),"",$E539&amp;" - RT "&amp;$F539)</f>
        <v/>
      </c>
      <c r="H539" s="37"/>
      <c r="I539" s="38"/>
      <c r="J539" s="37"/>
      <c r="K539" s="39"/>
      <c r="L539" s="41"/>
      <c r="M539" s="36" t="str">
        <f aca="true">IF(OR($B539="",$L539=""),"",DATEDIF($L539,TODAY(),"Y"))</f>
        <v/>
      </c>
      <c r="N539" s="40" t="str">
        <f aca="false">IF($M539="","",INDEX(usia_label,MATCH($M539,usia_min,1)))</f>
        <v/>
      </c>
      <c r="O539" s="37"/>
      <c r="P539" s="41"/>
      <c r="Q539" s="37"/>
      <c r="R539" s="37"/>
      <c r="S539" s="40" t="str">
        <f aca="false">IF($G539="","",$G539&amp;"#"&amp;COUNTIF($G$4:$G539,$G539))</f>
        <v/>
      </c>
      <c r="T539" s="40" t="str">
        <f aca="false">IF($B539="","",IF($C539="","NIK kosong",IF(LEN($C539)&lt;&gt;16,"NIK bukan 16 digit",IF(COUNTIF($C$4:$C$2003,$C539&amp;"*")&gt;1,"NIK ganda",IF($E539="","Kadus kosong",IF($F539="","RT kosong",IF($H539="","Jabatan kosong",IF($I539="","No. HP kosong",IF($J539="","Alamat kosong",IF(AND($M539&lt;&gt;"",$M539&lt;17),"Usia di bawah 17",""))))))))))</f>
        <v/>
      </c>
      <c r="U539" s="40" t="str">
        <f aca="false">IF($B539="","",IF(AND(OR(CARI!$C$5="",ISNUMBER(SEARCH(CARI!$C$5,$B539&amp;" "&amp;$C539&amp;" "&amp;$I539&amp;" "&amp;$J539&amp;" "&amp;$Q539))),OR(CARI!$C$6="",$E539=CARI!$C$6),OR(CARI!$C$7="",$F539=CARI!$C$7),OR(CARI!$C$8="",$O539=CARI!$C$8)),MAX($U$3:U538)+1,""))</f>
        <v/>
      </c>
      <c r="V539" s="40" t="str">
        <f aca="false">IF($T539="","",MAX($V$3:V538)+1)</f>
        <v/>
      </c>
      <c r="W539" s="40" t="str">
        <f aca="false">IF($E539="","",$E539&amp;"#"&amp;COUNTIF($E$4:$E539,$E539))</f>
        <v/>
      </c>
      <c r="X539" s="40" t="str">
        <f aca="false">IF($B539="","",IF(AND(OR(CETAK!$J$10="",$E539=CETAK!$J$10),OR(CETAK!$J$11="",$F539=CETAK!$J$11),OR(CETAK!$J$12="",$K539=CETAK!$J$12),OR(CETAK!$J$13="",$H539=CETAK!$J$13),OR(CETAK!$J$14="",$O539=CETAK!$J$14)),MAX($X$3:X538)+1,""))</f>
        <v/>
      </c>
      <c r="Y539" s="40" t="str">
        <f aca="false">IF($B539="","",IF(AND(OR(ABSENSI!$H$10="",$E539=ABSENSI!$H$10),OR(ABSENSI!$H$11="",$F539=ABSENSI!$H$11),OR(ABSENSI!$H$12="",$K539=ABSENSI!$H$12)),MAX($Y$3:Y538)+1,""))</f>
        <v/>
      </c>
      <c r="Z539" s="40" t="str">
        <f aca="false">IF($B539="","",IF(AND(OR(KARTU!$K$6="",$E539=KARTU!$K$6),OR(KARTU!$K$7="",$F539=KARTU!$K$7),OR(KARTU!$K$8="",$K539=KARTU!$K$8)),MAX($Z$3:Z538)+1,""))</f>
        <v/>
      </c>
    </row>
    <row r="540" customFormat="false" ht="15" hidden="false" customHeight="false" outlineLevel="0" collapsed="false">
      <c r="A540" s="36" t="str">
        <f aca="false">IF($B540="","",COUNTA($B$4:$B540))</f>
        <v/>
      </c>
      <c r="B540" s="37"/>
      <c r="C540" s="38"/>
      <c r="D540" s="39"/>
      <c r="E540" s="37"/>
      <c r="F540" s="39"/>
      <c r="G540" s="40" t="str">
        <f aca="false">IF(OR($E540="",$F540=""),"",$E540&amp;" - RT "&amp;$F540)</f>
        <v/>
      </c>
      <c r="H540" s="37"/>
      <c r="I540" s="38"/>
      <c r="J540" s="37"/>
      <c r="K540" s="39"/>
      <c r="L540" s="41"/>
      <c r="M540" s="36" t="str">
        <f aca="true">IF(OR($B540="",$L540=""),"",DATEDIF($L540,TODAY(),"Y"))</f>
        <v/>
      </c>
      <c r="N540" s="40" t="str">
        <f aca="false">IF($M540="","",INDEX(usia_label,MATCH($M540,usia_min,1)))</f>
        <v/>
      </c>
      <c r="O540" s="37"/>
      <c r="P540" s="41"/>
      <c r="Q540" s="37"/>
      <c r="R540" s="37"/>
      <c r="S540" s="40" t="str">
        <f aca="false">IF($G540="","",$G540&amp;"#"&amp;COUNTIF($G$4:$G540,$G540))</f>
        <v/>
      </c>
      <c r="T540" s="40" t="str">
        <f aca="false">IF($B540="","",IF($C540="","NIK kosong",IF(LEN($C540)&lt;&gt;16,"NIK bukan 16 digit",IF(COUNTIF($C$4:$C$2003,$C540&amp;"*")&gt;1,"NIK ganda",IF($E540="","Kadus kosong",IF($F540="","RT kosong",IF($H540="","Jabatan kosong",IF($I540="","No. HP kosong",IF($J540="","Alamat kosong",IF(AND($M540&lt;&gt;"",$M540&lt;17),"Usia di bawah 17",""))))))))))</f>
        <v/>
      </c>
      <c r="U540" s="40" t="str">
        <f aca="false">IF($B540="","",IF(AND(OR(CARI!$C$5="",ISNUMBER(SEARCH(CARI!$C$5,$B540&amp;" "&amp;$C540&amp;" "&amp;$I540&amp;" "&amp;$J540&amp;" "&amp;$Q540))),OR(CARI!$C$6="",$E540=CARI!$C$6),OR(CARI!$C$7="",$F540=CARI!$C$7),OR(CARI!$C$8="",$O540=CARI!$C$8)),MAX($U$3:U539)+1,""))</f>
        <v/>
      </c>
      <c r="V540" s="40" t="str">
        <f aca="false">IF($T540="","",MAX($V$3:V539)+1)</f>
        <v/>
      </c>
      <c r="W540" s="40" t="str">
        <f aca="false">IF($E540="","",$E540&amp;"#"&amp;COUNTIF($E$4:$E540,$E540))</f>
        <v/>
      </c>
      <c r="X540" s="40" t="str">
        <f aca="false">IF($B540="","",IF(AND(OR(CETAK!$J$10="",$E540=CETAK!$J$10),OR(CETAK!$J$11="",$F540=CETAK!$J$11),OR(CETAK!$J$12="",$K540=CETAK!$J$12),OR(CETAK!$J$13="",$H540=CETAK!$J$13),OR(CETAK!$J$14="",$O540=CETAK!$J$14)),MAX($X$3:X539)+1,""))</f>
        <v/>
      </c>
      <c r="Y540" s="40" t="str">
        <f aca="false">IF($B540="","",IF(AND(OR(ABSENSI!$H$10="",$E540=ABSENSI!$H$10),OR(ABSENSI!$H$11="",$F540=ABSENSI!$H$11),OR(ABSENSI!$H$12="",$K540=ABSENSI!$H$12)),MAX($Y$3:Y539)+1,""))</f>
        <v/>
      </c>
      <c r="Z540" s="40" t="str">
        <f aca="false">IF($B540="","",IF(AND(OR(KARTU!$K$6="",$E540=KARTU!$K$6),OR(KARTU!$K$7="",$F540=KARTU!$K$7),OR(KARTU!$K$8="",$K540=KARTU!$K$8)),MAX($Z$3:Z539)+1,""))</f>
        <v/>
      </c>
    </row>
    <row r="541" customFormat="false" ht="15" hidden="false" customHeight="false" outlineLevel="0" collapsed="false">
      <c r="A541" s="36" t="str">
        <f aca="false">IF($B541="","",COUNTA($B$4:$B541))</f>
        <v/>
      </c>
      <c r="B541" s="37"/>
      <c r="C541" s="38"/>
      <c r="D541" s="39"/>
      <c r="E541" s="37"/>
      <c r="F541" s="39"/>
      <c r="G541" s="40" t="str">
        <f aca="false">IF(OR($E541="",$F541=""),"",$E541&amp;" - RT "&amp;$F541)</f>
        <v/>
      </c>
      <c r="H541" s="37"/>
      <c r="I541" s="38"/>
      <c r="J541" s="37"/>
      <c r="K541" s="39"/>
      <c r="L541" s="41"/>
      <c r="M541" s="36" t="str">
        <f aca="true">IF(OR($B541="",$L541=""),"",DATEDIF($L541,TODAY(),"Y"))</f>
        <v/>
      </c>
      <c r="N541" s="40" t="str">
        <f aca="false">IF($M541="","",INDEX(usia_label,MATCH($M541,usia_min,1)))</f>
        <v/>
      </c>
      <c r="O541" s="37"/>
      <c r="P541" s="41"/>
      <c r="Q541" s="37"/>
      <c r="R541" s="37"/>
      <c r="S541" s="40" t="str">
        <f aca="false">IF($G541="","",$G541&amp;"#"&amp;COUNTIF($G$4:$G541,$G541))</f>
        <v/>
      </c>
      <c r="T541" s="40" t="str">
        <f aca="false">IF($B541="","",IF($C541="","NIK kosong",IF(LEN($C541)&lt;&gt;16,"NIK bukan 16 digit",IF(COUNTIF($C$4:$C$2003,$C541&amp;"*")&gt;1,"NIK ganda",IF($E541="","Kadus kosong",IF($F541="","RT kosong",IF($H541="","Jabatan kosong",IF($I541="","No. HP kosong",IF($J541="","Alamat kosong",IF(AND($M541&lt;&gt;"",$M541&lt;17),"Usia di bawah 17",""))))))))))</f>
        <v/>
      </c>
      <c r="U541" s="40" t="str">
        <f aca="false">IF($B541="","",IF(AND(OR(CARI!$C$5="",ISNUMBER(SEARCH(CARI!$C$5,$B541&amp;" "&amp;$C541&amp;" "&amp;$I541&amp;" "&amp;$J541&amp;" "&amp;$Q541))),OR(CARI!$C$6="",$E541=CARI!$C$6),OR(CARI!$C$7="",$F541=CARI!$C$7),OR(CARI!$C$8="",$O541=CARI!$C$8)),MAX($U$3:U540)+1,""))</f>
        <v/>
      </c>
      <c r="V541" s="40" t="str">
        <f aca="false">IF($T541="","",MAX($V$3:V540)+1)</f>
        <v/>
      </c>
      <c r="W541" s="40" t="str">
        <f aca="false">IF($E541="","",$E541&amp;"#"&amp;COUNTIF($E$4:$E541,$E541))</f>
        <v/>
      </c>
      <c r="X541" s="40" t="str">
        <f aca="false">IF($B541="","",IF(AND(OR(CETAK!$J$10="",$E541=CETAK!$J$10),OR(CETAK!$J$11="",$F541=CETAK!$J$11),OR(CETAK!$J$12="",$K541=CETAK!$J$12),OR(CETAK!$J$13="",$H541=CETAK!$J$13),OR(CETAK!$J$14="",$O541=CETAK!$J$14)),MAX($X$3:X540)+1,""))</f>
        <v/>
      </c>
      <c r="Y541" s="40" t="str">
        <f aca="false">IF($B541="","",IF(AND(OR(ABSENSI!$H$10="",$E541=ABSENSI!$H$10),OR(ABSENSI!$H$11="",$F541=ABSENSI!$H$11),OR(ABSENSI!$H$12="",$K541=ABSENSI!$H$12)),MAX($Y$3:Y540)+1,""))</f>
        <v/>
      </c>
      <c r="Z541" s="40" t="str">
        <f aca="false">IF($B541="","",IF(AND(OR(KARTU!$K$6="",$E541=KARTU!$K$6),OR(KARTU!$K$7="",$F541=KARTU!$K$7),OR(KARTU!$K$8="",$K541=KARTU!$K$8)),MAX($Z$3:Z540)+1,""))</f>
        <v/>
      </c>
    </row>
    <row r="542" customFormat="false" ht="15" hidden="false" customHeight="false" outlineLevel="0" collapsed="false">
      <c r="A542" s="36" t="str">
        <f aca="false">IF($B542="","",COUNTA($B$4:$B542))</f>
        <v/>
      </c>
      <c r="B542" s="37"/>
      <c r="C542" s="38"/>
      <c r="D542" s="39"/>
      <c r="E542" s="37"/>
      <c r="F542" s="39"/>
      <c r="G542" s="40" t="str">
        <f aca="false">IF(OR($E542="",$F542=""),"",$E542&amp;" - RT "&amp;$F542)</f>
        <v/>
      </c>
      <c r="H542" s="37"/>
      <c r="I542" s="38"/>
      <c r="J542" s="37"/>
      <c r="K542" s="39"/>
      <c r="L542" s="41"/>
      <c r="M542" s="36" t="str">
        <f aca="true">IF(OR($B542="",$L542=""),"",DATEDIF($L542,TODAY(),"Y"))</f>
        <v/>
      </c>
      <c r="N542" s="40" t="str">
        <f aca="false">IF($M542="","",INDEX(usia_label,MATCH($M542,usia_min,1)))</f>
        <v/>
      </c>
      <c r="O542" s="37"/>
      <c r="P542" s="41"/>
      <c r="Q542" s="37"/>
      <c r="R542" s="37"/>
      <c r="S542" s="40" t="str">
        <f aca="false">IF($G542="","",$G542&amp;"#"&amp;COUNTIF($G$4:$G542,$G542))</f>
        <v/>
      </c>
      <c r="T542" s="40" t="str">
        <f aca="false">IF($B542="","",IF($C542="","NIK kosong",IF(LEN($C542)&lt;&gt;16,"NIK bukan 16 digit",IF(COUNTIF($C$4:$C$2003,$C542&amp;"*")&gt;1,"NIK ganda",IF($E542="","Kadus kosong",IF($F542="","RT kosong",IF($H542="","Jabatan kosong",IF($I542="","No. HP kosong",IF($J542="","Alamat kosong",IF(AND($M542&lt;&gt;"",$M542&lt;17),"Usia di bawah 17",""))))))))))</f>
        <v/>
      </c>
      <c r="U542" s="40" t="str">
        <f aca="false">IF($B542="","",IF(AND(OR(CARI!$C$5="",ISNUMBER(SEARCH(CARI!$C$5,$B542&amp;" "&amp;$C542&amp;" "&amp;$I542&amp;" "&amp;$J542&amp;" "&amp;$Q542))),OR(CARI!$C$6="",$E542=CARI!$C$6),OR(CARI!$C$7="",$F542=CARI!$C$7),OR(CARI!$C$8="",$O542=CARI!$C$8)),MAX($U$3:U541)+1,""))</f>
        <v/>
      </c>
      <c r="V542" s="40" t="str">
        <f aca="false">IF($T542="","",MAX($V$3:V541)+1)</f>
        <v/>
      </c>
      <c r="W542" s="40" t="str">
        <f aca="false">IF($E542="","",$E542&amp;"#"&amp;COUNTIF($E$4:$E542,$E542))</f>
        <v/>
      </c>
      <c r="X542" s="40" t="str">
        <f aca="false">IF($B542="","",IF(AND(OR(CETAK!$J$10="",$E542=CETAK!$J$10),OR(CETAK!$J$11="",$F542=CETAK!$J$11),OR(CETAK!$J$12="",$K542=CETAK!$J$12),OR(CETAK!$J$13="",$H542=CETAK!$J$13),OR(CETAK!$J$14="",$O542=CETAK!$J$14)),MAX($X$3:X541)+1,""))</f>
        <v/>
      </c>
      <c r="Y542" s="40" t="str">
        <f aca="false">IF($B542="","",IF(AND(OR(ABSENSI!$H$10="",$E542=ABSENSI!$H$10),OR(ABSENSI!$H$11="",$F542=ABSENSI!$H$11),OR(ABSENSI!$H$12="",$K542=ABSENSI!$H$12)),MAX($Y$3:Y541)+1,""))</f>
        <v/>
      </c>
      <c r="Z542" s="40" t="str">
        <f aca="false">IF($B542="","",IF(AND(OR(KARTU!$K$6="",$E542=KARTU!$K$6),OR(KARTU!$K$7="",$F542=KARTU!$K$7),OR(KARTU!$K$8="",$K542=KARTU!$K$8)),MAX($Z$3:Z541)+1,""))</f>
        <v/>
      </c>
    </row>
    <row r="543" customFormat="false" ht="15" hidden="false" customHeight="false" outlineLevel="0" collapsed="false">
      <c r="A543" s="36" t="str">
        <f aca="false">IF($B543="","",COUNTA($B$4:$B543))</f>
        <v/>
      </c>
      <c r="B543" s="37"/>
      <c r="C543" s="38"/>
      <c r="D543" s="39"/>
      <c r="E543" s="37"/>
      <c r="F543" s="39"/>
      <c r="G543" s="40" t="str">
        <f aca="false">IF(OR($E543="",$F543=""),"",$E543&amp;" - RT "&amp;$F543)</f>
        <v/>
      </c>
      <c r="H543" s="37"/>
      <c r="I543" s="38"/>
      <c r="J543" s="37"/>
      <c r="K543" s="39"/>
      <c r="L543" s="41"/>
      <c r="M543" s="36" t="str">
        <f aca="true">IF(OR($B543="",$L543=""),"",DATEDIF($L543,TODAY(),"Y"))</f>
        <v/>
      </c>
      <c r="N543" s="40" t="str">
        <f aca="false">IF($M543="","",INDEX(usia_label,MATCH($M543,usia_min,1)))</f>
        <v/>
      </c>
      <c r="O543" s="37"/>
      <c r="P543" s="41"/>
      <c r="Q543" s="37"/>
      <c r="R543" s="37"/>
      <c r="S543" s="40" t="str">
        <f aca="false">IF($G543="","",$G543&amp;"#"&amp;COUNTIF($G$4:$G543,$G543))</f>
        <v/>
      </c>
      <c r="T543" s="40" t="str">
        <f aca="false">IF($B543="","",IF($C543="","NIK kosong",IF(LEN($C543)&lt;&gt;16,"NIK bukan 16 digit",IF(COUNTIF($C$4:$C$2003,$C543&amp;"*")&gt;1,"NIK ganda",IF($E543="","Kadus kosong",IF($F543="","RT kosong",IF($H543="","Jabatan kosong",IF($I543="","No. HP kosong",IF($J543="","Alamat kosong",IF(AND($M543&lt;&gt;"",$M543&lt;17),"Usia di bawah 17",""))))))))))</f>
        <v/>
      </c>
      <c r="U543" s="40" t="str">
        <f aca="false">IF($B543="","",IF(AND(OR(CARI!$C$5="",ISNUMBER(SEARCH(CARI!$C$5,$B543&amp;" "&amp;$C543&amp;" "&amp;$I543&amp;" "&amp;$J543&amp;" "&amp;$Q543))),OR(CARI!$C$6="",$E543=CARI!$C$6),OR(CARI!$C$7="",$F543=CARI!$C$7),OR(CARI!$C$8="",$O543=CARI!$C$8)),MAX($U$3:U542)+1,""))</f>
        <v/>
      </c>
      <c r="V543" s="40" t="str">
        <f aca="false">IF($T543="","",MAX($V$3:V542)+1)</f>
        <v/>
      </c>
      <c r="W543" s="40" t="str">
        <f aca="false">IF($E543="","",$E543&amp;"#"&amp;COUNTIF($E$4:$E543,$E543))</f>
        <v/>
      </c>
      <c r="X543" s="40" t="str">
        <f aca="false">IF($B543="","",IF(AND(OR(CETAK!$J$10="",$E543=CETAK!$J$10),OR(CETAK!$J$11="",$F543=CETAK!$J$11),OR(CETAK!$J$12="",$K543=CETAK!$J$12),OR(CETAK!$J$13="",$H543=CETAK!$J$13),OR(CETAK!$J$14="",$O543=CETAK!$J$14)),MAX($X$3:X542)+1,""))</f>
        <v/>
      </c>
      <c r="Y543" s="40" t="str">
        <f aca="false">IF($B543="","",IF(AND(OR(ABSENSI!$H$10="",$E543=ABSENSI!$H$10),OR(ABSENSI!$H$11="",$F543=ABSENSI!$H$11),OR(ABSENSI!$H$12="",$K543=ABSENSI!$H$12)),MAX($Y$3:Y542)+1,""))</f>
        <v/>
      </c>
      <c r="Z543" s="40" t="str">
        <f aca="false">IF($B543="","",IF(AND(OR(KARTU!$K$6="",$E543=KARTU!$K$6),OR(KARTU!$K$7="",$F543=KARTU!$K$7),OR(KARTU!$K$8="",$K543=KARTU!$K$8)),MAX($Z$3:Z542)+1,""))</f>
        <v/>
      </c>
    </row>
    <row r="544" customFormat="false" ht="15" hidden="false" customHeight="false" outlineLevel="0" collapsed="false">
      <c r="A544" s="36" t="str">
        <f aca="false">IF($B544="","",COUNTA($B$4:$B544))</f>
        <v/>
      </c>
      <c r="B544" s="37"/>
      <c r="C544" s="38"/>
      <c r="D544" s="39"/>
      <c r="E544" s="37"/>
      <c r="F544" s="39"/>
      <c r="G544" s="40" t="str">
        <f aca="false">IF(OR($E544="",$F544=""),"",$E544&amp;" - RT "&amp;$F544)</f>
        <v/>
      </c>
      <c r="H544" s="37"/>
      <c r="I544" s="38"/>
      <c r="J544" s="37"/>
      <c r="K544" s="39"/>
      <c r="L544" s="41"/>
      <c r="M544" s="36" t="str">
        <f aca="true">IF(OR($B544="",$L544=""),"",DATEDIF($L544,TODAY(),"Y"))</f>
        <v/>
      </c>
      <c r="N544" s="40" t="str">
        <f aca="false">IF($M544="","",INDEX(usia_label,MATCH($M544,usia_min,1)))</f>
        <v/>
      </c>
      <c r="O544" s="37"/>
      <c r="P544" s="41"/>
      <c r="Q544" s="37"/>
      <c r="R544" s="37"/>
      <c r="S544" s="40" t="str">
        <f aca="false">IF($G544="","",$G544&amp;"#"&amp;COUNTIF($G$4:$G544,$G544))</f>
        <v/>
      </c>
      <c r="T544" s="40" t="str">
        <f aca="false">IF($B544="","",IF($C544="","NIK kosong",IF(LEN($C544)&lt;&gt;16,"NIK bukan 16 digit",IF(COUNTIF($C$4:$C$2003,$C544&amp;"*")&gt;1,"NIK ganda",IF($E544="","Kadus kosong",IF($F544="","RT kosong",IF($H544="","Jabatan kosong",IF($I544="","No. HP kosong",IF($J544="","Alamat kosong",IF(AND($M544&lt;&gt;"",$M544&lt;17),"Usia di bawah 17",""))))))))))</f>
        <v/>
      </c>
      <c r="U544" s="40" t="str">
        <f aca="false">IF($B544="","",IF(AND(OR(CARI!$C$5="",ISNUMBER(SEARCH(CARI!$C$5,$B544&amp;" "&amp;$C544&amp;" "&amp;$I544&amp;" "&amp;$J544&amp;" "&amp;$Q544))),OR(CARI!$C$6="",$E544=CARI!$C$6),OR(CARI!$C$7="",$F544=CARI!$C$7),OR(CARI!$C$8="",$O544=CARI!$C$8)),MAX($U$3:U543)+1,""))</f>
        <v/>
      </c>
      <c r="V544" s="40" t="str">
        <f aca="false">IF($T544="","",MAX($V$3:V543)+1)</f>
        <v/>
      </c>
      <c r="W544" s="40" t="str">
        <f aca="false">IF($E544="","",$E544&amp;"#"&amp;COUNTIF($E$4:$E544,$E544))</f>
        <v/>
      </c>
      <c r="X544" s="40" t="str">
        <f aca="false">IF($B544="","",IF(AND(OR(CETAK!$J$10="",$E544=CETAK!$J$10),OR(CETAK!$J$11="",$F544=CETAK!$J$11),OR(CETAK!$J$12="",$K544=CETAK!$J$12),OR(CETAK!$J$13="",$H544=CETAK!$J$13),OR(CETAK!$J$14="",$O544=CETAK!$J$14)),MAX($X$3:X543)+1,""))</f>
        <v/>
      </c>
      <c r="Y544" s="40" t="str">
        <f aca="false">IF($B544="","",IF(AND(OR(ABSENSI!$H$10="",$E544=ABSENSI!$H$10),OR(ABSENSI!$H$11="",$F544=ABSENSI!$H$11),OR(ABSENSI!$H$12="",$K544=ABSENSI!$H$12)),MAX($Y$3:Y543)+1,""))</f>
        <v/>
      </c>
      <c r="Z544" s="40" t="str">
        <f aca="false">IF($B544="","",IF(AND(OR(KARTU!$K$6="",$E544=KARTU!$K$6),OR(KARTU!$K$7="",$F544=KARTU!$K$7),OR(KARTU!$K$8="",$K544=KARTU!$K$8)),MAX($Z$3:Z543)+1,""))</f>
        <v/>
      </c>
    </row>
    <row r="545" customFormat="false" ht="15" hidden="false" customHeight="false" outlineLevel="0" collapsed="false">
      <c r="A545" s="36" t="str">
        <f aca="false">IF($B545="","",COUNTA($B$4:$B545))</f>
        <v/>
      </c>
      <c r="B545" s="37"/>
      <c r="C545" s="38"/>
      <c r="D545" s="39"/>
      <c r="E545" s="37"/>
      <c r="F545" s="39"/>
      <c r="G545" s="40" t="str">
        <f aca="false">IF(OR($E545="",$F545=""),"",$E545&amp;" - RT "&amp;$F545)</f>
        <v/>
      </c>
      <c r="H545" s="37"/>
      <c r="I545" s="38"/>
      <c r="J545" s="37"/>
      <c r="K545" s="39"/>
      <c r="L545" s="41"/>
      <c r="M545" s="36" t="str">
        <f aca="true">IF(OR($B545="",$L545=""),"",DATEDIF($L545,TODAY(),"Y"))</f>
        <v/>
      </c>
      <c r="N545" s="40" t="str">
        <f aca="false">IF($M545="","",INDEX(usia_label,MATCH($M545,usia_min,1)))</f>
        <v/>
      </c>
      <c r="O545" s="37"/>
      <c r="P545" s="41"/>
      <c r="Q545" s="37"/>
      <c r="R545" s="37"/>
      <c r="S545" s="40" t="str">
        <f aca="false">IF($G545="","",$G545&amp;"#"&amp;COUNTIF($G$4:$G545,$G545))</f>
        <v/>
      </c>
      <c r="T545" s="40" t="str">
        <f aca="false">IF($B545="","",IF($C545="","NIK kosong",IF(LEN($C545)&lt;&gt;16,"NIK bukan 16 digit",IF(COUNTIF($C$4:$C$2003,$C545&amp;"*")&gt;1,"NIK ganda",IF($E545="","Kadus kosong",IF($F545="","RT kosong",IF($H545="","Jabatan kosong",IF($I545="","No. HP kosong",IF($J545="","Alamat kosong",IF(AND($M545&lt;&gt;"",$M545&lt;17),"Usia di bawah 17",""))))))))))</f>
        <v/>
      </c>
      <c r="U545" s="40" t="str">
        <f aca="false">IF($B545="","",IF(AND(OR(CARI!$C$5="",ISNUMBER(SEARCH(CARI!$C$5,$B545&amp;" "&amp;$C545&amp;" "&amp;$I545&amp;" "&amp;$J545&amp;" "&amp;$Q545))),OR(CARI!$C$6="",$E545=CARI!$C$6),OR(CARI!$C$7="",$F545=CARI!$C$7),OR(CARI!$C$8="",$O545=CARI!$C$8)),MAX($U$3:U544)+1,""))</f>
        <v/>
      </c>
      <c r="V545" s="40" t="str">
        <f aca="false">IF($T545="","",MAX($V$3:V544)+1)</f>
        <v/>
      </c>
      <c r="W545" s="40" t="str">
        <f aca="false">IF($E545="","",$E545&amp;"#"&amp;COUNTIF($E$4:$E545,$E545))</f>
        <v/>
      </c>
      <c r="X545" s="40" t="str">
        <f aca="false">IF($B545="","",IF(AND(OR(CETAK!$J$10="",$E545=CETAK!$J$10),OR(CETAK!$J$11="",$F545=CETAK!$J$11),OR(CETAK!$J$12="",$K545=CETAK!$J$12),OR(CETAK!$J$13="",$H545=CETAK!$J$13),OR(CETAK!$J$14="",$O545=CETAK!$J$14)),MAX($X$3:X544)+1,""))</f>
        <v/>
      </c>
      <c r="Y545" s="40" t="str">
        <f aca="false">IF($B545="","",IF(AND(OR(ABSENSI!$H$10="",$E545=ABSENSI!$H$10),OR(ABSENSI!$H$11="",$F545=ABSENSI!$H$11),OR(ABSENSI!$H$12="",$K545=ABSENSI!$H$12)),MAX($Y$3:Y544)+1,""))</f>
        <v/>
      </c>
      <c r="Z545" s="40" t="str">
        <f aca="false">IF($B545="","",IF(AND(OR(KARTU!$K$6="",$E545=KARTU!$K$6),OR(KARTU!$K$7="",$F545=KARTU!$K$7),OR(KARTU!$K$8="",$K545=KARTU!$K$8)),MAX($Z$3:Z544)+1,""))</f>
        <v/>
      </c>
    </row>
    <row r="546" customFormat="false" ht="15" hidden="false" customHeight="false" outlineLevel="0" collapsed="false">
      <c r="A546" s="36" t="str">
        <f aca="false">IF($B546="","",COUNTA($B$4:$B546))</f>
        <v/>
      </c>
      <c r="B546" s="37"/>
      <c r="C546" s="38"/>
      <c r="D546" s="39"/>
      <c r="E546" s="37"/>
      <c r="F546" s="39"/>
      <c r="G546" s="40" t="str">
        <f aca="false">IF(OR($E546="",$F546=""),"",$E546&amp;" - RT "&amp;$F546)</f>
        <v/>
      </c>
      <c r="H546" s="37"/>
      <c r="I546" s="38"/>
      <c r="J546" s="37"/>
      <c r="K546" s="39"/>
      <c r="L546" s="41"/>
      <c r="M546" s="36" t="str">
        <f aca="true">IF(OR($B546="",$L546=""),"",DATEDIF($L546,TODAY(),"Y"))</f>
        <v/>
      </c>
      <c r="N546" s="40" t="str">
        <f aca="false">IF($M546="","",INDEX(usia_label,MATCH($M546,usia_min,1)))</f>
        <v/>
      </c>
      <c r="O546" s="37"/>
      <c r="P546" s="41"/>
      <c r="Q546" s="37"/>
      <c r="R546" s="37"/>
      <c r="S546" s="40" t="str">
        <f aca="false">IF($G546="","",$G546&amp;"#"&amp;COUNTIF($G$4:$G546,$G546))</f>
        <v/>
      </c>
      <c r="T546" s="40" t="str">
        <f aca="false">IF($B546="","",IF($C546="","NIK kosong",IF(LEN($C546)&lt;&gt;16,"NIK bukan 16 digit",IF(COUNTIF($C$4:$C$2003,$C546&amp;"*")&gt;1,"NIK ganda",IF($E546="","Kadus kosong",IF($F546="","RT kosong",IF($H546="","Jabatan kosong",IF($I546="","No. HP kosong",IF($J546="","Alamat kosong",IF(AND($M546&lt;&gt;"",$M546&lt;17),"Usia di bawah 17",""))))))))))</f>
        <v/>
      </c>
      <c r="U546" s="40" t="str">
        <f aca="false">IF($B546="","",IF(AND(OR(CARI!$C$5="",ISNUMBER(SEARCH(CARI!$C$5,$B546&amp;" "&amp;$C546&amp;" "&amp;$I546&amp;" "&amp;$J546&amp;" "&amp;$Q546))),OR(CARI!$C$6="",$E546=CARI!$C$6),OR(CARI!$C$7="",$F546=CARI!$C$7),OR(CARI!$C$8="",$O546=CARI!$C$8)),MAX($U$3:U545)+1,""))</f>
        <v/>
      </c>
      <c r="V546" s="40" t="str">
        <f aca="false">IF($T546="","",MAX($V$3:V545)+1)</f>
        <v/>
      </c>
      <c r="W546" s="40" t="str">
        <f aca="false">IF($E546="","",$E546&amp;"#"&amp;COUNTIF($E$4:$E546,$E546))</f>
        <v/>
      </c>
      <c r="X546" s="40" t="str">
        <f aca="false">IF($B546="","",IF(AND(OR(CETAK!$J$10="",$E546=CETAK!$J$10),OR(CETAK!$J$11="",$F546=CETAK!$J$11),OR(CETAK!$J$12="",$K546=CETAK!$J$12),OR(CETAK!$J$13="",$H546=CETAK!$J$13),OR(CETAK!$J$14="",$O546=CETAK!$J$14)),MAX($X$3:X545)+1,""))</f>
        <v/>
      </c>
      <c r="Y546" s="40" t="str">
        <f aca="false">IF($B546="","",IF(AND(OR(ABSENSI!$H$10="",$E546=ABSENSI!$H$10),OR(ABSENSI!$H$11="",$F546=ABSENSI!$H$11),OR(ABSENSI!$H$12="",$K546=ABSENSI!$H$12)),MAX($Y$3:Y545)+1,""))</f>
        <v/>
      </c>
      <c r="Z546" s="40" t="str">
        <f aca="false">IF($B546="","",IF(AND(OR(KARTU!$K$6="",$E546=KARTU!$K$6),OR(KARTU!$K$7="",$F546=KARTU!$K$7),OR(KARTU!$K$8="",$K546=KARTU!$K$8)),MAX($Z$3:Z545)+1,""))</f>
        <v/>
      </c>
    </row>
    <row r="547" customFormat="false" ht="15" hidden="false" customHeight="false" outlineLevel="0" collapsed="false">
      <c r="A547" s="36" t="str">
        <f aca="false">IF($B547="","",COUNTA($B$4:$B547))</f>
        <v/>
      </c>
      <c r="B547" s="37"/>
      <c r="C547" s="38"/>
      <c r="D547" s="39"/>
      <c r="E547" s="37"/>
      <c r="F547" s="39"/>
      <c r="G547" s="40" t="str">
        <f aca="false">IF(OR($E547="",$F547=""),"",$E547&amp;" - RT "&amp;$F547)</f>
        <v/>
      </c>
      <c r="H547" s="37"/>
      <c r="I547" s="38"/>
      <c r="J547" s="37"/>
      <c r="K547" s="39"/>
      <c r="L547" s="41"/>
      <c r="M547" s="36" t="str">
        <f aca="true">IF(OR($B547="",$L547=""),"",DATEDIF($L547,TODAY(),"Y"))</f>
        <v/>
      </c>
      <c r="N547" s="40" t="str">
        <f aca="false">IF($M547="","",INDEX(usia_label,MATCH($M547,usia_min,1)))</f>
        <v/>
      </c>
      <c r="O547" s="37"/>
      <c r="P547" s="41"/>
      <c r="Q547" s="37"/>
      <c r="R547" s="37"/>
      <c r="S547" s="40" t="str">
        <f aca="false">IF($G547="","",$G547&amp;"#"&amp;COUNTIF($G$4:$G547,$G547))</f>
        <v/>
      </c>
      <c r="T547" s="40" t="str">
        <f aca="false">IF($B547="","",IF($C547="","NIK kosong",IF(LEN($C547)&lt;&gt;16,"NIK bukan 16 digit",IF(COUNTIF($C$4:$C$2003,$C547&amp;"*")&gt;1,"NIK ganda",IF($E547="","Kadus kosong",IF($F547="","RT kosong",IF($H547="","Jabatan kosong",IF($I547="","No. HP kosong",IF($J547="","Alamat kosong",IF(AND($M547&lt;&gt;"",$M547&lt;17),"Usia di bawah 17",""))))))))))</f>
        <v/>
      </c>
      <c r="U547" s="40" t="str">
        <f aca="false">IF($B547="","",IF(AND(OR(CARI!$C$5="",ISNUMBER(SEARCH(CARI!$C$5,$B547&amp;" "&amp;$C547&amp;" "&amp;$I547&amp;" "&amp;$J547&amp;" "&amp;$Q547))),OR(CARI!$C$6="",$E547=CARI!$C$6),OR(CARI!$C$7="",$F547=CARI!$C$7),OR(CARI!$C$8="",$O547=CARI!$C$8)),MAX($U$3:U546)+1,""))</f>
        <v/>
      </c>
      <c r="V547" s="40" t="str">
        <f aca="false">IF($T547="","",MAX($V$3:V546)+1)</f>
        <v/>
      </c>
      <c r="W547" s="40" t="str">
        <f aca="false">IF($E547="","",$E547&amp;"#"&amp;COUNTIF($E$4:$E547,$E547))</f>
        <v/>
      </c>
      <c r="X547" s="40" t="str">
        <f aca="false">IF($B547="","",IF(AND(OR(CETAK!$J$10="",$E547=CETAK!$J$10),OR(CETAK!$J$11="",$F547=CETAK!$J$11),OR(CETAK!$J$12="",$K547=CETAK!$J$12),OR(CETAK!$J$13="",$H547=CETAK!$J$13),OR(CETAK!$J$14="",$O547=CETAK!$J$14)),MAX($X$3:X546)+1,""))</f>
        <v/>
      </c>
      <c r="Y547" s="40" t="str">
        <f aca="false">IF($B547="","",IF(AND(OR(ABSENSI!$H$10="",$E547=ABSENSI!$H$10),OR(ABSENSI!$H$11="",$F547=ABSENSI!$H$11),OR(ABSENSI!$H$12="",$K547=ABSENSI!$H$12)),MAX($Y$3:Y546)+1,""))</f>
        <v/>
      </c>
      <c r="Z547" s="40" t="str">
        <f aca="false">IF($B547="","",IF(AND(OR(KARTU!$K$6="",$E547=KARTU!$K$6),OR(KARTU!$K$7="",$F547=KARTU!$K$7),OR(KARTU!$K$8="",$K547=KARTU!$K$8)),MAX($Z$3:Z546)+1,""))</f>
        <v/>
      </c>
    </row>
    <row r="548" customFormat="false" ht="15" hidden="false" customHeight="false" outlineLevel="0" collapsed="false">
      <c r="A548" s="36" t="str">
        <f aca="false">IF($B548="","",COUNTA($B$4:$B548))</f>
        <v/>
      </c>
      <c r="B548" s="37"/>
      <c r="C548" s="38"/>
      <c r="D548" s="39"/>
      <c r="E548" s="37"/>
      <c r="F548" s="39"/>
      <c r="G548" s="40" t="str">
        <f aca="false">IF(OR($E548="",$F548=""),"",$E548&amp;" - RT "&amp;$F548)</f>
        <v/>
      </c>
      <c r="H548" s="37"/>
      <c r="I548" s="38"/>
      <c r="J548" s="37"/>
      <c r="K548" s="39"/>
      <c r="L548" s="41"/>
      <c r="M548" s="36" t="str">
        <f aca="true">IF(OR($B548="",$L548=""),"",DATEDIF($L548,TODAY(),"Y"))</f>
        <v/>
      </c>
      <c r="N548" s="40" t="str">
        <f aca="false">IF($M548="","",INDEX(usia_label,MATCH($M548,usia_min,1)))</f>
        <v/>
      </c>
      <c r="O548" s="37"/>
      <c r="P548" s="41"/>
      <c r="Q548" s="37"/>
      <c r="R548" s="37"/>
      <c r="S548" s="40" t="str">
        <f aca="false">IF($G548="","",$G548&amp;"#"&amp;COUNTIF($G$4:$G548,$G548))</f>
        <v/>
      </c>
      <c r="T548" s="40" t="str">
        <f aca="false">IF($B548="","",IF($C548="","NIK kosong",IF(LEN($C548)&lt;&gt;16,"NIK bukan 16 digit",IF(COUNTIF($C$4:$C$2003,$C548&amp;"*")&gt;1,"NIK ganda",IF($E548="","Kadus kosong",IF($F548="","RT kosong",IF($H548="","Jabatan kosong",IF($I548="","No. HP kosong",IF($J548="","Alamat kosong",IF(AND($M548&lt;&gt;"",$M548&lt;17),"Usia di bawah 17",""))))))))))</f>
        <v/>
      </c>
      <c r="U548" s="40" t="str">
        <f aca="false">IF($B548="","",IF(AND(OR(CARI!$C$5="",ISNUMBER(SEARCH(CARI!$C$5,$B548&amp;" "&amp;$C548&amp;" "&amp;$I548&amp;" "&amp;$J548&amp;" "&amp;$Q548))),OR(CARI!$C$6="",$E548=CARI!$C$6),OR(CARI!$C$7="",$F548=CARI!$C$7),OR(CARI!$C$8="",$O548=CARI!$C$8)),MAX($U$3:U547)+1,""))</f>
        <v/>
      </c>
      <c r="V548" s="40" t="str">
        <f aca="false">IF($T548="","",MAX($V$3:V547)+1)</f>
        <v/>
      </c>
      <c r="W548" s="40" t="str">
        <f aca="false">IF($E548="","",$E548&amp;"#"&amp;COUNTIF($E$4:$E548,$E548))</f>
        <v/>
      </c>
      <c r="X548" s="40" t="str">
        <f aca="false">IF($B548="","",IF(AND(OR(CETAK!$J$10="",$E548=CETAK!$J$10),OR(CETAK!$J$11="",$F548=CETAK!$J$11),OR(CETAK!$J$12="",$K548=CETAK!$J$12),OR(CETAK!$J$13="",$H548=CETAK!$J$13),OR(CETAK!$J$14="",$O548=CETAK!$J$14)),MAX($X$3:X547)+1,""))</f>
        <v/>
      </c>
      <c r="Y548" s="40" t="str">
        <f aca="false">IF($B548="","",IF(AND(OR(ABSENSI!$H$10="",$E548=ABSENSI!$H$10),OR(ABSENSI!$H$11="",$F548=ABSENSI!$H$11),OR(ABSENSI!$H$12="",$K548=ABSENSI!$H$12)),MAX($Y$3:Y547)+1,""))</f>
        <v/>
      </c>
      <c r="Z548" s="40" t="str">
        <f aca="false">IF($B548="","",IF(AND(OR(KARTU!$K$6="",$E548=KARTU!$K$6),OR(KARTU!$K$7="",$F548=KARTU!$K$7),OR(KARTU!$K$8="",$K548=KARTU!$K$8)),MAX($Z$3:Z547)+1,""))</f>
        <v/>
      </c>
    </row>
    <row r="549" customFormat="false" ht="15" hidden="false" customHeight="false" outlineLevel="0" collapsed="false">
      <c r="A549" s="36" t="str">
        <f aca="false">IF($B549="","",COUNTA($B$4:$B549))</f>
        <v/>
      </c>
      <c r="B549" s="37"/>
      <c r="C549" s="38"/>
      <c r="D549" s="39"/>
      <c r="E549" s="37"/>
      <c r="F549" s="39"/>
      <c r="G549" s="40" t="str">
        <f aca="false">IF(OR($E549="",$F549=""),"",$E549&amp;" - RT "&amp;$F549)</f>
        <v/>
      </c>
      <c r="H549" s="37"/>
      <c r="I549" s="38"/>
      <c r="J549" s="37"/>
      <c r="K549" s="39"/>
      <c r="L549" s="41"/>
      <c r="M549" s="36" t="str">
        <f aca="true">IF(OR($B549="",$L549=""),"",DATEDIF($L549,TODAY(),"Y"))</f>
        <v/>
      </c>
      <c r="N549" s="40" t="str">
        <f aca="false">IF($M549="","",INDEX(usia_label,MATCH($M549,usia_min,1)))</f>
        <v/>
      </c>
      <c r="O549" s="37"/>
      <c r="P549" s="41"/>
      <c r="Q549" s="37"/>
      <c r="R549" s="37"/>
      <c r="S549" s="40" t="str">
        <f aca="false">IF($G549="","",$G549&amp;"#"&amp;COUNTIF($G$4:$G549,$G549))</f>
        <v/>
      </c>
      <c r="T549" s="40" t="str">
        <f aca="false">IF($B549="","",IF($C549="","NIK kosong",IF(LEN($C549)&lt;&gt;16,"NIK bukan 16 digit",IF(COUNTIF($C$4:$C$2003,$C549&amp;"*")&gt;1,"NIK ganda",IF($E549="","Kadus kosong",IF($F549="","RT kosong",IF($H549="","Jabatan kosong",IF($I549="","No. HP kosong",IF($J549="","Alamat kosong",IF(AND($M549&lt;&gt;"",$M549&lt;17),"Usia di bawah 17",""))))))))))</f>
        <v/>
      </c>
      <c r="U549" s="40" t="str">
        <f aca="false">IF($B549="","",IF(AND(OR(CARI!$C$5="",ISNUMBER(SEARCH(CARI!$C$5,$B549&amp;" "&amp;$C549&amp;" "&amp;$I549&amp;" "&amp;$J549&amp;" "&amp;$Q549))),OR(CARI!$C$6="",$E549=CARI!$C$6),OR(CARI!$C$7="",$F549=CARI!$C$7),OR(CARI!$C$8="",$O549=CARI!$C$8)),MAX($U$3:U548)+1,""))</f>
        <v/>
      </c>
      <c r="V549" s="40" t="str">
        <f aca="false">IF($T549="","",MAX($V$3:V548)+1)</f>
        <v/>
      </c>
      <c r="W549" s="40" t="str">
        <f aca="false">IF($E549="","",$E549&amp;"#"&amp;COUNTIF($E$4:$E549,$E549))</f>
        <v/>
      </c>
      <c r="X549" s="40" t="str">
        <f aca="false">IF($B549="","",IF(AND(OR(CETAK!$J$10="",$E549=CETAK!$J$10),OR(CETAK!$J$11="",$F549=CETAK!$J$11),OR(CETAK!$J$12="",$K549=CETAK!$J$12),OR(CETAK!$J$13="",$H549=CETAK!$J$13),OR(CETAK!$J$14="",$O549=CETAK!$J$14)),MAX($X$3:X548)+1,""))</f>
        <v/>
      </c>
      <c r="Y549" s="40" t="str">
        <f aca="false">IF($B549="","",IF(AND(OR(ABSENSI!$H$10="",$E549=ABSENSI!$H$10),OR(ABSENSI!$H$11="",$F549=ABSENSI!$H$11),OR(ABSENSI!$H$12="",$K549=ABSENSI!$H$12)),MAX($Y$3:Y548)+1,""))</f>
        <v/>
      </c>
      <c r="Z549" s="40" t="str">
        <f aca="false">IF($B549="","",IF(AND(OR(KARTU!$K$6="",$E549=KARTU!$K$6),OR(KARTU!$K$7="",$F549=KARTU!$K$7),OR(KARTU!$K$8="",$K549=KARTU!$K$8)),MAX($Z$3:Z548)+1,""))</f>
        <v/>
      </c>
    </row>
    <row r="550" customFormat="false" ht="15" hidden="false" customHeight="false" outlineLevel="0" collapsed="false">
      <c r="A550" s="36" t="str">
        <f aca="false">IF($B550="","",COUNTA($B$4:$B550))</f>
        <v/>
      </c>
      <c r="B550" s="37"/>
      <c r="C550" s="38"/>
      <c r="D550" s="39"/>
      <c r="E550" s="37"/>
      <c r="F550" s="39"/>
      <c r="G550" s="40" t="str">
        <f aca="false">IF(OR($E550="",$F550=""),"",$E550&amp;" - RT "&amp;$F550)</f>
        <v/>
      </c>
      <c r="H550" s="37"/>
      <c r="I550" s="38"/>
      <c r="J550" s="37"/>
      <c r="K550" s="39"/>
      <c r="L550" s="41"/>
      <c r="M550" s="36" t="str">
        <f aca="true">IF(OR($B550="",$L550=""),"",DATEDIF($L550,TODAY(),"Y"))</f>
        <v/>
      </c>
      <c r="N550" s="40" t="str">
        <f aca="false">IF($M550="","",INDEX(usia_label,MATCH($M550,usia_min,1)))</f>
        <v/>
      </c>
      <c r="O550" s="37"/>
      <c r="P550" s="41"/>
      <c r="Q550" s="37"/>
      <c r="R550" s="37"/>
      <c r="S550" s="40" t="str">
        <f aca="false">IF($G550="","",$G550&amp;"#"&amp;COUNTIF($G$4:$G550,$G550))</f>
        <v/>
      </c>
      <c r="T550" s="40" t="str">
        <f aca="false">IF($B550="","",IF($C550="","NIK kosong",IF(LEN($C550)&lt;&gt;16,"NIK bukan 16 digit",IF(COUNTIF($C$4:$C$2003,$C550&amp;"*")&gt;1,"NIK ganda",IF($E550="","Kadus kosong",IF($F550="","RT kosong",IF($H550="","Jabatan kosong",IF($I550="","No. HP kosong",IF($J550="","Alamat kosong",IF(AND($M550&lt;&gt;"",$M550&lt;17),"Usia di bawah 17",""))))))))))</f>
        <v/>
      </c>
      <c r="U550" s="40" t="str">
        <f aca="false">IF($B550="","",IF(AND(OR(CARI!$C$5="",ISNUMBER(SEARCH(CARI!$C$5,$B550&amp;" "&amp;$C550&amp;" "&amp;$I550&amp;" "&amp;$J550&amp;" "&amp;$Q550))),OR(CARI!$C$6="",$E550=CARI!$C$6),OR(CARI!$C$7="",$F550=CARI!$C$7),OR(CARI!$C$8="",$O550=CARI!$C$8)),MAX($U$3:U549)+1,""))</f>
        <v/>
      </c>
      <c r="V550" s="40" t="str">
        <f aca="false">IF($T550="","",MAX($V$3:V549)+1)</f>
        <v/>
      </c>
      <c r="W550" s="40" t="str">
        <f aca="false">IF($E550="","",$E550&amp;"#"&amp;COUNTIF($E$4:$E550,$E550))</f>
        <v/>
      </c>
      <c r="X550" s="40" t="str">
        <f aca="false">IF($B550="","",IF(AND(OR(CETAK!$J$10="",$E550=CETAK!$J$10),OR(CETAK!$J$11="",$F550=CETAK!$J$11),OR(CETAK!$J$12="",$K550=CETAK!$J$12),OR(CETAK!$J$13="",$H550=CETAK!$J$13),OR(CETAK!$J$14="",$O550=CETAK!$J$14)),MAX($X$3:X549)+1,""))</f>
        <v/>
      </c>
      <c r="Y550" s="40" t="str">
        <f aca="false">IF($B550="","",IF(AND(OR(ABSENSI!$H$10="",$E550=ABSENSI!$H$10),OR(ABSENSI!$H$11="",$F550=ABSENSI!$H$11),OR(ABSENSI!$H$12="",$K550=ABSENSI!$H$12)),MAX($Y$3:Y549)+1,""))</f>
        <v/>
      </c>
      <c r="Z550" s="40" t="str">
        <f aca="false">IF($B550="","",IF(AND(OR(KARTU!$K$6="",$E550=KARTU!$K$6),OR(KARTU!$K$7="",$F550=KARTU!$K$7),OR(KARTU!$K$8="",$K550=KARTU!$K$8)),MAX($Z$3:Z549)+1,""))</f>
        <v/>
      </c>
    </row>
    <row r="551" customFormat="false" ht="15" hidden="false" customHeight="false" outlineLevel="0" collapsed="false">
      <c r="A551" s="36" t="str">
        <f aca="false">IF($B551="","",COUNTA($B$4:$B551))</f>
        <v/>
      </c>
      <c r="B551" s="37"/>
      <c r="C551" s="38"/>
      <c r="D551" s="39"/>
      <c r="E551" s="37"/>
      <c r="F551" s="39"/>
      <c r="G551" s="40" t="str">
        <f aca="false">IF(OR($E551="",$F551=""),"",$E551&amp;" - RT "&amp;$F551)</f>
        <v/>
      </c>
      <c r="H551" s="37"/>
      <c r="I551" s="38"/>
      <c r="J551" s="37"/>
      <c r="K551" s="39"/>
      <c r="L551" s="41"/>
      <c r="M551" s="36" t="str">
        <f aca="true">IF(OR($B551="",$L551=""),"",DATEDIF($L551,TODAY(),"Y"))</f>
        <v/>
      </c>
      <c r="N551" s="40" t="str">
        <f aca="false">IF($M551="","",INDEX(usia_label,MATCH($M551,usia_min,1)))</f>
        <v/>
      </c>
      <c r="O551" s="37"/>
      <c r="P551" s="41"/>
      <c r="Q551" s="37"/>
      <c r="R551" s="37"/>
      <c r="S551" s="40" t="str">
        <f aca="false">IF($G551="","",$G551&amp;"#"&amp;COUNTIF($G$4:$G551,$G551))</f>
        <v/>
      </c>
      <c r="T551" s="40" t="str">
        <f aca="false">IF($B551="","",IF($C551="","NIK kosong",IF(LEN($C551)&lt;&gt;16,"NIK bukan 16 digit",IF(COUNTIF($C$4:$C$2003,$C551&amp;"*")&gt;1,"NIK ganda",IF($E551="","Kadus kosong",IF($F551="","RT kosong",IF($H551="","Jabatan kosong",IF($I551="","No. HP kosong",IF($J551="","Alamat kosong",IF(AND($M551&lt;&gt;"",$M551&lt;17),"Usia di bawah 17",""))))))))))</f>
        <v/>
      </c>
      <c r="U551" s="40" t="str">
        <f aca="false">IF($B551="","",IF(AND(OR(CARI!$C$5="",ISNUMBER(SEARCH(CARI!$C$5,$B551&amp;" "&amp;$C551&amp;" "&amp;$I551&amp;" "&amp;$J551&amp;" "&amp;$Q551))),OR(CARI!$C$6="",$E551=CARI!$C$6),OR(CARI!$C$7="",$F551=CARI!$C$7),OR(CARI!$C$8="",$O551=CARI!$C$8)),MAX($U$3:U550)+1,""))</f>
        <v/>
      </c>
      <c r="V551" s="40" t="str">
        <f aca="false">IF($T551="","",MAX($V$3:V550)+1)</f>
        <v/>
      </c>
      <c r="W551" s="40" t="str">
        <f aca="false">IF($E551="","",$E551&amp;"#"&amp;COUNTIF($E$4:$E551,$E551))</f>
        <v/>
      </c>
      <c r="X551" s="40" t="str">
        <f aca="false">IF($B551="","",IF(AND(OR(CETAK!$J$10="",$E551=CETAK!$J$10),OR(CETAK!$J$11="",$F551=CETAK!$J$11),OR(CETAK!$J$12="",$K551=CETAK!$J$12),OR(CETAK!$J$13="",$H551=CETAK!$J$13),OR(CETAK!$J$14="",$O551=CETAK!$J$14)),MAX($X$3:X550)+1,""))</f>
        <v/>
      </c>
      <c r="Y551" s="40" t="str">
        <f aca="false">IF($B551="","",IF(AND(OR(ABSENSI!$H$10="",$E551=ABSENSI!$H$10),OR(ABSENSI!$H$11="",$F551=ABSENSI!$H$11),OR(ABSENSI!$H$12="",$K551=ABSENSI!$H$12)),MAX($Y$3:Y550)+1,""))</f>
        <v/>
      </c>
      <c r="Z551" s="40" t="str">
        <f aca="false">IF($B551="","",IF(AND(OR(KARTU!$K$6="",$E551=KARTU!$K$6),OR(KARTU!$K$7="",$F551=KARTU!$K$7),OR(KARTU!$K$8="",$K551=KARTU!$K$8)),MAX($Z$3:Z550)+1,""))</f>
        <v/>
      </c>
    </row>
    <row r="552" customFormat="false" ht="15" hidden="false" customHeight="false" outlineLevel="0" collapsed="false">
      <c r="A552" s="36" t="str">
        <f aca="false">IF($B552="","",COUNTA($B$4:$B552))</f>
        <v/>
      </c>
      <c r="B552" s="37"/>
      <c r="C552" s="38"/>
      <c r="D552" s="39"/>
      <c r="E552" s="37"/>
      <c r="F552" s="39"/>
      <c r="G552" s="40" t="str">
        <f aca="false">IF(OR($E552="",$F552=""),"",$E552&amp;" - RT "&amp;$F552)</f>
        <v/>
      </c>
      <c r="H552" s="37"/>
      <c r="I552" s="38"/>
      <c r="J552" s="37"/>
      <c r="K552" s="39"/>
      <c r="L552" s="41"/>
      <c r="M552" s="36" t="str">
        <f aca="true">IF(OR($B552="",$L552=""),"",DATEDIF($L552,TODAY(),"Y"))</f>
        <v/>
      </c>
      <c r="N552" s="40" t="str">
        <f aca="false">IF($M552="","",INDEX(usia_label,MATCH($M552,usia_min,1)))</f>
        <v/>
      </c>
      <c r="O552" s="37"/>
      <c r="P552" s="41"/>
      <c r="Q552" s="37"/>
      <c r="R552" s="37"/>
      <c r="S552" s="40" t="str">
        <f aca="false">IF($G552="","",$G552&amp;"#"&amp;COUNTIF($G$4:$G552,$G552))</f>
        <v/>
      </c>
      <c r="T552" s="40" t="str">
        <f aca="false">IF($B552="","",IF($C552="","NIK kosong",IF(LEN($C552)&lt;&gt;16,"NIK bukan 16 digit",IF(COUNTIF($C$4:$C$2003,$C552&amp;"*")&gt;1,"NIK ganda",IF($E552="","Kadus kosong",IF($F552="","RT kosong",IF($H552="","Jabatan kosong",IF($I552="","No. HP kosong",IF($J552="","Alamat kosong",IF(AND($M552&lt;&gt;"",$M552&lt;17),"Usia di bawah 17",""))))))))))</f>
        <v/>
      </c>
      <c r="U552" s="40" t="str">
        <f aca="false">IF($B552="","",IF(AND(OR(CARI!$C$5="",ISNUMBER(SEARCH(CARI!$C$5,$B552&amp;" "&amp;$C552&amp;" "&amp;$I552&amp;" "&amp;$J552&amp;" "&amp;$Q552))),OR(CARI!$C$6="",$E552=CARI!$C$6),OR(CARI!$C$7="",$F552=CARI!$C$7),OR(CARI!$C$8="",$O552=CARI!$C$8)),MAX($U$3:U551)+1,""))</f>
        <v/>
      </c>
      <c r="V552" s="40" t="str">
        <f aca="false">IF($T552="","",MAX($V$3:V551)+1)</f>
        <v/>
      </c>
      <c r="W552" s="40" t="str">
        <f aca="false">IF($E552="","",$E552&amp;"#"&amp;COUNTIF($E$4:$E552,$E552))</f>
        <v/>
      </c>
      <c r="X552" s="40" t="str">
        <f aca="false">IF($B552="","",IF(AND(OR(CETAK!$J$10="",$E552=CETAK!$J$10),OR(CETAK!$J$11="",$F552=CETAK!$J$11),OR(CETAK!$J$12="",$K552=CETAK!$J$12),OR(CETAK!$J$13="",$H552=CETAK!$J$13),OR(CETAK!$J$14="",$O552=CETAK!$J$14)),MAX($X$3:X551)+1,""))</f>
        <v/>
      </c>
      <c r="Y552" s="40" t="str">
        <f aca="false">IF($B552="","",IF(AND(OR(ABSENSI!$H$10="",$E552=ABSENSI!$H$10),OR(ABSENSI!$H$11="",$F552=ABSENSI!$H$11),OR(ABSENSI!$H$12="",$K552=ABSENSI!$H$12)),MAX($Y$3:Y551)+1,""))</f>
        <v/>
      </c>
      <c r="Z552" s="40" t="str">
        <f aca="false">IF($B552="","",IF(AND(OR(KARTU!$K$6="",$E552=KARTU!$K$6),OR(KARTU!$K$7="",$F552=KARTU!$K$7),OR(KARTU!$K$8="",$K552=KARTU!$K$8)),MAX($Z$3:Z551)+1,""))</f>
        <v/>
      </c>
    </row>
    <row r="553" customFormat="false" ht="15" hidden="false" customHeight="false" outlineLevel="0" collapsed="false">
      <c r="A553" s="36" t="str">
        <f aca="false">IF($B553="","",COUNTA($B$4:$B553))</f>
        <v/>
      </c>
      <c r="B553" s="37"/>
      <c r="C553" s="38"/>
      <c r="D553" s="39"/>
      <c r="E553" s="37"/>
      <c r="F553" s="39"/>
      <c r="G553" s="40" t="str">
        <f aca="false">IF(OR($E553="",$F553=""),"",$E553&amp;" - RT "&amp;$F553)</f>
        <v/>
      </c>
      <c r="H553" s="37"/>
      <c r="I553" s="38"/>
      <c r="J553" s="37"/>
      <c r="K553" s="39"/>
      <c r="L553" s="41"/>
      <c r="M553" s="36" t="str">
        <f aca="true">IF(OR($B553="",$L553=""),"",DATEDIF($L553,TODAY(),"Y"))</f>
        <v/>
      </c>
      <c r="N553" s="40" t="str">
        <f aca="false">IF($M553="","",INDEX(usia_label,MATCH($M553,usia_min,1)))</f>
        <v/>
      </c>
      <c r="O553" s="37"/>
      <c r="P553" s="41"/>
      <c r="Q553" s="37"/>
      <c r="R553" s="37"/>
      <c r="S553" s="40" t="str">
        <f aca="false">IF($G553="","",$G553&amp;"#"&amp;COUNTIF($G$4:$G553,$G553))</f>
        <v/>
      </c>
      <c r="T553" s="40" t="str">
        <f aca="false">IF($B553="","",IF($C553="","NIK kosong",IF(LEN($C553)&lt;&gt;16,"NIK bukan 16 digit",IF(COUNTIF($C$4:$C$2003,$C553&amp;"*")&gt;1,"NIK ganda",IF($E553="","Kadus kosong",IF($F553="","RT kosong",IF($H553="","Jabatan kosong",IF($I553="","No. HP kosong",IF($J553="","Alamat kosong",IF(AND($M553&lt;&gt;"",$M553&lt;17),"Usia di bawah 17",""))))))))))</f>
        <v/>
      </c>
      <c r="U553" s="40" t="str">
        <f aca="false">IF($B553="","",IF(AND(OR(CARI!$C$5="",ISNUMBER(SEARCH(CARI!$C$5,$B553&amp;" "&amp;$C553&amp;" "&amp;$I553&amp;" "&amp;$J553&amp;" "&amp;$Q553))),OR(CARI!$C$6="",$E553=CARI!$C$6),OR(CARI!$C$7="",$F553=CARI!$C$7),OR(CARI!$C$8="",$O553=CARI!$C$8)),MAX($U$3:U552)+1,""))</f>
        <v/>
      </c>
      <c r="V553" s="40" t="str">
        <f aca="false">IF($T553="","",MAX($V$3:V552)+1)</f>
        <v/>
      </c>
      <c r="W553" s="40" t="str">
        <f aca="false">IF($E553="","",$E553&amp;"#"&amp;COUNTIF($E$4:$E553,$E553))</f>
        <v/>
      </c>
      <c r="X553" s="40" t="str">
        <f aca="false">IF($B553="","",IF(AND(OR(CETAK!$J$10="",$E553=CETAK!$J$10),OR(CETAK!$J$11="",$F553=CETAK!$J$11),OR(CETAK!$J$12="",$K553=CETAK!$J$12),OR(CETAK!$J$13="",$H553=CETAK!$J$13),OR(CETAK!$J$14="",$O553=CETAK!$J$14)),MAX($X$3:X552)+1,""))</f>
        <v/>
      </c>
      <c r="Y553" s="40" t="str">
        <f aca="false">IF($B553="","",IF(AND(OR(ABSENSI!$H$10="",$E553=ABSENSI!$H$10),OR(ABSENSI!$H$11="",$F553=ABSENSI!$H$11),OR(ABSENSI!$H$12="",$K553=ABSENSI!$H$12)),MAX($Y$3:Y552)+1,""))</f>
        <v/>
      </c>
      <c r="Z553" s="40" t="str">
        <f aca="false">IF($B553="","",IF(AND(OR(KARTU!$K$6="",$E553=KARTU!$K$6),OR(KARTU!$K$7="",$F553=KARTU!$K$7),OR(KARTU!$K$8="",$K553=KARTU!$K$8)),MAX($Z$3:Z552)+1,""))</f>
        <v/>
      </c>
    </row>
    <row r="554" customFormat="false" ht="15" hidden="false" customHeight="false" outlineLevel="0" collapsed="false">
      <c r="A554" s="36" t="str">
        <f aca="false">IF($B554="","",COUNTA($B$4:$B554))</f>
        <v/>
      </c>
      <c r="B554" s="37"/>
      <c r="C554" s="38"/>
      <c r="D554" s="39"/>
      <c r="E554" s="37"/>
      <c r="F554" s="39"/>
      <c r="G554" s="40" t="str">
        <f aca="false">IF(OR($E554="",$F554=""),"",$E554&amp;" - RT "&amp;$F554)</f>
        <v/>
      </c>
      <c r="H554" s="37"/>
      <c r="I554" s="38"/>
      <c r="J554" s="37"/>
      <c r="K554" s="39"/>
      <c r="L554" s="41"/>
      <c r="M554" s="36" t="str">
        <f aca="true">IF(OR($B554="",$L554=""),"",DATEDIF($L554,TODAY(),"Y"))</f>
        <v/>
      </c>
      <c r="N554" s="40" t="str">
        <f aca="false">IF($M554="","",INDEX(usia_label,MATCH($M554,usia_min,1)))</f>
        <v/>
      </c>
      <c r="O554" s="37"/>
      <c r="P554" s="41"/>
      <c r="Q554" s="37"/>
      <c r="R554" s="37"/>
      <c r="S554" s="40" t="str">
        <f aca="false">IF($G554="","",$G554&amp;"#"&amp;COUNTIF($G$4:$G554,$G554))</f>
        <v/>
      </c>
      <c r="T554" s="40" t="str">
        <f aca="false">IF($B554="","",IF($C554="","NIK kosong",IF(LEN($C554)&lt;&gt;16,"NIK bukan 16 digit",IF(COUNTIF($C$4:$C$2003,$C554&amp;"*")&gt;1,"NIK ganda",IF($E554="","Kadus kosong",IF($F554="","RT kosong",IF($H554="","Jabatan kosong",IF($I554="","No. HP kosong",IF($J554="","Alamat kosong",IF(AND($M554&lt;&gt;"",$M554&lt;17),"Usia di bawah 17",""))))))))))</f>
        <v/>
      </c>
      <c r="U554" s="40" t="str">
        <f aca="false">IF($B554="","",IF(AND(OR(CARI!$C$5="",ISNUMBER(SEARCH(CARI!$C$5,$B554&amp;" "&amp;$C554&amp;" "&amp;$I554&amp;" "&amp;$J554&amp;" "&amp;$Q554))),OR(CARI!$C$6="",$E554=CARI!$C$6),OR(CARI!$C$7="",$F554=CARI!$C$7),OR(CARI!$C$8="",$O554=CARI!$C$8)),MAX($U$3:U553)+1,""))</f>
        <v/>
      </c>
      <c r="V554" s="40" t="str">
        <f aca="false">IF($T554="","",MAX($V$3:V553)+1)</f>
        <v/>
      </c>
      <c r="W554" s="40" t="str">
        <f aca="false">IF($E554="","",$E554&amp;"#"&amp;COUNTIF($E$4:$E554,$E554))</f>
        <v/>
      </c>
      <c r="X554" s="40" t="str">
        <f aca="false">IF($B554="","",IF(AND(OR(CETAK!$J$10="",$E554=CETAK!$J$10),OR(CETAK!$J$11="",$F554=CETAK!$J$11),OR(CETAK!$J$12="",$K554=CETAK!$J$12),OR(CETAK!$J$13="",$H554=CETAK!$J$13),OR(CETAK!$J$14="",$O554=CETAK!$J$14)),MAX($X$3:X553)+1,""))</f>
        <v/>
      </c>
      <c r="Y554" s="40" t="str">
        <f aca="false">IF($B554="","",IF(AND(OR(ABSENSI!$H$10="",$E554=ABSENSI!$H$10),OR(ABSENSI!$H$11="",$F554=ABSENSI!$H$11),OR(ABSENSI!$H$12="",$K554=ABSENSI!$H$12)),MAX($Y$3:Y553)+1,""))</f>
        <v/>
      </c>
      <c r="Z554" s="40" t="str">
        <f aca="false">IF($B554="","",IF(AND(OR(KARTU!$K$6="",$E554=KARTU!$K$6),OR(KARTU!$K$7="",$F554=KARTU!$K$7),OR(KARTU!$K$8="",$K554=KARTU!$K$8)),MAX($Z$3:Z553)+1,""))</f>
        <v/>
      </c>
    </row>
    <row r="555" customFormat="false" ht="15" hidden="false" customHeight="false" outlineLevel="0" collapsed="false">
      <c r="A555" s="36" t="str">
        <f aca="false">IF($B555="","",COUNTA($B$4:$B555))</f>
        <v/>
      </c>
      <c r="B555" s="37"/>
      <c r="C555" s="38"/>
      <c r="D555" s="39"/>
      <c r="E555" s="37"/>
      <c r="F555" s="39"/>
      <c r="G555" s="40" t="str">
        <f aca="false">IF(OR($E555="",$F555=""),"",$E555&amp;" - RT "&amp;$F555)</f>
        <v/>
      </c>
      <c r="H555" s="37"/>
      <c r="I555" s="38"/>
      <c r="J555" s="37"/>
      <c r="K555" s="39"/>
      <c r="L555" s="41"/>
      <c r="M555" s="36" t="str">
        <f aca="true">IF(OR($B555="",$L555=""),"",DATEDIF($L555,TODAY(),"Y"))</f>
        <v/>
      </c>
      <c r="N555" s="40" t="str">
        <f aca="false">IF($M555="","",INDEX(usia_label,MATCH($M555,usia_min,1)))</f>
        <v/>
      </c>
      <c r="O555" s="37"/>
      <c r="P555" s="41"/>
      <c r="Q555" s="37"/>
      <c r="R555" s="37"/>
      <c r="S555" s="40" t="str">
        <f aca="false">IF($G555="","",$G555&amp;"#"&amp;COUNTIF($G$4:$G555,$G555))</f>
        <v/>
      </c>
      <c r="T555" s="40" t="str">
        <f aca="false">IF($B555="","",IF($C555="","NIK kosong",IF(LEN($C555)&lt;&gt;16,"NIK bukan 16 digit",IF(COUNTIF($C$4:$C$2003,$C555&amp;"*")&gt;1,"NIK ganda",IF($E555="","Kadus kosong",IF($F555="","RT kosong",IF($H555="","Jabatan kosong",IF($I555="","No. HP kosong",IF($J555="","Alamat kosong",IF(AND($M555&lt;&gt;"",$M555&lt;17),"Usia di bawah 17",""))))))))))</f>
        <v/>
      </c>
      <c r="U555" s="40" t="str">
        <f aca="false">IF($B555="","",IF(AND(OR(CARI!$C$5="",ISNUMBER(SEARCH(CARI!$C$5,$B555&amp;" "&amp;$C555&amp;" "&amp;$I555&amp;" "&amp;$J555&amp;" "&amp;$Q555))),OR(CARI!$C$6="",$E555=CARI!$C$6),OR(CARI!$C$7="",$F555=CARI!$C$7),OR(CARI!$C$8="",$O555=CARI!$C$8)),MAX($U$3:U554)+1,""))</f>
        <v/>
      </c>
      <c r="V555" s="40" t="str">
        <f aca="false">IF($T555="","",MAX($V$3:V554)+1)</f>
        <v/>
      </c>
      <c r="W555" s="40" t="str">
        <f aca="false">IF($E555="","",$E555&amp;"#"&amp;COUNTIF($E$4:$E555,$E555))</f>
        <v/>
      </c>
      <c r="X555" s="40" t="str">
        <f aca="false">IF($B555="","",IF(AND(OR(CETAK!$J$10="",$E555=CETAK!$J$10),OR(CETAK!$J$11="",$F555=CETAK!$J$11),OR(CETAK!$J$12="",$K555=CETAK!$J$12),OR(CETAK!$J$13="",$H555=CETAK!$J$13),OR(CETAK!$J$14="",$O555=CETAK!$J$14)),MAX($X$3:X554)+1,""))</f>
        <v/>
      </c>
      <c r="Y555" s="40" t="str">
        <f aca="false">IF($B555="","",IF(AND(OR(ABSENSI!$H$10="",$E555=ABSENSI!$H$10),OR(ABSENSI!$H$11="",$F555=ABSENSI!$H$11),OR(ABSENSI!$H$12="",$K555=ABSENSI!$H$12)),MAX($Y$3:Y554)+1,""))</f>
        <v/>
      </c>
      <c r="Z555" s="40" t="str">
        <f aca="false">IF($B555="","",IF(AND(OR(KARTU!$K$6="",$E555=KARTU!$K$6),OR(KARTU!$K$7="",$F555=KARTU!$K$7),OR(KARTU!$K$8="",$K555=KARTU!$K$8)),MAX($Z$3:Z554)+1,""))</f>
        <v/>
      </c>
    </row>
    <row r="556" customFormat="false" ht="15" hidden="false" customHeight="false" outlineLevel="0" collapsed="false">
      <c r="A556" s="36" t="str">
        <f aca="false">IF($B556="","",COUNTA($B$4:$B556))</f>
        <v/>
      </c>
      <c r="B556" s="37"/>
      <c r="C556" s="38"/>
      <c r="D556" s="39"/>
      <c r="E556" s="37"/>
      <c r="F556" s="39"/>
      <c r="G556" s="40" t="str">
        <f aca="false">IF(OR($E556="",$F556=""),"",$E556&amp;" - RT "&amp;$F556)</f>
        <v/>
      </c>
      <c r="H556" s="37"/>
      <c r="I556" s="38"/>
      <c r="J556" s="37"/>
      <c r="K556" s="39"/>
      <c r="L556" s="41"/>
      <c r="M556" s="36" t="str">
        <f aca="true">IF(OR($B556="",$L556=""),"",DATEDIF($L556,TODAY(),"Y"))</f>
        <v/>
      </c>
      <c r="N556" s="40" t="str">
        <f aca="false">IF($M556="","",INDEX(usia_label,MATCH($M556,usia_min,1)))</f>
        <v/>
      </c>
      <c r="O556" s="37"/>
      <c r="P556" s="41"/>
      <c r="Q556" s="37"/>
      <c r="R556" s="37"/>
      <c r="S556" s="40" t="str">
        <f aca="false">IF($G556="","",$G556&amp;"#"&amp;COUNTIF($G$4:$G556,$G556))</f>
        <v/>
      </c>
      <c r="T556" s="40" t="str">
        <f aca="false">IF($B556="","",IF($C556="","NIK kosong",IF(LEN($C556)&lt;&gt;16,"NIK bukan 16 digit",IF(COUNTIF($C$4:$C$2003,$C556&amp;"*")&gt;1,"NIK ganda",IF($E556="","Kadus kosong",IF($F556="","RT kosong",IF($H556="","Jabatan kosong",IF($I556="","No. HP kosong",IF($J556="","Alamat kosong",IF(AND($M556&lt;&gt;"",$M556&lt;17),"Usia di bawah 17",""))))))))))</f>
        <v/>
      </c>
      <c r="U556" s="40" t="str">
        <f aca="false">IF($B556="","",IF(AND(OR(CARI!$C$5="",ISNUMBER(SEARCH(CARI!$C$5,$B556&amp;" "&amp;$C556&amp;" "&amp;$I556&amp;" "&amp;$J556&amp;" "&amp;$Q556))),OR(CARI!$C$6="",$E556=CARI!$C$6),OR(CARI!$C$7="",$F556=CARI!$C$7),OR(CARI!$C$8="",$O556=CARI!$C$8)),MAX($U$3:U555)+1,""))</f>
        <v/>
      </c>
      <c r="V556" s="40" t="str">
        <f aca="false">IF($T556="","",MAX($V$3:V555)+1)</f>
        <v/>
      </c>
      <c r="W556" s="40" t="str">
        <f aca="false">IF($E556="","",$E556&amp;"#"&amp;COUNTIF($E$4:$E556,$E556))</f>
        <v/>
      </c>
      <c r="X556" s="40" t="str">
        <f aca="false">IF($B556="","",IF(AND(OR(CETAK!$J$10="",$E556=CETAK!$J$10),OR(CETAK!$J$11="",$F556=CETAK!$J$11),OR(CETAK!$J$12="",$K556=CETAK!$J$12),OR(CETAK!$J$13="",$H556=CETAK!$J$13),OR(CETAK!$J$14="",$O556=CETAK!$J$14)),MAX($X$3:X555)+1,""))</f>
        <v/>
      </c>
      <c r="Y556" s="40" t="str">
        <f aca="false">IF($B556="","",IF(AND(OR(ABSENSI!$H$10="",$E556=ABSENSI!$H$10),OR(ABSENSI!$H$11="",$F556=ABSENSI!$H$11),OR(ABSENSI!$H$12="",$K556=ABSENSI!$H$12)),MAX($Y$3:Y555)+1,""))</f>
        <v/>
      </c>
      <c r="Z556" s="40" t="str">
        <f aca="false">IF($B556="","",IF(AND(OR(KARTU!$K$6="",$E556=KARTU!$K$6),OR(KARTU!$K$7="",$F556=KARTU!$K$7),OR(KARTU!$K$8="",$K556=KARTU!$K$8)),MAX($Z$3:Z555)+1,""))</f>
        <v/>
      </c>
    </row>
    <row r="557" customFormat="false" ht="15" hidden="false" customHeight="false" outlineLevel="0" collapsed="false">
      <c r="A557" s="36" t="str">
        <f aca="false">IF($B557="","",COUNTA($B$4:$B557))</f>
        <v/>
      </c>
      <c r="B557" s="37"/>
      <c r="C557" s="38"/>
      <c r="D557" s="39"/>
      <c r="E557" s="37"/>
      <c r="F557" s="39"/>
      <c r="G557" s="40" t="str">
        <f aca="false">IF(OR($E557="",$F557=""),"",$E557&amp;" - RT "&amp;$F557)</f>
        <v/>
      </c>
      <c r="H557" s="37"/>
      <c r="I557" s="38"/>
      <c r="J557" s="37"/>
      <c r="K557" s="39"/>
      <c r="L557" s="41"/>
      <c r="M557" s="36" t="str">
        <f aca="true">IF(OR($B557="",$L557=""),"",DATEDIF($L557,TODAY(),"Y"))</f>
        <v/>
      </c>
      <c r="N557" s="40" t="str">
        <f aca="false">IF($M557="","",INDEX(usia_label,MATCH($M557,usia_min,1)))</f>
        <v/>
      </c>
      <c r="O557" s="37"/>
      <c r="P557" s="41"/>
      <c r="Q557" s="37"/>
      <c r="R557" s="37"/>
      <c r="S557" s="40" t="str">
        <f aca="false">IF($G557="","",$G557&amp;"#"&amp;COUNTIF($G$4:$G557,$G557))</f>
        <v/>
      </c>
      <c r="T557" s="40" t="str">
        <f aca="false">IF($B557="","",IF($C557="","NIK kosong",IF(LEN($C557)&lt;&gt;16,"NIK bukan 16 digit",IF(COUNTIF($C$4:$C$2003,$C557&amp;"*")&gt;1,"NIK ganda",IF($E557="","Kadus kosong",IF($F557="","RT kosong",IF($H557="","Jabatan kosong",IF($I557="","No. HP kosong",IF($J557="","Alamat kosong",IF(AND($M557&lt;&gt;"",$M557&lt;17),"Usia di bawah 17",""))))))))))</f>
        <v/>
      </c>
      <c r="U557" s="40" t="str">
        <f aca="false">IF($B557="","",IF(AND(OR(CARI!$C$5="",ISNUMBER(SEARCH(CARI!$C$5,$B557&amp;" "&amp;$C557&amp;" "&amp;$I557&amp;" "&amp;$J557&amp;" "&amp;$Q557))),OR(CARI!$C$6="",$E557=CARI!$C$6),OR(CARI!$C$7="",$F557=CARI!$C$7),OR(CARI!$C$8="",$O557=CARI!$C$8)),MAX($U$3:U556)+1,""))</f>
        <v/>
      </c>
      <c r="V557" s="40" t="str">
        <f aca="false">IF($T557="","",MAX($V$3:V556)+1)</f>
        <v/>
      </c>
      <c r="W557" s="40" t="str">
        <f aca="false">IF($E557="","",$E557&amp;"#"&amp;COUNTIF($E$4:$E557,$E557))</f>
        <v/>
      </c>
      <c r="X557" s="40" t="str">
        <f aca="false">IF($B557="","",IF(AND(OR(CETAK!$J$10="",$E557=CETAK!$J$10),OR(CETAK!$J$11="",$F557=CETAK!$J$11),OR(CETAK!$J$12="",$K557=CETAK!$J$12),OR(CETAK!$J$13="",$H557=CETAK!$J$13),OR(CETAK!$J$14="",$O557=CETAK!$J$14)),MAX($X$3:X556)+1,""))</f>
        <v/>
      </c>
      <c r="Y557" s="40" t="str">
        <f aca="false">IF($B557="","",IF(AND(OR(ABSENSI!$H$10="",$E557=ABSENSI!$H$10),OR(ABSENSI!$H$11="",$F557=ABSENSI!$H$11),OR(ABSENSI!$H$12="",$K557=ABSENSI!$H$12)),MAX($Y$3:Y556)+1,""))</f>
        <v/>
      </c>
      <c r="Z557" s="40" t="str">
        <f aca="false">IF($B557="","",IF(AND(OR(KARTU!$K$6="",$E557=KARTU!$K$6),OR(KARTU!$K$7="",$F557=KARTU!$K$7),OR(KARTU!$K$8="",$K557=KARTU!$K$8)),MAX($Z$3:Z556)+1,""))</f>
        <v/>
      </c>
    </row>
    <row r="558" customFormat="false" ht="15" hidden="false" customHeight="false" outlineLevel="0" collapsed="false">
      <c r="A558" s="36" t="str">
        <f aca="false">IF($B558="","",COUNTA($B$4:$B558))</f>
        <v/>
      </c>
      <c r="B558" s="37"/>
      <c r="C558" s="38"/>
      <c r="D558" s="39"/>
      <c r="E558" s="37"/>
      <c r="F558" s="39"/>
      <c r="G558" s="40" t="str">
        <f aca="false">IF(OR($E558="",$F558=""),"",$E558&amp;" - RT "&amp;$F558)</f>
        <v/>
      </c>
      <c r="H558" s="37"/>
      <c r="I558" s="38"/>
      <c r="J558" s="37"/>
      <c r="K558" s="39"/>
      <c r="L558" s="41"/>
      <c r="M558" s="36" t="str">
        <f aca="true">IF(OR($B558="",$L558=""),"",DATEDIF($L558,TODAY(),"Y"))</f>
        <v/>
      </c>
      <c r="N558" s="40" t="str">
        <f aca="false">IF($M558="","",INDEX(usia_label,MATCH($M558,usia_min,1)))</f>
        <v/>
      </c>
      <c r="O558" s="37"/>
      <c r="P558" s="41"/>
      <c r="Q558" s="37"/>
      <c r="R558" s="37"/>
      <c r="S558" s="40" t="str">
        <f aca="false">IF($G558="","",$G558&amp;"#"&amp;COUNTIF($G$4:$G558,$G558))</f>
        <v/>
      </c>
      <c r="T558" s="40" t="str">
        <f aca="false">IF($B558="","",IF($C558="","NIK kosong",IF(LEN($C558)&lt;&gt;16,"NIK bukan 16 digit",IF(COUNTIF($C$4:$C$2003,$C558&amp;"*")&gt;1,"NIK ganda",IF($E558="","Kadus kosong",IF($F558="","RT kosong",IF($H558="","Jabatan kosong",IF($I558="","No. HP kosong",IF($J558="","Alamat kosong",IF(AND($M558&lt;&gt;"",$M558&lt;17),"Usia di bawah 17",""))))))))))</f>
        <v/>
      </c>
      <c r="U558" s="40" t="str">
        <f aca="false">IF($B558="","",IF(AND(OR(CARI!$C$5="",ISNUMBER(SEARCH(CARI!$C$5,$B558&amp;" "&amp;$C558&amp;" "&amp;$I558&amp;" "&amp;$J558&amp;" "&amp;$Q558))),OR(CARI!$C$6="",$E558=CARI!$C$6),OR(CARI!$C$7="",$F558=CARI!$C$7),OR(CARI!$C$8="",$O558=CARI!$C$8)),MAX($U$3:U557)+1,""))</f>
        <v/>
      </c>
      <c r="V558" s="40" t="str">
        <f aca="false">IF($T558="","",MAX($V$3:V557)+1)</f>
        <v/>
      </c>
      <c r="W558" s="40" t="str">
        <f aca="false">IF($E558="","",$E558&amp;"#"&amp;COUNTIF($E$4:$E558,$E558))</f>
        <v/>
      </c>
      <c r="X558" s="40" t="str">
        <f aca="false">IF($B558="","",IF(AND(OR(CETAK!$J$10="",$E558=CETAK!$J$10),OR(CETAK!$J$11="",$F558=CETAK!$J$11),OR(CETAK!$J$12="",$K558=CETAK!$J$12),OR(CETAK!$J$13="",$H558=CETAK!$J$13),OR(CETAK!$J$14="",$O558=CETAK!$J$14)),MAX($X$3:X557)+1,""))</f>
        <v/>
      </c>
      <c r="Y558" s="40" t="str">
        <f aca="false">IF($B558="","",IF(AND(OR(ABSENSI!$H$10="",$E558=ABSENSI!$H$10),OR(ABSENSI!$H$11="",$F558=ABSENSI!$H$11),OR(ABSENSI!$H$12="",$K558=ABSENSI!$H$12)),MAX($Y$3:Y557)+1,""))</f>
        <v/>
      </c>
      <c r="Z558" s="40" t="str">
        <f aca="false">IF($B558="","",IF(AND(OR(KARTU!$K$6="",$E558=KARTU!$K$6),OR(KARTU!$K$7="",$F558=KARTU!$K$7),OR(KARTU!$K$8="",$K558=KARTU!$K$8)),MAX($Z$3:Z557)+1,""))</f>
        <v/>
      </c>
    </row>
    <row r="559" customFormat="false" ht="15" hidden="false" customHeight="false" outlineLevel="0" collapsed="false">
      <c r="A559" s="36" t="str">
        <f aca="false">IF($B559="","",COUNTA($B$4:$B559))</f>
        <v/>
      </c>
      <c r="B559" s="37"/>
      <c r="C559" s="38"/>
      <c r="D559" s="39"/>
      <c r="E559" s="37"/>
      <c r="F559" s="39"/>
      <c r="G559" s="40" t="str">
        <f aca="false">IF(OR($E559="",$F559=""),"",$E559&amp;" - RT "&amp;$F559)</f>
        <v/>
      </c>
      <c r="H559" s="37"/>
      <c r="I559" s="38"/>
      <c r="J559" s="37"/>
      <c r="K559" s="39"/>
      <c r="L559" s="41"/>
      <c r="M559" s="36" t="str">
        <f aca="true">IF(OR($B559="",$L559=""),"",DATEDIF($L559,TODAY(),"Y"))</f>
        <v/>
      </c>
      <c r="N559" s="40" t="str">
        <f aca="false">IF($M559="","",INDEX(usia_label,MATCH($M559,usia_min,1)))</f>
        <v/>
      </c>
      <c r="O559" s="37"/>
      <c r="P559" s="41"/>
      <c r="Q559" s="37"/>
      <c r="R559" s="37"/>
      <c r="S559" s="40" t="str">
        <f aca="false">IF($G559="","",$G559&amp;"#"&amp;COUNTIF($G$4:$G559,$G559))</f>
        <v/>
      </c>
      <c r="T559" s="40" t="str">
        <f aca="false">IF($B559="","",IF($C559="","NIK kosong",IF(LEN($C559)&lt;&gt;16,"NIK bukan 16 digit",IF(COUNTIF($C$4:$C$2003,$C559&amp;"*")&gt;1,"NIK ganda",IF($E559="","Kadus kosong",IF($F559="","RT kosong",IF($H559="","Jabatan kosong",IF($I559="","No. HP kosong",IF($J559="","Alamat kosong",IF(AND($M559&lt;&gt;"",$M559&lt;17),"Usia di bawah 17",""))))))))))</f>
        <v/>
      </c>
      <c r="U559" s="40" t="str">
        <f aca="false">IF($B559="","",IF(AND(OR(CARI!$C$5="",ISNUMBER(SEARCH(CARI!$C$5,$B559&amp;" "&amp;$C559&amp;" "&amp;$I559&amp;" "&amp;$J559&amp;" "&amp;$Q559))),OR(CARI!$C$6="",$E559=CARI!$C$6),OR(CARI!$C$7="",$F559=CARI!$C$7),OR(CARI!$C$8="",$O559=CARI!$C$8)),MAX($U$3:U558)+1,""))</f>
        <v/>
      </c>
      <c r="V559" s="40" t="str">
        <f aca="false">IF($T559="","",MAX($V$3:V558)+1)</f>
        <v/>
      </c>
      <c r="W559" s="40" t="str">
        <f aca="false">IF($E559="","",$E559&amp;"#"&amp;COUNTIF($E$4:$E559,$E559))</f>
        <v/>
      </c>
      <c r="X559" s="40" t="str">
        <f aca="false">IF($B559="","",IF(AND(OR(CETAK!$J$10="",$E559=CETAK!$J$10),OR(CETAK!$J$11="",$F559=CETAK!$J$11),OR(CETAK!$J$12="",$K559=CETAK!$J$12),OR(CETAK!$J$13="",$H559=CETAK!$J$13),OR(CETAK!$J$14="",$O559=CETAK!$J$14)),MAX($X$3:X558)+1,""))</f>
        <v/>
      </c>
      <c r="Y559" s="40" t="str">
        <f aca="false">IF($B559="","",IF(AND(OR(ABSENSI!$H$10="",$E559=ABSENSI!$H$10),OR(ABSENSI!$H$11="",$F559=ABSENSI!$H$11),OR(ABSENSI!$H$12="",$K559=ABSENSI!$H$12)),MAX($Y$3:Y558)+1,""))</f>
        <v/>
      </c>
      <c r="Z559" s="40" t="str">
        <f aca="false">IF($B559="","",IF(AND(OR(KARTU!$K$6="",$E559=KARTU!$K$6),OR(KARTU!$K$7="",$F559=KARTU!$K$7),OR(KARTU!$K$8="",$K559=KARTU!$K$8)),MAX($Z$3:Z558)+1,""))</f>
        <v/>
      </c>
    </row>
    <row r="560" customFormat="false" ht="15" hidden="false" customHeight="false" outlineLevel="0" collapsed="false">
      <c r="A560" s="36" t="str">
        <f aca="false">IF($B560="","",COUNTA($B$4:$B560))</f>
        <v/>
      </c>
      <c r="B560" s="37"/>
      <c r="C560" s="38"/>
      <c r="D560" s="39"/>
      <c r="E560" s="37"/>
      <c r="F560" s="39"/>
      <c r="G560" s="40" t="str">
        <f aca="false">IF(OR($E560="",$F560=""),"",$E560&amp;" - RT "&amp;$F560)</f>
        <v/>
      </c>
      <c r="H560" s="37"/>
      <c r="I560" s="38"/>
      <c r="J560" s="37"/>
      <c r="K560" s="39"/>
      <c r="L560" s="41"/>
      <c r="M560" s="36" t="str">
        <f aca="true">IF(OR($B560="",$L560=""),"",DATEDIF($L560,TODAY(),"Y"))</f>
        <v/>
      </c>
      <c r="N560" s="40" t="str">
        <f aca="false">IF($M560="","",INDEX(usia_label,MATCH($M560,usia_min,1)))</f>
        <v/>
      </c>
      <c r="O560" s="37"/>
      <c r="P560" s="41"/>
      <c r="Q560" s="37"/>
      <c r="R560" s="37"/>
      <c r="S560" s="40" t="str">
        <f aca="false">IF($G560="","",$G560&amp;"#"&amp;COUNTIF($G$4:$G560,$G560))</f>
        <v/>
      </c>
      <c r="T560" s="40" t="str">
        <f aca="false">IF($B560="","",IF($C560="","NIK kosong",IF(LEN($C560)&lt;&gt;16,"NIK bukan 16 digit",IF(COUNTIF($C$4:$C$2003,$C560&amp;"*")&gt;1,"NIK ganda",IF($E560="","Kadus kosong",IF($F560="","RT kosong",IF($H560="","Jabatan kosong",IF($I560="","No. HP kosong",IF($J560="","Alamat kosong",IF(AND($M560&lt;&gt;"",$M560&lt;17),"Usia di bawah 17",""))))))))))</f>
        <v/>
      </c>
      <c r="U560" s="40" t="str">
        <f aca="false">IF($B560="","",IF(AND(OR(CARI!$C$5="",ISNUMBER(SEARCH(CARI!$C$5,$B560&amp;" "&amp;$C560&amp;" "&amp;$I560&amp;" "&amp;$J560&amp;" "&amp;$Q560))),OR(CARI!$C$6="",$E560=CARI!$C$6),OR(CARI!$C$7="",$F560=CARI!$C$7),OR(CARI!$C$8="",$O560=CARI!$C$8)),MAX($U$3:U559)+1,""))</f>
        <v/>
      </c>
      <c r="V560" s="40" t="str">
        <f aca="false">IF($T560="","",MAX($V$3:V559)+1)</f>
        <v/>
      </c>
      <c r="W560" s="40" t="str">
        <f aca="false">IF($E560="","",$E560&amp;"#"&amp;COUNTIF($E$4:$E560,$E560))</f>
        <v/>
      </c>
      <c r="X560" s="40" t="str">
        <f aca="false">IF($B560="","",IF(AND(OR(CETAK!$J$10="",$E560=CETAK!$J$10),OR(CETAK!$J$11="",$F560=CETAK!$J$11),OR(CETAK!$J$12="",$K560=CETAK!$J$12),OR(CETAK!$J$13="",$H560=CETAK!$J$13),OR(CETAK!$J$14="",$O560=CETAK!$J$14)),MAX($X$3:X559)+1,""))</f>
        <v/>
      </c>
      <c r="Y560" s="40" t="str">
        <f aca="false">IF($B560="","",IF(AND(OR(ABSENSI!$H$10="",$E560=ABSENSI!$H$10),OR(ABSENSI!$H$11="",$F560=ABSENSI!$H$11),OR(ABSENSI!$H$12="",$K560=ABSENSI!$H$12)),MAX($Y$3:Y559)+1,""))</f>
        <v/>
      </c>
      <c r="Z560" s="40" t="str">
        <f aca="false">IF($B560="","",IF(AND(OR(KARTU!$K$6="",$E560=KARTU!$K$6),OR(KARTU!$K$7="",$F560=KARTU!$K$7),OR(KARTU!$K$8="",$K560=KARTU!$K$8)),MAX($Z$3:Z559)+1,""))</f>
        <v/>
      </c>
    </row>
    <row r="561" customFormat="false" ht="15" hidden="false" customHeight="false" outlineLevel="0" collapsed="false">
      <c r="A561" s="36" t="str">
        <f aca="false">IF($B561="","",COUNTA($B$4:$B561))</f>
        <v/>
      </c>
      <c r="B561" s="37"/>
      <c r="C561" s="38"/>
      <c r="D561" s="39"/>
      <c r="E561" s="37"/>
      <c r="F561" s="39"/>
      <c r="G561" s="40" t="str">
        <f aca="false">IF(OR($E561="",$F561=""),"",$E561&amp;" - RT "&amp;$F561)</f>
        <v/>
      </c>
      <c r="H561" s="37"/>
      <c r="I561" s="38"/>
      <c r="J561" s="37"/>
      <c r="K561" s="39"/>
      <c r="L561" s="41"/>
      <c r="M561" s="36" t="str">
        <f aca="true">IF(OR($B561="",$L561=""),"",DATEDIF($L561,TODAY(),"Y"))</f>
        <v/>
      </c>
      <c r="N561" s="40" t="str">
        <f aca="false">IF($M561="","",INDEX(usia_label,MATCH($M561,usia_min,1)))</f>
        <v/>
      </c>
      <c r="O561" s="37"/>
      <c r="P561" s="41"/>
      <c r="Q561" s="37"/>
      <c r="R561" s="37"/>
      <c r="S561" s="40" t="str">
        <f aca="false">IF($G561="","",$G561&amp;"#"&amp;COUNTIF($G$4:$G561,$G561))</f>
        <v/>
      </c>
      <c r="T561" s="40" t="str">
        <f aca="false">IF($B561="","",IF($C561="","NIK kosong",IF(LEN($C561)&lt;&gt;16,"NIK bukan 16 digit",IF(COUNTIF($C$4:$C$2003,$C561&amp;"*")&gt;1,"NIK ganda",IF($E561="","Kadus kosong",IF($F561="","RT kosong",IF($H561="","Jabatan kosong",IF($I561="","No. HP kosong",IF($J561="","Alamat kosong",IF(AND($M561&lt;&gt;"",$M561&lt;17),"Usia di bawah 17",""))))))))))</f>
        <v/>
      </c>
      <c r="U561" s="40" t="str">
        <f aca="false">IF($B561="","",IF(AND(OR(CARI!$C$5="",ISNUMBER(SEARCH(CARI!$C$5,$B561&amp;" "&amp;$C561&amp;" "&amp;$I561&amp;" "&amp;$J561&amp;" "&amp;$Q561))),OR(CARI!$C$6="",$E561=CARI!$C$6),OR(CARI!$C$7="",$F561=CARI!$C$7),OR(CARI!$C$8="",$O561=CARI!$C$8)),MAX($U$3:U560)+1,""))</f>
        <v/>
      </c>
      <c r="V561" s="40" t="str">
        <f aca="false">IF($T561="","",MAX($V$3:V560)+1)</f>
        <v/>
      </c>
      <c r="W561" s="40" t="str">
        <f aca="false">IF($E561="","",$E561&amp;"#"&amp;COUNTIF($E$4:$E561,$E561))</f>
        <v/>
      </c>
      <c r="X561" s="40" t="str">
        <f aca="false">IF($B561="","",IF(AND(OR(CETAK!$J$10="",$E561=CETAK!$J$10),OR(CETAK!$J$11="",$F561=CETAK!$J$11),OR(CETAK!$J$12="",$K561=CETAK!$J$12),OR(CETAK!$J$13="",$H561=CETAK!$J$13),OR(CETAK!$J$14="",$O561=CETAK!$J$14)),MAX($X$3:X560)+1,""))</f>
        <v/>
      </c>
      <c r="Y561" s="40" t="str">
        <f aca="false">IF($B561="","",IF(AND(OR(ABSENSI!$H$10="",$E561=ABSENSI!$H$10),OR(ABSENSI!$H$11="",$F561=ABSENSI!$H$11),OR(ABSENSI!$H$12="",$K561=ABSENSI!$H$12)),MAX($Y$3:Y560)+1,""))</f>
        <v/>
      </c>
      <c r="Z561" s="40" t="str">
        <f aca="false">IF($B561="","",IF(AND(OR(KARTU!$K$6="",$E561=KARTU!$K$6),OR(KARTU!$K$7="",$F561=KARTU!$K$7),OR(KARTU!$K$8="",$K561=KARTU!$K$8)),MAX($Z$3:Z560)+1,""))</f>
        <v/>
      </c>
    </row>
    <row r="562" customFormat="false" ht="15" hidden="false" customHeight="false" outlineLevel="0" collapsed="false">
      <c r="A562" s="36" t="str">
        <f aca="false">IF($B562="","",COUNTA($B$4:$B562))</f>
        <v/>
      </c>
      <c r="B562" s="37"/>
      <c r="C562" s="38"/>
      <c r="D562" s="39"/>
      <c r="E562" s="37"/>
      <c r="F562" s="39"/>
      <c r="G562" s="40" t="str">
        <f aca="false">IF(OR($E562="",$F562=""),"",$E562&amp;" - RT "&amp;$F562)</f>
        <v/>
      </c>
      <c r="H562" s="37"/>
      <c r="I562" s="38"/>
      <c r="J562" s="37"/>
      <c r="K562" s="39"/>
      <c r="L562" s="41"/>
      <c r="M562" s="36" t="str">
        <f aca="true">IF(OR($B562="",$L562=""),"",DATEDIF($L562,TODAY(),"Y"))</f>
        <v/>
      </c>
      <c r="N562" s="40" t="str">
        <f aca="false">IF($M562="","",INDEX(usia_label,MATCH($M562,usia_min,1)))</f>
        <v/>
      </c>
      <c r="O562" s="37"/>
      <c r="P562" s="41"/>
      <c r="Q562" s="37"/>
      <c r="R562" s="37"/>
      <c r="S562" s="40" t="str">
        <f aca="false">IF($G562="","",$G562&amp;"#"&amp;COUNTIF($G$4:$G562,$G562))</f>
        <v/>
      </c>
      <c r="T562" s="40" t="str">
        <f aca="false">IF($B562="","",IF($C562="","NIK kosong",IF(LEN($C562)&lt;&gt;16,"NIK bukan 16 digit",IF(COUNTIF($C$4:$C$2003,$C562&amp;"*")&gt;1,"NIK ganda",IF($E562="","Kadus kosong",IF($F562="","RT kosong",IF($H562="","Jabatan kosong",IF($I562="","No. HP kosong",IF($J562="","Alamat kosong",IF(AND($M562&lt;&gt;"",$M562&lt;17),"Usia di bawah 17",""))))))))))</f>
        <v/>
      </c>
      <c r="U562" s="40" t="str">
        <f aca="false">IF($B562="","",IF(AND(OR(CARI!$C$5="",ISNUMBER(SEARCH(CARI!$C$5,$B562&amp;" "&amp;$C562&amp;" "&amp;$I562&amp;" "&amp;$J562&amp;" "&amp;$Q562))),OR(CARI!$C$6="",$E562=CARI!$C$6),OR(CARI!$C$7="",$F562=CARI!$C$7),OR(CARI!$C$8="",$O562=CARI!$C$8)),MAX($U$3:U561)+1,""))</f>
        <v/>
      </c>
      <c r="V562" s="40" t="str">
        <f aca="false">IF($T562="","",MAX($V$3:V561)+1)</f>
        <v/>
      </c>
      <c r="W562" s="40" t="str">
        <f aca="false">IF($E562="","",$E562&amp;"#"&amp;COUNTIF($E$4:$E562,$E562))</f>
        <v/>
      </c>
      <c r="X562" s="40" t="str">
        <f aca="false">IF($B562="","",IF(AND(OR(CETAK!$J$10="",$E562=CETAK!$J$10),OR(CETAK!$J$11="",$F562=CETAK!$J$11),OR(CETAK!$J$12="",$K562=CETAK!$J$12),OR(CETAK!$J$13="",$H562=CETAK!$J$13),OR(CETAK!$J$14="",$O562=CETAK!$J$14)),MAX($X$3:X561)+1,""))</f>
        <v/>
      </c>
      <c r="Y562" s="40" t="str">
        <f aca="false">IF($B562="","",IF(AND(OR(ABSENSI!$H$10="",$E562=ABSENSI!$H$10),OR(ABSENSI!$H$11="",$F562=ABSENSI!$H$11),OR(ABSENSI!$H$12="",$K562=ABSENSI!$H$12)),MAX($Y$3:Y561)+1,""))</f>
        <v/>
      </c>
      <c r="Z562" s="40" t="str">
        <f aca="false">IF($B562="","",IF(AND(OR(KARTU!$K$6="",$E562=KARTU!$K$6),OR(KARTU!$K$7="",$F562=KARTU!$K$7),OR(KARTU!$K$8="",$K562=KARTU!$K$8)),MAX($Z$3:Z561)+1,""))</f>
        <v/>
      </c>
    </row>
    <row r="563" customFormat="false" ht="15" hidden="false" customHeight="false" outlineLevel="0" collapsed="false">
      <c r="A563" s="36" t="str">
        <f aca="false">IF($B563="","",COUNTA($B$4:$B563))</f>
        <v/>
      </c>
      <c r="B563" s="37"/>
      <c r="C563" s="38"/>
      <c r="D563" s="39"/>
      <c r="E563" s="37"/>
      <c r="F563" s="39"/>
      <c r="G563" s="40" t="str">
        <f aca="false">IF(OR($E563="",$F563=""),"",$E563&amp;" - RT "&amp;$F563)</f>
        <v/>
      </c>
      <c r="H563" s="37"/>
      <c r="I563" s="38"/>
      <c r="J563" s="37"/>
      <c r="K563" s="39"/>
      <c r="L563" s="41"/>
      <c r="M563" s="36" t="str">
        <f aca="true">IF(OR($B563="",$L563=""),"",DATEDIF($L563,TODAY(),"Y"))</f>
        <v/>
      </c>
      <c r="N563" s="40" t="str">
        <f aca="false">IF($M563="","",INDEX(usia_label,MATCH($M563,usia_min,1)))</f>
        <v/>
      </c>
      <c r="O563" s="37"/>
      <c r="P563" s="41"/>
      <c r="Q563" s="37"/>
      <c r="R563" s="37"/>
      <c r="S563" s="40" t="str">
        <f aca="false">IF($G563="","",$G563&amp;"#"&amp;COUNTIF($G$4:$G563,$G563))</f>
        <v/>
      </c>
      <c r="T563" s="40" t="str">
        <f aca="false">IF($B563="","",IF($C563="","NIK kosong",IF(LEN($C563)&lt;&gt;16,"NIK bukan 16 digit",IF(COUNTIF($C$4:$C$2003,$C563&amp;"*")&gt;1,"NIK ganda",IF($E563="","Kadus kosong",IF($F563="","RT kosong",IF($H563="","Jabatan kosong",IF($I563="","No. HP kosong",IF($J563="","Alamat kosong",IF(AND($M563&lt;&gt;"",$M563&lt;17),"Usia di bawah 17",""))))))))))</f>
        <v/>
      </c>
      <c r="U563" s="40" t="str">
        <f aca="false">IF($B563="","",IF(AND(OR(CARI!$C$5="",ISNUMBER(SEARCH(CARI!$C$5,$B563&amp;" "&amp;$C563&amp;" "&amp;$I563&amp;" "&amp;$J563&amp;" "&amp;$Q563))),OR(CARI!$C$6="",$E563=CARI!$C$6),OR(CARI!$C$7="",$F563=CARI!$C$7),OR(CARI!$C$8="",$O563=CARI!$C$8)),MAX($U$3:U562)+1,""))</f>
        <v/>
      </c>
      <c r="V563" s="40" t="str">
        <f aca="false">IF($T563="","",MAX($V$3:V562)+1)</f>
        <v/>
      </c>
      <c r="W563" s="40" t="str">
        <f aca="false">IF($E563="","",$E563&amp;"#"&amp;COUNTIF($E$4:$E563,$E563))</f>
        <v/>
      </c>
      <c r="X563" s="40" t="str">
        <f aca="false">IF($B563="","",IF(AND(OR(CETAK!$J$10="",$E563=CETAK!$J$10),OR(CETAK!$J$11="",$F563=CETAK!$J$11),OR(CETAK!$J$12="",$K563=CETAK!$J$12),OR(CETAK!$J$13="",$H563=CETAK!$J$13),OR(CETAK!$J$14="",$O563=CETAK!$J$14)),MAX($X$3:X562)+1,""))</f>
        <v/>
      </c>
      <c r="Y563" s="40" t="str">
        <f aca="false">IF($B563="","",IF(AND(OR(ABSENSI!$H$10="",$E563=ABSENSI!$H$10),OR(ABSENSI!$H$11="",$F563=ABSENSI!$H$11),OR(ABSENSI!$H$12="",$K563=ABSENSI!$H$12)),MAX($Y$3:Y562)+1,""))</f>
        <v/>
      </c>
      <c r="Z563" s="40" t="str">
        <f aca="false">IF($B563="","",IF(AND(OR(KARTU!$K$6="",$E563=KARTU!$K$6),OR(KARTU!$K$7="",$F563=KARTU!$K$7),OR(KARTU!$K$8="",$K563=KARTU!$K$8)),MAX($Z$3:Z562)+1,""))</f>
        <v/>
      </c>
    </row>
    <row r="564" customFormat="false" ht="15" hidden="false" customHeight="false" outlineLevel="0" collapsed="false">
      <c r="A564" s="36" t="str">
        <f aca="false">IF($B564="","",COUNTA($B$4:$B564))</f>
        <v/>
      </c>
      <c r="B564" s="37"/>
      <c r="C564" s="38"/>
      <c r="D564" s="39"/>
      <c r="E564" s="37"/>
      <c r="F564" s="39"/>
      <c r="G564" s="40" t="str">
        <f aca="false">IF(OR($E564="",$F564=""),"",$E564&amp;" - RT "&amp;$F564)</f>
        <v/>
      </c>
      <c r="H564" s="37"/>
      <c r="I564" s="38"/>
      <c r="J564" s="37"/>
      <c r="K564" s="39"/>
      <c r="L564" s="41"/>
      <c r="M564" s="36" t="str">
        <f aca="true">IF(OR($B564="",$L564=""),"",DATEDIF($L564,TODAY(),"Y"))</f>
        <v/>
      </c>
      <c r="N564" s="40" t="str">
        <f aca="false">IF($M564="","",INDEX(usia_label,MATCH($M564,usia_min,1)))</f>
        <v/>
      </c>
      <c r="O564" s="37"/>
      <c r="P564" s="41"/>
      <c r="Q564" s="37"/>
      <c r="R564" s="37"/>
      <c r="S564" s="40" t="str">
        <f aca="false">IF($G564="","",$G564&amp;"#"&amp;COUNTIF($G$4:$G564,$G564))</f>
        <v/>
      </c>
      <c r="T564" s="40" t="str">
        <f aca="false">IF($B564="","",IF($C564="","NIK kosong",IF(LEN($C564)&lt;&gt;16,"NIK bukan 16 digit",IF(COUNTIF($C$4:$C$2003,$C564&amp;"*")&gt;1,"NIK ganda",IF($E564="","Kadus kosong",IF($F564="","RT kosong",IF($H564="","Jabatan kosong",IF($I564="","No. HP kosong",IF($J564="","Alamat kosong",IF(AND($M564&lt;&gt;"",$M564&lt;17),"Usia di bawah 17",""))))))))))</f>
        <v/>
      </c>
      <c r="U564" s="40" t="str">
        <f aca="false">IF($B564="","",IF(AND(OR(CARI!$C$5="",ISNUMBER(SEARCH(CARI!$C$5,$B564&amp;" "&amp;$C564&amp;" "&amp;$I564&amp;" "&amp;$J564&amp;" "&amp;$Q564))),OR(CARI!$C$6="",$E564=CARI!$C$6),OR(CARI!$C$7="",$F564=CARI!$C$7),OR(CARI!$C$8="",$O564=CARI!$C$8)),MAX($U$3:U563)+1,""))</f>
        <v/>
      </c>
      <c r="V564" s="40" t="str">
        <f aca="false">IF($T564="","",MAX($V$3:V563)+1)</f>
        <v/>
      </c>
      <c r="W564" s="40" t="str">
        <f aca="false">IF($E564="","",$E564&amp;"#"&amp;COUNTIF($E$4:$E564,$E564))</f>
        <v/>
      </c>
      <c r="X564" s="40" t="str">
        <f aca="false">IF($B564="","",IF(AND(OR(CETAK!$J$10="",$E564=CETAK!$J$10),OR(CETAK!$J$11="",$F564=CETAK!$J$11),OR(CETAK!$J$12="",$K564=CETAK!$J$12),OR(CETAK!$J$13="",$H564=CETAK!$J$13),OR(CETAK!$J$14="",$O564=CETAK!$J$14)),MAX($X$3:X563)+1,""))</f>
        <v/>
      </c>
      <c r="Y564" s="40" t="str">
        <f aca="false">IF($B564="","",IF(AND(OR(ABSENSI!$H$10="",$E564=ABSENSI!$H$10),OR(ABSENSI!$H$11="",$F564=ABSENSI!$H$11),OR(ABSENSI!$H$12="",$K564=ABSENSI!$H$12)),MAX($Y$3:Y563)+1,""))</f>
        <v/>
      </c>
      <c r="Z564" s="40" t="str">
        <f aca="false">IF($B564="","",IF(AND(OR(KARTU!$K$6="",$E564=KARTU!$K$6),OR(KARTU!$K$7="",$F564=KARTU!$K$7),OR(KARTU!$K$8="",$K564=KARTU!$K$8)),MAX($Z$3:Z563)+1,""))</f>
        <v/>
      </c>
    </row>
    <row r="565" customFormat="false" ht="15" hidden="false" customHeight="false" outlineLevel="0" collapsed="false">
      <c r="A565" s="36" t="str">
        <f aca="false">IF($B565="","",COUNTA($B$4:$B565))</f>
        <v/>
      </c>
      <c r="B565" s="37"/>
      <c r="C565" s="38"/>
      <c r="D565" s="39"/>
      <c r="E565" s="37"/>
      <c r="F565" s="39"/>
      <c r="G565" s="40" t="str">
        <f aca="false">IF(OR($E565="",$F565=""),"",$E565&amp;" - RT "&amp;$F565)</f>
        <v/>
      </c>
      <c r="H565" s="37"/>
      <c r="I565" s="38"/>
      <c r="J565" s="37"/>
      <c r="K565" s="39"/>
      <c r="L565" s="41"/>
      <c r="M565" s="36" t="str">
        <f aca="true">IF(OR($B565="",$L565=""),"",DATEDIF($L565,TODAY(),"Y"))</f>
        <v/>
      </c>
      <c r="N565" s="40" t="str">
        <f aca="false">IF($M565="","",INDEX(usia_label,MATCH($M565,usia_min,1)))</f>
        <v/>
      </c>
      <c r="O565" s="37"/>
      <c r="P565" s="41"/>
      <c r="Q565" s="37"/>
      <c r="R565" s="37"/>
      <c r="S565" s="40" t="str">
        <f aca="false">IF($G565="","",$G565&amp;"#"&amp;COUNTIF($G$4:$G565,$G565))</f>
        <v/>
      </c>
      <c r="T565" s="40" t="str">
        <f aca="false">IF($B565="","",IF($C565="","NIK kosong",IF(LEN($C565)&lt;&gt;16,"NIK bukan 16 digit",IF(COUNTIF($C$4:$C$2003,$C565&amp;"*")&gt;1,"NIK ganda",IF($E565="","Kadus kosong",IF($F565="","RT kosong",IF($H565="","Jabatan kosong",IF($I565="","No. HP kosong",IF($J565="","Alamat kosong",IF(AND($M565&lt;&gt;"",$M565&lt;17),"Usia di bawah 17",""))))))))))</f>
        <v/>
      </c>
      <c r="U565" s="40" t="str">
        <f aca="false">IF($B565="","",IF(AND(OR(CARI!$C$5="",ISNUMBER(SEARCH(CARI!$C$5,$B565&amp;" "&amp;$C565&amp;" "&amp;$I565&amp;" "&amp;$J565&amp;" "&amp;$Q565))),OR(CARI!$C$6="",$E565=CARI!$C$6),OR(CARI!$C$7="",$F565=CARI!$C$7),OR(CARI!$C$8="",$O565=CARI!$C$8)),MAX($U$3:U564)+1,""))</f>
        <v/>
      </c>
      <c r="V565" s="40" t="str">
        <f aca="false">IF($T565="","",MAX($V$3:V564)+1)</f>
        <v/>
      </c>
      <c r="W565" s="40" t="str">
        <f aca="false">IF($E565="","",$E565&amp;"#"&amp;COUNTIF($E$4:$E565,$E565))</f>
        <v/>
      </c>
      <c r="X565" s="40" t="str">
        <f aca="false">IF($B565="","",IF(AND(OR(CETAK!$J$10="",$E565=CETAK!$J$10),OR(CETAK!$J$11="",$F565=CETAK!$J$11),OR(CETAK!$J$12="",$K565=CETAK!$J$12),OR(CETAK!$J$13="",$H565=CETAK!$J$13),OR(CETAK!$J$14="",$O565=CETAK!$J$14)),MAX($X$3:X564)+1,""))</f>
        <v/>
      </c>
      <c r="Y565" s="40" t="str">
        <f aca="false">IF($B565="","",IF(AND(OR(ABSENSI!$H$10="",$E565=ABSENSI!$H$10),OR(ABSENSI!$H$11="",$F565=ABSENSI!$H$11),OR(ABSENSI!$H$12="",$K565=ABSENSI!$H$12)),MAX($Y$3:Y564)+1,""))</f>
        <v/>
      </c>
      <c r="Z565" s="40" t="str">
        <f aca="false">IF($B565="","",IF(AND(OR(KARTU!$K$6="",$E565=KARTU!$K$6),OR(KARTU!$K$7="",$F565=KARTU!$K$7),OR(KARTU!$K$8="",$K565=KARTU!$K$8)),MAX($Z$3:Z564)+1,""))</f>
        <v/>
      </c>
    </row>
    <row r="566" customFormat="false" ht="15" hidden="false" customHeight="false" outlineLevel="0" collapsed="false">
      <c r="A566" s="36" t="str">
        <f aca="false">IF($B566="","",COUNTA($B$4:$B566))</f>
        <v/>
      </c>
      <c r="B566" s="37"/>
      <c r="C566" s="38"/>
      <c r="D566" s="39"/>
      <c r="E566" s="37"/>
      <c r="F566" s="39"/>
      <c r="G566" s="40" t="str">
        <f aca="false">IF(OR($E566="",$F566=""),"",$E566&amp;" - RT "&amp;$F566)</f>
        <v/>
      </c>
      <c r="H566" s="37"/>
      <c r="I566" s="38"/>
      <c r="J566" s="37"/>
      <c r="K566" s="39"/>
      <c r="L566" s="41"/>
      <c r="M566" s="36" t="str">
        <f aca="true">IF(OR($B566="",$L566=""),"",DATEDIF($L566,TODAY(),"Y"))</f>
        <v/>
      </c>
      <c r="N566" s="40" t="str">
        <f aca="false">IF($M566="","",INDEX(usia_label,MATCH($M566,usia_min,1)))</f>
        <v/>
      </c>
      <c r="O566" s="37"/>
      <c r="P566" s="41"/>
      <c r="Q566" s="37"/>
      <c r="R566" s="37"/>
      <c r="S566" s="40" t="str">
        <f aca="false">IF($G566="","",$G566&amp;"#"&amp;COUNTIF($G$4:$G566,$G566))</f>
        <v/>
      </c>
      <c r="T566" s="40" t="str">
        <f aca="false">IF($B566="","",IF($C566="","NIK kosong",IF(LEN($C566)&lt;&gt;16,"NIK bukan 16 digit",IF(COUNTIF($C$4:$C$2003,$C566&amp;"*")&gt;1,"NIK ganda",IF($E566="","Kadus kosong",IF($F566="","RT kosong",IF($H566="","Jabatan kosong",IF($I566="","No. HP kosong",IF($J566="","Alamat kosong",IF(AND($M566&lt;&gt;"",$M566&lt;17),"Usia di bawah 17",""))))))))))</f>
        <v/>
      </c>
      <c r="U566" s="40" t="str">
        <f aca="false">IF($B566="","",IF(AND(OR(CARI!$C$5="",ISNUMBER(SEARCH(CARI!$C$5,$B566&amp;" "&amp;$C566&amp;" "&amp;$I566&amp;" "&amp;$J566&amp;" "&amp;$Q566))),OR(CARI!$C$6="",$E566=CARI!$C$6),OR(CARI!$C$7="",$F566=CARI!$C$7),OR(CARI!$C$8="",$O566=CARI!$C$8)),MAX($U$3:U565)+1,""))</f>
        <v/>
      </c>
      <c r="V566" s="40" t="str">
        <f aca="false">IF($T566="","",MAX($V$3:V565)+1)</f>
        <v/>
      </c>
      <c r="W566" s="40" t="str">
        <f aca="false">IF($E566="","",$E566&amp;"#"&amp;COUNTIF($E$4:$E566,$E566))</f>
        <v/>
      </c>
      <c r="X566" s="40" t="str">
        <f aca="false">IF($B566="","",IF(AND(OR(CETAK!$J$10="",$E566=CETAK!$J$10),OR(CETAK!$J$11="",$F566=CETAK!$J$11),OR(CETAK!$J$12="",$K566=CETAK!$J$12),OR(CETAK!$J$13="",$H566=CETAK!$J$13),OR(CETAK!$J$14="",$O566=CETAK!$J$14)),MAX($X$3:X565)+1,""))</f>
        <v/>
      </c>
      <c r="Y566" s="40" t="str">
        <f aca="false">IF($B566="","",IF(AND(OR(ABSENSI!$H$10="",$E566=ABSENSI!$H$10),OR(ABSENSI!$H$11="",$F566=ABSENSI!$H$11),OR(ABSENSI!$H$12="",$K566=ABSENSI!$H$12)),MAX($Y$3:Y565)+1,""))</f>
        <v/>
      </c>
      <c r="Z566" s="40" t="str">
        <f aca="false">IF($B566="","",IF(AND(OR(KARTU!$K$6="",$E566=KARTU!$K$6),OR(KARTU!$K$7="",$F566=KARTU!$K$7),OR(KARTU!$K$8="",$K566=KARTU!$K$8)),MAX($Z$3:Z565)+1,""))</f>
        <v/>
      </c>
    </row>
    <row r="567" customFormat="false" ht="15" hidden="false" customHeight="false" outlineLevel="0" collapsed="false">
      <c r="A567" s="36" t="str">
        <f aca="false">IF($B567="","",COUNTA($B$4:$B567))</f>
        <v/>
      </c>
      <c r="B567" s="37"/>
      <c r="C567" s="38"/>
      <c r="D567" s="39"/>
      <c r="E567" s="37"/>
      <c r="F567" s="39"/>
      <c r="G567" s="40" t="str">
        <f aca="false">IF(OR($E567="",$F567=""),"",$E567&amp;" - RT "&amp;$F567)</f>
        <v/>
      </c>
      <c r="H567" s="37"/>
      <c r="I567" s="38"/>
      <c r="J567" s="37"/>
      <c r="K567" s="39"/>
      <c r="L567" s="41"/>
      <c r="M567" s="36" t="str">
        <f aca="true">IF(OR($B567="",$L567=""),"",DATEDIF($L567,TODAY(),"Y"))</f>
        <v/>
      </c>
      <c r="N567" s="40" t="str">
        <f aca="false">IF($M567="","",INDEX(usia_label,MATCH($M567,usia_min,1)))</f>
        <v/>
      </c>
      <c r="O567" s="37"/>
      <c r="P567" s="41"/>
      <c r="Q567" s="37"/>
      <c r="R567" s="37"/>
      <c r="S567" s="40" t="str">
        <f aca="false">IF($G567="","",$G567&amp;"#"&amp;COUNTIF($G$4:$G567,$G567))</f>
        <v/>
      </c>
      <c r="T567" s="40" t="str">
        <f aca="false">IF($B567="","",IF($C567="","NIK kosong",IF(LEN($C567)&lt;&gt;16,"NIK bukan 16 digit",IF(COUNTIF($C$4:$C$2003,$C567&amp;"*")&gt;1,"NIK ganda",IF($E567="","Kadus kosong",IF($F567="","RT kosong",IF($H567="","Jabatan kosong",IF($I567="","No. HP kosong",IF($J567="","Alamat kosong",IF(AND($M567&lt;&gt;"",$M567&lt;17),"Usia di bawah 17",""))))))))))</f>
        <v/>
      </c>
      <c r="U567" s="40" t="str">
        <f aca="false">IF($B567="","",IF(AND(OR(CARI!$C$5="",ISNUMBER(SEARCH(CARI!$C$5,$B567&amp;" "&amp;$C567&amp;" "&amp;$I567&amp;" "&amp;$J567&amp;" "&amp;$Q567))),OR(CARI!$C$6="",$E567=CARI!$C$6),OR(CARI!$C$7="",$F567=CARI!$C$7),OR(CARI!$C$8="",$O567=CARI!$C$8)),MAX($U$3:U566)+1,""))</f>
        <v/>
      </c>
      <c r="V567" s="40" t="str">
        <f aca="false">IF($T567="","",MAX($V$3:V566)+1)</f>
        <v/>
      </c>
      <c r="W567" s="40" t="str">
        <f aca="false">IF($E567="","",$E567&amp;"#"&amp;COUNTIF($E$4:$E567,$E567))</f>
        <v/>
      </c>
      <c r="X567" s="40" t="str">
        <f aca="false">IF($B567="","",IF(AND(OR(CETAK!$J$10="",$E567=CETAK!$J$10),OR(CETAK!$J$11="",$F567=CETAK!$J$11),OR(CETAK!$J$12="",$K567=CETAK!$J$12),OR(CETAK!$J$13="",$H567=CETAK!$J$13),OR(CETAK!$J$14="",$O567=CETAK!$J$14)),MAX($X$3:X566)+1,""))</f>
        <v/>
      </c>
      <c r="Y567" s="40" t="str">
        <f aca="false">IF($B567="","",IF(AND(OR(ABSENSI!$H$10="",$E567=ABSENSI!$H$10),OR(ABSENSI!$H$11="",$F567=ABSENSI!$H$11),OR(ABSENSI!$H$12="",$K567=ABSENSI!$H$12)),MAX($Y$3:Y566)+1,""))</f>
        <v/>
      </c>
      <c r="Z567" s="40" t="str">
        <f aca="false">IF($B567="","",IF(AND(OR(KARTU!$K$6="",$E567=KARTU!$K$6),OR(KARTU!$K$7="",$F567=KARTU!$K$7),OR(KARTU!$K$8="",$K567=KARTU!$K$8)),MAX($Z$3:Z566)+1,""))</f>
        <v/>
      </c>
    </row>
    <row r="568" customFormat="false" ht="15" hidden="false" customHeight="false" outlineLevel="0" collapsed="false">
      <c r="A568" s="36" t="str">
        <f aca="false">IF($B568="","",COUNTA($B$4:$B568))</f>
        <v/>
      </c>
      <c r="B568" s="37"/>
      <c r="C568" s="38"/>
      <c r="D568" s="39"/>
      <c r="E568" s="37"/>
      <c r="F568" s="39"/>
      <c r="G568" s="40" t="str">
        <f aca="false">IF(OR($E568="",$F568=""),"",$E568&amp;" - RT "&amp;$F568)</f>
        <v/>
      </c>
      <c r="H568" s="37"/>
      <c r="I568" s="38"/>
      <c r="J568" s="37"/>
      <c r="K568" s="39"/>
      <c r="L568" s="41"/>
      <c r="M568" s="36" t="str">
        <f aca="true">IF(OR($B568="",$L568=""),"",DATEDIF($L568,TODAY(),"Y"))</f>
        <v/>
      </c>
      <c r="N568" s="40" t="str">
        <f aca="false">IF($M568="","",INDEX(usia_label,MATCH($M568,usia_min,1)))</f>
        <v/>
      </c>
      <c r="O568" s="37"/>
      <c r="P568" s="41"/>
      <c r="Q568" s="37"/>
      <c r="R568" s="37"/>
      <c r="S568" s="40" t="str">
        <f aca="false">IF($G568="","",$G568&amp;"#"&amp;COUNTIF($G$4:$G568,$G568))</f>
        <v/>
      </c>
      <c r="T568" s="40" t="str">
        <f aca="false">IF($B568="","",IF($C568="","NIK kosong",IF(LEN($C568)&lt;&gt;16,"NIK bukan 16 digit",IF(COUNTIF($C$4:$C$2003,$C568&amp;"*")&gt;1,"NIK ganda",IF($E568="","Kadus kosong",IF($F568="","RT kosong",IF($H568="","Jabatan kosong",IF($I568="","No. HP kosong",IF($J568="","Alamat kosong",IF(AND($M568&lt;&gt;"",$M568&lt;17),"Usia di bawah 17",""))))))))))</f>
        <v/>
      </c>
      <c r="U568" s="40" t="str">
        <f aca="false">IF($B568="","",IF(AND(OR(CARI!$C$5="",ISNUMBER(SEARCH(CARI!$C$5,$B568&amp;" "&amp;$C568&amp;" "&amp;$I568&amp;" "&amp;$J568&amp;" "&amp;$Q568))),OR(CARI!$C$6="",$E568=CARI!$C$6),OR(CARI!$C$7="",$F568=CARI!$C$7),OR(CARI!$C$8="",$O568=CARI!$C$8)),MAX($U$3:U567)+1,""))</f>
        <v/>
      </c>
      <c r="V568" s="40" t="str">
        <f aca="false">IF($T568="","",MAX($V$3:V567)+1)</f>
        <v/>
      </c>
      <c r="W568" s="40" t="str">
        <f aca="false">IF($E568="","",$E568&amp;"#"&amp;COUNTIF($E$4:$E568,$E568))</f>
        <v/>
      </c>
      <c r="X568" s="40" t="str">
        <f aca="false">IF($B568="","",IF(AND(OR(CETAK!$J$10="",$E568=CETAK!$J$10),OR(CETAK!$J$11="",$F568=CETAK!$J$11),OR(CETAK!$J$12="",$K568=CETAK!$J$12),OR(CETAK!$J$13="",$H568=CETAK!$J$13),OR(CETAK!$J$14="",$O568=CETAK!$J$14)),MAX($X$3:X567)+1,""))</f>
        <v/>
      </c>
      <c r="Y568" s="40" t="str">
        <f aca="false">IF($B568="","",IF(AND(OR(ABSENSI!$H$10="",$E568=ABSENSI!$H$10),OR(ABSENSI!$H$11="",$F568=ABSENSI!$H$11),OR(ABSENSI!$H$12="",$K568=ABSENSI!$H$12)),MAX($Y$3:Y567)+1,""))</f>
        <v/>
      </c>
      <c r="Z568" s="40" t="str">
        <f aca="false">IF($B568="","",IF(AND(OR(KARTU!$K$6="",$E568=KARTU!$K$6),OR(KARTU!$K$7="",$F568=KARTU!$K$7),OR(KARTU!$K$8="",$K568=KARTU!$K$8)),MAX($Z$3:Z567)+1,""))</f>
        <v/>
      </c>
    </row>
    <row r="569" customFormat="false" ht="15" hidden="false" customHeight="false" outlineLevel="0" collapsed="false">
      <c r="A569" s="36" t="str">
        <f aca="false">IF($B569="","",COUNTA($B$4:$B569))</f>
        <v/>
      </c>
      <c r="B569" s="37"/>
      <c r="C569" s="38"/>
      <c r="D569" s="39"/>
      <c r="E569" s="37"/>
      <c r="F569" s="39"/>
      <c r="G569" s="40" t="str">
        <f aca="false">IF(OR($E569="",$F569=""),"",$E569&amp;" - RT "&amp;$F569)</f>
        <v/>
      </c>
      <c r="H569" s="37"/>
      <c r="I569" s="38"/>
      <c r="J569" s="37"/>
      <c r="K569" s="39"/>
      <c r="L569" s="41"/>
      <c r="M569" s="36" t="str">
        <f aca="true">IF(OR($B569="",$L569=""),"",DATEDIF($L569,TODAY(),"Y"))</f>
        <v/>
      </c>
      <c r="N569" s="40" t="str">
        <f aca="false">IF($M569="","",INDEX(usia_label,MATCH($M569,usia_min,1)))</f>
        <v/>
      </c>
      <c r="O569" s="37"/>
      <c r="P569" s="41"/>
      <c r="Q569" s="37"/>
      <c r="R569" s="37"/>
      <c r="S569" s="40" t="str">
        <f aca="false">IF($G569="","",$G569&amp;"#"&amp;COUNTIF($G$4:$G569,$G569))</f>
        <v/>
      </c>
      <c r="T569" s="40" t="str">
        <f aca="false">IF($B569="","",IF($C569="","NIK kosong",IF(LEN($C569)&lt;&gt;16,"NIK bukan 16 digit",IF(COUNTIF($C$4:$C$2003,$C569&amp;"*")&gt;1,"NIK ganda",IF($E569="","Kadus kosong",IF($F569="","RT kosong",IF($H569="","Jabatan kosong",IF($I569="","No. HP kosong",IF($J569="","Alamat kosong",IF(AND($M569&lt;&gt;"",$M569&lt;17),"Usia di bawah 17",""))))))))))</f>
        <v/>
      </c>
      <c r="U569" s="40" t="str">
        <f aca="false">IF($B569="","",IF(AND(OR(CARI!$C$5="",ISNUMBER(SEARCH(CARI!$C$5,$B569&amp;" "&amp;$C569&amp;" "&amp;$I569&amp;" "&amp;$J569&amp;" "&amp;$Q569))),OR(CARI!$C$6="",$E569=CARI!$C$6),OR(CARI!$C$7="",$F569=CARI!$C$7),OR(CARI!$C$8="",$O569=CARI!$C$8)),MAX($U$3:U568)+1,""))</f>
        <v/>
      </c>
      <c r="V569" s="40" t="str">
        <f aca="false">IF($T569="","",MAX($V$3:V568)+1)</f>
        <v/>
      </c>
      <c r="W569" s="40" t="str">
        <f aca="false">IF($E569="","",$E569&amp;"#"&amp;COUNTIF($E$4:$E569,$E569))</f>
        <v/>
      </c>
      <c r="X569" s="40" t="str">
        <f aca="false">IF($B569="","",IF(AND(OR(CETAK!$J$10="",$E569=CETAK!$J$10),OR(CETAK!$J$11="",$F569=CETAK!$J$11),OR(CETAK!$J$12="",$K569=CETAK!$J$12),OR(CETAK!$J$13="",$H569=CETAK!$J$13),OR(CETAK!$J$14="",$O569=CETAK!$J$14)),MAX($X$3:X568)+1,""))</f>
        <v/>
      </c>
      <c r="Y569" s="40" t="str">
        <f aca="false">IF($B569="","",IF(AND(OR(ABSENSI!$H$10="",$E569=ABSENSI!$H$10),OR(ABSENSI!$H$11="",$F569=ABSENSI!$H$11),OR(ABSENSI!$H$12="",$K569=ABSENSI!$H$12)),MAX($Y$3:Y568)+1,""))</f>
        <v/>
      </c>
      <c r="Z569" s="40" t="str">
        <f aca="false">IF($B569="","",IF(AND(OR(KARTU!$K$6="",$E569=KARTU!$K$6),OR(KARTU!$K$7="",$F569=KARTU!$K$7),OR(KARTU!$K$8="",$K569=KARTU!$K$8)),MAX($Z$3:Z568)+1,""))</f>
        <v/>
      </c>
    </row>
    <row r="570" customFormat="false" ht="15" hidden="false" customHeight="false" outlineLevel="0" collapsed="false">
      <c r="A570" s="36" t="str">
        <f aca="false">IF($B570="","",COUNTA($B$4:$B570))</f>
        <v/>
      </c>
      <c r="B570" s="37"/>
      <c r="C570" s="38"/>
      <c r="D570" s="39"/>
      <c r="E570" s="37"/>
      <c r="F570" s="39"/>
      <c r="G570" s="40" t="str">
        <f aca="false">IF(OR($E570="",$F570=""),"",$E570&amp;" - RT "&amp;$F570)</f>
        <v/>
      </c>
      <c r="H570" s="37"/>
      <c r="I570" s="38"/>
      <c r="J570" s="37"/>
      <c r="K570" s="39"/>
      <c r="L570" s="41"/>
      <c r="M570" s="36" t="str">
        <f aca="true">IF(OR($B570="",$L570=""),"",DATEDIF($L570,TODAY(),"Y"))</f>
        <v/>
      </c>
      <c r="N570" s="40" t="str">
        <f aca="false">IF($M570="","",INDEX(usia_label,MATCH($M570,usia_min,1)))</f>
        <v/>
      </c>
      <c r="O570" s="37"/>
      <c r="P570" s="41"/>
      <c r="Q570" s="37"/>
      <c r="R570" s="37"/>
      <c r="S570" s="40" t="str">
        <f aca="false">IF($G570="","",$G570&amp;"#"&amp;COUNTIF($G$4:$G570,$G570))</f>
        <v/>
      </c>
      <c r="T570" s="40" t="str">
        <f aca="false">IF($B570="","",IF($C570="","NIK kosong",IF(LEN($C570)&lt;&gt;16,"NIK bukan 16 digit",IF(COUNTIF($C$4:$C$2003,$C570&amp;"*")&gt;1,"NIK ganda",IF($E570="","Kadus kosong",IF($F570="","RT kosong",IF($H570="","Jabatan kosong",IF($I570="","No. HP kosong",IF($J570="","Alamat kosong",IF(AND($M570&lt;&gt;"",$M570&lt;17),"Usia di bawah 17",""))))))))))</f>
        <v/>
      </c>
      <c r="U570" s="40" t="str">
        <f aca="false">IF($B570="","",IF(AND(OR(CARI!$C$5="",ISNUMBER(SEARCH(CARI!$C$5,$B570&amp;" "&amp;$C570&amp;" "&amp;$I570&amp;" "&amp;$J570&amp;" "&amp;$Q570))),OR(CARI!$C$6="",$E570=CARI!$C$6),OR(CARI!$C$7="",$F570=CARI!$C$7),OR(CARI!$C$8="",$O570=CARI!$C$8)),MAX($U$3:U569)+1,""))</f>
        <v/>
      </c>
      <c r="V570" s="40" t="str">
        <f aca="false">IF($T570="","",MAX($V$3:V569)+1)</f>
        <v/>
      </c>
      <c r="W570" s="40" t="str">
        <f aca="false">IF($E570="","",$E570&amp;"#"&amp;COUNTIF($E$4:$E570,$E570))</f>
        <v/>
      </c>
      <c r="X570" s="40" t="str">
        <f aca="false">IF($B570="","",IF(AND(OR(CETAK!$J$10="",$E570=CETAK!$J$10),OR(CETAK!$J$11="",$F570=CETAK!$J$11),OR(CETAK!$J$12="",$K570=CETAK!$J$12),OR(CETAK!$J$13="",$H570=CETAK!$J$13),OR(CETAK!$J$14="",$O570=CETAK!$J$14)),MAX($X$3:X569)+1,""))</f>
        <v/>
      </c>
      <c r="Y570" s="40" t="str">
        <f aca="false">IF($B570="","",IF(AND(OR(ABSENSI!$H$10="",$E570=ABSENSI!$H$10),OR(ABSENSI!$H$11="",$F570=ABSENSI!$H$11),OR(ABSENSI!$H$12="",$K570=ABSENSI!$H$12)),MAX($Y$3:Y569)+1,""))</f>
        <v/>
      </c>
      <c r="Z570" s="40" t="str">
        <f aca="false">IF($B570="","",IF(AND(OR(KARTU!$K$6="",$E570=KARTU!$K$6),OR(KARTU!$K$7="",$F570=KARTU!$K$7),OR(KARTU!$K$8="",$K570=KARTU!$K$8)),MAX($Z$3:Z569)+1,""))</f>
        <v/>
      </c>
    </row>
    <row r="571" customFormat="false" ht="15" hidden="false" customHeight="false" outlineLevel="0" collapsed="false">
      <c r="A571" s="36" t="str">
        <f aca="false">IF($B571="","",COUNTA($B$4:$B571))</f>
        <v/>
      </c>
      <c r="B571" s="37"/>
      <c r="C571" s="38"/>
      <c r="D571" s="39"/>
      <c r="E571" s="37"/>
      <c r="F571" s="39"/>
      <c r="G571" s="40" t="str">
        <f aca="false">IF(OR($E571="",$F571=""),"",$E571&amp;" - RT "&amp;$F571)</f>
        <v/>
      </c>
      <c r="H571" s="37"/>
      <c r="I571" s="38"/>
      <c r="J571" s="37"/>
      <c r="K571" s="39"/>
      <c r="L571" s="41"/>
      <c r="M571" s="36" t="str">
        <f aca="true">IF(OR($B571="",$L571=""),"",DATEDIF($L571,TODAY(),"Y"))</f>
        <v/>
      </c>
      <c r="N571" s="40" t="str">
        <f aca="false">IF($M571="","",INDEX(usia_label,MATCH($M571,usia_min,1)))</f>
        <v/>
      </c>
      <c r="O571" s="37"/>
      <c r="P571" s="41"/>
      <c r="Q571" s="37"/>
      <c r="R571" s="37"/>
      <c r="S571" s="40" t="str">
        <f aca="false">IF($G571="","",$G571&amp;"#"&amp;COUNTIF($G$4:$G571,$G571))</f>
        <v/>
      </c>
      <c r="T571" s="40" t="str">
        <f aca="false">IF($B571="","",IF($C571="","NIK kosong",IF(LEN($C571)&lt;&gt;16,"NIK bukan 16 digit",IF(COUNTIF($C$4:$C$2003,$C571&amp;"*")&gt;1,"NIK ganda",IF($E571="","Kadus kosong",IF($F571="","RT kosong",IF($H571="","Jabatan kosong",IF($I571="","No. HP kosong",IF($J571="","Alamat kosong",IF(AND($M571&lt;&gt;"",$M571&lt;17),"Usia di bawah 17",""))))))))))</f>
        <v/>
      </c>
      <c r="U571" s="40" t="str">
        <f aca="false">IF($B571="","",IF(AND(OR(CARI!$C$5="",ISNUMBER(SEARCH(CARI!$C$5,$B571&amp;" "&amp;$C571&amp;" "&amp;$I571&amp;" "&amp;$J571&amp;" "&amp;$Q571))),OR(CARI!$C$6="",$E571=CARI!$C$6),OR(CARI!$C$7="",$F571=CARI!$C$7),OR(CARI!$C$8="",$O571=CARI!$C$8)),MAX($U$3:U570)+1,""))</f>
        <v/>
      </c>
      <c r="V571" s="40" t="str">
        <f aca="false">IF($T571="","",MAX($V$3:V570)+1)</f>
        <v/>
      </c>
      <c r="W571" s="40" t="str">
        <f aca="false">IF($E571="","",$E571&amp;"#"&amp;COUNTIF($E$4:$E571,$E571))</f>
        <v/>
      </c>
      <c r="X571" s="40" t="str">
        <f aca="false">IF($B571="","",IF(AND(OR(CETAK!$J$10="",$E571=CETAK!$J$10),OR(CETAK!$J$11="",$F571=CETAK!$J$11),OR(CETAK!$J$12="",$K571=CETAK!$J$12),OR(CETAK!$J$13="",$H571=CETAK!$J$13),OR(CETAK!$J$14="",$O571=CETAK!$J$14)),MAX($X$3:X570)+1,""))</f>
        <v/>
      </c>
      <c r="Y571" s="40" t="str">
        <f aca="false">IF($B571="","",IF(AND(OR(ABSENSI!$H$10="",$E571=ABSENSI!$H$10),OR(ABSENSI!$H$11="",$F571=ABSENSI!$H$11),OR(ABSENSI!$H$12="",$K571=ABSENSI!$H$12)),MAX($Y$3:Y570)+1,""))</f>
        <v/>
      </c>
      <c r="Z571" s="40" t="str">
        <f aca="false">IF($B571="","",IF(AND(OR(KARTU!$K$6="",$E571=KARTU!$K$6),OR(KARTU!$K$7="",$F571=KARTU!$K$7),OR(KARTU!$K$8="",$K571=KARTU!$K$8)),MAX($Z$3:Z570)+1,""))</f>
        <v/>
      </c>
    </row>
    <row r="572" customFormat="false" ht="15" hidden="false" customHeight="false" outlineLevel="0" collapsed="false">
      <c r="A572" s="36" t="str">
        <f aca="false">IF($B572="","",COUNTA($B$4:$B572))</f>
        <v/>
      </c>
      <c r="B572" s="37"/>
      <c r="C572" s="38"/>
      <c r="D572" s="39"/>
      <c r="E572" s="37"/>
      <c r="F572" s="39"/>
      <c r="G572" s="40" t="str">
        <f aca="false">IF(OR($E572="",$F572=""),"",$E572&amp;" - RT "&amp;$F572)</f>
        <v/>
      </c>
      <c r="H572" s="37"/>
      <c r="I572" s="38"/>
      <c r="J572" s="37"/>
      <c r="K572" s="39"/>
      <c r="L572" s="41"/>
      <c r="M572" s="36" t="str">
        <f aca="true">IF(OR($B572="",$L572=""),"",DATEDIF($L572,TODAY(),"Y"))</f>
        <v/>
      </c>
      <c r="N572" s="40" t="str">
        <f aca="false">IF($M572="","",INDEX(usia_label,MATCH($M572,usia_min,1)))</f>
        <v/>
      </c>
      <c r="O572" s="37"/>
      <c r="P572" s="41"/>
      <c r="Q572" s="37"/>
      <c r="R572" s="37"/>
      <c r="S572" s="40" t="str">
        <f aca="false">IF($G572="","",$G572&amp;"#"&amp;COUNTIF($G$4:$G572,$G572))</f>
        <v/>
      </c>
      <c r="T572" s="40" t="str">
        <f aca="false">IF($B572="","",IF($C572="","NIK kosong",IF(LEN($C572)&lt;&gt;16,"NIK bukan 16 digit",IF(COUNTIF($C$4:$C$2003,$C572&amp;"*")&gt;1,"NIK ganda",IF($E572="","Kadus kosong",IF($F572="","RT kosong",IF($H572="","Jabatan kosong",IF($I572="","No. HP kosong",IF($J572="","Alamat kosong",IF(AND($M572&lt;&gt;"",$M572&lt;17),"Usia di bawah 17",""))))))))))</f>
        <v/>
      </c>
      <c r="U572" s="40" t="str">
        <f aca="false">IF($B572="","",IF(AND(OR(CARI!$C$5="",ISNUMBER(SEARCH(CARI!$C$5,$B572&amp;" "&amp;$C572&amp;" "&amp;$I572&amp;" "&amp;$J572&amp;" "&amp;$Q572))),OR(CARI!$C$6="",$E572=CARI!$C$6),OR(CARI!$C$7="",$F572=CARI!$C$7),OR(CARI!$C$8="",$O572=CARI!$C$8)),MAX($U$3:U571)+1,""))</f>
        <v/>
      </c>
      <c r="V572" s="40" t="str">
        <f aca="false">IF($T572="","",MAX($V$3:V571)+1)</f>
        <v/>
      </c>
      <c r="W572" s="40" t="str">
        <f aca="false">IF($E572="","",$E572&amp;"#"&amp;COUNTIF($E$4:$E572,$E572))</f>
        <v/>
      </c>
      <c r="X572" s="40" t="str">
        <f aca="false">IF($B572="","",IF(AND(OR(CETAK!$J$10="",$E572=CETAK!$J$10),OR(CETAK!$J$11="",$F572=CETAK!$J$11),OR(CETAK!$J$12="",$K572=CETAK!$J$12),OR(CETAK!$J$13="",$H572=CETAK!$J$13),OR(CETAK!$J$14="",$O572=CETAK!$J$14)),MAX($X$3:X571)+1,""))</f>
        <v/>
      </c>
      <c r="Y572" s="40" t="str">
        <f aca="false">IF($B572="","",IF(AND(OR(ABSENSI!$H$10="",$E572=ABSENSI!$H$10),OR(ABSENSI!$H$11="",$F572=ABSENSI!$H$11),OR(ABSENSI!$H$12="",$K572=ABSENSI!$H$12)),MAX($Y$3:Y571)+1,""))</f>
        <v/>
      </c>
      <c r="Z572" s="40" t="str">
        <f aca="false">IF($B572="","",IF(AND(OR(KARTU!$K$6="",$E572=KARTU!$K$6),OR(KARTU!$K$7="",$F572=KARTU!$K$7),OR(KARTU!$K$8="",$K572=KARTU!$K$8)),MAX($Z$3:Z571)+1,""))</f>
        <v/>
      </c>
    </row>
    <row r="573" customFormat="false" ht="15" hidden="false" customHeight="false" outlineLevel="0" collapsed="false">
      <c r="A573" s="36" t="str">
        <f aca="false">IF($B573="","",COUNTA($B$4:$B573))</f>
        <v/>
      </c>
      <c r="B573" s="37"/>
      <c r="C573" s="38"/>
      <c r="D573" s="39"/>
      <c r="E573" s="37"/>
      <c r="F573" s="39"/>
      <c r="G573" s="40" t="str">
        <f aca="false">IF(OR($E573="",$F573=""),"",$E573&amp;" - RT "&amp;$F573)</f>
        <v/>
      </c>
      <c r="H573" s="37"/>
      <c r="I573" s="38"/>
      <c r="J573" s="37"/>
      <c r="K573" s="39"/>
      <c r="L573" s="41"/>
      <c r="M573" s="36" t="str">
        <f aca="true">IF(OR($B573="",$L573=""),"",DATEDIF($L573,TODAY(),"Y"))</f>
        <v/>
      </c>
      <c r="N573" s="40" t="str">
        <f aca="false">IF($M573="","",INDEX(usia_label,MATCH($M573,usia_min,1)))</f>
        <v/>
      </c>
      <c r="O573" s="37"/>
      <c r="P573" s="41"/>
      <c r="Q573" s="37"/>
      <c r="R573" s="37"/>
      <c r="S573" s="40" t="str">
        <f aca="false">IF($G573="","",$G573&amp;"#"&amp;COUNTIF($G$4:$G573,$G573))</f>
        <v/>
      </c>
      <c r="T573" s="40" t="str">
        <f aca="false">IF($B573="","",IF($C573="","NIK kosong",IF(LEN($C573)&lt;&gt;16,"NIK bukan 16 digit",IF(COUNTIF($C$4:$C$2003,$C573&amp;"*")&gt;1,"NIK ganda",IF($E573="","Kadus kosong",IF($F573="","RT kosong",IF($H573="","Jabatan kosong",IF($I573="","No. HP kosong",IF($J573="","Alamat kosong",IF(AND($M573&lt;&gt;"",$M573&lt;17),"Usia di bawah 17",""))))))))))</f>
        <v/>
      </c>
      <c r="U573" s="40" t="str">
        <f aca="false">IF($B573="","",IF(AND(OR(CARI!$C$5="",ISNUMBER(SEARCH(CARI!$C$5,$B573&amp;" "&amp;$C573&amp;" "&amp;$I573&amp;" "&amp;$J573&amp;" "&amp;$Q573))),OR(CARI!$C$6="",$E573=CARI!$C$6),OR(CARI!$C$7="",$F573=CARI!$C$7),OR(CARI!$C$8="",$O573=CARI!$C$8)),MAX($U$3:U572)+1,""))</f>
        <v/>
      </c>
      <c r="V573" s="40" t="str">
        <f aca="false">IF($T573="","",MAX($V$3:V572)+1)</f>
        <v/>
      </c>
      <c r="W573" s="40" t="str">
        <f aca="false">IF($E573="","",$E573&amp;"#"&amp;COUNTIF($E$4:$E573,$E573))</f>
        <v/>
      </c>
      <c r="X573" s="40" t="str">
        <f aca="false">IF($B573="","",IF(AND(OR(CETAK!$J$10="",$E573=CETAK!$J$10),OR(CETAK!$J$11="",$F573=CETAK!$J$11),OR(CETAK!$J$12="",$K573=CETAK!$J$12),OR(CETAK!$J$13="",$H573=CETAK!$J$13),OR(CETAK!$J$14="",$O573=CETAK!$J$14)),MAX($X$3:X572)+1,""))</f>
        <v/>
      </c>
      <c r="Y573" s="40" t="str">
        <f aca="false">IF($B573="","",IF(AND(OR(ABSENSI!$H$10="",$E573=ABSENSI!$H$10),OR(ABSENSI!$H$11="",$F573=ABSENSI!$H$11),OR(ABSENSI!$H$12="",$K573=ABSENSI!$H$12)),MAX($Y$3:Y572)+1,""))</f>
        <v/>
      </c>
      <c r="Z573" s="40" t="str">
        <f aca="false">IF($B573="","",IF(AND(OR(KARTU!$K$6="",$E573=KARTU!$K$6),OR(KARTU!$K$7="",$F573=KARTU!$K$7),OR(KARTU!$K$8="",$K573=KARTU!$K$8)),MAX($Z$3:Z572)+1,""))</f>
        <v/>
      </c>
    </row>
    <row r="574" customFormat="false" ht="15" hidden="false" customHeight="false" outlineLevel="0" collapsed="false">
      <c r="A574" s="36" t="str">
        <f aca="false">IF($B574="","",COUNTA($B$4:$B574))</f>
        <v/>
      </c>
      <c r="B574" s="37"/>
      <c r="C574" s="38"/>
      <c r="D574" s="39"/>
      <c r="E574" s="37"/>
      <c r="F574" s="39"/>
      <c r="G574" s="40" t="str">
        <f aca="false">IF(OR($E574="",$F574=""),"",$E574&amp;" - RT "&amp;$F574)</f>
        <v/>
      </c>
      <c r="H574" s="37"/>
      <c r="I574" s="38"/>
      <c r="J574" s="37"/>
      <c r="K574" s="39"/>
      <c r="L574" s="41"/>
      <c r="M574" s="36" t="str">
        <f aca="true">IF(OR($B574="",$L574=""),"",DATEDIF($L574,TODAY(),"Y"))</f>
        <v/>
      </c>
      <c r="N574" s="40" t="str">
        <f aca="false">IF($M574="","",INDEX(usia_label,MATCH($M574,usia_min,1)))</f>
        <v/>
      </c>
      <c r="O574" s="37"/>
      <c r="P574" s="41"/>
      <c r="Q574" s="37"/>
      <c r="R574" s="37"/>
      <c r="S574" s="40" t="str">
        <f aca="false">IF($G574="","",$G574&amp;"#"&amp;COUNTIF($G$4:$G574,$G574))</f>
        <v/>
      </c>
      <c r="T574" s="40" t="str">
        <f aca="false">IF($B574="","",IF($C574="","NIK kosong",IF(LEN($C574)&lt;&gt;16,"NIK bukan 16 digit",IF(COUNTIF($C$4:$C$2003,$C574&amp;"*")&gt;1,"NIK ganda",IF($E574="","Kadus kosong",IF($F574="","RT kosong",IF($H574="","Jabatan kosong",IF($I574="","No. HP kosong",IF($J574="","Alamat kosong",IF(AND($M574&lt;&gt;"",$M574&lt;17),"Usia di bawah 17",""))))))))))</f>
        <v/>
      </c>
      <c r="U574" s="40" t="str">
        <f aca="false">IF($B574="","",IF(AND(OR(CARI!$C$5="",ISNUMBER(SEARCH(CARI!$C$5,$B574&amp;" "&amp;$C574&amp;" "&amp;$I574&amp;" "&amp;$J574&amp;" "&amp;$Q574))),OR(CARI!$C$6="",$E574=CARI!$C$6),OR(CARI!$C$7="",$F574=CARI!$C$7),OR(CARI!$C$8="",$O574=CARI!$C$8)),MAX($U$3:U573)+1,""))</f>
        <v/>
      </c>
      <c r="V574" s="40" t="str">
        <f aca="false">IF($T574="","",MAX($V$3:V573)+1)</f>
        <v/>
      </c>
      <c r="W574" s="40" t="str">
        <f aca="false">IF($E574="","",$E574&amp;"#"&amp;COUNTIF($E$4:$E574,$E574))</f>
        <v/>
      </c>
      <c r="X574" s="40" t="str">
        <f aca="false">IF($B574="","",IF(AND(OR(CETAK!$J$10="",$E574=CETAK!$J$10),OR(CETAK!$J$11="",$F574=CETAK!$J$11),OR(CETAK!$J$12="",$K574=CETAK!$J$12),OR(CETAK!$J$13="",$H574=CETAK!$J$13),OR(CETAK!$J$14="",$O574=CETAK!$J$14)),MAX($X$3:X573)+1,""))</f>
        <v/>
      </c>
      <c r="Y574" s="40" t="str">
        <f aca="false">IF($B574="","",IF(AND(OR(ABSENSI!$H$10="",$E574=ABSENSI!$H$10),OR(ABSENSI!$H$11="",$F574=ABSENSI!$H$11),OR(ABSENSI!$H$12="",$K574=ABSENSI!$H$12)),MAX($Y$3:Y573)+1,""))</f>
        <v/>
      </c>
      <c r="Z574" s="40" t="str">
        <f aca="false">IF($B574="","",IF(AND(OR(KARTU!$K$6="",$E574=KARTU!$K$6),OR(KARTU!$K$7="",$F574=KARTU!$K$7),OR(KARTU!$K$8="",$K574=KARTU!$K$8)),MAX($Z$3:Z573)+1,""))</f>
        <v/>
      </c>
    </row>
    <row r="575" customFormat="false" ht="15" hidden="false" customHeight="false" outlineLevel="0" collapsed="false">
      <c r="A575" s="36" t="str">
        <f aca="false">IF($B575="","",COUNTA($B$4:$B575))</f>
        <v/>
      </c>
      <c r="B575" s="37"/>
      <c r="C575" s="38"/>
      <c r="D575" s="39"/>
      <c r="E575" s="37"/>
      <c r="F575" s="39"/>
      <c r="G575" s="40" t="str">
        <f aca="false">IF(OR($E575="",$F575=""),"",$E575&amp;" - RT "&amp;$F575)</f>
        <v/>
      </c>
      <c r="H575" s="37"/>
      <c r="I575" s="38"/>
      <c r="J575" s="37"/>
      <c r="K575" s="39"/>
      <c r="L575" s="41"/>
      <c r="M575" s="36" t="str">
        <f aca="true">IF(OR($B575="",$L575=""),"",DATEDIF($L575,TODAY(),"Y"))</f>
        <v/>
      </c>
      <c r="N575" s="40" t="str">
        <f aca="false">IF($M575="","",INDEX(usia_label,MATCH($M575,usia_min,1)))</f>
        <v/>
      </c>
      <c r="O575" s="37"/>
      <c r="P575" s="41"/>
      <c r="Q575" s="37"/>
      <c r="R575" s="37"/>
      <c r="S575" s="40" t="str">
        <f aca="false">IF($G575="","",$G575&amp;"#"&amp;COUNTIF($G$4:$G575,$G575))</f>
        <v/>
      </c>
      <c r="T575" s="40" t="str">
        <f aca="false">IF($B575="","",IF($C575="","NIK kosong",IF(LEN($C575)&lt;&gt;16,"NIK bukan 16 digit",IF(COUNTIF($C$4:$C$2003,$C575&amp;"*")&gt;1,"NIK ganda",IF($E575="","Kadus kosong",IF($F575="","RT kosong",IF($H575="","Jabatan kosong",IF($I575="","No. HP kosong",IF($J575="","Alamat kosong",IF(AND($M575&lt;&gt;"",$M575&lt;17),"Usia di bawah 17",""))))))))))</f>
        <v/>
      </c>
      <c r="U575" s="40" t="str">
        <f aca="false">IF($B575="","",IF(AND(OR(CARI!$C$5="",ISNUMBER(SEARCH(CARI!$C$5,$B575&amp;" "&amp;$C575&amp;" "&amp;$I575&amp;" "&amp;$J575&amp;" "&amp;$Q575))),OR(CARI!$C$6="",$E575=CARI!$C$6),OR(CARI!$C$7="",$F575=CARI!$C$7),OR(CARI!$C$8="",$O575=CARI!$C$8)),MAX($U$3:U574)+1,""))</f>
        <v/>
      </c>
      <c r="V575" s="40" t="str">
        <f aca="false">IF($T575="","",MAX($V$3:V574)+1)</f>
        <v/>
      </c>
      <c r="W575" s="40" t="str">
        <f aca="false">IF($E575="","",$E575&amp;"#"&amp;COUNTIF($E$4:$E575,$E575))</f>
        <v/>
      </c>
      <c r="X575" s="40" t="str">
        <f aca="false">IF($B575="","",IF(AND(OR(CETAK!$J$10="",$E575=CETAK!$J$10),OR(CETAK!$J$11="",$F575=CETAK!$J$11),OR(CETAK!$J$12="",$K575=CETAK!$J$12),OR(CETAK!$J$13="",$H575=CETAK!$J$13),OR(CETAK!$J$14="",$O575=CETAK!$J$14)),MAX($X$3:X574)+1,""))</f>
        <v/>
      </c>
      <c r="Y575" s="40" t="str">
        <f aca="false">IF($B575="","",IF(AND(OR(ABSENSI!$H$10="",$E575=ABSENSI!$H$10),OR(ABSENSI!$H$11="",$F575=ABSENSI!$H$11),OR(ABSENSI!$H$12="",$K575=ABSENSI!$H$12)),MAX($Y$3:Y574)+1,""))</f>
        <v/>
      </c>
      <c r="Z575" s="40" t="str">
        <f aca="false">IF($B575="","",IF(AND(OR(KARTU!$K$6="",$E575=KARTU!$K$6),OR(KARTU!$K$7="",$F575=KARTU!$K$7),OR(KARTU!$K$8="",$K575=KARTU!$K$8)),MAX($Z$3:Z574)+1,""))</f>
        <v/>
      </c>
    </row>
    <row r="576" customFormat="false" ht="15" hidden="false" customHeight="false" outlineLevel="0" collapsed="false">
      <c r="A576" s="36" t="str">
        <f aca="false">IF($B576="","",COUNTA($B$4:$B576))</f>
        <v/>
      </c>
      <c r="B576" s="37"/>
      <c r="C576" s="38"/>
      <c r="D576" s="39"/>
      <c r="E576" s="37"/>
      <c r="F576" s="39"/>
      <c r="G576" s="40" t="str">
        <f aca="false">IF(OR($E576="",$F576=""),"",$E576&amp;" - RT "&amp;$F576)</f>
        <v/>
      </c>
      <c r="H576" s="37"/>
      <c r="I576" s="38"/>
      <c r="J576" s="37"/>
      <c r="K576" s="39"/>
      <c r="L576" s="41"/>
      <c r="M576" s="36" t="str">
        <f aca="true">IF(OR($B576="",$L576=""),"",DATEDIF($L576,TODAY(),"Y"))</f>
        <v/>
      </c>
      <c r="N576" s="40" t="str">
        <f aca="false">IF($M576="","",INDEX(usia_label,MATCH($M576,usia_min,1)))</f>
        <v/>
      </c>
      <c r="O576" s="37"/>
      <c r="P576" s="41"/>
      <c r="Q576" s="37"/>
      <c r="R576" s="37"/>
      <c r="S576" s="40" t="str">
        <f aca="false">IF($G576="","",$G576&amp;"#"&amp;COUNTIF($G$4:$G576,$G576))</f>
        <v/>
      </c>
      <c r="T576" s="40" t="str">
        <f aca="false">IF($B576="","",IF($C576="","NIK kosong",IF(LEN($C576)&lt;&gt;16,"NIK bukan 16 digit",IF(COUNTIF($C$4:$C$2003,$C576&amp;"*")&gt;1,"NIK ganda",IF($E576="","Kadus kosong",IF($F576="","RT kosong",IF($H576="","Jabatan kosong",IF($I576="","No. HP kosong",IF($J576="","Alamat kosong",IF(AND($M576&lt;&gt;"",$M576&lt;17),"Usia di bawah 17",""))))))))))</f>
        <v/>
      </c>
      <c r="U576" s="40" t="str">
        <f aca="false">IF($B576="","",IF(AND(OR(CARI!$C$5="",ISNUMBER(SEARCH(CARI!$C$5,$B576&amp;" "&amp;$C576&amp;" "&amp;$I576&amp;" "&amp;$J576&amp;" "&amp;$Q576))),OR(CARI!$C$6="",$E576=CARI!$C$6),OR(CARI!$C$7="",$F576=CARI!$C$7),OR(CARI!$C$8="",$O576=CARI!$C$8)),MAX($U$3:U575)+1,""))</f>
        <v/>
      </c>
      <c r="V576" s="40" t="str">
        <f aca="false">IF($T576="","",MAX($V$3:V575)+1)</f>
        <v/>
      </c>
      <c r="W576" s="40" t="str">
        <f aca="false">IF($E576="","",$E576&amp;"#"&amp;COUNTIF($E$4:$E576,$E576))</f>
        <v/>
      </c>
      <c r="X576" s="40" t="str">
        <f aca="false">IF($B576="","",IF(AND(OR(CETAK!$J$10="",$E576=CETAK!$J$10),OR(CETAK!$J$11="",$F576=CETAK!$J$11),OR(CETAK!$J$12="",$K576=CETAK!$J$12),OR(CETAK!$J$13="",$H576=CETAK!$J$13),OR(CETAK!$J$14="",$O576=CETAK!$J$14)),MAX($X$3:X575)+1,""))</f>
        <v/>
      </c>
      <c r="Y576" s="40" t="str">
        <f aca="false">IF($B576="","",IF(AND(OR(ABSENSI!$H$10="",$E576=ABSENSI!$H$10),OR(ABSENSI!$H$11="",$F576=ABSENSI!$H$11),OR(ABSENSI!$H$12="",$K576=ABSENSI!$H$12)),MAX($Y$3:Y575)+1,""))</f>
        <v/>
      </c>
      <c r="Z576" s="40" t="str">
        <f aca="false">IF($B576="","",IF(AND(OR(KARTU!$K$6="",$E576=KARTU!$K$6),OR(KARTU!$K$7="",$F576=KARTU!$K$7),OR(KARTU!$K$8="",$K576=KARTU!$K$8)),MAX($Z$3:Z575)+1,""))</f>
        <v/>
      </c>
    </row>
    <row r="577" customFormat="false" ht="15" hidden="false" customHeight="false" outlineLevel="0" collapsed="false">
      <c r="A577" s="36" t="str">
        <f aca="false">IF($B577="","",COUNTA($B$4:$B577))</f>
        <v/>
      </c>
      <c r="B577" s="37"/>
      <c r="C577" s="38"/>
      <c r="D577" s="39"/>
      <c r="E577" s="37"/>
      <c r="F577" s="39"/>
      <c r="G577" s="40" t="str">
        <f aca="false">IF(OR($E577="",$F577=""),"",$E577&amp;" - RT "&amp;$F577)</f>
        <v/>
      </c>
      <c r="H577" s="37"/>
      <c r="I577" s="38"/>
      <c r="J577" s="37"/>
      <c r="K577" s="39"/>
      <c r="L577" s="41"/>
      <c r="M577" s="36" t="str">
        <f aca="true">IF(OR($B577="",$L577=""),"",DATEDIF($L577,TODAY(),"Y"))</f>
        <v/>
      </c>
      <c r="N577" s="40" t="str">
        <f aca="false">IF($M577="","",INDEX(usia_label,MATCH($M577,usia_min,1)))</f>
        <v/>
      </c>
      <c r="O577" s="37"/>
      <c r="P577" s="41"/>
      <c r="Q577" s="37"/>
      <c r="R577" s="37"/>
      <c r="S577" s="40" t="str">
        <f aca="false">IF($G577="","",$G577&amp;"#"&amp;COUNTIF($G$4:$G577,$G577))</f>
        <v/>
      </c>
      <c r="T577" s="40" t="str">
        <f aca="false">IF($B577="","",IF($C577="","NIK kosong",IF(LEN($C577)&lt;&gt;16,"NIK bukan 16 digit",IF(COUNTIF($C$4:$C$2003,$C577&amp;"*")&gt;1,"NIK ganda",IF($E577="","Kadus kosong",IF($F577="","RT kosong",IF($H577="","Jabatan kosong",IF($I577="","No. HP kosong",IF($J577="","Alamat kosong",IF(AND($M577&lt;&gt;"",$M577&lt;17),"Usia di bawah 17",""))))))))))</f>
        <v/>
      </c>
      <c r="U577" s="40" t="str">
        <f aca="false">IF($B577="","",IF(AND(OR(CARI!$C$5="",ISNUMBER(SEARCH(CARI!$C$5,$B577&amp;" "&amp;$C577&amp;" "&amp;$I577&amp;" "&amp;$J577&amp;" "&amp;$Q577))),OR(CARI!$C$6="",$E577=CARI!$C$6),OR(CARI!$C$7="",$F577=CARI!$C$7),OR(CARI!$C$8="",$O577=CARI!$C$8)),MAX($U$3:U576)+1,""))</f>
        <v/>
      </c>
      <c r="V577" s="40" t="str">
        <f aca="false">IF($T577="","",MAX($V$3:V576)+1)</f>
        <v/>
      </c>
      <c r="W577" s="40" t="str">
        <f aca="false">IF($E577="","",$E577&amp;"#"&amp;COUNTIF($E$4:$E577,$E577))</f>
        <v/>
      </c>
      <c r="X577" s="40" t="str">
        <f aca="false">IF($B577="","",IF(AND(OR(CETAK!$J$10="",$E577=CETAK!$J$10),OR(CETAK!$J$11="",$F577=CETAK!$J$11),OR(CETAK!$J$12="",$K577=CETAK!$J$12),OR(CETAK!$J$13="",$H577=CETAK!$J$13),OR(CETAK!$J$14="",$O577=CETAK!$J$14)),MAX($X$3:X576)+1,""))</f>
        <v/>
      </c>
      <c r="Y577" s="40" t="str">
        <f aca="false">IF($B577="","",IF(AND(OR(ABSENSI!$H$10="",$E577=ABSENSI!$H$10),OR(ABSENSI!$H$11="",$F577=ABSENSI!$H$11),OR(ABSENSI!$H$12="",$K577=ABSENSI!$H$12)),MAX($Y$3:Y576)+1,""))</f>
        <v/>
      </c>
      <c r="Z577" s="40" t="str">
        <f aca="false">IF($B577="","",IF(AND(OR(KARTU!$K$6="",$E577=KARTU!$K$6),OR(KARTU!$K$7="",$F577=KARTU!$K$7),OR(KARTU!$K$8="",$K577=KARTU!$K$8)),MAX($Z$3:Z576)+1,""))</f>
        <v/>
      </c>
    </row>
    <row r="578" customFormat="false" ht="15" hidden="false" customHeight="false" outlineLevel="0" collapsed="false">
      <c r="A578" s="36" t="str">
        <f aca="false">IF($B578="","",COUNTA($B$4:$B578))</f>
        <v/>
      </c>
      <c r="B578" s="37"/>
      <c r="C578" s="38"/>
      <c r="D578" s="39"/>
      <c r="E578" s="37"/>
      <c r="F578" s="39"/>
      <c r="G578" s="40" t="str">
        <f aca="false">IF(OR($E578="",$F578=""),"",$E578&amp;" - RT "&amp;$F578)</f>
        <v/>
      </c>
      <c r="H578" s="37"/>
      <c r="I578" s="38"/>
      <c r="J578" s="37"/>
      <c r="K578" s="39"/>
      <c r="L578" s="41"/>
      <c r="M578" s="36" t="str">
        <f aca="true">IF(OR($B578="",$L578=""),"",DATEDIF($L578,TODAY(),"Y"))</f>
        <v/>
      </c>
      <c r="N578" s="40" t="str">
        <f aca="false">IF($M578="","",INDEX(usia_label,MATCH($M578,usia_min,1)))</f>
        <v/>
      </c>
      <c r="O578" s="37"/>
      <c r="P578" s="41"/>
      <c r="Q578" s="37"/>
      <c r="R578" s="37"/>
      <c r="S578" s="40" t="str">
        <f aca="false">IF($G578="","",$G578&amp;"#"&amp;COUNTIF($G$4:$G578,$G578))</f>
        <v/>
      </c>
      <c r="T578" s="40" t="str">
        <f aca="false">IF($B578="","",IF($C578="","NIK kosong",IF(LEN($C578)&lt;&gt;16,"NIK bukan 16 digit",IF(COUNTIF($C$4:$C$2003,$C578&amp;"*")&gt;1,"NIK ganda",IF($E578="","Kadus kosong",IF($F578="","RT kosong",IF($H578="","Jabatan kosong",IF($I578="","No. HP kosong",IF($J578="","Alamat kosong",IF(AND($M578&lt;&gt;"",$M578&lt;17),"Usia di bawah 17",""))))))))))</f>
        <v/>
      </c>
      <c r="U578" s="40" t="str">
        <f aca="false">IF($B578="","",IF(AND(OR(CARI!$C$5="",ISNUMBER(SEARCH(CARI!$C$5,$B578&amp;" "&amp;$C578&amp;" "&amp;$I578&amp;" "&amp;$J578&amp;" "&amp;$Q578))),OR(CARI!$C$6="",$E578=CARI!$C$6),OR(CARI!$C$7="",$F578=CARI!$C$7),OR(CARI!$C$8="",$O578=CARI!$C$8)),MAX($U$3:U577)+1,""))</f>
        <v/>
      </c>
      <c r="V578" s="40" t="str">
        <f aca="false">IF($T578="","",MAX($V$3:V577)+1)</f>
        <v/>
      </c>
      <c r="W578" s="40" t="str">
        <f aca="false">IF($E578="","",$E578&amp;"#"&amp;COUNTIF($E$4:$E578,$E578))</f>
        <v/>
      </c>
      <c r="X578" s="40" t="str">
        <f aca="false">IF($B578="","",IF(AND(OR(CETAK!$J$10="",$E578=CETAK!$J$10),OR(CETAK!$J$11="",$F578=CETAK!$J$11),OR(CETAK!$J$12="",$K578=CETAK!$J$12),OR(CETAK!$J$13="",$H578=CETAK!$J$13),OR(CETAK!$J$14="",$O578=CETAK!$J$14)),MAX($X$3:X577)+1,""))</f>
        <v/>
      </c>
      <c r="Y578" s="40" t="str">
        <f aca="false">IF($B578="","",IF(AND(OR(ABSENSI!$H$10="",$E578=ABSENSI!$H$10),OR(ABSENSI!$H$11="",$F578=ABSENSI!$H$11),OR(ABSENSI!$H$12="",$K578=ABSENSI!$H$12)),MAX($Y$3:Y577)+1,""))</f>
        <v/>
      </c>
      <c r="Z578" s="40" t="str">
        <f aca="false">IF($B578="","",IF(AND(OR(KARTU!$K$6="",$E578=KARTU!$K$6),OR(KARTU!$K$7="",$F578=KARTU!$K$7),OR(KARTU!$K$8="",$K578=KARTU!$K$8)),MAX($Z$3:Z577)+1,""))</f>
        <v/>
      </c>
    </row>
    <row r="579" customFormat="false" ht="15" hidden="false" customHeight="false" outlineLevel="0" collapsed="false">
      <c r="A579" s="36" t="str">
        <f aca="false">IF($B579="","",COUNTA($B$4:$B579))</f>
        <v/>
      </c>
      <c r="B579" s="37"/>
      <c r="C579" s="38"/>
      <c r="D579" s="39"/>
      <c r="E579" s="37"/>
      <c r="F579" s="39"/>
      <c r="G579" s="40" t="str">
        <f aca="false">IF(OR($E579="",$F579=""),"",$E579&amp;" - RT "&amp;$F579)</f>
        <v/>
      </c>
      <c r="H579" s="37"/>
      <c r="I579" s="38"/>
      <c r="J579" s="37"/>
      <c r="K579" s="39"/>
      <c r="L579" s="41"/>
      <c r="M579" s="36" t="str">
        <f aca="true">IF(OR($B579="",$L579=""),"",DATEDIF($L579,TODAY(),"Y"))</f>
        <v/>
      </c>
      <c r="N579" s="40" t="str">
        <f aca="false">IF($M579="","",INDEX(usia_label,MATCH($M579,usia_min,1)))</f>
        <v/>
      </c>
      <c r="O579" s="37"/>
      <c r="P579" s="41"/>
      <c r="Q579" s="37"/>
      <c r="R579" s="37"/>
      <c r="S579" s="40" t="str">
        <f aca="false">IF($G579="","",$G579&amp;"#"&amp;COUNTIF($G$4:$G579,$G579))</f>
        <v/>
      </c>
      <c r="T579" s="40" t="str">
        <f aca="false">IF($B579="","",IF($C579="","NIK kosong",IF(LEN($C579)&lt;&gt;16,"NIK bukan 16 digit",IF(COUNTIF($C$4:$C$2003,$C579&amp;"*")&gt;1,"NIK ganda",IF($E579="","Kadus kosong",IF($F579="","RT kosong",IF($H579="","Jabatan kosong",IF($I579="","No. HP kosong",IF($J579="","Alamat kosong",IF(AND($M579&lt;&gt;"",$M579&lt;17),"Usia di bawah 17",""))))))))))</f>
        <v/>
      </c>
      <c r="U579" s="40" t="str">
        <f aca="false">IF($B579="","",IF(AND(OR(CARI!$C$5="",ISNUMBER(SEARCH(CARI!$C$5,$B579&amp;" "&amp;$C579&amp;" "&amp;$I579&amp;" "&amp;$J579&amp;" "&amp;$Q579))),OR(CARI!$C$6="",$E579=CARI!$C$6),OR(CARI!$C$7="",$F579=CARI!$C$7),OR(CARI!$C$8="",$O579=CARI!$C$8)),MAX($U$3:U578)+1,""))</f>
        <v/>
      </c>
      <c r="V579" s="40" t="str">
        <f aca="false">IF($T579="","",MAX($V$3:V578)+1)</f>
        <v/>
      </c>
      <c r="W579" s="40" t="str">
        <f aca="false">IF($E579="","",$E579&amp;"#"&amp;COUNTIF($E$4:$E579,$E579))</f>
        <v/>
      </c>
      <c r="X579" s="40" t="str">
        <f aca="false">IF($B579="","",IF(AND(OR(CETAK!$J$10="",$E579=CETAK!$J$10),OR(CETAK!$J$11="",$F579=CETAK!$J$11),OR(CETAK!$J$12="",$K579=CETAK!$J$12),OR(CETAK!$J$13="",$H579=CETAK!$J$13),OR(CETAK!$J$14="",$O579=CETAK!$J$14)),MAX($X$3:X578)+1,""))</f>
        <v/>
      </c>
      <c r="Y579" s="40" t="str">
        <f aca="false">IF($B579="","",IF(AND(OR(ABSENSI!$H$10="",$E579=ABSENSI!$H$10),OR(ABSENSI!$H$11="",$F579=ABSENSI!$H$11),OR(ABSENSI!$H$12="",$K579=ABSENSI!$H$12)),MAX($Y$3:Y578)+1,""))</f>
        <v/>
      </c>
      <c r="Z579" s="40" t="str">
        <f aca="false">IF($B579="","",IF(AND(OR(KARTU!$K$6="",$E579=KARTU!$K$6),OR(KARTU!$K$7="",$F579=KARTU!$K$7),OR(KARTU!$K$8="",$K579=KARTU!$K$8)),MAX($Z$3:Z578)+1,""))</f>
        <v/>
      </c>
    </row>
    <row r="580" customFormat="false" ht="15" hidden="false" customHeight="false" outlineLevel="0" collapsed="false">
      <c r="A580" s="36" t="str">
        <f aca="false">IF($B580="","",COUNTA($B$4:$B580))</f>
        <v/>
      </c>
      <c r="B580" s="37"/>
      <c r="C580" s="38"/>
      <c r="D580" s="39"/>
      <c r="E580" s="37"/>
      <c r="F580" s="39"/>
      <c r="G580" s="40" t="str">
        <f aca="false">IF(OR($E580="",$F580=""),"",$E580&amp;" - RT "&amp;$F580)</f>
        <v/>
      </c>
      <c r="H580" s="37"/>
      <c r="I580" s="38"/>
      <c r="J580" s="37"/>
      <c r="K580" s="39"/>
      <c r="L580" s="41"/>
      <c r="M580" s="36" t="str">
        <f aca="true">IF(OR($B580="",$L580=""),"",DATEDIF($L580,TODAY(),"Y"))</f>
        <v/>
      </c>
      <c r="N580" s="40" t="str">
        <f aca="false">IF($M580="","",INDEX(usia_label,MATCH($M580,usia_min,1)))</f>
        <v/>
      </c>
      <c r="O580" s="37"/>
      <c r="P580" s="41"/>
      <c r="Q580" s="37"/>
      <c r="R580" s="37"/>
      <c r="S580" s="40" t="str">
        <f aca="false">IF($G580="","",$G580&amp;"#"&amp;COUNTIF($G$4:$G580,$G580))</f>
        <v/>
      </c>
      <c r="T580" s="40" t="str">
        <f aca="false">IF($B580="","",IF($C580="","NIK kosong",IF(LEN($C580)&lt;&gt;16,"NIK bukan 16 digit",IF(COUNTIF($C$4:$C$2003,$C580&amp;"*")&gt;1,"NIK ganda",IF($E580="","Kadus kosong",IF($F580="","RT kosong",IF($H580="","Jabatan kosong",IF($I580="","No. HP kosong",IF($J580="","Alamat kosong",IF(AND($M580&lt;&gt;"",$M580&lt;17),"Usia di bawah 17",""))))))))))</f>
        <v/>
      </c>
      <c r="U580" s="40" t="str">
        <f aca="false">IF($B580="","",IF(AND(OR(CARI!$C$5="",ISNUMBER(SEARCH(CARI!$C$5,$B580&amp;" "&amp;$C580&amp;" "&amp;$I580&amp;" "&amp;$J580&amp;" "&amp;$Q580))),OR(CARI!$C$6="",$E580=CARI!$C$6),OR(CARI!$C$7="",$F580=CARI!$C$7),OR(CARI!$C$8="",$O580=CARI!$C$8)),MAX($U$3:U579)+1,""))</f>
        <v/>
      </c>
      <c r="V580" s="40" t="str">
        <f aca="false">IF($T580="","",MAX($V$3:V579)+1)</f>
        <v/>
      </c>
      <c r="W580" s="40" t="str">
        <f aca="false">IF($E580="","",$E580&amp;"#"&amp;COUNTIF($E$4:$E580,$E580))</f>
        <v/>
      </c>
      <c r="X580" s="40" t="str">
        <f aca="false">IF($B580="","",IF(AND(OR(CETAK!$J$10="",$E580=CETAK!$J$10),OR(CETAK!$J$11="",$F580=CETAK!$J$11),OR(CETAK!$J$12="",$K580=CETAK!$J$12),OR(CETAK!$J$13="",$H580=CETAK!$J$13),OR(CETAK!$J$14="",$O580=CETAK!$J$14)),MAX($X$3:X579)+1,""))</f>
        <v/>
      </c>
      <c r="Y580" s="40" t="str">
        <f aca="false">IF($B580="","",IF(AND(OR(ABSENSI!$H$10="",$E580=ABSENSI!$H$10),OR(ABSENSI!$H$11="",$F580=ABSENSI!$H$11),OR(ABSENSI!$H$12="",$K580=ABSENSI!$H$12)),MAX($Y$3:Y579)+1,""))</f>
        <v/>
      </c>
      <c r="Z580" s="40" t="str">
        <f aca="false">IF($B580="","",IF(AND(OR(KARTU!$K$6="",$E580=KARTU!$K$6),OR(KARTU!$K$7="",$F580=KARTU!$K$7),OR(KARTU!$K$8="",$K580=KARTU!$K$8)),MAX($Z$3:Z579)+1,""))</f>
        <v/>
      </c>
    </row>
    <row r="581" customFormat="false" ht="15" hidden="false" customHeight="false" outlineLevel="0" collapsed="false">
      <c r="A581" s="36" t="str">
        <f aca="false">IF($B581="","",COUNTA($B$4:$B581))</f>
        <v/>
      </c>
      <c r="B581" s="37"/>
      <c r="C581" s="38"/>
      <c r="D581" s="39"/>
      <c r="E581" s="37"/>
      <c r="F581" s="39"/>
      <c r="G581" s="40" t="str">
        <f aca="false">IF(OR($E581="",$F581=""),"",$E581&amp;" - RT "&amp;$F581)</f>
        <v/>
      </c>
      <c r="H581" s="37"/>
      <c r="I581" s="38"/>
      <c r="J581" s="37"/>
      <c r="K581" s="39"/>
      <c r="L581" s="41"/>
      <c r="M581" s="36" t="str">
        <f aca="true">IF(OR($B581="",$L581=""),"",DATEDIF($L581,TODAY(),"Y"))</f>
        <v/>
      </c>
      <c r="N581" s="40" t="str">
        <f aca="false">IF($M581="","",INDEX(usia_label,MATCH($M581,usia_min,1)))</f>
        <v/>
      </c>
      <c r="O581" s="37"/>
      <c r="P581" s="41"/>
      <c r="Q581" s="37"/>
      <c r="R581" s="37"/>
      <c r="S581" s="40" t="str">
        <f aca="false">IF($G581="","",$G581&amp;"#"&amp;COUNTIF($G$4:$G581,$G581))</f>
        <v/>
      </c>
      <c r="T581" s="40" t="str">
        <f aca="false">IF($B581="","",IF($C581="","NIK kosong",IF(LEN($C581)&lt;&gt;16,"NIK bukan 16 digit",IF(COUNTIF($C$4:$C$2003,$C581&amp;"*")&gt;1,"NIK ganda",IF($E581="","Kadus kosong",IF($F581="","RT kosong",IF($H581="","Jabatan kosong",IF($I581="","No. HP kosong",IF($J581="","Alamat kosong",IF(AND($M581&lt;&gt;"",$M581&lt;17),"Usia di bawah 17",""))))))))))</f>
        <v/>
      </c>
      <c r="U581" s="40" t="str">
        <f aca="false">IF($B581="","",IF(AND(OR(CARI!$C$5="",ISNUMBER(SEARCH(CARI!$C$5,$B581&amp;" "&amp;$C581&amp;" "&amp;$I581&amp;" "&amp;$J581&amp;" "&amp;$Q581))),OR(CARI!$C$6="",$E581=CARI!$C$6),OR(CARI!$C$7="",$F581=CARI!$C$7),OR(CARI!$C$8="",$O581=CARI!$C$8)),MAX($U$3:U580)+1,""))</f>
        <v/>
      </c>
      <c r="V581" s="40" t="str">
        <f aca="false">IF($T581="","",MAX($V$3:V580)+1)</f>
        <v/>
      </c>
      <c r="W581" s="40" t="str">
        <f aca="false">IF($E581="","",$E581&amp;"#"&amp;COUNTIF($E$4:$E581,$E581))</f>
        <v/>
      </c>
      <c r="X581" s="40" t="str">
        <f aca="false">IF($B581="","",IF(AND(OR(CETAK!$J$10="",$E581=CETAK!$J$10),OR(CETAK!$J$11="",$F581=CETAK!$J$11),OR(CETAK!$J$12="",$K581=CETAK!$J$12),OR(CETAK!$J$13="",$H581=CETAK!$J$13),OR(CETAK!$J$14="",$O581=CETAK!$J$14)),MAX($X$3:X580)+1,""))</f>
        <v/>
      </c>
      <c r="Y581" s="40" t="str">
        <f aca="false">IF($B581="","",IF(AND(OR(ABSENSI!$H$10="",$E581=ABSENSI!$H$10),OR(ABSENSI!$H$11="",$F581=ABSENSI!$H$11),OR(ABSENSI!$H$12="",$K581=ABSENSI!$H$12)),MAX($Y$3:Y580)+1,""))</f>
        <v/>
      </c>
      <c r="Z581" s="40" t="str">
        <f aca="false">IF($B581="","",IF(AND(OR(KARTU!$K$6="",$E581=KARTU!$K$6),OR(KARTU!$K$7="",$F581=KARTU!$K$7),OR(KARTU!$K$8="",$K581=KARTU!$K$8)),MAX($Z$3:Z580)+1,""))</f>
        <v/>
      </c>
    </row>
    <row r="582" customFormat="false" ht="15" hidden="false" customHeight="false" outlineLevel="0" collapsed="false">
      <c r="A582" s="36" t="str">
        <f aca="false">IF($B582="","",COUNTA($B$4:$B582))</f>
        <v/>
      </c>
      <c r="B582" s="37"/>
      <c r="C582" s="38"/>
      <c r="D582" s="39"/>
      <c r="E582" s="37"/>
      <c r="F582" s="39"/>
      <c r="G582" s="40" t="str">
        <f aca="false">IF(OR($E582="",$F582=""),"",$E582&amp;" - RT "&amp;$F582)</f>
        <v/>
      </c>
      <c r="H582" s="37"/>
      <c r="I582" s="38"/>
      <c r="J582" s="37"/>
      <c r="K582" s="39"/>
      <c r="L582" s="41"/>
      <c r="M582" s="36" t="str">
        <f aca="true">IF(OR($B582="",$L582=""),"",DATEDIF($L582,TODAY(),"Y"))</f>
        <v/>
      </c>
      <c r="N582" s="40" t="str">
        <f aca="false">IF($M582="","",INDEX(usia_label,MATCH($M582,usia_min,1)))</f>
        <v/>
      </c>
      <c r="O582" s="37"/>
      <c r="P582" s="41"/>
      <c r="Q582" s="37"/>
      <c r="R582" s="37"/>
      <c r="S582" s="40" t="str">
        <f aca="false">IF($G582="","",$G582&amp;"#"&amp;COUNTIF($G$4:$G582,$G582))</f>
        <v/>
      </c>
      <c r="T582" s="40" t="str">
        <f aca="false">IF($B582="","",IF($C582="","NIK kosong",IF(LEN($C582)&lt;&gt;16,"NIK bukan 16 digit",IF(COUNTIF($C$4:$C$2003,$C582&amp;"*")&gt;1,"NIK ganda",IF($E582="","Kadus kosong",IF($F582="","RT kosong",IF($H582="","Jabatan kosong",IF($I582="","No. HP kosong",IF($J582="","Alamat kosong",IF(AND($M582&lt;&gt;"",$M582&lt;17),"Usia di bawah 17",""))))))))))</f>
        <v/>
      </c>
      <c r="U582" s="40" t="str">
        <f aca="false">IF($B582="","",IF(AND(OR(CARI!$C$5="",ISNUMBER(SEARCH(CARI!$C$5,$B582&amp;" "&amp;$C582&amp;" "&amp;$I582&amp;" "&amp;$J582&amp;" "&amp;$Q582))),OR(CARI!$C$6="",$E582=CARI!$C$6),OR(CARI!$C$7="",$F582=CARI!$C$7),OR(CARI!$C$8="",$O582=CARI!$C$8)),MAX($U$3:U581)+1,""))</f>
        <v/>
      </c>
      <c r="V582" s="40" t="str">
        <f aca="false">IF($T582="","",MAX($V$3:V581)+1)</f>
        <v/>
      </c>
      <c r="W582" s="40" t="str">
        <f aca="false">IF($E582="","",$E582&amp;"#"&amp;COUNTIF($E$4:$E582,$E582))</f>
        <v/>
      </c>
      <c r="X582" s="40" t="str">
        <f aca="false">IF($B582="","",IF(AND(OR(CETAK!$J$10="",$E582=CETAK!$J$10),OR(CETAK!$J$11="",$F582=CETAK!$J$11),OR(CETAK!$J$12="",$K582=CETAK!$J$12),OR(CETAK!$J$13="",$H582=CETAK!$J$13),OR(CETAK!$J$14="",$O582=CETAK!$J$14)),MAX($X$3:X581)+1,""))</f>
        <v/>
      </c>
      <c r="Y582" s="40" t="str">
        <f aca="false">IF($B582="","",IF(AND(OR(ABSENSI!$H$10="",$E582=ABSENSI!$H$10),OR(ABSENSI!$H$11="",$F582=ABSENSI!$H$11),OR(ABSENSI!$H$12="",$K582=ABSENSI!$H$12)),MAX($Y$3:Y581)+1,""))</f>
        <v/>
      </c>
      <c r="Z582" s="40" t="str">
        <f aca="false">IF($B582="","",IF(AND(OR(KARTU!$K$6="",$E582=KARTU!$K$6),OR(KARTU!$K$7="",$F582=KARTU!$K$7),OR(KARTU!$K$8="",$K582=KARTU!$K$8)),MAX($Z$3:Z581)+1,""))</f>
        <v/>
      </c>
    </row>
    <row r="583" customFormat="false" ht="15" hidden="false" customHeight="false" outlineLevel="0" collapsed="false">
      <c r="A583" s="36" t="str">
        <f aca="false">IF($B583="","",COUNTA($B$4:$B583))</f>
        <v/>
      </c>
      <c r="B583" s="37"/>
      <c r="C583" s="38"/>
      <c r="D583" s="39"/>
      <c r="E583" s="37"/>
      <c r="F583" s="39"/>
      <c r="G583" s="40" t="str">
        <f aca="false">IF(OR($E583="",$F583=""),"",$E583&amp;" - RT "&amp;$F583)</f>
        <v/>
      </c>
      <c r="H583" s="37"/>
      <c r="I583" s="38"/>
      <c r="J583" s="37"/>
      <c r="K583" s="39"/>
      <c r="L583" s="41"/>
      <c r="M583" s="36" t="str">
        <f aca="true">IF(OR($B583="",$L583=""),"",DATEDIF($L583,TODAY(),"Y"))</f>
        <v/>
      </c>
      <c r="N583" s="40" t="str">
        <f aca="false">IF($M583="","",INDEX(usia_label,MATCH($M583,usia_min,1)))</f>
        <v/>
      </c>
      <c r="O583" s="37"/>
      <c r="P583" s="41"/>
      <c r="Q583" s="37"/>
      <c r="R583" s="37"/>
      <c r="S583" s="40" t="str">
        <f aca="false">IF($G583="","",$G583&amp;"#"&amp;COUNTIF($G$4:$G583,$G583))</f>
        <v/>
      </c>
      <c r="T583" s="40" t="str">
        <f aca="false">IF($B583="","",IF($C583="","NIK kosong",IF(LEN($C583)&lt;&gt;16,"NIK bukan 16 digit",IF(COUNTIF($C$4:$C$2003,$C583&amp;"*")&gt;1,"NIK ganda",IF($E583="","Kadus kosong",IF($F583="","RT kosong",IF($H583="","Jabatan kosong",IF($I583="","No. HP kosong",IF($J583="","Alamat kosong",IF(AND($M583&lt;&gt;"",$M583&lt;17),"Usia di bawah 17",""))))))))))</f>
        <v/>
      </c>
      <c r="U583" s="40" t="str">
        <f aca="false">IF($B583="","",IF(AND(OR(CARI!$C$5="",ISNUMBER(SEARCH(CARI!$C$5,$B583&amp;" "&amp;$C583&amp;" "&amp;$I583&amp;" "&amp;$J583&amp;" "&amp;$Q583))),OR(CARI!$C$6="",$E583=CARI!$C$6),OR(CARI!$C$7="",$F583=CARI!$C$7),OR(CARI!$C$8="",$O583=CARI!$C$8)),MAX($U$3:U582)+1,""))</f>
        <v/>
      </c>
      <c r="V583" s="40" t="str">
        <f aca="false">IF($T583="","",MAX($V$3:V582)+1)</f>
        <v/>
      </c>
      <c r="W583" s="40" t="str">
        <f aca="false">IF($E583="","",$E583&amp;"#"&amp;COUNTIF($E$4:$E583,$E583))</f>
        <v/>
      </c>
      <c r="X583" s="40" t="str">
        <f aca="false">IF($B583="","",IF(AND(OR(CETAK!$J$10="",$E583=CETAK!$J$10),OR(CETAK!$J$11="",$F583=CETAK!$J$11),OR(CETAK!$J$12="",$K583=CETAK!$J$12),OR(CETAK!$J$13="",$H583=CETAK!$J$13),OR(CETAK!$J$14="",$O583=CETAK!$J$14)),MAX($X$3:X582)+1,""))</f>
        <v/>
      </c>
      <c r="Y583" s="40" t="str">
        <f aca="false">IF($B583="","",IF(AND(OR(ABSENSI!$H$10="",$E583=ABSENSI!$H$10),OR(ABSENSI!$H$11="",$F583=ABSENSI!$H$11),OR(ABSENSI!$H$12="",$K583=ABSENSI!$H$12)),MAX($Y$3:Y582)+1,""))</f>
        <v/>
      </c>
      <c r="Z583" s="40" t="str">
        <f aca="false">IF($B583="","",IF(AND(OR(KARTU!$K$6="",$E583=KARTU!$K$6),OR(KARTU!$K$7="",$F583=KARTU!$K$7),OR(KARTU!$K$8="",$K583=KARTU!$K$8)),MAX($Z$3:Z582)+1,""))</f>
        <v/>
      </c>
    </row>
    <row r="584" customFormat="false" ht="15" hidden="false" customHeight="false" outlineLevel="0" collapsed="false">
      <c r="A584" s="36" t="str">
        <f aca="false">IF($B584="","",COUNTA($B$4:$B584))</f>
        <v/>
      </c>
      <c r="B584" s="37"/>
      <c r="C584" s="38"/>
      <c r="D584" s="39"/>
      <c r="E584" s="37"/>
      <c r="F584" s="39"/>
      <c r="G584" s="40" t="str">
        <f aca="false">IF(OR($E584="",$F584=""),"",$E584&amp;" - RT "&amp;$F584)</f>
        <v/>
      </c>
      <c r="H584" s="37"/>
      <c r="I584" s="38"/>
      <c r="J584" s="37"/>
      <c r="K584" s="39"/>
      <c r="L584" s="41"/>
      <c r="M584" s="36" t="str">
        <f aca="true">IF(OR($B584="",$L584=""),"",DATEDIF($L584,TODAY(),"Y"))</f>
        <v/>
      </c>
      <c r="N584" s="40" t="str">
        <f aca="false">IF($M584="","",INDEX(usia_label,MATCH($M584,usia_min,1)))</f>
        <v/>
      </c>
      <c r="O584" s="37"/>
      <c r="P584" s="41"/>
      <c r="Q584" s="37"/>
      <c r="R584" s="37"/>
      <c r="S584" s="40" t="str">
        <f aca="false">IF($G584="","",$G584&amp;"#"&amp;COUNTIF($G$4:$G584,$G584))</f>
        <v/>
      </c>
      <c r="T584" s="40" t="str">
        <f aca="false">IF($B584="","",IF($C584="","NIK kosong",IF(LEN($C584)&lt;&gt;16,"NIK bukan 16 digit",IF(COUNTIF($C$4:$C$2003,$C584&amp;"*")&gt;1,"NIK ganda",IF($E584="","Kadus kosong",IF($F584="","RT kosong",IF($H584="","Jabatan kosong",IF($I584="","No. HP kosong",IF($J584="","Alamat kosong",IF(AND($M584&lt;&gt;"",$M584&lt;17),"Usia di bawah 17",""))))))))))</f>
        <v/>
      </c>
      <c r="U584" s="40" t="str">
        <f aca="false">IF($B584="","",IF(AND(OR(CARI!$C$5="",ISNUMBER(SEARCH(CARI!$C$5,$B584&amp;" "&amp;$C584&amp;" "&amp;$I584&amp;" "&amp;$J584&amp;" "&amp;$Q584))),OR(CARI!$C$6="",$E584=CARI!$C$6),OR(CARI!$C$7="",$F584=CARI!$C$7),OR(CARI!$C$8="",$O584=CARI!$C$8)),MAX($U$3:U583)+1,""))</f>
        <v/>
      </c>
      <c r="V584" s="40" t="str">
        <f aca="false">IF($T584="","",MAX($V$3:V583)+1)</f>
        <v/>
      </c>
      <c r="W584" s="40" t="str">
        <f aca="false">IF($E584="","",$E584&amp;"#"&amp;COUNTIF($E$4:$E584,$E584))</f>
        <v/>
      </c>
      <c r="X584" s="40" t="str">
        <f aca="false">IF($B584="","",IF(AND(OR(CETAK!$J$10="",$E584=CETAK!$J$10),OR(CETAK!$J$11="",$F584=CETAK!$J$11),OR(CETAK!$J$12="",$K584=CETAK!$J$12),OR(CETAK!$J$13="",$H584=CETAK!$J$13),OR(CETAK!$J$14="",$O584=CETAK!$J$14)),MAX($X$3:X583)+1,""))</f>
        <v/>
      </c>
      <c r="Y584" s="40" t="str">
        <f aca="false">IF($B584="","",IF(AND(OR(ABSENSI!$H$10="",$E584=ABSENSI!$H$10),OR(ABSENSI!$H$11="",$F584=ABSENSI!$H$11),OR(ABSENSI!$H$12="",$K584=ABSENSI!$H$12)),MAX($Y$3:Y583)+1,""))</f>
        <v/>
      </c>
      <c r="Z584" s="40" t="str">
        <f aca="false">IF($B584="","",IF(AND(OR(KARTU!$K$6="",$E584=KARTU!$K$6),OR(KARTU!$K$7="",$F584=KARTU!$K$7),OR(KARTU!$K$8="",$K584=KARTU!$K$8)),MAX($Z$3:Z583)+1,""))</f>
        <v/>
      </c>
    </row>
    <row r="585" customFormat="false" ht="15" hidden="false" customHeight="false" outlineLevel="0" collapsed="false">
      <c r="A585" s="36" t="str">
        <f aca="false">IF($B585="","",COUNTA($B$4:$B585))</f>
        <v/>
      </c>
      <c r="B585" s="37"/>
      <c r="C585" s="38"/>
      <c r="D585" s="39"/>
      <c r="E585" s="37"/>
      <c r="F585" s="39"/>
      <c r="G585" s="40" t="str">
        <f aca="false">IF(OR($E585="",$F585=""),"",$E585&amp;" - RT "&amp;$F585)</f>
        <v/>
      </c>
      <c r="H585" s="37"/>
      <c r="I585" s="38"/>
      <c r="J585" s="37"/>
      <c r="K585" s="39"/>
      <c r="L585" s="41"/>
      <c r="M585" s="36" t="str">
        <f aca="true">IF(OR($B585="",$L585=""),"",DATEDIF($L585,TODAY(),"Y"))</f>
        <v/>
      </c>
      <c r="N585" s="40" t="str">
        <f aca="false">IF($M585="","",INDEX(usia_label,MATCH($M585,usia_min,1)))</f>
        <v/>
      </c>
      <c r="O585" s="37"/>
      <c r="P585" s="41"/>
      <c r="Q585" s="37"/>
      <c r="R585" s="37"/>
      <c r="S585" s="40" t="str">
        <f aca="false">IF($G585="","",$G585&amp;"#"&amp;COUNTIF($G$4:$G585,$G585))</f>
        <v/>
      </c>
      <c r="T585" s="40" t="str">
        <f aca="false">IF($B585="","",IF($C585="","NIK kosong",IF(LEN($C585)&lt;&gt;16,"NIK bukan 16 digit",IF(COUNTIF($C$4:$C$2003,$C585&amp;"*")&gt;1,"NIK ganda",IF($E585="","Kadus kosong",IF($F585="","RT kosong",IF($H585="","Jabatan kosong",IF($I585="","No. HP kosong",IF($J585="","Alamat kosong",IF(AND($M585&lt;&gt;"",$M585&lt;17),"Usia di bawah 17",""))))))))))</f>
        <v/>
      </c>
      <c r="U585" s="40" t="str">
        <f aca="false">IF($B585="","",IF(AND(OR(CARI!$C$5="",ISNUMBER(SEARCH(CARI!$C$5,$B585&amp;" "&amp;$C585&amp;" "&amp;$I585&amp;" "&amp;$J585&amp;" "&amp;$Q585))),OR(CARI!$C$6="",$E585=CARI!$C$6),OR(CARI!$C$7="",$F585=CARI!$C$7),OR(CARI!$C$8="",$O585=CARI!$C$8)),MAX($U$3:U584)+1,""))</f>
        <v/>
      </c>
      <c r="V585" s="40" t="str">
        <f aca="false">IF($T585="","",MAX($V$3:V584)+1)</f>
        <v/>
      </c>
      <c r="W585" s="40" t="str">
        <f aca="false">IF($E585="","",$E585&amp;"#"&amp;COUNTIF($E$4:$E585,$E585))</f>
        <v/>
      </c>
      <c r="X585" s="40" t="str">
        <f aca="false">IF($B585="","",IF(AND(OR(CETAK!$J$10="",$E585=CETAK!$J$10),OR(CETAK!$J$11="",$F585=CETAK!$J$11),OR(CETAK!$J$12="",$K585=CETAK!$J$12),OR(CETAK!$J$13="",$H585=CETAK!$J$13),OR(CETAK!$J$14="",$O585=CETAK!$J$14)),MAX($X$3:X584)+1,""))</f>
        <v/>
      </c>
      <c r="Y585" s="40" t="str">
        <f aca="false">IF($B585="","",IF(AND(OR(ABSENSI!$H$10="",$E585=ABSENSI!$H$10),OR(ABSENSI!$H$11="",$F585=ABSENSI!$H$11),OR(ABSENSI!$H$12="",$K585=ABSENSI!$H$12)),MAX($Y$3:Y584)+1,""))</f>
        <v/>
      </c>
      <c r="Z585" s="40" t="str">
        <f aca="false">IF($B585="","",IF(AND(OR(KARTU!$K$6="",$E585=KARTU!$K$6),OR(KARTU!$K$7="",$F585=KARTU!$K$7),OR(KARTU!$K$8="",$K585=KARTU!$K$8)),MAX($Z$3:Z584)+1,""))</f>
        <v/>
      </c>
    </row>
    <row r="586" customFormat="false" ht="15" hidden="false" customHeight="false" outlineLevel="0" collapsed="false">
      <c r="A586" s="36" t="str">
        <f aca="false">IF($B586="","",COUNTA($B$4:$B586))</f>
        <v/>
      </c>
      <c r="B586" s="37"/>
      <c r="C586" s="38"/>
      <c r="D586" s="39"/>
      <c r="E586" s="37"/>
      <c r="F586" s="39"/>
      <c r="G586" s="40" t="str">
        <f aca="false">IF(OR($E586="",$F586=""),"",$E586&amp;" - RT "&amp;$F586)</f>
        <v/>
      </c>
      <c r="H586" s="37"/>
      <c r="I586" s="38"/>
      <c r="J586" s="37"/>
      <c r="K586" s="39"/>
      <c r="L586" s="41"/>
      <c r="M586" s="36" t="str">
        <f aca="true">IF(OR($B586="",$L586=""),"",DATEDIF($L586,TODAY(),"Y"))</f>
        <v/>
      </c>
      <c r="N586" s="40" t="str">
        <f aca="false">IF($M586="","",INDEX(usia_label,MATCH($M586,usia_min,1)))</f>
        <v/>
      </c>
      <c r="O586" s="37"/>
      <c r="P586" s="41"/>
      <c r="Q586" s="37"/>
      <c r="R586" s="37"/>
      <c r="S586" s="40" t="str">
        <f aca="false">IF($G586="","",$G586&amp;"#"&amp;COUNTIF($G$4:$G586,$G586))</f>
        <v/>
      </c>
      <c r="T586" s="40" t="str">
        <f aca="false">IF($B586="","",IF($C586="","NIK kosong",IF(LEN($C586)&lt;&gt;16,"NIK bukan 16 digit",IF(COUNTIF($C$4:$C$2003,$C586&amp;"*")&gt;1,"NIK ganda",IF($E586="","Kadus kosong",IF($F586="","RT kosong",IF($H586="","Jabatan kosong",IF($I586="","No. HP kosong",IF($J586="","Alamat kosong",IF(AND($M586&lt;&gt;"",$M586&lt;17),"Usia di bawah 17",""))))))))))</f>
        <v/>
      </c>
      <c r="U586" s="40" t="str">
        <f aca="false">IF($B586="","",IF(AND(OR(CARI!$C$5="",ISNUMBER(SEARCH(CARI!$C$5,$B586&amp;" "&amp;$C586&amp;" "&amp;$I586&amp;" "&amp;$J586&amp;" "&amp;$Q586))),OR(CARI!$C$6="",$E586=CARI!$C$6),OR(CARI!$C$7="",$F586=CARI!$C$7),OR(CARI!$C$8="",$O586=CARI!$C$8)),MAX($U$3:U585)+1,""))</f>
        <v/>
      </c>
      <c r="V586" s="40" t="str">
        <f aca="false">IF($T586="","",MAX($V$3:V585)+1)</f>
        <v/>
      </c>
      <c r="W586" s="40" t="str">
        <f aca="false">IF($E586="","",$E586&amp;"#"&amp;COUNTIF($E$4:$E586,$E586))</f>
        <v/>
      </c>
      <c r="X586" s="40" t="str">
        <f aca="false">IF($B586="","",IF(AND(OR(CETAK!$J$10="",$E586=CETAK!$J$10),OR(CETAK!$J$11="",$F586=CETAK!$J$11),OR(CETAK!$J$12="",$K586=CETAK!$J$12),OR(CETAK!$J$13="",$H586=CETAK!$J$13),OR(CETAK!$J$14="",$O586=CETAK!$J$14)),MAX($X$3:X585)+1,""))</f>
        <v/>
      </c>
      <c r="Y586" s="40" t="str">
        <f aca="false">IF($B586="","",IF(AND(OR(ABSENSI!$H$10="",$E586=ABSENSI!$H$10),OR(ABSENSI!$H$11="",$F586=ABSENSI!$H$11),OR(ABSENSI!$H$12="",$K586=ABSENSI!$H$12)),MAX($Y$3:Y585)+1,""))</f>
        <v/>
      </c>
      <c r="Z586" s="40" t="str">
        <f aca="false">IF($B586="","",IF(AND(OR(KARTU!$K$6="",$E586=KARTU!$K$6),OR(KARTU!$K$7="",$F586=KARTU!$K$7),OR(KARTU!$K$8="",$K586=KARTU!$K$8)),MAX($Z$3:Z585)+1,""))</f>
        <v/>
      </c>
    </row>
    <row r="587" customFormat="false" ht="15" hidden="false" customHeight="false" outlineLevel="0" collapsed="false">
      <c r="A587" s="36" t="str">
        <f aca="false">IF($B587="","",COUNTA($B$4:$B587))</f>
        <v/>
      </c>
      <c r="B587" s="37"/>
      <c r="C587" s="38"/>
      <c r="D587" s="39"/>
      <c r="E587" s="37"/>
      <c r="F587" s="39"/>
      <c r="G587" s="40" t="str">
        <f aca="false">IF(OR($E587="",$F587=""),"",$E587&amp;" - RT "&amp;$F587)</f>
        <v/>
      </c>
      <c r="H587" s="37"/>
      <c r="I587" s="38"/>
      <c r="J587" s="37"/>
      <c r="K587" s="39"/>
      <c r="L587" s="41"/>
      <c r="M587" s="36" t="str">
        <f aca="true">IF(OR($B587="",$L587=""),"",DATEDIF($L587,TODAY(),"Y"))</f>
        <v/>
      </c>
      <c r="N587" s="40" t="str">
        <f aca="false">IF($M587="","",INDEX(usia_label,MATCH($M587,usia_min,1)))</f>
        <v/>
      </c>
      <c r="O587" s="37"/>
      <c r="P587" s="41"/>
      <c r="Q587" s="37"/>
      <c r="R587" s="37"/>
      <c r="S587" s="40" t="str">
        <f aca="false">IF($G587="","",$G587&amp;"#"&amp;COUNTIF($G$4:$G587,$G587))</f>
        <v/>
      </c>
      <c r="T587" s="40" t="str">
        <f aca="false">IF($B587="","",IF($C587="","NIK kosong",IF(LEN($C587)&lt;&gt;16,"NIK bukan 16 digit",IF(COUNTIF($C$4:$C$2003,$C587&amp;"*")&gt;1,"NIK ganda",IF($E587="","Kadus kosong",IF($F587="","RT kosong",IF($H587="","Jabatan kosong",IF($I587="","No. HP kosong",IF($J587="","Alamat kosong",IF(AND($M587&lt;&gt;"",$M587&lt;17),"Usia di bawah 17",""))))))))))</f>
        <v/>
      </c>
      <c r="U587" s="40" t="str">
        <f aca="false">IF($B587="","",IF(AND(OR(CARI!$C$5="",ISNUMBER(SEARCH(CARI!$C$5,$B587&amp;" "&amp;$C587&amp;" "&amp;$I587&amp;" "&amp;$J587&amp;" "&amp;$Q587))),OR(CARI!$C$6="",$E587=CARI!$C$6),OR(CARI!$C$7="",$F587=CARI!$C$7),OR(CARI!$C$8="",$O587=CARI!$C$8)),MAX($U$3:U586)+1,""))</f>
        <v/>
      </c>
      <c r="V587" s="40" t="str">
        <f aca="false">IF($T587="","",MAX($V$3:V586)+1)</f>
        <v/>
      </c>
      <c r="W587" s="40" t="str">
        <f aca="false">IF($E587="","",$E587&amp;"#"&amp;COUNTIF($E$4:$E587,$E587))</f>
        <v/>
      </c>
      <c r="X587" s="40" t="str">
        <f aca="false">IF($B587="","",IF(AND(OR(CETAK!$J$10="",$E587=CETAK!$J$10),OR(CETAK!$J$11="",$F587=CETAK!$J$11),OR(CETAK!$J$12="",$K587=CETAK!$J$12),OR(CETAK!$J$13="",$H587=CETAK!$J$13),OR(CETAK!$J$14="",$O587=CETAK!$J$14)),MAX($X$3:X586)+1,""))</f>
        <v/>
      </c>
      <c r="Y587" s="40" t="str">
        <f aca="false">IF($B587="","",IF(AND(OR(ABSENSI!$H$10="",$E587=ABSENSI!$H$10),OR(ABSENSI!$H$11="",$F587=ABSENSI!$H$11),OR(ABSENSI!$H$12="",$K587=ABSENSI!$H$12)),MAX($Y$3:Y586)+1,""))</f>
        <v/>
      </c>
      <c r="Z587" s="40" t="str">
        <f aca="false">IF($B587="","",IF(AND(OR(KARTU!$K$6="",$E587=KARTU!$K$6),OR(KARTU!$K$7="",$F587=KARTU!$K$7),OR(KARTU!$K$8="",$K587=KARTU!$K$8)),MAX($Z$3:Z586)+1,""))</f>
        <v/>
      </c>
    </row>
    <row r="588" customFormat="false" ht="15" hidden="false" customHeight="false" outlineLevel="0" collapsed="false">
      <c r="A588" s="36" t="str">
        <f aca="false">IF($B588="","",COUNTA($B$4:$B588))</f>
        <v/>
      </c>
      <c r="B588" s="37"/>
      <c r="C588" s="38"/>
      <c r="D588" s="39"/>
      <c r="E588" s="37"/>
      <c r="F588" s="39"/>
      <c r="G588" s="40" t="str">
        <f aca="false">IF(OR($E588="",$F588=""),"",$E588&amp;" - RT "&amp;$F588)</f>
        <v/>
      </c>
      <c r="H588" s="37"/>
      <c r="I588" s="38"/>
      <c r="J588" s="37"/>
      <c r="K588" s="39"/>
      <c r="L588" s="41"/>
      <c r="M588" s="36" t="str">
        <f aca="true">IF(OR($B588="",$L588=""),"",DATEDIF($L588,TODAY(),"Y"))</f>
        <v/>
      </c>
      <c r="N588" s="40" t="str">
        <f aca="false">IF($M588="","",INDEX(usia_label,MATCH($M588,usia_min,1)))</f>
        <v/>
      </c>
      <c r="O588" s="37"/>
      <c r="P588" s="41"/>
      <c r="Q588" s="37"/>
      <c r="R588" s="37"/>
      <c r="S588" s="40" t="str">
        <f aca="false">IF($G588="","",$G588&amp;"#"&amp;COUNTIF($G$4:$G588,$G588))</f>
        <v/>
      </c>
      <c r="T588" s="40" t="str">
        <f aca="false">IF($B588="","",IF($C588="","NIK kosong",IF(LEN($C588)&lt;&gt;16,"NIK bukan 16 digit",IF(COUNTIF($C$4:$C$2003,$C588&amp;"*")&gt;1,"NIK ganda",IF($E588="","Kadus kosong",IF($F588="","RT kosong",IF($H588="","Jabatan kosong",IF($I588="","No. HP kosong",IF($J588="","Alamat kosong",IF(AND($M588&lt;&gt;"",$M588&lt;17),"Usia di bawah 17",""))))))))))</f>
        <v/>
      </c>
      <c r="U588" s="40" t="str">
        <f aca="false">IF($B588="","",IF(AND(OR(CARI!$C$5="",ISNUMBER(SEARCH(CARI!$C$5,$B588&amp;" "&amp;$C588&amp;" "&amp;$I588&amp;" "&amp;$J588&amp;" "&amp;$Q588))),OR(CARI!$C$6="",$E588=CARI!$C$6),OR(CARI!$C$7="",$F588=CARI!$C$7),OR(CARI!$C$8="",$O588=CARI!$C$8)),MAX($U$3:U587)+1,""))</f>
        <v/>
      </c>
      <c r="V588" s="40" t="str">
        <f aca="false">IF($T588="","",MAX($V$3:V587)+1)</f>
        <v/>
      </c>
      <c r="W588" s="40" t="str">
        <f aca="false">IF($E588="","",$E588&amp;"#"&amp;COUNTIF($E$4:$E588,$E588))</f>
        <v/>
      </c>
      <c r="X588" s="40" t="str">
        <f aca="false">IF($B588="","",IF(AND(OR(CETAK!$J$10="",$E588=CETAK!$J$10),OR(CETAK!$J$11="",$F588=CETAK!$J$11),OR(CETAK!$J$12="",$K588=CETAK!$J$12),OR(CETAK!$J$13="",$H588=CETAK!$J$13),OR(CETAK!$J$14="",$O588=CETAK!$J$14)),MAX($X$3:X587)+1,""))</f>
        <v/>
      </c>
      <c r="Y588" s="40" t="str">
        <f aca="false">IF($B588="","",IF(AND(OR(ABSENSI!$H$10="",$E588=ABSENSI!$H$10),OR(ABSENSI!$H$11="",$F588=ABSENSI!$H$11),OR(ABSENSI!$H$12="",$K588=ABSENSI!$H$12)),MAX($Y$3:Y587)+1,""))</f>
        <v/>
      </c>
      <c r="Z588" s="40" t="str">
        <f aca="false">IF($B588="","",IF(AND(OR(KARTU!$K$6="",$E588=KARTU!$K$6),OR(KARTU!$K$7="",$F588=KARTU!$K$7),OR(KARTU!$K$8="",$K588=KARTU!$K$8)),MAX($Z$3:Z587)+1,""))</f>
        <v/>
      </c>
    </row>
    <row r="589" customFormat="false" ht="15" hidden="false" customHeight="false" outlineLevel="0" collapsed="false">
      <c r="A589" s="36" t="str">
        <f aca="false">IF($B589="","",COUNTA($B$4:$B589))</f>
        <v/>
      </c>
      <c r="B589" s="37"/>
      <c r="C589" s="38"/>
      <c r="D589" s="39"/>
      <c r="E589" s="37"/>
      <c r="F589" s="39"/>
      <c r="G589" s="40" t="str">
        <f aca="false">IF(OR($E589="",$F589=""),"",$E589&amp;" - RT "&amp;$F589)</f>
        <v/>
      </c>
      <c r="H589" s="37"/>
      <c r="I589" s="38"/>
      <c r="J589" s="37"/>
      <c r="K589" s="39"/>
      <c r="L589" s="41"/>
      <c r="M589" s="36" t="str">
        <f aca="true">IF(OR($B589="",$L589=""),"",DATEDIF($L589,TODAY(),"Y"))</f>
        <v/>
      </c>
      <c r="N589" s="40" t="str">
        <f aca="false">IF($M589="","",INDEX(usia_label,MATCH($M589,usia_min,1)))</f>
        <v/>
      </c>
      <c r="O589" s="37"/>
      <c r="P589" s="41"/>
      <c r="Q589" s="37"/>
      <c r="R589" s="37"/>
      <c r="S589" s="40" t="str">
        <f aca="false">IF($G589="","",$G589&amp;"#"&amp;COUNTIF($G$4:$G589,$G589))</f>
        <v/>
      </c>
      <c r="T589" s="40" t="str">
        <f aca="false">IF($B589="","",IF($C589="","NIK kosong",IF(LEN($C589)&lt;&gt;16,"NIK bukan 16 digit",IF(COUNTIF($C$4:$C$2003,$C589&amp;"*")&gt;1,"NIK ganda",IF($E589="","Kadus kosong",IF($F589="","RT kosong",IF($H589="","Jabatan kosong",IF($I589="","No. HP kosong",IF($J589="","Alamat kosong",IF(AND($M589&lt;&gt;"",$M589&lt;17),"Usia di bawah 17",""))))))))))</f>
        <v/>
      </c>
      <c r="U589" s="40" t="str">
        <f aca="false">IF($B589="","",IF(AND(OR(CARI!$C$5="",ISNUMBER(SEARCH(CARI!$C$5,$B589&amp;" "&amp;$C589&amp;" "&amp;$I589&amp;" "&amp;$J589&amp;" "&amp;$Q589))),OR(CARI!$C$6="",$E589=CARI!$C$6),OR(CARI!$C$7="",$F589=CARI!$C$7),OR(CARI!$C$8="",$O589=CARI!$C$8)),MAX($U$3:U588)+1,""))</f>
        <v/>
      </c>
      <c r="V589" s="40" t="str">
        <f aca="false">IF($T589="","",MAX($V$3:V588)+1)</f>
        <v/>
      </c>
      <c r="W589" s="40" t="str">
        <f aca="false">IF($E589="","",$E589&amp;"#"&amp;COUNTIF($E$4:$E589,$E589))</f>
        <v/>
      </c>
      <c r="X589" s="40" t="str">
        <f aca="false">IF($B589="","",IF(AND(OR(CETAK!$J$10="",$E589=CETAK!$J$10),OR(CETAK!$J$11="",$F589=CETAK!$J$11),OR(CETAK!$J$12="",$K589=CETAK!$J$12),OR(CETAK!$J$13="",$H589=CETAK!$J$13),OR(CETAK!$J$14="",$O589=CETAK!$J$14)),MAX($X$3:X588)+1,""))</f>
        <v/>
      </c>
      <c r="Y589" s="40" t="str">
        <f aca="false">IF($B589="","",IF(AND(OR(ABSENSI!$H$10="",$E589=ABSENSI!$H$10),OR(ABSENSI!$H$11="",$F589=ABSENSI!$H$11),OR(ABSENSI!$H$12="",$K589=ABSENSI!$H$12)),MAX($Y$3:Y588)+1,""))</f>
        <v/>
      </c>
      <c r="Z589" s="40" t="str">
        <f aca="false">IF($B589="","",IF(AND(OR(KARTU!$K$6="",$E589=KARTU!$K$6),OR(KARTU!$K$7="",$F589=KARTU!$K$7),OR(KARTU!$K$8="",$K589=KARTU!$K$8)),MAX($Z$3:Z588)+1,""))</f>
        <v/>
      </c>
    </row>
    <row r="590" customFormat="false" ht="15" hidden="false" customHeight="false" outlineLevel="0" collapsed="false">
      <c r="A590" s="36" t="str">
        <f aca="false">IF($B590="","",COUNTA($B$4:$B590))</f>
        <v/>
      </c>
      <c r="B590" s="37"/>
      <c r="C590" s="38"/>
      <c r="D590" s="39"/>
      <c r="E590" s="37"/>
      <c r="F590" s="39"/>
      <c r="G590" s="40" t="str">
        <f aca="false">IF(OR($E590="",$F590=""),"",$E590&amp;" - RT "&amp;$F590)</f>
        <v/>
      </c>
      <c r="H590" s="37"/>
      <c r="I590" s="38"/>
      <c r="J590" s="37"/>
      <c r="K590" s="39"/>
      <c r="L590" s="41"/>
      <c r="M590" s="36" t="str">
        <f aca="true">IF(OR($B590="",$L590=""),"",DATEDIF($L590,TODAY(),"Y"))</f>
        <v/>
      </c>
      <c r="N590" s="40" t="str">
        <f aca="false">IF($M590="","",INDEX(usia_label,MATCH($M590,usia_min,1)))</f>
        <v/>
      </c>
      <c r="O590" s="37"/>
      <c r="P590" s="41"/>
      <c r="Q590" s="37"/>
      <c r="R590" s="37"/>
      <c r="S590" s="40" t="str">
        <f aca="false">IF($G590="","",$G590&amp;"#"&amp;COUNTIF($G$4:$G590,$G590))</f>
        <v/>
      </c>
      <c r="T590" s="40" t="str">
        <f aca="false">IF($B590="","",IF($C590="","NIK kosong",IF(LEN($C590)&lt;&gt;16,"NIK bukan 16 digit",IF(COUNTIF($C$4:$C$2003,$C590&amp;"*")&gt;1,"NIK ganda",IF($E590="","Kadus kosong",IF($F590="","RT kosong",IF($H590="","Jabatan kosong",IF($I590="","No. HP kosong",IF($J590="","Alamat kosong",IF(AND($M590&lt;&gt;"",$M590&lt;17),"Usia di bawah 17",""))))))))))</f>
        <v/>
      </c>
      <c r="U590" s="40" t="str">
        <f aca="false">IF($B590="","",IF(AND(OR(CARI!$C$5="",ISNUMBER(SEARCH(CARI!$C$5,$B590&amp;" "&amp;$C590&amp;" "&amp;$I590&amp;" "&amp;$J590&amp;" "&amp;$Q590))),OR(CARI!$C$6="",$E590=CARI!$C$6),OR(CARI!$C$7="",$F590=CARI!$C$7),OR(CARI!$C$8="",$O590=CARI!$C$8)),MAX($U$3:U589)+1,""))</f>
        <v/>
      </c>
      <c r="V590" s="40" t="str">
        <f aca="false">IF($T590="","",MAX($V$3:V589)+1)</f>
        <v/>
      </c>
      <c r="W590" s="40" t="str">
        <f aca="false">IF($E590="","",$E590&amp;"#"&amp;COUNTIF($E$4:$E590,$E590))</f>
        <v/>
      </c>
      <c r="X590" s="40" t="str">
        <f aca="false">IF($B590="","",IF(AND(OR(CETAK!$J$10="",$E590=CETAK!$J$10),OR(CETAK!$J$11="",$F590=CETAK!$J$11),OR(CETAK!$J$12="",$K590=CETAK!$J$12),OR(CETAK!$J$13="",$H590=CETAK!$J$13),OR(CETAK!$J$14="",$O590=CETAK!$J$14)),MAX($X$3:X589)+1,""))</f>
        <v/>
      </c>
      <c r="Y590" s="40" t="str">
        <f aca="false">IF($B590="","",IF(AND(OR(ABSENSI!$H$10="",$E590=ABSENSI!$H$10),OR(ABSENSI!$H$11="",$F590=ABSENSI!$H$11),OR(ABSENSI!$H$12="",$K590=ABSENSI!$H$12)),MAX($Y$3:Y589)+1,""))</f>
        <v/>
      </c>
      <c r="Z590" s="40" t="str">
        <f aca="false">IF($B590="","",IF(AND(OR(KARTU!$K$6="",$E590=KARTU!$K$6),OR(KARTU!$K$7="",$F590=KARTU!$K$7),OR(KARTU!$K$8="",$K590=KARTU!$K$8)),MAX($Z$3:Z589)+1,""))</f>
        <v/>
      </c>
    </row>
    <row r="591" customFormat="false" ht="15" hidden="false" customHeight="false" outlineLevel="0" collapsed="false">
      <c r="A591" s="36" t="str">
        <f aca="false">IF($B591="","",COUNTA($B$4:$B591))</f>
        <v/>
      </c>
      <c r="B591" s="37"/>
      <c r="C591" s="38"/>
      <c r="D591" s="39"/>
      <c r="E591" s="37"/>
      <c r="F591" s="39"/>
      <c r="G591" s="40" t="str">
        <f aca="false">IF(OR($E591="",$F591=""),"",$E591&amp;" - RT "&amp;$F591)</f>
        <v/>
      </c>
      <c r="H591" s="37"/>
      <c r="I591" s="38"/>
      <c r="J591" s="37"/>
      <c r="K591" s="39"/>
      <c r="L591" s="41"/>
      <c r="M591" s="36" t="str">
        <f aca="true">IF(OR($B591="",$L591=""),"",DATEDIF($L591,TODAY(),"Y"))</f>
        <v/>
      </c>
      <c r="N591" s="40" t="str">
        <f aca="false">IF($M591="","",INDEX(usia_label,MATCH($M591,usia_min,1)))</f>
        <v/>
      </c>
      <c r="O591" s="37"/>
      <c r="P591" s="41"/>
      <c r="Q591" s="37"/>
      <c r="R591" s="37"/>
      <c r="S591" s="40" t="str">
        <f aca="false">IF($G591="","",$G591&amp;"#"&amp;COUNTIF($G$4:$G591,$G591))</f>
        <v/>
      </c>
      <c r="T591" s="40" t="str">
        <f aca="false">IF($B591="","",IF($C591="","NIK kosong",IF(LEN($C591)&lt;&gt;16,"NIK bukan 16 digit",IF(COUNTIF($C$4:$C$2003,$C591&amp;"*")&gt;1,"NIK ganda",IF($E591="","Kadus kosong",IF($F591="","RT kosong",IF($H591="","Jabatan kosong",IF($I591="","No. HP kosong",IF($J591="","Alamat kosong",IF(AND($M591&lt;&gt;"",$M591&lt;17),"Usia di bawah 17",""))))))))))</f>
        <v/>
      </c>
      <c r="U591" s="40" t="str">
        <f aca="false">IF($B591="","",IF(AND(OR(CARI!$C$5="",ISNUMBER(SEARCH(CARI!$C$5,$B591&amp;" "&amp;$C591&amp;" "&amp;$I591&amp;" "&amp;$J591&amp;" "&amp;$Q591))),OR(CARI!$C$6="",$E591=CARI!$C$6),OR(CARI!$C$7="",$F591=CARI!$C$7),OR(CARI!$C$8="",$O591=CARI!$C$8)),MAX($U$3:U590)+1,""))</f>
        <v/>
      </c>
      <c r="V591" s="40" t="str">
        <f aca="false">IF($T591="","",MAX($V$3:V590)+1)</f>
        <v/>
      </c>
      <c r="W591" s="40" t="str">
        <f aca="false">IF($E591="","",$E591&amp;"#"&amp;COUNTIF($E$4:$E591,$E591))</f>
        <v/>
      </c>
      <c r="X591" s="40" t="str">
        <f aca="false">IF($B591="","",IF(AND(OR(CETAK!$J$10="",$E591=CETAK!$J$10),OR(CETAK!$J$11="",$F591=CETAK!$J$11),OR(CETAK!$J$12="",$K591=CETAK!$J$12),OR(CETAK!$J$13="",$H591=CETAK!$J$13),OR(CETAK!$J$14="",$O591=CETAK!$J$14)),MAX($X$3:X590)+1,""))</f>
        <v/>
      </c>
      <c r="Y591" s="40" t="str">
        <f aca="false">IF($B591="","",IF(AND(OR(ABSENSI!$H$10="",$E591=ABSENSI!$H$10),OR(ABSENSI!$H$11="",$F591=ABSENSI!$H$11),OR(ABSENSI!$H$12="",$K591=ABSENSI!$H$12)),MAX($Y$3:Y590)+1,""))</f>
        <v/>
      </c>
      <c r="Z591" s="40" t="str">
        <f aca="false">IF($B591="","",IF(AND(OR(KARTU!$K$6="",$E591=KARTU!$K$6),OR(KARTU!$K$7="",$F591=KARTU!$K$7),OR(KARTU!$K$8="",$K591=KARTU!$K$8)),MAX($Z$3:Z590)+1,""))</f>
        <v/>
      </c>
    </row>
    <row r="592" customFormat="false" ht="15" hidden="false" customHeight="false" outlineLevel="0" collapsed="false">
      <c r="A592" s="36" t="str">
        <f aca="false">IF($B592="","",COUNTA($B$4:$B592))</f>
        <v/>
      </c>
      <c r="B592" s="37"/>
      <c r="C592" s="38"/>
      <c r="D592" s="39"/>
      <c r="E592" s="37"/>
      <c r="F592" s="39"/>
      <c r="G592" s="40" t="str">
        <f aca="false">IF(OR($E592="",$F592=""),"",$E592&amp;" - RT "&amp;$F592)</f>
        <v/>
      </c>
      <c r="H592" s="37"/>
      <c r="I592" s="38"/>
      <c r="J592" s="37"/>
      <c r="K592" s="39"/>
      <c r="L592" s="41"/>
      <c r="M592" s="36" t="str">
        <f aca="true">IF(OR($B592="",$L592=""),"",DATEDIF($L592,TODAY(),"Y"))</f>
        <v/>
      </c>
      <c r="N592" s="40" t="str">
        <f aca="false">IF($M592="","",INDEX(usia_label,MATCH($M592,usia_min,1)))</f>
        <v/>
      </c>
      <c r="O592" s="37"/>
      <c r="P592" s="41"/>
      <c r="Q592" s="37"/>
      <c r="R592" s="37"/>
      <c r="S592" s="40" t="str">
        <f aca="false">IF($G592="","",$G592&amp;"#"&amp;COUNTIF($G$4:$G592,$G592))</f>
        <v/>
      </c>
      <c r="T592" s="40" t="str">
        <f aca="false">IF($B592="","",IF($C592="","NIK kosong",IF(LEN($C592)&lt;&gt;16,"NIK bukan 16 digit",IF(COUNTIF($C$4:$C$2003,$C592&amp;"*")&gt;1,"NIK ganda",IF($E592="","Kadus kosong",IF($F592="","RT kosong",IF($H592="","Jabatan kosong",IF($I592="","No. HP kosong",IF($J592="","Alamat kosong",IF(AND($M592&lt;&gt;"",$M592&lt;17),"Usia di bawah 17",""))))))))))</f>
        <v/>
      </c>
      <c r="U592" s="40" t="str">
        <f aca="false">IF($B592="","",IF(AND(OR(CARI!$C$5="",ISNUMBER(SEARCH(CARI!$C$5,$B592&amp;" "&amp;$C592&amp;" "&amp;$I592&amp;" "&amp;$J592&amp;" "&amp;$Q592))),OR(CARI!$C$6="",$E592=CARI!$C$6),OR(CARI!$C$7="",$F592=CARI!$C$7),OR(CARI!$C$8="",$O592=CARI!$C$8)),MAX($U$3:U591)+1,""))</f>
        <v/>
      </c>
      <c r="V592" s="40" t="str">
        <f aca="false">IF($T592="","",MAX($V$3:V591)+1)</f>
        <v/>
      </c>
      <c r="W592" s="40" t="str">
        <f aca="false">IF($E592="","",$E592&amp;"#"&amp;COUNTIF($E$4:$E592,$E592))</f>
        <v/>
      </c>
      <c r="X592" s="40" t="str">
        <f aca="false">IF($B592="","",IF(AND(OR(CETAK!$J$10="",$E592=CETAK!$J$10),OR(CETAK!$J$11="",$F592=CETAK!$J$11),OR(CETAK!$J$12="",$K592=CETAK!$J$12),OR(CETAK!$J$13="",$H592=CETAK!$J$13),OR(CETAK!$J$14="",$O592=CETAK!$J$14)),MAX($X$3:X591)+1,""))</f>
        <v/>
      </c>
      <c r="Y592" s="40" t="str">
        <f aca="false">IF($B592="","",IF(AND(OR(ABSENSI!$H$10="",$E592=ABSENSI!$H$10),OR(ABSENSI!$H$11="",$F592=ABSENSI!$H$11),OR(ABSENSI!$H$12="",$K592=ABSENSI!$H$12)),MAX($Y$3:Y591)+1,""))</f>
        <v/>
      </c>
      <c r="Z592" s="40" t="str">
        <f aca="false">IF($B592="","",IF(AND(OR(KARTU!$K$6="",$E592=KARTU!$K$6),OR(KARTU!$K$7="",$F592=KARTU!$K$7),OR(KARTU!$K$8="",$K592=KARTU!$K$8)),MAX($Z$3:Z591)+1,""))</f>
        <v/>
      </c>
    </row>
    <row r="593" customFormat="false" ht="15" hidden="false" customHeight="false" outlineLevel="0" collapsed="false">
      <c r="A593" s="36" t="str">
        <f aca="false">IF($B593="","",COUNTA($B$4:$B593))</f>
        <v/>
      </c>
      <c r="B593" s="37"/>
      <c r="C593" s="38"/>
      <c r="D593" s="39"/>
      <c r="E593" s="37"/>
      <c r="F593" s="39"/>
      <c r="G593" s="40" t="str">
        <f aca="false">IF(OR($E593="",$F593=""),"",$E593&amp;" - RT "&amp;$F593)</f>
        <v/>
      </c>
      <c r="H593" s="37"/>
      <c r="I593" s="38"/>
      <c r="J593" s="37"/>
      <c r="K593" s="39"/>
      <c r="L593" s="41"/>
      <c r="M593" s="36" t="str">
        <f aca="true">IF(OR($B593="",$L593=""),"",DATEDIF($L593,TODAY(),"Y"))</f>
        <v/>
      </c>
      <c r="N593" s="40" t="str">
        <f aca="false">IF($M593="","",INDEX(usia_label,MATCH($M593,usia_min,1)))</f>
        <v/>
      </c>
      <c r="O593" s="37"/>
      <c r="P593" s="41"/>
      <c r="Q593" s="37"/>
      <c r="R593" s="37"/>
      <c r="S593" s="40" t="str">
        <f aca="false">IF($G593="","",$G593&amp;"#"&amp;COUNTIF($G$4:$G593,$G593))</f>
        <v/>
      </c>
      <c r="T593" s="40" t="str">
        <f aca="false">IF($B593="","",IF($C593="","NIK kosong",IF(LEN($C593)&lt;&gt;16,"NIK bukan 16 digit",IF(COUNTIF($C$4:$C$2003,$C593&amp;"*")&gt;1,"NIK ganda",IF($E593="","Kadus kosong",IF($F593="","RT kosong",IF($H593="","Jabatan kosong",IF($I593="","No. HP kosong",IF($J593="","Alamat kosong",IF(AND($M593&lt;&gt;"",$M593&lt;17),"Usia di bawah 17",""))))))))))</f>
        <v/>
      </c>
      <c r="U593" s="40" t="str">
        <f aca="false">IF($B593="","",IF(AND(OR(CARI!$C$5="",ISNUMBER(SEARCH(CARI!$C$5,$B593&amp;" "&amp;$C593&amp;" "&amp;$I593&amp;" "&amp;$J593&amp;" "&amp;$Q593))),OR(CARI!$C$6="",$E593=CARI!$C$6),OR(CARI!$C$7="",$F593=CARI!$C$7),OR(CARI!$C$8="",$O593=CARI!$C$8)),MAX($U$3:U592)+1,""))</f>
        <v/>
      </c>
      <c r="V593" s="40" t="str">
        <f aca="false">IF($T593="","",MAX($V$3:V592)+1)</f>
        <v/>
      </c>
      <c r="W593" s="40" t="str">
        <f aca="false">IF($E593="","",$E593&amp;"#"&amp;COUNTIF($E$4:$E593,$E593))</f>
        <v/>
      </c>
      <c r="X593" s="40" t="str">
        <f aca="false">IF($B593="","",IF(AND(OR(CETAK!$J$10="",$E593=CETAK!$J$10),OR(CETAK!$J$11="",$F593=CETAK!$J$11),OR(CETAK!$J$12="",$K593=CETAK!$J$12),OR(CETAK!$J$13="",$H593=CETAK!$J$13),OR(CETAK!$J$14="",$O593=CETAK!$J$14)),MAX($X$3:X592)+1,""))</f>
        <v/>
      </c>
      <c r="Y593" s="40" t="str">
        <f aca="false">IF($B593="","",IF(AND(OR(ABSENSI!$H$10="",$E593=ABSENSI!$H$10),OR(ABSENSI!$H$11="",$F593=ABSENSI!$H$11),OR(ABSENSI!$H$12="",$K593=ABSENSI!$H$12)),MAX($Y$3:Y592)+1,""))</f>
        <v/>
      </c>
      <c r="Z593" s="40" t="str">
        <f aca="false">IF($B593="","",IF(AND(OR(KARTU!$K$6="",$E593=KARTU!$K$6),OR(KARTU!$K$7="",$F593=KARTU!$K$7),OR(KARTU!$K$8="",$K593=KARTU!$K$8)),MAX($Z$3:Z592)+1,""))</f>
        <v/>
      </c>
    </row>
    <row r="594" customFormat="false" ht="15" hidden="false" customHeight="false" outlineLevel="0" collapsed="false">
      <c r="A594" s="36" t="str">
        <f aca="false">IF($B594="","",COUNTA($B$4:$B594))</f>
        <v/>
      </c>
      <c r="B594" s="37"/>
      <c r="C594" s="38"/>
      <c r="D594" s="39"/>
      <c r="E594" s="37"/>
      <c r="F594" s="39"/>
      <c r="G594" s="40" t="str">
        <f aca="false">IF(OR($E594="",$F594=""),"",$E594&amp;" - RT "&amp;$F594)</f>
        <v/>
      </c>
      <c r="H594" s="37"/>
      <c r="I594" s="38"/>
      <c r="J594" s="37"/>
      <c r="K594" s="39"/>
      <c r="L594" s="41"/>
      <c r="M594" s="36" t="str">
        <f aca="true">IF(OR($B594="",$L594=""),"",DATEDIF($L594,TODAY(),"Y"))</f>
        <v/>
      </c>
      <c r="N594" s="40" t="str">
        <f aca="false">IF($M594="","",INDEX(usia_label,MATCH($M594,usia_min,1)))</f>
        <v/>
      </c>
      <c r="O594" s="37"/>
      <c r="P594" s="41"/>
      <c r="Q594" s="37"/>
      <c r="R594" s="37"/>
      <c r="S594" s="40" t="str">
        <f aca="false">IF($G594="","",$G594&amp;"#"&amp;COUNTIF($G$4:$G594,$G594))</f>
        <v/>
      </c>
      <c r="T594" s="40" t="str">
        <f aca="false">IF($B594="","",IF($C594="","NIK kosong",IF(LEN($C594)&lt;&gt;16,"NIK bukan 16 digit",IF(COUNTIF($C$4:$C$2003,$C594&amp;"*")&gt;1,"NIK ganda",IF($E594="","Kadus kosong",IF($F594="","RT kosong",IF($H594="","Jabatan kosong",IF($I594="","No. HP kosong",IF($J594="","Alamat kosong",IF(AND($M594&lt;&gt;"",$M594&lt;17),"Usia di bawah 17",""))))))))))</f>
        <v/>
      </c>
      <c r="U594" s="40" t="str">
        <f aca="false">IF($B594="","",IF(AND(OR(CARI!$C$5="",ISNUMBER(SEARCH(CARI!$C$5,$B594&amp;" "&amp;$C594&amp;" "&amp;$I594&amp;" "&amp;$J594&amp;" "&amp;$Q594))),OR(CARI!$C$6="",$E594=CARI!$C$6),OR(CARI!$C$7="",$F594=CARI!$C$7),OR(CARI!$C$8="",$O594=CARI!$C$8)),MAX($U$3:U593)+1,""))</f>
        <v/>
      </c>
      <c r="V594" s="40" t="str">
        <f aca="false">IF($T594="","",MAX($V$3:V593)+1)</f>
        <v/>
      </c>
      <c r="W594" s="40" t="str">
        <f aca="false">IF($E594="","",$E594&amp;"#"&amp;COUNTIF($E$4:$E594,$E594))</f>
        <v/>
      </c>
      <c r="X594" s="40" t="str">
        <f aca="false">IF($B594="","",IF(AND(OR(CETAK!$J$10="",$E594=CETAK!$J$10),OR(CETAK!$J$11="",$F594=CETAK!$J$11),OR(CETAK!$J$12="",$K594=CETAK!$J$12),OR(CETAK!$J$13="",$H594=CETAK!$J$13),OR(CETAK!$J$14="",$O594=CETAK!$J$14)),MAX($X$3:X593)+1,""))</f>
        <v/>
      </c>
      <c r="Y594" s="40" t="str">
        <f aca="false">IF($B594="","",IF(AND(OR(ABSENSI!$H$10="",$E594=ABSENSI!$H$10),OR(ABSENSI!$H$11="",$F594=ABSENSI!$H$11),OR(ABSENSI!$H$12="",$K594=ABSENSI!$H$12)),MAX($Y$3:Y593)+1,""))</f>
        <v/>
      </c>
      <c r="Z594" s="40" t="str">
        <f aca="false">IF($B594="","",IF(AND(OR(KARTU!$K$6="",$E594=KARTU!$K$6),OR(KARTU!$K$7="",$F594=KARTU!$K$7),OR(KARTU!$K$8="",$K594=KARTU!$K$8)),MAX($Z$3:Z593)+1,""))</f>
        <v/>
      </c>
    </row>
    <row r="595" customFormat="false" ht="15" hidden="false" customHeight="false" outlineLevel="0" collapsed="false">
      <c r="A595" s="36" t="str">
        <f aca="false">IF($B595="","",COUNTA($B$4:$B595))</f>
        <v/>
      </c>
      <c r="B595" s="37"/>
      <c r="C595" s="38"/>
      <c r="D595" s="39"/>
      <c r="E595" s="37"/>
      <c r="F595" s="39"/>
      <c r="G595" s="40" t="str">
        <f aca="false">IF(OR($E595="",$F595=""),"",$E595&amp;" - RT "&amp;$F595)</f>
        <v/>
      </c>
      <c r="H595" s="37"/>
      <c r="I595" s="38"/>
      <c r="J595" s="37"/>
      <c r="K595" s="39"/>
      <c r="L595" s="41"/>
      <c r="M595" s="36" t="str">
        <f aca="true">IF(OR($B595="",$L595=""),"",DATEDIF($L595,TODAY(),"Y"))</f>
        <v/>
      </c>
      <c r="N595" s="40" t="str">
        <f aca="false">IF($M595="","",INDEX(usia_label,MATCH($M595,usia_min,1)))</f>
        <v/>
      </c>
      <c r="O595" s="37"/>
      <c r="P595" s="41"/>
      <c r="Q595" s="37"/>
      <c r="R595" s="37"/>
      <c r="S595" s="40" t="str">
        <f aca="false">IF($G595="","",$G595&amp;"#"&amp;COUNTIF($G$4:$G595,$G595))</f>
        <v/>
      </c>
      <c r="T595" s="40" t="str">
        <f aca="false">IF($B595="","",IF($C595="","NIK kosong",IF(LEN($C595)&lt;&gt;16,"NIK bukan 16 digit",IF(COUNTIF($C$4:$C$2003,$C595&amp;"*")&gt;1,"NIK ganda",IF($E595="","Kadus kosong",IF($F595="","RT kosong",IF($H595="","Jabatan kosong",IF($I595="","No. HP kosong",IF($J595="","Alamat kosong",IF(AND($M595&lt;&gt;"",$M595&lt;17),"Usia di bawah 17",""))))))))))</f>
        <v/>
      </c>
      <c r="U595" s="40" t="str">
        <f aca="false">IF($B595="","",IF(AND(OR(CARI!$C$5="",ISNUMBER(SEARCH(CARI!$C$5,$B595&amp;" "&amp;$C595&amp;" "&amp;$I595&amp;" "&amp;$J595&amp;" "&amp;$Q595))),OR(CARI!$C$6="",$E595=CARI!$C$6),OR(CARI!$C$7="",$F595=CARI!$C$7),OR(CARI!$C$8="",$O595=CARI!$C$8)),MAX($U$3:U594)+1,""))</f>
        <v/>
      </c>
      <c r="V595" s="40" t="str">
        <f aca="false">IF($T595="","",MAX($V$3:V594)+1)</f>
        <v/>
      </c>
      <c r="W595" s="40" t="str">
        <f aca="false">IF($E595="","",$E595&amp;"#"&amp;COUNTIF($E$4:$E595,$E595))</f>
        <v/>
      </c>
      <c r="X595" s="40" t="str">
        <f aca="false">IF($B595="","",IF(AND(OR(CETAK!$J$10="",$E595=CETAK!$J$10),OR(CETAK!$J$11="",$F595=CETAK!$J$11),OR(CETAK!$J$12="",$K595=CETAK!$J$12),OR(CETAK!$J$13="",$H595=CETAK!$J$13),OR(CETAK!$J$14="",$O595=CETAK!$J$14)),MAX($X$3:X594)+1,""))</f>
        <v/>
      </c>
      <c r="Y595" s="40" t="str">
        <f aca="false">IF($B595="","",IF(AND(OR(ABSENSI!$H$10="",$E595=ABSENSI!$H$10),OR(ABSENSI!$H$11="",$F595=ABSENSI!$H$11),OR(ABSENSI!$H$12="",$K595=ABSENSI!$H$12)),MAX($Y$3:Y594)+1,""))</f>
        <v/>
      </c>
      <c r="Z595" s="40" t="str">
        <f aca="false">IF($B595="","",IF(AND(OR(KARTU!$K$6="",$E595=KARTU!$K$6),OR(KARTU!$K$7="",$F595=KARTU!$K$7),OR(KARTU!$K$8="",$K595=KARTU!$K$8)),MAX($Z$3:Z594)+1,""))</f>
        <v/>
      </c>
    </row>
    <row r="596" customFormat="false" ht="15" hidden="false" customHeight="false" outlineLevel="0" collapsed="false">
      <c r="A596" s="36" t="str">
        <f aca="false">IF($B596="","",COUNTA($B$4:$B596))</f>
        <v/>
      </c>
      <c r="B596" s="37"/>
      <c r="C596" s="38"/>
      <c r="D596" s="39"/>
      <c r="E596" s="37"/>
      <c r="F596" s="39"/>
      <c r="G596" s="40" t="str">
        <f aca="false">IF(OR($E596="",$F596=""),"",$E596&amp;" - RT "&amp;$F596)</f>
        <v/>
      </c>
      <c r="H596" s="37"/>
      <c r="I596" s="38"/>
      <c r="J596" s="37"/>
      <c r="K596" s="39"/>
      <c r="L596" s="41"/>
      <c r="M596" s="36" t="str">
        <f aca="true">IF(OR($B596="",$L596=""),"",DATEDIF($L596,TODAY(),"Y"))</f>
        <v/>
      </c>
      <c r="N596" s="40" t="str">
        <f aca="false">IF($M596="","",INDEX(usia_label,MATCH($M596,usia_min,1)))</f>
        <v/>
      </c>
      <c r="O596" s="37"/>
      <c r="P596" s="41"/>
      <c r="Q596" s="37"/>
      <c r="R596" s="37"/>
      <c r="S596" s="40" t="str">
        <f aca="false">IF($G596="","",$G596&amp;"#"&amp;COUNTIF($G$4:$G596,$G596))</f>
        <v/>
      </c>
      <c r="T596" s="40" t="str">
        <f aca="false">IF($B596="","",IF($C596="","NIK kosong",IF(LEN($C596)&lt;&gt;16,"NIK bukan 16 digit",IF(COUNTIF($C$4:$C$2003,$C596&amp;"*")&gt;1,"NIK ganda",IF($E596="","Kadus kosong",IF($F596="","RT kosong",IF($H596="","Jabatan kosong",IF($I596="","No. HP kosong",IF($J596="","Alamat kosong",IF(AND($M596&lt;&gt;"",$M596&lt;17),"Usia di bawah 17",""))))))))))</f>
        <v/>
      </c>
      <c r="U596" s="40" t="str">
        <f aca="false">IF($B596="","",IF(AND(OR(CARI!$C$5="",ISNUMBER(SEARCH(CARI!$C$5,$B596&amp;" "&amp;$C596&amp;" "&amp;$I596&amp;" "&amp;$J596&amp;" "&amp;$Q596))),OR(CARI!$C$6="",$E596=CARI!$C$6),OR(CARI!$C$7="",$F596=CARI!$C$7),OR(CARI!$C$8="",$O596=CARI!$C$8)),MAX($U$3:U595)+1,""))</f>
        <v/>
      </c>
      <c r="V596" s="40" t="str">
        <f aca="false">IF($T596="","",MAX($V$3:V595)+1)</f>
        <v/>
      </c>
      <c r="W596" s="40" t="str">
        <f aca="false">IF($E596="","",$E596&amp;"#"&amp;COUNTIF($E$4:$E596,$E596))</f>
        <v/>
      </c>
      <c r="X596" s="40" t="str">
        <f aca="false">IF($B596="","",IF(AND(OR(CETAK!$J$10="",$E596=CETAK!$J$10),OR(CETAK!$J$11="",$F596=CETAK!$J$11),OR(CETAK!$J$12="",$K596=CETAK!$J$12),OR(CETAK!$J$13="",$H596=CETAK!$J$13),OR(CETAK!$J$14="",$O596=CETAK!$J$14)),MAX($X$3:X595)+1,""))</f>
        <v/>
      </c>
      <c r="Y596" s="40" t="str">
        <f aca="false">IF($B596="","",IF(AND(OR(ABSENSI!$H$10="",$E596=ABSENSI!$H$10),OR(ABSENSI!$H$11="",$F596=ABSENSI!$H$11),OR(ABSENSI!$H$12="",$K596=ABSENSI!$H$12)),MAX($Y$3:Y595)+1,""))</f>
        <v/>
      </c>
      <c r="Z596" s="40" t="str">
        <f aca="false">IF($B596="","",IF(AND(OR(KARTU!$K$6="",$E596=KARTU!$K$6),OR(KARTU!$K$7="",$F596=KARTU!$K$7),OR(KARTU!$K$8="",$K596=KARTU!$K$8)),MAX($Z$3:Z595)+1,""))</f>
        <v/>
      </c>
    </row>
    <row r="597" customFormat="false" ht="15" hidden="false" customHeight="false" outlineLevel="0" collapsed="false">
      <c r="A597" s="36" t="str">
        <f aca="false">IF($B597="","",COUNTA($B$4:$B597))</f>
        <v/>
      </c>
      <c r="B597" s="37"/>
      <c r="C597" s="38"/>
      <c r="D597" s="39"/>
      <c r="E597" s="37"/>
      <c r="F597" s="39"/>
      <c r="G597" s="40" t="str">
        <f aca="false">IF(OR($E597="",$F597=""),"",$E597&amp;" - RT "&amp;$F597)</f>
        <v/>
      </c>
      <c r="H597" s="37"/>
      <c r="I597" s="38"/>
      <c r="J597" s="37"/>
      <c r="K597" s="39"/>
      <c r="L597" s="41"/>
      <c r="M597" s="36" t="str">
        <f aca="true">IF(OR($B597="",$L597=""),"",DATEDIF($L597,TODAY(),"Y"))</f>
        <v/>
      </c>
      <c r="N597" s="40" t="str">
        <f aca="false">IF($M597="","",INDEX(usia_label,MATCH($M597,usia_min,1)))</f>
        <v/>
      </c>
      <c r="O597" s="37"/>
      <c r="P597" s="41"/>
      <c r="Q597" s="37"/>
      <c r="R597" s="37"/>
      <c r="S597" s="40" t="str">
        <f aca="false">IF($G597="","",$G597&amp;"#"&amp;COUNTIF($G$4:$G597,$G597))</f>
        <v/>
      </c>
      <c r="T597" s="40" t="str">
        <f aca="false">IF($B597="","",IF($C597="","NIK kosong",IF(LEN($C597)&lt;&gt;16,"NIK bukan 16 digit",IF(COUNTIF($C$4:$C$2003,$C597&amp;"*")&gt;1,"NIK ganda",IF($E597="","Kadus kosong",IF($F597="","RT kosong",IF($H597="","Jabatan kosong",IF($I597="","No. HP kosong",IF($J597="","Alamat kosong",IF(AND($M597&lt;&gt;"",$M597&lt;17),"Usia di bawah 17",""))))))))))</f>
        <v/>
      </c>
      <c r="U597" s="40" t="str">
        <f aca="false">IF($B597="","",IF(AND(OR(CARI!$C$5="",ISNUMBER(SEARCH(CARI!$C$5,$B597&amp;" "&amp;$C597&amp;" "&amp;$I597&amp;" "&amp;$J597&amp;" "&amp;$Q597))),OR(CARI!$C$6="",$E597=CARI!$C$6),OR(CARI!$C$7="",$F597=CARI!$C$7),OR(CARI!$C$8="",$O597=CARI!$C$8)),MAX($U$3:U596)+1,""))</f>
        <v/>
      </c>
      <c r="V597" s="40" t="str">
        <f aca="false">IF($T597="","",MAX($V$3:V596)+1)</f>
        <v/>
      </c>
      <c r="W597" s="40" t="str">
        <f aca="false">IF($E597="","",$E597&amp;"#"&amp;COUNTIF($E$4:$E597,$E597))</f>
        <v/>
      </c>
      <c r="X597" s="40" t="str">
        <f aca="false">IF($B597="","",IF(AND(OR(CETAK!$J$10="",$E597=CETAK!$J$10),OR(CETAK!$J$11="",$F597=CETAK!$J$11),OR(CETAK!$J$12="",$K597=CETAK!$J$12),OR(CETAK!$J$13="",$H597=CETAK!$J$13),OR(CETAK!$J$14="",$O597=CETAK!$J$14)),MAX($X$3:X596)+1,""))</f>
        <v/>
      </c>
      <c r="Y597" s="40" t="str">
        <f aca="false">IF($B597="","",IF(AND(OR(ABSENSI!$H$10="",$E597=ABSENSI!$H$10),OR(ABSENSI!$H$11="",$F597=ABSENSI!$H$11),OR(ABSENSI!$H$12="",$K597=ABSENSI!$H$12)),MAX($Y$3:Y596)+1,""))</f>
        <v/>
      </c>
      <c r="Z597" s="40" t="str">
        <f aca="false">IF($B597="","",IF(AND(OR(KARTU!$K$6="",$E597=KARTU!$K$6),OR(KARTU!$K$7="",$F597=KARTU!$K$7),OR(KARTU!$K$8="",$K597=KARTU!$K$8)),MAX($Z$3:Z596)+1,""))</f>
        <v/>
      </c>
    </row>
    <row r="598" customFormat="false" ht="15" hidden="false" customHeight="false" outlineLevel="0" collapsed="false">
      <c r="A598" s="36" t="str">
        <f aca="false">IF($B598="","",COUNTA($B$4:$B598))</f>
        <v/>
      </c>
      <c r="B598" s="37"/>
      <c r="C598" s="38"/>
      <c r="D598" s="39"/>
      <c r="E598" s="37"/>
      <c r="F598" s="39"/>
      <c r="G598" s="40" t="str">
        <f aca="false">IF(OR($E598="",$F598=""),"",$E598&amp;" - RT "&amp;$F598)</f>
        <v/>
      </c>
      <c r="H598" s="37"/>
      <c r="I598" s="38"/>
      <c r="J598" s="37"/>
      <c r="K598" s="39"/>
      <c r="L598" s="41"/>
      <c r="M598" s="36" t="str">
        <f aca="true">IF(OR($B598="",$L598=""),"",DATEDIF($L598,TODAY(),"Y"))</f>
        <v/>
      </c>
      <c r="N598" s="40" t="str">
        <f aca="false">IF($M598="","",INDEX(usia_label,MATCH($M598,usia_min,1)))</f>
        <v/>
      </c>
      <c r="O598" s="37"/>
      <c r="P598" s="41"/>
      <c r="Q598" s="37"/>
      <c r="R598" s="37"/>
      <c r="S598" s="40" t="str">
        <f aca="false">IF($G598="","",$G598&amp;"#"&amp;COUNTIF($G$4:$G598,$G598))</f>
        <v/>
      </c>
      <c r="T598" s="40" t="str">
        <f aca="false">IF($B598="","",IF($C598="","NIK kosong",IF(LEN($C598)&lt;&gt;16,"NIK bukan 16 digit",IF(COUNTIF($C$4:$C$2003,$C598&amp;"*")&gt;1,"NIK ganda",IF($E598="","Kadus kosong",IF($F598="","RT kosong",IF($H598="","Jabatan kosong",IF($I598="","No. HP kosong",IF($J598="","Alamat kosong",IF(AND($M598&lt;&gt;"",$M598&lt;17),"Usia di bawah 17",""))))))))))</f>
        <v/>
      </c>
      <c r="U598" s="40" t="str">
        <f aca="false">IF($B598="","",IF(AND(OR(CARI!$C$5="",ISNUMBER(SEARCH(CARI!$C$5,$B598&amp;" "&amp;$C598&amp;" "&amp;$I598&amp;" "&amp;$J598&amp;" "&amp;$Q598))),OR(CARI!$C$6="",$E598=CARI!$C$6),OR(CARI!$C$7="",$F598=CARI!$C$7),OR(CARI!$C$8="",$O598=CARI!$C$8)),MAX($U$3:U597)+1,""))</f>
        <v/>
      </c>
      <c r="V598" s="40" t="str">
        <f aca="false">IF($T598="","",MAX($V$3:V597)+1)</f>
        <v/>
      </c>
      <c r="W598" s="40" t="str">
        <f aca="false">IF($E598="","",$E598&amp;"#"&amp;COUNTIF($E$4:$E598,$E598))</f>
        <v/>
      </c>
      <c r="X598" s="40" t="str">
        <f aca="false">IF($B598="","",IF(AND(OR(CETAK!$J$10="",$E598=CETAK!$J$10),OR(CETAK!$J$11="",$F598=CETAK!$J$11),OR(CETAK!$J$12="",$K598=CETAK!$J$12),OR(CETAK!$J$13="",$H598=CETAK!$J$13),OR(CETAK!$J$14="",$O598=CETAK!$J$14)),MAX($X$3:X597)+1,""))</f>
        <v/>
      </c>
      <c r="Y598" s="40" t="str">
        <f aca="false">IF($B598="","",IF(AND(OR(ABSENSI!$H$10="",$E598=ABSENSI!$H$10),OR(ABSENSI!$H$11="",$F598=ABSENSI!$H$11),OR(ABSENSI!$H$12="",$K598=ABSENSI!$H$12)),MAX($Y$3:Y597)+1,""))</f>
        <v/>
      </c>
      <c r="Z598" s="40" t="str">
        <f aca="false">IF($B598="","",IF(AND(OR(KARTU!$K$6="",$E598=KARTU!$K$6),OR(KARTU!$K$7="",$F598=KARTU!$K$7),OR(KARTU!$K$8="",$K598=KARTU!$K$8)),MAX($Z$3:Z597)+1,""))</f>
        <v/>
      </c>
    </row>
    <row r="599" customFormat="false" ht="15" hidden="false" customHeight="false" outlineLevel="0" collapsed="false">
      <c r="A599" s="36" t="str">
        <f aca="false">IF($B599="","",COUNTA($B$4:$B599))</f>
        <v/>
      </c>
      <c r="B599" s="37"/>
      <c r="C599" s="38"/>
      <c r="D599" s="39"/>
      <c r="E599" s="37"/>
      <c r="F599" s="39"/>
      <c r="G599" s="40" t="str">
        <f aca="false">IF(OR($E599="",$F599=""),"",$E599&amp;" - RT "&amp;$F599)</f>
        <v/>
      </c>
      <c r="H599" s="37"/>
      <c r="I599" s="38"/>
      <c r="J599" s="37"/>
      <c r="K599" s="39"/>
      <c r="L599" s="41"/>
      <c r="M599" s="36" t="str">
        <f aca="true">IF(OR($B599="",$L599=""),"",DATEDIF($L599,TODAY(),"Y"))</f>
        <v/>
      </c>
      <c r="N599" s="40" t="str">
        <f aca="false">IF($M599="","",INDEX(usia_label,MATCH($M599,usia_min,1)))</f>
        <v/>
      </c>
      <c r="O599" s="37"/>
      <c r="P599" s="41"/>
      <c r="Q599" s="37"/>
      <c r="R599" s="37"/>
      <c r="S599" s="40" t="str">
        <f aca="false">IF($G599="","",$G599&amp;"#"&amp;COUNTIF($G$4:$G599,$G599))</f>
        <v/>
      </c>
      <c r="T599" s="40" t="str">
        <f aca="false">IF($B599="","",IF($C599="","NIK kosong",IF(LEN($C599)&lt;&gt;16,"NIK bukan 16 digit",IF(COUNTIF($C$4:$C$2003,$C599&amp;"*")&gt;1,"NIK ganda",IF($E599="","Kadus kosong",IF($F599="","RT kosong",IF($H599="","Jabatan kosong",IF($I599="","No. HP kosong",IF($J599="","Alamat kosong",IF(AND($M599&lt;&gt;"",$M599&lt;17),"Usia di bawah 17",""))))))))))</f>
        <v/>
      </c>
      <c r="U599" s="40" t="str">
        <f aca="false">IF($B599="","",IF(AND(OR(CARI!$C$5="",ISNUMBER(SEARCH(CARI!$C$5,$B599&amp;" "&amp;$C599&amp;" "&amp;$I599&amp;" "&amp;$J599&amp;" "&amp;$Q599))),OR(CARI!$C$6="",$E599=CARI!$C$6),OR(CARI!$C$7="",$F599=CARI!$C$7),OR(CARI!$C$8="",$O599=CARI!$C$8)),MAX($U$3:U598)+1,""))</f>
        <v/>
      </c>
      <c r="V599" s="40" t="str">
        <f aca="false">IF($T599="","",MAX($V$3:V598)+1)</f>
        <v/>
      </c>
      <c r="W599" s="40" t="str">
        <f aca="false">IF($E599="","",$E599&amp;"#"&amp;COUNTIF($E$4:$E599,$E599))</f>
        <v/>
      </c>
      <c r="X599" s="40" t="str">
        <f aca="false">IF($B599="","",IF(AND(OR(CETAK!$J$10="",$E599=CETAK!$J$10),OR(CETAK!$J$11="",$F599=CETAK!$J$11),OR(CETAK!$J$12="",$K599=CETAK!$J$12),OR(CETAK!$J$13="",$H599=CETAK!$J$13),OR(CETAK!$J$14="",$O599=CETAK!$J$14)),MAX($X$3:X598)+1,""))</f>
        <v/>
      </c>
      <c r="Y599" s="40" t="str">
        <f aca="false">IF($B599="","",IF(AND(OR(ABSENSI!$H$10="",$E599=ABSENSI!$H$10),OR(ABSENSI!$H$11="",$F599=ABSENSI!$H$11),OR(ABSENSI!$H$12="",$K599=ABSENSI!$H$12)),MAX($Y$3:Y598)+1,""))</f>
        <v/>
      </c>
      <c r="Z599" s="40" t="str">
        <f aca="false">IF($B599="","",IF(AND(OR(KARTU!$K$6="",$E599=KARTU!$K$6),OR(KARTU!$K$7="",$F599=KARTU!$K$7),OR(KARTU!$K$8="",$K599=KARTU!$K$8)),MAX($Z$3:Z598)+1,""))</f>
        <v/>
      </c>
    </row>
    <row r="600" customFormat="false" ht="15" hidden="false" customHeight="false" outlineLevel="0" collapsed="false">
      <c r="A600" s="36" t="str">
        <f aca="false">IF($B600="","",COUNTA($B$4:$B600))</f>
        <v/>
      </c>
      <c r="B600" s="37"/>
      <c r="C600" s="38"/>
      <c r="D600" s="39"/>
      <c r="E600" s="37"/>
      <c r="F600" s="39"/>
      <c r="G600" s="40" t="str">
        <f aca="false">IF(OR($E600="",$F600=""),"",$E600&amp;" - RT "&amp;$F600)</f>
        <v/>
      </c>
      <c r="H600" s="37"/>
      <c r="I600" s="38"/>
      <c r="J600" s="37"/>
      <c r="K600" s="39"/>
      <c r="L600" s="41"/>
      <c r="M600" s="36" t="str">
        <f aca="true">IF(OR($B600="",$L600=""),"",DATEDIF($L600,TODAY(),"Y"))</f>
        <v/>
      </c>
      <c r="N600" s="40" t="str">
        <f aca="false">IF($M600="","",INDEX(usia_label,MATCH($M600,usia_min,1)))</f>
        <v/>
      </c>
      <c r="O600" s="37"/>
      <c r="P600" s="41"/>
      <c r="Q600" s="37"/>
      <c r="R600" s="37"/>
      <c r="S600" s="40" t="str">
        <f aca="false">IF($G600="","",$G600&amp;"#"&amp;COUNTIF($G$4:$G600,$G600))</f>
        <v/>
      </c>
      <c r="T600" s="40" t="str">
        <f aca="false">IF($B600="","",IF($C600="","NIK kosong",IF(LEN($C600)&lt;&gt;16,"NIK bukan 16 digit",IF(COUNTIF($C$4:$C$2003,$C600&amp;"*")&gt;1,"NIK ganda",IF($E600="","Kadus kosong",IF($F600="","RT kosong",IF($H600="","Jabatan kosong",IF($I600="","No. HP kosong",IF($J600="","Alamat kosong",IF(AND($M600&lt;&gt;"",$M600&lt;17),"Usia di bawah 17",""))))))))))</f>
        <v/>
      </c>
      <c r="U600" s="40" t="str">
        <f aca="false">IF($B600="","",IF(AND(OR(CARI!$C$5="",ISNUMBER(SEARCH(CARI!$C$5,$B600&amp;" "&amp;$C600&amp;" "&amp;$I600&amp;" "&amp;$J600&amp;" "&amp;$Q600))),OR(CARI!$C$6="",$E600=CARI!$C$6),OR(CARI!$C$7="",$F600=CARI!$C$7),OR(CARI!$C$8="",$O600=CARI!$C$8)),MAX($U$3:U599)+1,""))</f>
        <v/>
      </c>
      <c r="V600" s="40" t="str">
        <f aca="false">IF($T600="","",MAX($V$3:V599)+1)</f>
        <v/>
      </c>
      <c r="W600" s="40" t="str">
        <f aca="false">IF($E600="","",$E600&amp;"#"&amp;COUNTIF($E$4:$E600,$E600))</f>
        <v/>
      </c>
      <c r="X600" s="40" t="str">
        <f aca="false">IF($B600="","",IF(AND(OR(CETAK!$J$10="",$E600=CETAK!$J$10),OR(CETAK!$J$11="",$F600=CETAK!$J$11),OR(CETAK!$J$12="",$K600=CETAK!$J$12),OR(CETAK!$J$13="",$H600=CETAK!$J$13),OR(CETAK!$J$14="",$O600=CETAK!$J$14)),MAX($X$3:X599)+1,""))</f>
        <v/>
      </c>
      <c r="Y600" s="40" t="str">
        <f aca="false">IF($B600="","",IF(AND(OR(ABSENSI!$H$10="",$E600=ABSENSI!$H$10),OR(ABSENSI!$H$11="",$F600=ABSENSI!$H$11),OR(ABSENSI!$H$12="",$K600=ABSENSI!$H$12)),MAX($Y$3:Y599)+1,""))</f>
        <v/>
      </c>
      <c r="Z600" s="40" t="str">
        <f aca="false">IF($B600="","",IF(AND(OR(KARTU!$K$6="",$E600=KARTU!$K$6),OR(KARTU!$K$7="",$F600=KARTU!$K$7),OR(KARTU!$K$8="",$K600=KARTU!$K$8)),MAX($Z$3:Z599)+1,""))</f>
        <v/>
      </c>
    </row>
    <row r="601" customFormat="false" ht="15" hidden="false" customHeight="false" outlineLevel="0" collapsed="false">
      <c r="A601" s="36" t="str">
        <f aca="false">IF($B601="","",COUNTA($B$4:$B601))</f>
        <v/>
      </c>
      <c r="B601" s="37"/>
      <c r="C601" s="38"/>
      <c r="D601" s="39"/>
      <c r="E601" s="37"/>
      <c r="F601" s="39"/>
      <c r="G601" s="40" t="str">
        <f aca="false">IF(OR($E601="",$F601=""),"",$E601&amp;" - RT "&amp;$F601)</f>
        <v/>
      </c>
      <c r="H601" s="37"/>
      <c r="I601" s="38"/>
      <c r="J601" s="37"/>
      <c r="K601" s="39"/>
      <c r="L601" s="41"/>
      <c r="M601" s="36" t="str">
        <f aca="true">IF(OR($B601="",$L601=""),"",DATEDIF($L601,TODAY(),"Y"))</f>
        <v/>
      </c>
      <c r="N601" s="40" t="str">
        <f aca="false">IF($M601="","",INDEX(usia_label,MATCH($M601,usia_min,1)))</f>
        <v/>
      </c>
      <c r="O601" s="37"/>
      <c r="P601" s="41"/>
      <c r="Q601" s="37"/>
      <c r="R601" s="37"/>
      <c r="S601" s="40" t="str">
        <f aca="false">IF($G601="","",$G601&amp;"#"&amp;COUNTIF($G$4:$G601,$G601))</f>
        <v/>
      </c>
      <c r="T601" s="40" t="str">
        <f aca="false">IF($B601="","",IF($C601="","NIK kosong",IF(LEN($C601)&lt;&gt;16,"NIK bukan 16 digit",IF(COUNTIF($C$4:$C$2003,$C601&amp;"*")&gt;1,"NIK ganda",IF($E601="","Kadus kosong",IF($F601="","RT kosong",IF($H601="","Jabatan kosong",IF($I601="","No. HP kosong",IF($J601="","Alamat kosong",IF(AND($M601&lt;&gt;"",$M601&lt;17),"Usia di bawah 17",""))))))))))</f>
        <v/>
      </c>
      <c r="U601" s="40" t="str">
        <f aca="false">IF($B601="","",IF(AND(OR(CARI!$C$5="",ISNUMBER(SEARCH(CARI!$C$5,$B601&amp;" "&amp;$C601&amp;" "&amp;$I601&amp;" "&amp;$J601&amp;" "&amp;$Q601))),OR(CARI!$C$6="",$E601=CARI!$C$6),OR(CARI!$C$7="",$F601=CARI!$C$7),OR(CARI!$C$8="",$O601=CARI!$C$8)),MAX($U$3:U600)+1,""))</f>
        <v/>
      </c>
      <c r="V601" s="40" t="str">
        <f aca="false">IF($T601="","",MAX($V$3:V600)+1)</f>
        <v/>
      </c>
      <c r="W601" s="40" t="str">
        <f aca="false">IF($E601="","",$E601&amp;"#"&amp;COUNTIF($E$4:$E601,$E601))</f>
        <v/>
      </c>
      <c r="X601" s="40" t="str">
        <f aca="false">IF($B601="","",IF(AND(OR(CETAK!$J$10="",$E601=CETAK!$J$10),OR(CETAK!$J$11="",$F601=CETAK!$J$11),OR(CETAK!$J$12="",$K601=CETAK!$J$12),OR(CETAK!$J$13="",$H601=CETAK!$J$13),OR(CETAK!$J$14="",$O601=CETAK!$J$14)),MAX($X$3:X600)+1,""))</f>
        <v/>
      </c>
      <c r="Y601" s="40" t="str">
        <f aca="false">IF($B601="","",IF(AND(OR(ABSENSI!$H$10="",$E601=ABSENSI!$H$10),OR(ABSENSI!$H$11="",$F601=ABSENSI!$H$11),OR(ABSENSI!$H$12="",$K601=ABSENSI!$H$12)),MAX($Y$3:Y600)+1,""))</f>
        <v/>
      </c>
      <c r="Z601" s="40" t="str">
        <f aca="false">IF($B601="","",IF(AND(OR(KARTU!$K$6="",$E601=KARTU!$K$6),OR(KARTU!$K$7="",$F601=KARTU!$K$7),OR(KARTU!$K$8="",$K601=KARTU!$K$8)),MAX($Z$3:Z600)+1,""))</f>
        <v/>
      </c>
    </row>
    <row r="602" customFormat="false" ht="15" hidden="false" customHeight="false" outlineLevel="0" collapsed="false">
      <c r="A602" s="36" t="str">
        <f aca="false">IF($B602="","",COUNTA($B$4:$B602))</f>
        <v/>
      </c>
      <c r="B602" s="37"/>
      <c r="C602" s="38"/>
      <c r="D602" s="39"/>
      <c r="E602" s="37"/>
      <c r="F602" s="39"/>
      <c r="G602" s="40" t="str">
        <f aca="false">IF(OR($E602="",$F602=""),"",$E602&amp;" - RT "&amp;$F602)</f>
        <v/>
      </c>
      <c r="H602" s="37"/>
      <c r="I602" s="38"/>
      <c r="J602" s="37"/>
      <c r="K602" s="39"/>
      <c r="L602" s="41"/>
      <c r="M602" s="36" t="str">
        <f aca="true">IF(OR($B602="",$L602=""),"",DATEDIF($L602,TODAY(),"Y"))</f>
        <v/>
      </c>
      <c r="N602" s="40" t="str">
        <f aca="false">IF($M602="","",INDEX(usia_label,MATCH($M602,usia_min,1)))</f>
        <v/>
      </c>
      <c r="O602" s="37"/>
      <c r="P602" s="41"/>
      <c r="Q602" s="37"/>
      <c r="R602" s="37"/>
      <c r="S602" s="40" t="str">
        <f aca="false">IF($G602="","",$G602&amp;"#"&amp;COUNTIF($G$4:$G602,$G602))</f>
        <v/>
      </c>
      <c r="T602" s="40" t="str">
        <f aca="false">IF($B602="","",IF($C602="","NIK kosong",IF(LEN($C602)&lt;&gt;16,"NIK bukan 16 digit",IF(COUNTIF($C$4:$C$2003,$C602&amp;"*")&gt;1,"NIK ganda",IF($E602="","Kadus kosong",IF($F602="","RT kosong",IF($H602="","Jabatan kosong",IF($I602="","No. HP kosong",IF($J602="","Alamat kosong",IF(AND($M602&lt;&gt;"",$M602&lt;17),"Usia di bawah 17",""))))))))))</f>
        <v/>
      </c>
      <c r="U602" s="40" t="str">
        <f aca="false">IF($B602="","",IF(AND(OR(CARI!$C$5="",ISNUMBER(SEARCH(CARI!$C$5,$B602&amp;" "&amp;$C602&amp;" "&amp;$I602&amp;" "&amp;$J602&amp;" "&amp;$Q602))),OR(CARI!$C$6="",$E602=CARI!$C$6),OR(CARI!$C$7="",$F602=CARI!$C$7),OR(CARI!$C$8="",$O602=CARI!$C$8)),MAX($U$3:U601)+1,""))</f>
        <v/>
      </c>
      <c r="V602" s="40" t="str">
        <f aca="false">IF($T602="","",MAX($V$3:V601)+1)</f>
        <v/>
      </c>
      <c r="W602" s="40" t="str">
        <f aca="false">IF($E602="","",$E602&amp;"#"&amp;COUNTIF($E$4:$E602,$E602))</f>
        <v/>
      </c>
      <c r="X602" s="40" t="str">
        <f aca="false">IF($B602="","",IF(AND(OR(CETAK!$J$10="",$E602=CETAK!$J$10),OR(CETAK!$J$11="",$F602=CETAK!$J$11),OR(CETAK!$J$12="",$K602=CETAK!$J$12),OR(CETAK!$J$13="",$H602=CETAK!$J$13),OR(CETAK!$J$14="",$O602=CETAK!$J$14)),MAX($X$3:X601)+1,""))</f>
        <v/>
      </c>
      <c r="Y602" s="40" t="str">
        <f aca="false">IF($B602="","",IF(AND(OR(ABSENSI!$H$10="",$E602=ABSENSI!$H$10),OR(ABSENSI!$H$11="",$F602=ABSENSI!$H$11),OR(ABSENSI!$H$12="",$K602=ABSENSI!$H$12)),MAX($Y$3:Y601)+1,""))</f>
        <v/>
      </c>
      <c r="Z602" s="40" t="str">
        <f aca="false">IF($B602="","",IF(AND(OR(KARTU!$K$6="",$E602=KARTU!$K$6),OR(KARTU!$K$7="",$F602=KARTU!$K$7),OR(KARTU!$K$8="",$K602=KARTU!$K$8)),MAX($Z$3:Z601)+1,""))</f>
        <v/>
      </c>
    </row>
    <row r="603" customFormat="false" ht="15" hidden="false" customHeight="false" outlineLevel="0" collapsed="false">
      <c r="A603" s="36" t="str">
        <f aca="false">IF($B603="","",COUNTA($B$4:$B603))</f>
        <v/>
      </c>
      <c r="B603" s="37"/>
      <c r="C603" s="38"/>
      <c r="D603" s="39"/>
      <c r="E603" s="37"/>
      <c r="F603" s="39"/>
      <c r="G603" s="40" t="str">
        <f aca="false">IF(OR($E603="",$F603=""),"",$E603&amp;" - RT "&amp;$F603)</f>
        <v/>
      </c>
      <c r="H603" s="37"/>
      <c r="I603" s="38"/>
      <c r="J603" s="37"/>
      <c r="K603" s="39"/>
      <c r="L603" s="41"/>
      <c r="M603" s="36" t="str">
        <f aca="true">IF(OR($B603="",$L603=""),"",DATEDIF($L603,TODAY(),"Y"))</f>
        <v/>
      </c>
      <c r="N603" s="40" t="str">
        <f aca="false">IF($M603="","",INDEX(usia_label,MATCH($M603,usia_min,1)))</f>
        <v/>
      </c>
      <c r="O603" s="37"/>
      <c r="P603" s="41"/>
      <c r="Q603" s="37"/>
      <c r="R603" s="37"/>
      <c r="S603" s="40" t="str">
        <f aca="false">IF($G603="","",$G603&amp;"#"&amp;COUNTIF($G$4:$G603,$G603))</f>
        <v/>
      </c>
      <c r="T603" s="40" t="str">
        <f aca="false">IF($B603="","",IF($C603="","NIK kosong",IF(LEN($C603)&lt;&gt;16,"NIK bukan 16 digit",IF(COUNTIF($C$4:$C$2003,$C603&amp;"*")&gt;1,"NIK ganda",IF($E603="","Kadus kosong",IF($F603="","RT kosong",IF($H603="","Jabatan kosong",IF($I603="","No. HP kosong",IF($J603="","Alamat kosong",IF(AND($M603&lt;&gt;"",$M603&lt;17),"Usia di bawah 17",""))))))))))</f>
        <v/>
      </c>
      <c r="U603" s="40" t="str">
        <f aca="false">IF($B603="","",IF(AND(OR(CARI!$C$5="",ISNUMBER(SEARCH(CARI!$C$5,$B603&amp;" "&amp;$C603&amp;" "&amp;$I603&amp;" "&amp;$J603&amp;" "&amp;$Q603))),OR(CARI!$C$6="",$E603=CARI!$C$6),OR(CARI!$C$7="",$F603=CARI!$C$7),OR(CARI!$C$8="",$O603=CARI!$C$8)),MAX($U$3:U602)+1,""))</f>
        <v/>
      </c>
      <c r="V603" s="40" t="str">
        <f aca="false">IF($T603="","",MAX($V$3:V602)+1)</f>
        <v/>
      </c>
      <c r="W603" s="40" t="str">
        <f aca="false">IF($E603="","",$E603&amp;"#"&amp;COUNTIF($E$4:$E603,$E603))</f>
        <v/>
      </c>
      <c r="X603" s="40" t="str">
        <f aca="false">IF($B603="","",IF(AND(OR(CETAK!$J$10="",$E603=CETAK!$J$10),OR(CETAK!$J$11="",$F603=CETAK!$J$11),OR(CETAK!$J$12="",$K603=CETAK!$J$12),OR(CETAK!$J$13="",$H603=CETAK!$J$13),OR(CETAK!$J$14="",$O603=CETAK!$J$14)),MAX($X$3:X602)+1,""))</f>
        <v/>
      </c>
      <c r="Y603" s="40" t="str">
        <f aca="false">IF($B603="","",IF(AND(OR(ABSENSI!$H$10="",$E603=ABSENSI!$H$10),OR(ABSENSI!$H$11="",$F603=ABSENSI!$H$11),OR(ABSENSI!$H$12="",$K603=ABSENSI!$H$12)),MAX($Y$3:Y602)+1,""))</f>
        <v/>
      </c>
      <c r="Z603" s="40" t="str">
        <f aca="false">IF($B603="","",IF(AND(OR(KARTU!$K$6="",$E603=KARTU!$K$6),OR(KARTU!$K$7="",$F603=KARTU!$K$7),OR(KARTU!$K$8="",$K603=KARTU!$K$8)),MAX($Z$3:Z602)+1,""))</f>
        <v/>
      </c>
    </row>
    <row r="604" customFormat="false" ht="15" hidden="false" customHeight="false" outlineLevel="0" collapsed="false">
      <c r="A604" s="36" t="str">
        <f aca="false">IF($B604="","",COUNTA($B$4:$B604))</f>
        <v/>
      </c>
      <c r="B604" s="37"/>
      <c r="C604" s="38"/>
      <c r="D604" s="39"/>
      <c r="E604" s="37"/>
      <c r="F604" s="39"/>
      <c r="G604" s="40" t="str">
        <f aca="false">IF(OR($E604="",$F604=""),"",$E604&amp;" - RT "&amp;$F604)</f>
        <v/>
      </c>
      <c r="H604" s="37"/>
      <c r="I604" s="38"/>
      <c r="J604" s="37"/>
      <c r="K604" s="39"/>
      <c r="L604" s="41"/>
      <c r="M604" s="36" t="str">
        <f aca="true">IF(OR($B604="",$L604=""),"",DATEDIF($L604,TODAY(),"Y"))</f>
        <v/>
      </c>
      <c r="N604" s="40" t="str">
        <f aca="false">IF($M604="","",INDEX(usia_label,MATCH($M604,usia_min,1)))</f>
        <v/>
      </c>
      <c r="O604" s="37"/>
      <c r="P604" s="41"/>
      <c r="Q604" s="37"/>
      <c r="R604" s="37"/>
      <c r="S604" s="40" t="str">
        <f aca="false">IF($G604="","",$G604&amp;"#"&amp;COUNTIF($G$4:$G604,$G604))</f>
        <v/>
      </c>
      <c r="T604" s="40" t="str">
        <f aca="false">IF($B604="","",IF($C604="","NIK kosong",IF(LEN($C604)&lt;&gt;16,"NIK bukan 16 digit",IF(COUNTIF($C$4:$C$2003,$C604&amp;"*")&gt;1,"NIK ganda",IF($E604="","Kadus kosong",IF($F604="","RT kosong",IF($H604="","Jabatan kosong",IF($I604="","No. HP kosong",IF($J604="","Alamat kosong",IF(AND($M604&lt;&gt;"",$M604&lt;17),"Usia di bawah 17",""))))))))))</f>
        <v/>
      </c>
      <c r="U604" s="40" t="str">
        <f aca="false">IF($B604="","",IF(AND(OR(CARI!$C$5="",ISNUMBER(SEARCH(CARI!$C$5,$B604&amp;" "&amp;$C604&amp;" "&amp;$I604&amp;" "&amp;$J604&amp;" "&amp;$Q604))),OR(CARI!$C$6="",$E604=CARI!$C$6),OR(CARI!$C$7="",$F604=CARI!$C$7),OR(CARI!$C$8="",$O604=CARI!$C$8)),MAX($U$3:U603)+1,""))</f>
        <v/>
      </c>
      <c r="V604" s="40" t="str">
        <f aca="false">IF($T604="","",MAX($V$3:V603)+1)</f>
        <v/>
      </c>
      <c r="W604" s="40" t="str">
        <f aca="false">IF($E604="","",$E604&amp;"#"&amp;COUNTIF($E$4:$E604,$E604))</f>
        <v/>
      </c>
      <c r="X604" s="40" t="str">
        <f aca="false">IF($B604="","",IF(AND(OR(CETAK!$J$10="",$E604=CETAK!$J$10),OR(CETAK!$J$11="",$F604=CETAK!$J$11),OR(CETAK!$J$12="",$K604=CETAK!$J$12),OR(CETAK!$J$13="",$H604=CETAK!$J$13),OR(CETAK!$J$14="",$O604=CETAK!$J$14)),MAX($X$3:X603)+1,""))</f>
        <v/>
      </c>
      <c r="Y604" s="40" t="str">
        <f aca="false">IF($B604="","",IF(AND(OR(ABSENSI!$H$10="",$E604=ABSENSI!$H$10),OR(ABSENSI!$H$11="",$F604=ABSENSI!$H$11),OR(ABSENSI!$H$12="",$K604=ABSENSI!$H$12)),MAX($Y$3:Y603)+1,""))</f>
        <v/>
      </c>
      <c r="Z604" s="40" t="str">
        <f aca="false">IF($B604="","",IF(AND(OR(KARTU!$K$6="",$E604=KARTU!$K$6),OR(KARTU!$K$7="",$F604=KARTU!$K$7),OR(KARTU!$K$8="",$K604=KARTU!$K$8)),MAX($Z$3:Z603)+1,""))</f>
        <v/>
      </c>
    </row>
    <row r="605" customFormat="false" ht="15" hidden="false" customHeight="false" outlineLevel="0" collapsed="false">
      <c r="A605" s="36" t="str">
        <f aca="false">IF($B605="","",COUNTA($B$4:$B605))</f>
        <v/>
      </c>
      <c r="B605" s="37"/>
      <c r="C605" s="38"/>
      <c r="D605" s="39"/>
      <c r="E605" s="37"/>
      <c r="F605" s="39"/>
      <c r="G605" s="40" t="str">
        <f aca="false">IF(OR($E605="",$F605=""),"",$E605&amp;" - RT "&amp;$F605)</f>
        <v/>
      </c>
      <c r="H605" s="37"/>
      <c r="I605" s="38"/>
      <c r="J605" s="37"/>
      <c r="K605" s="39"/>
      <c r="L605" s="41"/>
      <c r="M605" s="36" t="str">
        <f aca="true">IF(OR($B605="",$L605=""),"",DATEDIF($L605,TODAY(),"Y"))</f>
        <v/>
      </c>
      <c r="N605" s="40" t="str">
        <f aca="false">IF($M605="","",INDEX(usia_label,MATCH($M605,usia_min,1)))</f>
        <v/>
      </c>
      <c r="O605" s="37"/>
      <c r="P605" s="41"/>
      <c r="Q605" s="37"/>
      <c r="R605" s="37"/>
      <c r="S605" s="40" t="str">
        <f aca="false">IF($G605="","",$G605&amp;"#"&amp;COUNTIF($G$4:$G605,$G605))</f>
        <v/>
      </c>
      <c r="T605" s="40" t="str">
        <f aca="false">IF($B605="","",IF($C605="","NIK kosong",IF(LEN($C605)&lt;&gt;16,"NIK bukan 16 digit",IF(COUNTIF($C$4:$C$2003,$C605&amp;"*")&gt;1,"NIK ganda",IF($E605="","Kadus kosong",IF($F605="","RT kosong",IF($H605="","Jabatan kosong",IF($I605="","No. HP kosong",IF($J605="","Alamat kosong",IF(AND($M605&lt;&gt;"",$M605&lt;17),"Usia di bawah 17",""))))))))))</f>
        <v/>
      </c>
      <c r="U605" s="40" t="str">
        <f aca="false">IF($B605="","",IF(AND(OR(CARI!$C$5="",ISNUMBER(SEARCH(CARI!$C$5,$B605&amp;" "&amp;$C605&amp;" "&amp;$I605&amp;" "&amp;$J605&amp;" "&amp;$Q605))),OR(CARI!$C$6="",$E605=CARI!$C$6),OR(CARI!$C$7="",$F605=CARI!$C$7),OR(CARI!$C$8="",$O605=CARI!$C$8)),MAX($U$3:U604)+1,""))</f>
        <v/>
      </c>
      <c r="V605" s="40" t="str">
        <f aca="false">IF($T605="","",MAX($V$3:V604)+1)</f>
        <v/>
      </c>
      <c r="W605" s="40" t="str">
        <f aca="false">IF($E605="","",$E605&amp;"#"&amp;COUNTIF($E$4:$E605,$E605))</f>
        <v/>
      </c>
      <c r="X605" s="40" t="str">
        <f aca="false">IF($B605="","",IF(AND(OR(CETAK!$J$10="",$E605=CETAK!$J$10),OR(CETAK!$J$11="",$F605=CETAK!$J$11),OR(CETAK!$J$12="",$K605=CETAK!$J$12),OR(CETAK!$J$13="",$H605=CETAK!$J$13),OR(CETAK!$J$14="",$O605=CETAK!$J$14)),MAX($X$3:X604)+1,""))</f>
        <v/>
      </c>
      <c r="Y605" s="40" t="str">
        <f aca="false">IF($B605="","",IF(AND(OR(ABSENSI!$H$10="",$E605=ABSENSI!$H$10),OR(ABSENSI!$H$11="",$F605=ABSENSI!$H$11),OR(ABSENSI!$H$12="",$K605=ABSENSI!$H$12)),MAX($Y$3:Y604)+1,""))</f>
        <v/>
      </c>
      <c r="Z605" s="40" t="str">
        <f aca="false">IF($B605="","",IF(AND(OR(KARTU!$K$6="",$E605=KARTU!$K$6),OR(KARTU!$K$7="",$F605=KARTU!$K$7),OR(KARTU!$K$8="",$K605=KARTU!$K$8)),MAX($Z$3:Z604)+1,""))</f>
        <v/>
      </c>
    </row>
    <row r="606" customFormat="false" ht="15" hidden="false" customHeight="false" outlineLevel="0" collapsed="false">
      <c r="A606" s="36" t="str">
        <f aca="false">IF($B606="","",COUNTA($B$4:$B606))</f>
        <v/>
      </c>
      <c r="B606" s="37"/>
      <c r="C606" s="38"/>
      <c r="D606" s="39"/>
      <c r="E606" s="37"/>
      <c r="F606" s="39"/>
      <c r="G606" s="40" t="str">
        <f aca="false">IF(OR($E606="",$F606=""),"",$E606&amp;" - RT "&amp;$F606)</f>
        <v/>
      </c>
      <c r="H606" s="37"/>
      <c r="I606" s="38"/>
      <c r="J606" s="37"/>
      <c r="K606" s="39"/>
      <c r="L606" s="41"/>
      <c r="M606" s="36" t="str">
        <f aca="true">IF(OR($B606="",$L606=""),"",DATEDIF($L606,TODAY(),"Y"))</f>
        <v/>
      </c>
      <c r="N606" s="40" t="str">
        <f aca="false">IF($M606="","",INDEX(usia_label,MATCH($M606,usia_min,1)))</f>
        <v/>
      </c>
      <c r="O606" s="37"/>
      <c r="P606" s="41"/>
      <c r="Q606" s="37"/>
      <c r="R606" s="37"/>
      <c r="S606" s="40" t="str">
        <f aca="false">IF($G606="","",$G606&amp;"#"&amp;COUNTIF($G$4:$G606,$G606))</f>
        <v/>
      </c>
      <c r="T606" s="40" t="str">
        <f aca="false">IF($B606="","",IF($C606="","NIK kosong",IF(LEN($C606)&lt;&gt;16,"NIK bukan 16 digit",IF(COUNTIF($C$4:$C$2003,$C606&amp;"*")&gt;1,"NIK ganda",IF($E606="","Kadus kosong",IF($F606="","RT kosong",IF($H606="","Jabatan kosong",IF($I606="","No. HP kosong",IF($J606="","Alamat kosong",IF(AND($M606&lt;&gt;"",$M606&lt;17),"Usia di bawah 17",""))))))))))</f>
        <v/>
      </c>
      <c r="U606" s="40" t="str">
        <f aca="false">IF($B606="","",IF(AND(OR(CARI!$C$5="",ISNUMBER(SEARCH(CARI!$C$5,$B606&amp;" "&amp;$C606&amp;" "&amp;$I606&amp;" "&amp;$J606&amp;" "&amp;$Q606))),OR(CARI!$C$6="",$E606=CARI!$C$6),OR(CARI!$C$7="",$F606=CARI!$C$7),OR(CARI!$C$8="",$O606=CARI!$C$8)),MAX($U$3:U605)+1,""))</f>
        <v/>
      </c>
      <c r="V606" s="40" t="str">
        <f aca="false">IF($T606="","",MAX($V$3:V605)+1)</f>
        <v/>
      </c>
      <c r="W606" s="40" t="str">
        <f aca="false">IF($E606="","",$E606&amp;"#"&amp;COUNTIF($E$4:$E606,$E606))</f>
        <v/>
      </c>
      <c r="X606" s="40" t="str">
        <f aca="false">IF($B606="","",IF(AND(OR(CETAK!$J$10="",$E606=CETAK!$J$10),OR(CETAK!$J$11="",$F606=CETAK!$J$11),OR(CETAK!$J$12="",$K606=CETAK!$J$12),OR(CETAK!$J$13="",$H606=CETAK!$J$13),OR(CETAK!$J$14="",$O606=CETAK!$J$14)),MAX($X$3:X605)+1,""))</f>
        <v/>
      </c>
      <c r="Y606" s="40" t="str">
        <f aca="false">IF($B606="","",IF(AND(OR(ABSENSI!$H$10="",$E606=ABSENSI!$H$10),OR(ABSENSI!$H$11="",$F606=ABSENSI!$H$11),OR(ABSENSI!$H$12="",$K606=ABSENSI!$H$12)),MAX($Y$3:Y605)+1,""))</f>
        <v/>
      </c>
      <c r="Z606" s="40" t="str">
        <f aca="false">IF($B606="","",IF(AND(OR(KARTU!$K$6="",$E606=KARTU!$K$6),OR(KARTU!$K$7="",$F606=KARTU!$K$7),OR(KARTU!$K$8="",$K606=KARTU!$K$8)),MAX($Z$3:Z605)+1,""))</f>
        <v/>
      </c>
    </row>
    <row r="607" customFormat="false" ht="15" hidden="false" customHeight="false" outlineLevel="0" collapsed="false">
      <c r="A607" s="36" t="str">
        <f aca="false">IF($B607="","",COUNTA($B$4:$B607))</f>
        <v/>
      </c>
      <c r="B607" s="37"/>
      <c r="C607" s="38"/>
      <c r="D607" s="39"/>
      <c r="E607" s="37"/>
      <c r="F607" s="39"/>
      <c r="G607" s="40" t="str">
        <f aca="false">IF(OR($E607="",$F607=""),"",$E607&amp;" - RT "&amp;$F607)</f>
        <v/>
      </c>
      <c r="H607" s="37"/>
      <c r="I607" s="38"/>
      <c r="J607" s="37"/>
      <c r="K607" s="39"/>
      <c r="L607" s="41"/>
      <c r="M607" s="36" t="str">
        <f aca="true">IF(OR($B607="",$L607=""),"",DATEDIF($L607,TODAY(),"Y"))</f>
        <v/>
      </c>
      <c r="N607" s="40" t="str">
        <f aca="false">IF($M607="","",INDEX(usia_label,MATCH($M607,usia_min,1)))</f>
        <v/>
      </c>
      <c r="O607" s="37"/>
      <c r="P607" s="41"/>
      <c r="Q607" s="37"/>
      <c r="R607" s="37"/>
      <c r="S607" s="40" t="str">
        <f aca="false">IF($G607="","",$G607&amp;"#"&amp;COUNTIF($G$4:$G607,$G607))</f>
        <v/>
      </c>
      <c r="T607" s="40" t="str">
        <f aca="false">IF($B607="","",IF($C607="","NIK kosong",IF(LEN($C607)&lt;&gt;16,"NIK bukan 16 digit",IF(COUNTIF($C$4:$C$2003,$C607&amp;"*")&gt;1,"NIK ganda",IF($E607="","Kadus kosong",IF($F607="","RT kosong",IF($H607="","Jabatan kosong",IF($I607="","No. HP kosong",IF($J607="","Alamat kosong",IF(AND($M607&lt;&gt;"",$M607&lt;17),"Usia di bawah 17",""))))))))))</f>
        <v/>
      </c>
      <c r="U607" s="40" t="str">
        <f aca="false">IF($B607="","",IF(AND(OR(CARI!$C$5="",ISNUMBER(SEARCH(CARI!$C$5,$B607&amp;" "&amp;$C607&amp;" "&amp;$I607&amp;" "&amp;$J607&amp;" "&amp;$Q607))),OR(CARI!$C$6="",$E607=CARI!$C$6),OR(CARI!$C$7="",$F607=CARI!$C$7),OR(CARI!$C$8="",$O607=CARI!$C$8)),MAX($U$3:U606)+1,""))</f>
        <v/>
      </c>
      <c r="V607" s="40" t="str">
        <f aca="false">IF($T607="","",MAX($V$3:V606)+1)</f>
        <v/>
      </c>
      <c r="W607" s="40" t="str">
        <f aca="false">IF($E607="","",$E607&amp;"#"&amp;COUNTIF($E$4:$E607,$E607))</f>
        <v/>
      </c>
      <c r="X607" s="40" t="str">
        <f aca="false">IF($B607="","",IF(AND(OR(CETAK!$J$10="",$E607=CETAK!$J$10),OR(CETAK!$J$11="",$F607=CETAK!$J$11),OR(CETAK!$J$12="",$K607=CETAK!$J$12),OR(CETAK!$J$13="",$H607=CETAK!$J$13),OR(CETAK!$J$14="",$O607=CETAK!$J$14)),MAX($X$3:X606)+1,""))</f>
        <v/>
      </c>
      <c r="Y607" s="40" t="str">
        <f aca="false">IF($B607="","",IF(AND(OR(ABSENSI!$H$10="",$E607=ABSENSI!$H$10),OR(ABSENSI!$H$11="",$F607=ABSENSI!$H$11),OR(ABSENSI!$H$12="",$K607=ABSENSI!$H$12)),MAX($Y$3:Y606)+1,""))</f>
        <v/>
      </c>
      <c r="Z607" s="40" t="str">
        <f aca="false">IF($B607="","",IF(AND(OR(KARTU!$K$6="",$E607=KARTU!$K$6),OR(KARTU!$K$7="",$F607=KARTU!$K$7),OR(KARTU!$K$8="",$K607=KARTU!$K$8)),MAX($Z$3:Z606)+1,""))</f>
        <v/>
      </c>
    </row>
    <row r="608" customFormat="false" ht="15" hidden="false" customHeight="false" outlineLevel="0" collapsed="false">
      <c r="A608" s="36" t="str">
        <f aca="false">IF($B608="","",COUNTA($B$4:$B608))</f>
        <v/>
      </c>
      <c r="B608" s="37"/>
      <c r="C608" s="38"/>
      <c r="D608" s="39"/>
      <c r="E608" s="37"/>
      <c r="F608" s="39"/>
      <c r="G608" s="40" t="str">
        <f aca="false">IF(OR($E608="",$F608=""),"",$E608&amp;" - RT "&amp;$F608)</f>
        <v/>
      </c>
      <c r="H608" s="37"/>
      <c r="I608" s="38"/>
      <c r="J608" s="37"/>
      <c r="K608" s="39"/>
      <c r="L608" s="41"/>
      <c r="M608" s="36" t="str">
        <f aca="true">IF(OR($B608="",$L608=""),"",DATEDIF($L608,TODAY(),"Y"))</f>
        <v/>
      </c>
      <c r="N608" s="40" t="str">
        <f aca="false">IF($M608="","",INDEX(usia_label,MATCH($M608,usia_min,1)))</f>
        <v/>
      </c>
      <c r="O608" s="37"/>
      <c r="P608" s="41"/>
      <c r="Q608" s="37"/>
      <c r="R608" s="37"/>
      <c r="S608" s="40" t="str">
        <f aca="false">IF($G608="","",$G608&amp;"#"&amp;COUNTIF($G$4:$G608,$G608))</f>
        <v/>
      </c>
      <c r="T608" s="40" t="str">
        <f aca="false">IF($B608="","",IF($C608="","NIK kosong",IF(LEN($C608)&lt;&gt;16,"NIK bukan 16 digit",IF(COUNTIF($C$4:$C$2003,$C608&amp;"*")&gt;1,"NIK ganda",IF($E608="","Kadus kosong",IF($F608="","RT kosong",IF($H608="","Jabatan kosong",IF($I608="","No. HP kosong",IF($J608="","Alamat kosong",IF(AND($M608&lt;&gt;"",$M608&lt;17),"Usia di bawah 17",""))))))))))</f>
        <v/>
      </c>
      <c r="U608" s="40" t="str">
        <f aca="false">IF($B608="","",IF(AND(OR(CARI!$C$5="",ISNUMBER(SEARCH(CARI!$C$5,$B608&amp;" "&amp;$C608&amp;" "&amp;$I608&amp;" "&amp;$J608&amp;" "&amp;$Q608))),OR(CARI!$C$6="",$E608=CARI!$C$6),OR(CARI!$C$7="",$F608=CARI!$C$7),OR(CARI!$C$8="",$O608=CARI!$C$8)),MAX($U$3:U607)+1,""))</f>
        <v/>
      </c>
      <c r="V608" s="40" t="str">
        <f aca="false">IF($T608="","",MAX($V$3:V607)+1)</f>
        <v/>
      </c>
      <c r="W608" s="40" t="str">
        <f aca="false">IF($E608="","",$E608&amp;"#"&amp;COUNTIF($E$4:$E608,$E608))</f>
        <v/>
      </c>
      <c r="X608" s="40" t="str">
        <f aca="false">IF($B608="","",IF(AND(OR(CETAK!$J$10="",$E608=CETAK!$J$10),OR(CETAK!$J$11="",$F608=CETAK!$J$11),OR(CETAK!$J$12="",$K608=CETAK!$J$12),OR(CETAK!$J$13="",$H608=CETAK!$J$13),OR(CETAK!$J$14="",$O608=CETAK!$J$14)),MAX($X$3:X607)+1,""))</f>
        <v/>
      </c>
      <c r="Y608" s="40" t="str">
        <f aca="false">IF($B608="","",IF(AND(OR(ABSENSI!$H$10="",$E608=ABSENSI!$H$10),OR(ABSENSI!$H$11="",$F608=ABSENSI!$H$11),OR(ABSENSI!$H$12="",$K608=ABSENSI!$H$12)),MAX($Y$3:Y607)+1,""))</f>
        <v/>
      </c>
      <c r="Z608" s="40" t="str">
        <f aca="false">IF($B608="","",IF(AND(OR(KARTU!$K$6="",$E608=KARTU!$K$6),OR(KARTU!$K$7="",$F608=KARTU!$K$7),OR(KARTU!$K$8="",$K608=KARTU!$K$8)),MAX($Z$3:Z607)+1,""))</f>
        <v/>
      </c>
    </row>
    <row r="609" customFormat="false" ht="15" hidden="false" customHeight="false" outlineLevel="0" collapsed="false">
      <c r="A609" s="36" t="str">
        <f aca="false">IF($B609="","",COUNTA($B$4:$B609))</f>
        <v/>
      </c>
      <c r="B609" s="37"/>
      <c r="C609" s="38"/>
      <c r="D609" s="39"/>
      <c r="E609" s="37"/>
      <c r="F609" s="39"/>
      <c r="G609" s="40" t="str">
        <f aca="false">IF(OR($E609="",$F609=""),"",$E609&amp;" - RT "&amp;$F609)</f>
        <v/>
      </c>
      <c r="H609" s="37"/>
      <c r="I609" s="38"/>
      <c r="J609" s="37"/>
      <c r="K609" s="39"/>
      <c r="L609" s="41"/>
      <c r="M609" s="36" t="str">
        <f aca="true">IF(OR($B609="",$L609=""),"",DATEDIF($L609,TODAY(),"Y"))</f>
        <v/>
      </c>
      <c r="N609" s="40" t="str">
        <f aca="false">IF($M609="","",INDEX(usia_label,MATCH($M609,usia_min,1)))</f>
        <v/>
      </c>
      <c r="O609" s="37"/>
      <c r="P609" s="41"/>
      <c r="Q609" s="37"/>
      <c r="R609" s="37"/>
      <c r="S609" s="40" t="str">
        <f aca="false">IF($G609="","",$G609&amp;"#"&amp;COUNTIF($G$4:$G609,$G609))</f>
        <v/>
      </c>
      <c r="T609" s="40" t="str">
        <f aca="false">IF($B609="","",IF($C609="","NIK kosong",IF(LEN($C609)&lt;&gt;16,"NIK bukan 16 digit",IF(COUNTIF($C$4:$C$2003,$C609&amp;"*")&gt;1,"NIK ganda",IF($E609="","Kadus kosong",IF($F609="","RT kosong",IF($H609="","Jabatan kosong",IF($I609="","No. HP kosong",IF($J609="","Alamat kosong",IF(AND($M609&lt;&gt;"",$M609&lt;17),"Usia di bawah 17",""))))))))))</f>
        <v/>
      </c>
      <c r="U609" s="40" t="str">
        <f aca="false">IF($B609="","",IF(AND(OR(CARI!$C$5="",ISNUMBER(SEARCH(CARI!$C$5,$B609&amp;" "&amp;$C609&amp;" "&amp;$I609&amp;" "&amp;$J609&amp;" "&amp;$Q609))),OR(CARI!$C$6="",$E609=CARI!$C$6),OR(CARI!$C$7="",$F609=CARI!$C$7),OR(CARI!$C$8="",$O609=CARI!$C$8)),MAX($U$3:U608)+1,""))</f>
        <v/>
      </c>
      <c r="V609" s="40" t="str">
        <f aca="false">IF($T609="","",MAX($V$3:V608)+1)</f>
        <v/>
      </c>
      <c r="W609" s="40" t="str">
        <f aca="false">IF($E609="","",$E609&amp;"#"&amp;COUNTIF($E$4:$E609,$E609))</f>
        <v/>
      </c>
      <c r="X609" s="40" t="str">
        <f aca="false">IF($B609="","",IF(AND(OR(CETAK!$J$10="",$E609=CETAK!$J$10),OR(CETAK!$J$11="",$F609=CETAK!$J$11),OR(CETAK!$J$12="",$K609=CETAK!$J$12),OR(CETAK!$J$13="",$H609=CETAK!$J$13),OR(CETAK!$J$14="",$O609=CETAK!$J$14)),MAX($X$3:X608)+1,""))</f>
        <v/>
      </c>
      <c r="Y609" s="40" t="str">
        <f aca="false">IF($B609="","",IF(AND(OR(ABSENSI!$H$10="",$E609=ABSENSI!$H$10),OR(ABSENSI!$H$11="",$F609=ABSENSI!$H$11),OR(ABSENSI!$H$12="",$K609=ABSENSI!$H$12)),MAX($Y$3:Y608)+1,""))</f>
        <v/>
      </c>
      <c r="Z609" s="40" t="str">
        <f aca="false">IF($B609="","",IF(AND(OR(KARTU!$K$6="",$E609=KARTU!$K$6),OR(KARTU!$K$7="",$F609=KARTU!$K$7),OR(KARTU!$K$8="",$K609=KARTU!$K$8)),MAX($Z$3:Z608)+1,""))</f>
        <v/>
      </c>
    </row>
    <row r="610" customFormat="false" ht="15" hidden="false" customHeight="false" outlineLevel="0" collapsed="false">
      <c r="A610" s="36" t="str">
        <f aca="false">IF($B610="","",COUNTA($B$4:$B610))</f>
        <v/>
      </c>
      <c r="B610" s="37"/>
      <c r="C610" s="38"/>
      <c r="D610" s="39"/>
      <c r="E610" s="37"/>
      <c r="F610" s="39"/>
      <c r="G610" s="40" t="str">
        <f aca="false">IF(OR($E610="",$F610=""),"",$E610&amp;" - RT "&amp;$F610)</f>
        <v/>
      </c>
      <c r="H610" s="37"/>
      <c r="I610" s="38"/>
      <c r="J610" s="37"/>
      <c r="K610" s="39"/>
      <c r="L610" s="41"/>
      <c r="M610" s="36" t="str">
        <f aca="true">IF(OR($B610="",$L610=""),"",DATEDIF($L610,TODAY(),"Y"))</f>
        <v/>
      </c>
      <c r="N610" s="40" t="str">
        <f aca="false">IF($M610="","",INDEX(usia_label,MATCH($M610,usia_min,1)))</f>
        <v/>
      </c>
      <c r="O610" s="37"/>
      <c r="P610" s="41"/>
      <c r="Q610" s="37"/>
      <c r="R610" s="37"/>
      <c r="S610" s="40" t="str">
        <f aca="false">IF($G610="","",$G610&amp;"#"&amp;COUNTIF($G$4:$G610,$G610))</f>
        <v/>
      </c>
      <c r="T610" s="40" t="str">
        <f aca="false">IF($B610="","",IF($C610="","NIK kosong",IF(LEN($C610)&lt;&gt;16,"NIK bukan 16 digit",IF(COUNTIF($C$4:$C$2003,$C610&amp;"*")&gt;1,"NIK ganda",IF($E610="","Kadus kosong",IF($F610="","RT kosong",IF($H610="","Jabatan kosong",IF($I610="","No. HP kosong",IF($J610="","Alamat kosong",IF(AND($M610&lt;&gt;"",$M610&lt;17),"Usia di bawah 17",""))))))))))</f>
        <v/>
      </c>
      <c r="U610" s="40" t="str">
        <f aca="false">IF($B610="","",IF(AND(OR(CARI!$C$5="",ISNUMBER(SEARCH(CARI!$C$5,$B610&amp;" "&amp;$C610&amp;" "&amp;$I610&amp;" "&amp;$J610&amp;" "&amp;$Q610))),OR(CARI!$C$6="",$E610=CARI!$C$6),OR(CARI!$C$7="",$F610=CARI!$C$7),OR(CARI!$C$8="",$O610=CARI!$C$8)),MAX($U$3:U609)+1,""))</f>
        <v/>
      </c>
      <c r="V610" s="40" t="str">
        <f aca="false">IF($T610="","",MAX($V$3:V609)+1)</f>
        <v/>
      </c>
      <c r="W610" s="40" t="str">
        <f aca="false">IF($E610="","",$E610&amp;"#"&amp;COUNTIF($E$4:$E610,$E610))</f>
        <v/>
      </c>
      <c r="X610" s="40" t="str">
        <f aca="false">IF($B610="","",IF(AND(OR(CETAK!$J$10="",$E610=CETAK!$J$10),OR(CETAK!$J$11="",$F610=CETAK!$J$11),OR(CETAK!$J$12="",$K610=CETAK!$J$12),OR(CETAK!$J$13="",$H610=CETAK!$J$13),OR(CETAK!$J$14="",$O610=CETAK!$J$14)),MAX($X$3:X609)+1,""))</f>
        <v/>
      </c>
      <c r="Y610" s="40" t="str">
        <f aca="false">IF($B610="","",IF(AND(OR(ABSENSI!$H$10="",$E610=ABSENSI!$H$10),OR(ABSENSI!$H$11="",$F610=ABSENSI!$H$11),OR(ABSENSI!$H$12="",$K610=ABSENSI!$H$12)),MAX($Y$3:Y609)+1,""))</f>
        <v/>
      </c>
      <c r="Z610" s="40" t="str">
        <f aca="false">IF($B610="","",IF(AND(OR(KARTU!$K$6="",$E610=KARTU!$K$6),OR(KARTU!$K$7="",$F610=KARTU!$K$7),OR(KARTU!$K$8="",$K610=KARTU!$K$8)),MAX($Z$3:Z609)+1,""))</f>
        <v/>
      </c>
    </row>
    <row r="611" customFormat="false" ht="15" hidden="false" customHeight="false" outlineLevel="0" collapsed="false">
      <c r="A611" s="36" t="str">
        <f aca="false">IF($B611="","",COUNTA($B$4:$B611))</f>
        <v/>
      </c>
      <c r="B611" s="37"/>
      <c r="C611" s="38"/>
      <c r="D611" s="39"/>
      <c r="E611" s="37"/>
      <c r="F611" s="39"/>
      <c r="G611" s="40" t="str">
        <f aca="false">IF(OR($E611="",$F611=""),"",$E611&amp;" - RT "&amp;$F611)</f>
        <v/>
      </c>
      <c r="H611" s="37"/>
      <c r="I611" s="38"/>
      <c r="J611" s="37"/>
      <c r="K611" s="39"/>
      <c r="L611" s="41"/>
      <c r="M611" s="36" t="str">
        <f aca="true">IF(OR($B611="",$L611=""),"",DATEDIF($L611,TODAY(),"Y"))</f>
        <v/>
      </c>
      <c r="N611" s="40" t="str">
        <f aca="false">IF($M611="","",INDEX(usia_label,MATCH($M611,usia_min,1)))</f>
        <v/>
      </c>
      <c r="O611" s="37"/>
      <c r="P611" s="41"/>
      <c r="Q611" s="37"/>
      <c r="R611" s="37"/>
      <c r="S611" s="40" t="str">
        <f aca="false">IF($G611="","",$G611&amp;"#"&amp;COUNTIF($G$4:$G611,$G611))</f>
        <v/>
      </c>
      <c r="T611" s="40" t="str">
        <f aca="false">IF($B611="","",IF($C611="","NIK kosong",IF(LEN($C611)&lt;&gt;16,"NIK bukan 16 digit",IF(COUNTIF($C$4:$C$2003,$C611&amp;"*")&gt;1,"NIK ganda",IF($E611="","Kadus kosong",IF($F611="","RT kosong",IF($H611="","Jabatan kosong",IF($I611="","No. HP kosong",IF($J611="","Alamat kosong",IF(AND($M611&lt;&gt;"",$M611&lt;17),"Usia di bawah 17",""))))))))))</f>
        <v/>
      </c>
      <c r="U611" s="40" t="str">
        <f aca="false">IF($B611="","",IF(AND(OR(CARI!$C$5="",ISNUMBER(SEARCH(CARI!$C$5,$B611&amp;" "&amp;$C611&amp;" "&amp;$I611&amp;" "&amp;$J611&amp;" "&amp;$Q611))),OR(CARI!$C$6="",$E611=CARI!$C$6),OR(CARI!$C$7="",$F611=CARI!$C$7),OR(CARI!$C$8="",$O611=CARI!$C$8)),MAX($U$3:U610)+1,""))</f>
        <v/>
      </c>
      <c r="V611" s="40" t="str">
        <f aca="false">IF($T611="","",MAX($V$3:V610)+1)</f>
        <v/>
      </c>
      <c r="W611" s="40" t="str">
        <f aca="false">IF($E611="","",$E611&amp;"#"&amp;COUNTIF($E$4:$E611,$E611))</f>
        <v/>
      </c>
      <c r="X611" s="40" t="str">
        <f aca="false">IF($B611="","",IF(AND(OR(CETAK!$J$10="",$E611=CETAK!$J$10),OR(CETAK!$J$11="",$F611=CETAK!$J$11),OR(CETAK!$J$12="",$K611=CETAK!$J$12),OR(CETAK!$J$13="",$H611=CETAK!$J$13),OR(CETAK!$J$14="",$O611=CETAK!$J$14)),MAX($X$3:X610)+1,""))</f>
        <v/>
      </c>
      <c r="Y611" s="40" t="str">
        <f aca="false">IF($B611="","",IF(AND(OR(ABSENSI!$H$10="",$E611=ABSENSI!$H$10),OR(ABSENSI!$H$11="",$F611=ABSENSI!$H$11),OR(ABSENSI!$H$12="",$K611=ABSENSI!$H$12)),MAX($Y$3:Y610)+1,""))</f>
        <v/>
      </c>
      <c r="Z611" s="40" t="str">
        <f aca="false">IF($B611="","",IF(AND(OR(KARTU!$K$6="",$E611=KARTU!$K$6),OR(KARTU!$K$7="",$F611=KARTU!$K$7),OR(KARTU!$K$8="",$K611=KARTU!$K$8)),MAX($Z$3:Z610)+1,""))</f>
        <v/>
      </c>
    </row>
    <row r="612" customFormat="false" ht="15" hidden="false" customHeight="false" outlineLevel="0" collapsed="false">
      <c r="A612" s="36" t="str">
        <f aca="false">IF($B612="","",COUNTA($B$4:$B612))</f>
        <v/>
      </c>
      <c r="B612" s="37"/>
      <c r="C612" s="38"/>
      <c r="D612" s="39"/>
      <c r="E612" s="37"/>
      <c r="F612" s="39"/>
      <c r="G612" s="40" t="str">
        <f aca="false">IF(OR($E612="",$F612=""),"",$E612&amp;" - RT "&amp;$F612)</f>
        <v/>
      </c>
      <c r="H612" s="37"/>
      <c r="I612" s="38"/>
      <c r="J612" s="37"/>
      <c r="K612" s="39"/>
      <c r="L612" s="41"/>
      <c r="M612" s="36" t="str">
        <f aca="true">IF(OR($B612="",$L612=""),"",DATEDIF($L612,TODAY(),"Y"))</f>
        <v/>
      </c>
      <c r="N612" s="40" t="str">
        <f aca="false">IF($M612="","",INDEX(usia_label,MATCH($M612,usia_min,1)))</f>
        <v/>
      </c>
      <c r="O612" s="37"/>
      <c r="P612" s="41"/>
      <c r="Q612" s="37"/>
      <c r="R612" s="37"/>
      <c r="S612" s="40" t="str">
        <f aca="false">IF($G612="","",$G612&amp;"#"&amp;COUNTIF($G$4:$G612,$G612))</f>
        <v/>
      </c>
      <c r="T612" s="40" t="str">
        <f aca="false">IF($B612="","",IF($C612="","NIK kosong",IF(LEN($C612)&lt;&gt;16,"NIK bukan 16 digit",IF(COUNTIF($C$4:$C$2003,$C612&amp;"*")&gt;1,"NIK ganda",IF($E612="","Kadus kosong",IF($F612="","RT kosong",IF($H612="","Jabatan kosong",IF($I612="","No. HP kosong",IF($J612="","Alamat kosong",IF(AND($M612&lt;&gt;"",$M612&lt;17),"Usia di bawah 17",""))))))))))</f>
        <v/>
      </c>
      <c r="U612" s="40" t="str">
        <f aca="false">IF($B612="","",IF(AND(OR(CARI!$C$5="",ISNUMBER(SEARCH(CARI!$C$5,$B612&amp;" "&amp;$C612&amp;" "&amp;$I612&amp;" "&amp;$J612&amp;" "&amp;$Q612))),OR(CARI!$C$6="",$E612=CARI!$C$6),OR(CARI!$C$7="",$F612=CARI!$C$7),OR(CARI!$C$8="",$O612=CARI!$C$8)),MAX($U$3:U611)+1,""))</f>
        <v/>
      </c>
      <c r="V612" s="40" t="str">
        <f aca="false">IF($T612="","",MAX($V$3:V611)+1)</f>
        <v/>
      </c>
      <c r="W612" s="40" t="str">
        <f aca="false">IF($E612="","",$E612&amp;"#"&amp;COUNTIF($E$4:$E612,$E612))</f>
        <v/>
      </c>
      <c r="X612" s="40" t="str">
        <f aca="false">IF($B612="","",IF(AND(OR(CETAK!$J$10="",$E612=CETAK!$J$10),OR(CETAK!$J$11="",$F612=CETAK!$J$11),OR(CETAK!$J$12="",$K612=CETAK!$J$12),OR(CETAK!$J$13="",$H612=CETAK!$J$13),OR(CETAK!$J$14="",$O612=CETAK!$J$14)),MAX($X$3:X611)+1,""))</f>
        <v/>
      </c>
      <c r="Y612" s="40" t="str">
        <f aca="false">IF($B612="","",IF(AND(OR(ABSENSI!$H$10="",$E612=ABSENSI!$H$10),OR(ABSENSI!$H$11="",$F612=ABSENSI!$H$11),OR(ABSENSI!$H$12="",$K612=ABSENSI!$H$12)),MAX($Y$3:Y611)+1,""))</f>
        <v/>
      </c>
      <c r="Z612" s="40" t="str">
        <f aca="false">IF($B612="","",IF(AND(OR(KARTU!$K$6="",$E612=KARTU!$K$6),OR(KARTU!$K$7="",$F612=KARTU!$K$7),OR(KARTU!$K$8="",$K612=KARTU!$K$8)),MAX($Z$3:Z611)+1,""))</f>
        <v/>
      </c>
    </row>
    <row r="613" customFormat="false" ht="15" hidden="false" customHeight="false" outlineLevel="0" collapsed="false">
      <c r="A613" s="36" t="str">
        <f aca="false">IF($B613="","",COUNTA($B$4:$B613))</f>
        <v/>
      </c>
      <c r="B613" s="37"/>
      <c r="C613" s="38"/>
      <c r="D613" s="39"/>
      <c r="E613" s="37"/>
      <c r="F613" s="39"/>
      <c r="G613" s="40" t="str">
        <f aca="false">IF(OR($E613="",$F613=""),"",$E613&amp;" - RT "&amp;$F613)</f>
        <v/>
      </c>
      <c r="H613" s="37"/>
      <c r="I613" s="38"/>
      <c r="J613" s="37"/>
      <c r="K613" s="39"/>
      <c r="L613" s="41"/>
      <c r="M613" s="36" t="str">
        <f aca="true">IF(OR($B613="",$L613=""),"",DATEDIF($L613,TODAY(),"Y"))</f>
        <v/>
      </c>
      <c r="N613" s="40" t="str">
        <f aca="false">IF($M613="","",INDEX(usia_label,MATCH($M613,usia_min,1)))</f>
        <v/>
      </c>
      <c r="O613" s="37"/>
      <c r="P613" s="41"/>
      <c r="Q613" s="37"/>
      <c r="R613" s="37"/>
      <c r="S613" s="40" t="str">
        <f aca="false">IF($G613="","",$G613&amp;"#"&amp;COUNTIF($G$4:$G613,$G613))</f>
        <v/>
      </c>
      <c r="T613" s="40" t="str">
        <f aca="false">IF($B613="","",IF($C613="","NIK kosong",IF(LEN($C613)&lt;&gt;16,"NIK bukan 16 digit",IF(COUNTIF($C$4:$C$2003,$C613&amp;"*")&gt;1,"NIK ganda",IF($E613="","Kadus kosong",IF($F613="","RT kosong",IF($H613="","Jabatan kosong",IF($I613="","No. HP kosong",IF($J613="","Alamat kosong",IF(AND($M613&lt;&gt;"",$M613&lt;17),"Usia di bawah 17",""))))))))))</f>
        <v/>
      </c>
      <c r="U613" s="40" t="str">
        <f aca="false">IF($B613="","",IF(AND(OR(CARI!$C$5="",ISNUMBER(SEARCH(CARI!$C$5,$B613&amp;" "&amp;$C613&amp;" "&amp;$I613&amp;" "&amp;$J613&amp;" "&amp;$Q613))),OR(CARI!$C$6="",$E613=CARI!$C$6),OR(CARI!$C$7="",$F613=CARI!$C$7),OR(CARI!$C$8="",$O613=CARI!$C$8)),MAX($U$3:U612)+1,""))</f>
        <v/>
      </c>
      <c r="V613" s="40" t="str">
        <f aca="false">IF($T613="","",MAX($V$3:V612)+1)</f>
        <v/>
      </c>
      <c r="W613" s="40" t="str">
        <f aca="false">IF($E613="","",$E613&amp;"#"&amp;COUNTIF($E$4:$E613,$E613))</f>
        <v/>
      </c>
      <c r="X613" s="40" t="str">
        <f aca="false">IF($B613="","",IF(AND(OR(CETAK!$J$10="",$E613=CETAK!$J$10),OR(CETAK!$J$11="",$F613=CETAK!$J$11),OR(CETAK!$J$12="",$K613=CETAK!$J$12),OR(CETAK!$J$13="",$H613=CETAK!$J$13),OR(CETAK!$J$14="",$O613=CETAK!$J$14)),MAX($X$3:X612)+1,""))</f>
        <v/>
      </c>
      <c r="Y613" s="40" t="str">
        <f aca="false">IF($B613="","",IF(AND(OR(ABSENSI!$H$10="",$E613=ABSENSI!$H$10),OR(ABSENSI!$H$11="",$F613=ABSENSI!$H$11),OR(ABSENSI!$H$12="",$K613=ABSENSI!$H$12)),MAX($Y$3:Y612)+1,""))</f>
        <v/>
      </c>
      <c r="Z613" s="40" t="str">
        <f aca="false">IF($B613="","",IF(AND(OR(KARTU!$K$6="",$E613=KARTU!$K$6),OR(KARTU!$K$7="",$F613=KARTU!$K$7),OR(KARTU!$K$8="",$K613=KARTU!$K$8)),MAX($Z$3:Z612)+1,""))</f>
        <v/>
      </c>
    </row>
    <row r="614" customFormat="false" ht="15" hidden="false" customHeight="false" outlineLevel="0" collapsed="false">
      <c r="A614" s="36" t="str">
        <f aca="false">IF($B614="","",COUNTA($B$4:$B614))</f>
        <v/>
      </c>
      <c r="B614" s="37"/>
      <c r="C614" s="38"/>
      <c r="D614" s="39"/>
      <c r="E614" s="37"/>
      <c r="F614" s="39"/>
      <c r="G614" s="40" t="str">
        <f aca="false">IF(OR($E614="",$F614=""),"",$E614&amp;" - RT "&amp;$F614)</f>
        <v/>
      </c>
      <c r="H614" s="37"/>
      <c r="I614" s="38"/>
      <c r="J614" s="37"/>
      <c r="K614" s="39"/>
      <c r="L614" s="41"/>
      <c r="M614" s="36" t="str">
        <f aca="true">IF(OR($B614="",$L614=""),"",DATEDIF($L614,TODAY(),"Y"))</f>
        <v/>
      </c>
      <c r="N614" s="40" t="str">
        <f aca="false">IF($M614="","",INDEX(usia_label,MATCH($M614,usia_min,1)))</f>
        <v/>
      </c>
      <c r="O614" s="37"/>
      <c r="P614" s="41"/>
      <c r="Q614" s="37"/>
      <c r="R614" s="37"/>
      <c r="S614" s="40" t="str">
        <f aca="false">IF($G614="","",$G614&amp;"#"&amp;COUNTIF($G$4:$G614,$G614))</f>
        <v/>
      </c>
      <c r="T614" s="40" t="str">
        <f aca="false">IF($B614="","",IF($C614="","NIK kosong",IF(LEN($C614)&lt;&gt;16,"NIK bukan 16 digit",IF(COUNTIF($C$4:$C$2003,$C614&amp;"*")&gt;1,"NIK ganda",IF($E614="","Kadus kosong",IF($F614="","RT kosong",IF($H614="","Jabatan kosong",IF($I614="","No. HP kosong",IF($J614="","Alamat kosong",IF(AND($M614&lt;&gt;"",$M614&lt;17),"Usia di bawah 17",""))))))))))</f>
        <v/>
      </c>
      <c r="U614" s="40" t="str">
        <f aca="false">IF($B614="","",IF(AND(OR(CARI!$C$5="",ISNUMBER(SEARCH(CARI!$C$5,$B614&amp;" "&amp;$C614&amp;" "&amp;$I614&amp;" "&amp;$J614&amp;" "&amp;$Q614))),OR(CARI!$C$6="",$E614=CARI!$C$6),OR(CARI!$C$7="",$F614=CARI!$C$7),OR(CARI!$C$8="",$O614=CARI!$C$8)),MAX($U$3:U613)+1,""))</f>
        <v/>
      </c>
      <c r="V614" s="40" t="str">
        <f aca="false">IF($T614="","",MAX($V$3:V613)+1)</f>
        <v/>
      </c>
      <c r="W614" s="40" t="str">
        <f aca="false">IF($E614="","",$E614&amp;"#"&amp;COUNTIF($E$4:$E614,$E614))</f>
        <v/>
      </c>
      <c r="X614" s="40" t="str">
        <f aca="false">IF($B614="","",IF(AND(OR(CETAK!$J$10="",$E614=CETAK!$J$10),OR(CETAK!$J$11="",$F614=CETAK!$J$11),OR(CETAK!$J$12="",$K614=CETAK!$J$12),OR(CETAK!$J$13="",$H614=CETAK!$J$13),OR(CETAK!$J$14="",$O614=CETAK!$J$14)),MAX($X$3:X613)+1,""))</f>
        <v/>
      </c>
      <c r="Y614" s="40" t="str">
        <f aca="false">IF($B614="","",IF(AND(OR(ABSENSI!$H$10="",$E614=ABSENSI!$H$10),OR(ABSENSI!$H$11="",$F614=ABSENSI!$H$11),OR(ABSENSI!$H$12="",$K614=ABSENSI!$H$12)),MAX($Y$3:Y613)+1,""))</f>
        <v/>
      </c>
      <c r="Z614" s="40" t="str">
        <f aca="false">IF($B614="","",IF(AND(OR(KARTU!$K$6="",$E614=KARTU!$K$6),OR(KARTU!$K$7="",$F614=KARTU!$K$7),OR(KARTU!$K$8="",$K614=KARTU!$K$8)),MAX($Z$3:Z613)+1,""))</f>
        <v/>
      </c>
    </row>
    <row r="615" customFormat="false" ht="15" hidden="false" customHeight="false" outlineLevel="0" collapsed="false">
      <c r="A615" s="36" t="str">
        <f aca="false">IF($B615="","",COUNTA($B$4:$B615))</f>
        <v/>
      </c>
      <c r="B615" s="37"/>
      <c r="C615" s="38"/>
      <c r="D615" s="39"/>
      <c r="E615" s="37"/>
      <c r="F615" s="39"/>
      <c r="G615" s="40" t="str">
        <f aca="false">IF(OR($E615="",$F615=""),"",$E615&amp;" - RT "&amp;$F615)</f>
        <v/>
      </c>
      <c r="H615" s="37"/>
      <c r="I615" s="38"/>
      <c r="J615" s="37"/>
      <c r="K615" s="39"/>
      <c r="L615" s="41"/>
      <c r="M615" s="36" t="str">
        <f aca="true">IF(OR($B615="",$L615=""),"",DATEDIF($L615,TODAY(),"Y"))</f>
        <v/>
      </c>
      <c r="N615" s="40" t="str">
        <f aca="false">IF($M615="","",INDEX(usia_label,MATCH($M615,usia_min,1)))</f>
        <v/>
      </c>
      <c r="O615" s="37"/>
      <c r="P615" s="41"/>
      <c r="Q615" s="37"/>
      <c r="R615" s="37"/>
      <c r="S615" s="40" t="str">
        <f aca="false">IF($G615="","",$G615&amp;"#"&amp;COUNTIF($G$4:$G615,$G615))</f>
        <v/>
      </c>
      <c r="T615" s="40" t="str">
        <f aca="false">IF($B615="","",IF($C615="","NIK kosong",IF(LEN($C615)&lt;&gt;16,"NIK bukan 16 digit",IF(COUNTIF($C$4:$C$2003,$C615&amp;"*")&gt;1,"NIK ganda",IF($E615="","Kadus kosong",IF($F615="","RT kosong",IF($H615="","Jabatan kosong",IF($I615="","No. HP kosong",IF($J615="","Alamat kosong",IF(AND($M615&lt;&gt;"",$M615&lt;17),"Usia di bawah 17",""))))))))))</f>
        <v/>
      </c>
      <c r="U615" s="40" t="str">
        <f aca="false">IF($B615="","",IF(AND(OR(CARI!$C$5="",ISNUMBER(SEARCH(CARI!$C$5,$B615&amp;" "&amp;$C615&amp;" "&amp;$I615&amp;" "&amp;$J615&amp;" "&amp;$Q615))),OR(CARI!$C$6="",$E615=CARI!$C$6),OR(CARI!$C$7="",$F615=CARI!$C$7),OR(CARI!$C$8="",$O615=CARI!$C$8)),MAX($U$3:U614)+1,""))</f>
        <v/>
      </c>
      <c r="V615" s="40" t="str">
        <f aca="false">IF($T615="","",MAX($V$3:V614)+1)</f>
        <v/>
      </c>
      <c r="W615" s="40" t="str">
        <f aca="false">IF($E615="","",$E615&amp;"#"&amp;COUNTIF($E$4:$E615,$E615))</f>
        <v/>
      </c>
      <c r="X615" s="40" t="str">
        <f aca="false">IF($B615="","",IF(AND(OR(CETAK!$J$10="",$E615=CETAK!$J$10),OR(CETAK!$J$11="",$F615=CETAK!$J$11),OR(CETAK!$J$12="",$K615=CETAK!$J$12),OR(CETAK!$J$13="",$H615=CETAK!$J$13),OR(CETAK!$J$14="",$O615=CETAK!$J$14)),MAX($X$3:X614)+1,""))</f>
        <v/>
      </c>
      <c r="Y615" s="40" t="str">
        <f aca="false">IF($B615="","",IF(AND(OR(ABSENSI!$H$10="",$E615=ABSENSI!$H$10),OR(ABSENSI!$H$11="",$F615=ABSENSI!$H$11),OR(ABSENSI!$H$12="",$K615=ABSENSI!$H$12)),MAX($Y$3:Y614)+1,""))</f>
        <v/>
      </c>
      <c r="Z615" s="40" t="str">
        <f aca="false">IF($B615="","",IF(AND(OR(KARTU!$K$6="",$E615=KARTU!$K$6),OR(KARTU!$K$7="",$F615=KARTU!$K$7),OR(KARTU!$K$8="",$K615=KARTU!$K$8)),MAX($Z$3:Z614)+1,""))</f>
        <v/>
      </c>
    </row>
    <row r="616" customFormat="false" ht="15" hidden="false" customHeight="false" outlineLevel="0" collapsed="false">
      <c r="A616" s="36" t="str">
        <f aca="false">IF($B616="","",COUNTA($B$4:$B616))</f>
        <v/>
      </c>
      <c r="B616" s="37"/>
      <c r="C616" s="38"/>
      <c r="D616" s="39"/>
      <c r="E616" s="37"/>
      <c r="F616" s="39"/>
      <c r="G616" s="40" t="str">
        <f aca="false">IF(OR($E616="",$F616=""),"",$E616&amp;" - RT "&amp;$F616)</f>
        <v/>
      </c>
      <c r="H616" s="37"/>
      <c r="I616" s="38"/>
      <c r="J616" s="37"/>
      <c r="K616" s="39"/>
      <c r="L616" s="41"/>
      <c r="M616" s="36" t="str">
        <f aca="true">IF(OR($B616="",$L616=""),"",DATEDIF($L616,TODAY(),"Y"))</f>
        <v/>
      </c>
      <c r="N616" s="40" t="str">
        <f aca="false">IF($M616="","",INDEX(usia_label,MATCH($M616,usia_min,1)))</f>
        <v/>
      </c>
      <c r="O616" s="37"/>
      <c r="P616" s="41"/>
      <c r="Q616" s="37"/>
      <c r="R616" s="37"/>
      <c r="S616" s="40" t="str">
        <f aca="false">IF($G616="","",$G616&amp;"#"&amp;COUNTIF($G$4:$G616,$G616))</f>
        <v/>
      </c>
      <c r="T616" s="40" t="str">
        <f aca="false">IF($B616="","",IF($C616="","NIK kosong",IF(LEN($C616)&lt;&gt;16,"NIK bukan 16 digit",IF(COUNTIF($C$4:$C$2003,$C616&amp;"*")&gt;1,"NIK ganda",IF($E616="","Kadus kosong",IF($F616="","RT kosong",IF($H616="","Jabatan kosong",IF($I616="","No. HP kosong",IF($J616="","Alamat kosong",IF(AND($M616&lt;&gt;"",$M616&lt;17),"Usia di bawah 17",""))))))))))</f>
        <v/>
      </c>
      <c r="U616" s="40" t="str">
        <f aca="false">IF($B616="","",IF(AND(OR(CARI!$C$5="",ISNUMBER(SEARCH(CARI!$C$5,$B616&amp;" "&amp;$C616&amp;" "&amp;$I616&amp;" "&amp;$J616&amp;" "&amp;$Q616))),OR(CARI!$C$6="",$E616=CARI!$C$6),OR(CARI!$C$7="",$F616=CARI!$C$7),OR(CARI!$C$8="",$O616=CARI!$C$8)),MAX($U$3:U615)+1,""))</f>
        <v/>
      </c>
      <c r="V616" s="40" t="str">
        <f aca="false">IF($T616="","",MAX($V$3:V615)+1)</f>
        <v/>
      </c>
      <c r="W616" s="40" t="str">
        <f aca="false">IF($E616="","",$E616&amp;"#"&amp;COUNTIF($E$4:$E616,$E616))</f>
        <v/>
      </c>
      <c r="X616" s="40" t="str">
        <f aca="false">IF($B616="","",IF(AND(OR(CETAK!$J$10="",$E616=CETAK!$J$10),OR(CETAK!$J$11="",$F616=CETAK!$J$11),OR(CETAK!$J$12="",$K616=CETAK!$J$12),OR(CETAK!$J$13="",$H616=CETAK!$J$13),OR(CETAK!$J$14="",$O616=CETAK!$J$14)),MAX($X$3:X615)+1,""))</f>
        <v/>
      </c>
      <c r="Y616" s="40" t="str">
        <f aca="false">IF($B616="","",IF(AND(OR(ABSENSI!$H$10="",$E616=ABSENSI!$H$10),OR(ABSENSI!$H$11="",$F616=ABSENSI!$H$11),OR(ABSENSI!$H$12="",$K616=ABSENSI!$H$12)),MAX($Y$3:Y615)+1,""))</f>
        <v/>
      </c>
      <c r="Z616" s="40" t="str">
        <f aca="false">IF($B616="","",IF(AND(OR(KARTU!$K$6="",$E616=KARTU!$K$6),OR(KARTU!$K$7="",$F616=KARTU!$K$7),OR(KARTU!$K$8="",$K616=KARTU!$K$8)),MAX($Z$3:Z615)+1,""))</f>
        <v/>
      </c>
    </row>
    <row r="617" customFormat="false" ht="15" hidden="false" customHeight="false" outlineLevel="0" collapsed="false">
      <c r="A617" s="36" t="str">
        <f aca="false">IF($B617="","",COUNTA($B$4:$B617))</f>
        <v/>
      </c>
      <c r="B617" s="37"/>
      <c r="C617" s="38"/>
      <c r="D617" s="39"/>
      <c r="E617" s="37"/>
      <c r="F617" s="39"/>
      <c r="G617" s="40" t="str">
        <f aca="false">IF(OR($E617="",$F617=""),"",$E617&amp;" - RT "&amp;$F617)</f>
        <v/>
      </c>
      <c r="H617" s="37"/>
      <c r="I617" s="38"/>
      <c r="J617" s="37"/>
      <c r="K617" s="39"/>
      <c r="L617" s="41"/>
      <c r="M617" s="36" t="str">
        <f aca="true">IF(OR($B617="",$L617=""),"",DATEDIF($L617,TODAY(),"Y"))</f>
        <v/>
      </c>
      <c r="N617" s="40" t="str">
        <f aca="false">IF($M617="","",INDEX(usia_label,MATCH($M617,usia_min,1)))</f>
        <v/>
      </c>
      <c r="O617" s="37"/>
      <c r="P617" s="41"/>
      <c r="Q617" s="37"/>
      <c r="R617" s="37"/>
      <c r="S617" s="40" t="str">
        <f aca="false">IF($G617="","",$G617&amp;"#"&amp;COUNTIF($G$4:$G617,$G617))</f>
        <v/>
      </c>
      <c r="T617" s="40" t="str">
        <f aca="false">IF($B617="","",IF($C617="","NIK kosong",IF(LEN($C617)&lt;&gt;16,"NIK bukan 16 digit",IF(COUNTIF($C$4:$C$2003,$C617&amp;"*")&gt;1,"NIK ganda",IF($E617="","Kadus kosong",IF($F617="","RT kosong",IF($H617="","Jabatan kosong",IF($I617="","No. HP kosong",IF($J617="","Alamat kosong",IF(AND($M617&lt;&gt;"",$M617&lt;17),"Usia di bawah 17",""))))))))))</f>
        <v/>
      </c>
      <c r="U617" s="40" t="str">
        <f aca="false">IF($B617="","",IF(AND(OR(CARI!$C$5="",ISNUMBER(SEARCH(CARI!$C$5,$B617&amp;" "&amp;$C617&amp;" "&amp;$I617&amp;" "&amp;$J617&amp;" "&amp;$Q617))),OR(CARI!$C$6="",$E617=CARI!$C$6),OR(CARI!$C$7="",$F617=CARI!$C$7),OR(CARI!$C$8="",$O617=CARI!$C$8)),MAX($U$3:U616)+1,""))</f>
        <v/>
      </c>
      <c r="V617" s="40" t="str">
        <f aca="false">IF($T617="","",MAX($V$3:V616)+1)</f>
        <v/>
      </c>
      <c r="W617" s="40" t="str">
        <f aca="false">IF($E617="","",$E617&amp;"#"&amp;COUNTIF($E$4:$E617,$E617))</f>
        <v/>
      </c>
      <c r="X617" s="40" t="str">
        <f aca="false">IF($B617="","",IF(AND(OR(CETAK!$J$10="",$E617=CETAK!$J$10),OR(CETAK!$J$11="",$F617=CETAK!$J$11),OR(CETAK!$J$12="",$K617=CETAK!$J$12),OR(CETAK!$J$13="",$H617=CETAK!$J$13),OR(CETAK!$J$14="",$O617=CETAK!$J$14)),MAX($X$3:X616)+1,""))</f>
        <v/>
      </c>
      <c r="Y617" s="40" t="str">
        <f aca="false">IF($B617="","",IF(AND(OR(ABSENSI!$H$10="",$E617=ABSENSI!$H$10),OR(ABSENSI!$H$11="",$F617=ABSENSI!$H$11),OR(ABSENSI!$H$12="",$K617=ABSENSI!$H$12)),MAX($Y$3:Y616)+1,""))</f>
        <v/>
      </c>
      <c r="Z617" s="40" t="str">
        <f aca="false">IF($B617="","",IF(AND(OR(KARTU!$K$6="",$E617=KARTU!$K$6),OR(KARTU!$K$7="",$F617=KARTU!$K$7),OR(KARTU!$K$8="",$K617=KARTU!$K$8)),MAX($Z$3:Z616)+1,""))</f>
        <v/>
      </c>
    </row>
    <row r="618" customFormat="false" ht="15" hidden="false" customHeight="false" outlineLevel="0" collapsed="false">
      <c r="A618" s="36" t="str">
        <f aca="false">IF($B618="","",COUNTA($B$4:$B618))</f>
        <v/>
      </c>
      <c r="B618" s="37"/>
      <c r="C618" s="38"/>
      <c r="D618" s="39"/>
      <c r="E618" s="37"/>
      <c r="F618" s="39"/>
      <c r="G618" s="40" t="str">
        <f aca="false">IF(OR($E618="",$F618=""),"",$E618&amp;" - RT "&amp;$F618)</f>
        <v/>
      </c>
      <c r="H618" s="37"/>
      <c r="I618" s="38"/>
      <c r="J618" s="37"/>
      <c r="K618" s="39"/>
      <c r="L618" s="41"/>
      <c r="M618" s="36" t="str">
        <f aca="true">IF(OR($B618="",$L618=""),"",DATEDIF($L618,TODAY(),"Y"))</f>
        <v/>
      </c>
      <c r="N618" s="40" t="str">
        <f aca="false">IF($M618="","",INDEX(usia_label,MATCH($M618,usia_min,1)))</f>
        <v/>
      </c>
      <c r="O618" s="37"/>
      <c r="P618" s="41"/>
      <c r="Q618" s="37"/>
      <c r="R618" s="37"/>
      <c r="S618" s="40" t="str">
        <f aca="false">IF($G618="","",$G618&amp;"#"&amp;COUNTIF($G$4:$G618,$G618))</f>
        <v/>
      </c>
      <c r="T618" s="40" t="str">
        <f aca="false">IF($B618="","",IF($C618="","NIK kosong",IF(LEN($C618)&lt;&gt;16,"NIK bukan 16 digit",IF(COUNTIF($C$4:$C$2003,$C618&amp;"*")&gt;1,"NIK ganda",IF($E618="","Kadus kosong",IF($F618="","RT kosong",IF($H618="","Jabatan kosong",IF($I618="","No. HP kosong",IF($J618="","Alamat kosong",IF(AND($M618&lt;&gt;"",$M618&lt;17),"Usia di bawah 17",""))))))))))</f>
        <v/>
      </c>
      <c r="U618" s="40" t="str">
        <f aca="false">IF($B618="","",IF(AND(OR(CARI!$C$5="",ISNUMBER(SEARCH(CARI!$C$5,$B618&amp;" "&amp;$C618&amp;" "&amp;$I618&amp;" "&amp;$J618&amp;" "&amp;$Q618))),OR(CARI!$C$6="",$E618=CARI!$C$6),OR(CARI!$C$7="",$F618=CARI!$C$7),OR(CARI!$C$8="",$O618=CARI!$C$8)),MAX($U$3:U617)+1,""))</f>
        <v/>
      </c>
      <c r="V618" s="40" t="str">
        <f aca="false">IF($T618="","",MAX($V$3:V617)+1)</f>
        <v/>
      </c>
      <c r="W618" s="40" t="str">
        <f aca="false">IF($E618="","",$E618&amp;"#"&amp;COUNTIF($E$4:$E618,$E618))</f>
        <v/>
      </c>
      <c r="X618" s="40" t="str">
        <f aca="false">IF($B618="","",IF(AND(OR(CETAK!$J$10="",$E618=CETAK!$J$10),OR(CETAK!$J$11="",$F618=CETAK!$J$11),OR(CETAK!$J$12="",$K618=CETAK!$J$12),OR(CETAK!$J$13="",$H618=CETAK!$J$13),OR(CETAK!$J$14="",$O618=CETAK!$J$14)),MAX($X$3:X617)+1,""))</f>
        <v/>
      </c>
      <c r="Y618" s="40" t="str">
        <f aca="false">IF($B618="","",IF(AND(OR(ABSENSI!$H$10="",$E618=ABSENSI!$H$10),OR(ABSENSI!$H$11="",$F618=ABSENSI!$H$11),OR(ABSENSI!$H$12="",$K618=ABSENSI!$H$12)),MAX($Y$3:Y617)+1,""))</f>
        <v/>
      </c>
      <c r="Z618" s="40" t="str">
        <f aca="false">IF($B618="","",IF(AND(OR(KARTU!$K$6="",$E618=KARTU!$K$6),OR(KARTU!$K$7="",$F618=KARTU!$K$7),OR(KARTU!$K$8="",$K618=KARTU!$K$8)),MAX($Z$3:Z617)+1,""))</f>
        <v/>
      </c>
    </row>
    <row r="619" customFormat="false" ht="15" hidden="false" customHeight="false" outlineLevel="0" collapsed="false">
      <c r="A619" s="36" t="str">
        <f aca="false">IF($B619="","",COUNTA($B$4:$B619))</f>
        <v/>
      </c>
      <c r="B619" s="37"/>
      <c r="C619" s="38"/>
      <c r="D619" s="39"/>
      <c r="E619" s="37"/>
      <c r="F619" s="39"/>
      <c r="G619" s="40" t="str">
        <f aca="false">IF(OR($E619="",$F619=""),"",$E619&amp;" - RT "&amp;$F619)</f>
        <v/>
      </c>
      <c r="H619" s="37"/>
      <c r="I619" s="38"/>
      <c r="J619" s="37"/>
      <c r="K619" s="39"/>
      <c r="L619" s="41"/>
      <c r="M619" s="36" t="str">
        <f aca="true">IF(OR($B619="",$L619=""),"",DATEDIF($L619,TODAY(),"Y"))</f>
        <v/>
      </c>
      <c r="N619" s="40" t="str">
        <f aca="false">IF($M619="","",INDEX(usia_label,MATCH($M619,usia_min,1)))</f>
        <v/>
      </c>
      <c r="O619" s="37"/>
      <c r="P619" s="41"/>
      <c r="Q619" s="37"/>
      <c r="R619" s="37"/>
      <c r="S619" s="40" t="str">
        <f aca="false">IF($G619="","",$G619&amp;"#"&amp;COUNTIF($G$4:$G619,$G619))</f>
        <v/>
      </c>
      <c r="T619" s="40" t="str">
        <f aca="false">IF($B619="","",IF($C619="","NIK kosong",IF(LEN($C619)&lt;&gt;16,"NIK bukan 16 digit",IF(COUNTIF($C$4:$C$2003,$C619&amp;"*")&gt;1,"NIK ganda",IF($E619="","Kadus kosong",IF($F619="","RT kosong",IF($H619="","Jabatan kosong",IF($I619="","No. HP kosong",IF($J619="","Alamat kosong",IF(AND($M619&lt;&gt;"",$M619&lt;17),"Usia di bawah 17",""))))))))))</f>
        <v/>
      </c>
      <c r="U619" s="40" t="str">
        <f aca="false">IF($B619="","",IF(AND(OR(CARI!$C$5="",ISNUMBER(SEARCH(CARI!$C$5,$B619&amp;" "&amp;$C619&amp;" "&amp;$I619&amp;" "&amp;$J619&amp;" "&amp;$Q619))),OR(CARI!$C$6="",$E619=CARI!$C$6),OR(CARI!$C$7="",$F619=CARI!$C$7),OR(CARI!$C$8="",$O619=CARI!$C$8)),MAX($U$3:U618)+1,""))</f>
        <v/>
      </c>
      <c r="V619" s="40" t="str">
        <f aca="false">IF($T619="","",MAX($V$3:V618)+1)</f>
        <v/>
      </c>
      <c r="W619" s="40" t="str">
        <f aca="false">IF($E619="","",$E619&amp;"#"&amp;COUNTIF($E$4:$E619,$E619))</f>
        <v/>
      </c>
      <c r="X619" s="40" t="str">
        <f aca="false">IF($B619="","",IF(AND(OR(CETAK!$J$10="",$E619=CETAK!$J$10),OR(CETAK!$J$11="",$F619=CETAK!$J$11),OR(CETAK!$J$12="",$K619=CETAK!$J$12),OR(CETAK!$J$13="",$H619=CETAK!$J$13),OR(CETAK!$J$14="",$O619=CETAK!$J$14)),MAX($X$3:X618)+1,""))</f>
        <v/>
      </c>
      <c r="Y619" s="40" t="str">
        <f aca="false">IF($B619="","",IF(AND(OR(ABSENSI!$H$10="",$E619=ABSENSI!$H$10),OR(ABSENSI!$H$11="",$F619=ABSENSI!$H$11),OR(ABSENSI!$H$12="",$K619=ABSENSI!$H$12)),MAX($Y$3:Y618)+1,""))</f>
        <v/>
      </c>
      <c r="Z619" s="40" t="str">
        <f aca="false">IF($B619="","",IF(AND(OR(KARTU!$K$6="",$E619=KARTU!$K$6),OR(KARTU!$K$7="",$F619=KARTU!$K$7),OR(KARTU!$K$8="",$K619=KARTU!$K$8)),MAX($Z$3:Z618)+1,""))</f>
        <v/>
      </c>
    </row>
    <row r="620" customFormat="false" ht="15" hidden="false" customHeight="false" outlineLevel="0" collapsed="false">
      <c r="A620" s="36" t="str">
        <f aca="false">IF($B620="","",COUNTA($B$4:$B620))</f>
        <v/>
      </c>
      <c r="B620" s="37"/>
      <c r="C620" s="38"/>
      <c r="D620" s="39"/>
      <c r="E620" s="37"/>
      <c r="F620" s="39"/>
      <c r="G620" s="40" t="str">
        <f aca="false">IF(OR($E620="",$F620=""),"",$E620&amp;" - RT "&amp;$F620)</f>
        <v/>
      </c>
      <c r="H620" s="37"/>
      <c r="I620" s="38"/>
      <c r="J620" s="37"/>
      <c r="K620" s="39"/>
      <c r="L620" s="41"/>
      <c r="M620" s="36" t="str">
        <f aca="true">IF(OR($B620="",$L620=""),"",DATEDIF($L620,TODAY(),"Y"))</f>
        <v/>
      </c>
      <c r="N620" s="40" t="str">
        <f aca="false">IF($M620="","",INDEX(usia_label,MATCH($M620,usia_min,1)))</f>
        <v/>
      </c>
      <c r="O620" s="37"/>
      <c r="P620" s="41"/>
      <c r="Q620" s="37"/>
      <c r="R620" s="37"/>
      <c r="S620" s="40" t="str">
        <f aca="false">IF($G620="","",$G620&amp;"#"&amp;COUNTIF($G$4:$G620,$G620))</f>
        <v/>
      </c>
      <c r="T620" s="40" t="str">
        <f aca="false">IF($B620="","",IF($C620="","NIK kosong",IF(LEN($C620)&lt;&gt;16,"NIK bukan 16 digit",IF(COUNTIF($C$4:$C$2003,$C620&amp;"*")&gt;1,"NIK ganda",IF($E620="","Kadus kosong",IF($F620="","RT kosong",IF($H620="","Jabatan kosong",IF($I620="","No. HP kosong",IF($J620="","Alamat kosong",IF(AND($M620&lt;&gt;"",$M620&lt;17),"Usia di bawah 17",""))))))))))</f>
        <v/>
      </c>
      <c r="U620" s="40" t="str">
        <f aca="false">IF($B620="","",IF(AND(OR(CARI!$C$5="",ISNUMBER(SEARCH(CARI!$C$5,$B620&amp;" "&amp;$C620&amp;" "&amp;$I620&amp;" "&amp;$J620&amp;" "&amp;$Q620))),OR(CARI!$C$6="",$E620=CARI!$C$6),OR(CARI!$C$7="",$F620=CARI!$C$7),OR(CARI!$C$8="",$O620=CARI!$C$8)),MAX($U$3:U619)+1,""))</f>
        <v/>
      </c>
      <c r="V620" s="40" t="str">
        <f aca="false">IF($T620="","",MAX($V$3:V619)+1)</f>
        <v/>
      </c>
      <c r="W620" s="40" t="str">
        <f aca="false">IF($E620="","",$E620&amp;"#"&amp;COUNTIF($E$4:$E620,$E620))</f>
        <v/>
      </c>
      <c r="X620" s="40" t="str">
        <f aca="false">IF($B620="","",IF(AND(OR(CETAK!$J$10="",$E620=CETAK!$J$10),OR(CETAK!$J$11="",$F620=CETAK!$J$11),OR(CETAK!$J$12="",$K620=CETAK!$J$12),OR(CETAK!$J$13="",$H620=CETAK!$J$13),OR(CETAK!$J$14="",$O620=CETAK!$J$14)),MAX($X$3:X619)+1,""))</f>
        <v/>
      </c>
      <c r="Y620" s="40" t="str">
        <f aca="false">IF($B620="","",IF(AND(OR(ABSENSI!$H$10="",$E620=ABSENSI!$H$10),OR(ABSENSI!$H$11="",$F620=ABSENSI!$H$11),OR(ABSENSI!$H$12="",$K620=ABSENSI!$H$12)),MAX($Y$3:Y619)+1,""))</f>
        <v/>
      </c>
      <c r="Z620" s="40" t="str">
        <f aca="false">IF($B620="","",IF(AND(OR(KARTU!$K$6="",$E620=KARTU!$K$6),OR(KARTU!$K$7="",$F620=KARTU!$K$7),OR(KARTU!$K$8="",$K620=KARTU!$K$8)),MAX($Z$3:Z619)+1,""))</f>
        <v/>
      </c>
    </row>
    <row r="621" customFormat="false" ht="15" hidden="false" customHeight="false" outlineLevel="0" collapsed="false">
      <c r="A621" s="36" t="str">
        <f aca="false">IF($B621="","",COUNTA($B$4:$B621))</f>
        <v/>
      </c>
      <c r="B621" s="37"/>
      <c r="C621" s="38"/>
      <c r="D621" s="39"/>
      <c r="E621" s="37"/>
      <c r="F621" s="39"/>
      <c r="G621" s="40" t="str">
        <f aca="false">IF(OR($E621="",$F621=""),"",$E621&amp;" - RT "&amp;$F621)</f>
        <v/>
      </c>
      <c r="H621" s="37"/>
      <c r="I621" s="38"/>
      <c r="J621" s="37"/>
      <c r="K621" s="39"/>
      <c r="L621" s="41"/>
      <c r="M621" s="36" t="str">
        <f aca="true">IF(OR($B621="",$L621=""),"",DATEDIF($L621,TODAY(),"Y"))</f>
        <v/>
      </c>
      <c r="N621" s="40" t="str">
        <f aca="false">IF($M621="","",INDEX(usia_label,MATCH($M621,usia_min,1)))</f>
        <v/>
      </c>
      <c r="O621" s="37"/>
      <c r="P621" s="41"/>
      <c r="Q621" s="37"/>
      <c r="R621" s="37"/>
      <c r="S621" s="40" t="str">
        <f aca="false">IF($G621="","",$G621&amp;"#"&amp;COUNTIF($G$4:$G621,$G621))</f>
        <v/>
      </c>
      <c r="T621" s="40" t="str">
        <f aca="false">IF($B621="","",IF($C621="","NIK kosong",IF(LEN($C621)&lt;&gt;16,"NIK bukan 16 digit",IF(COUNTIF($C$4:$C$2003,$C621&amp;"*")&gt;1,"NIK ganda",IF($E621="","Kadus kosong",IF($F621="","RT kosong",IF($H621="","Jabatan kosong",IF($I621="","No. HP kosong",IF($J621="","Alamat kosong",IF(AND($M621&lt;&gt;"",$M621&lt;17),"Usia di bawah 17",""))))))))))</f>
        <v/>
      </c>
      <c r="U621" s="40" t="str">
        <f aca="false">IF($B621="","",IF(AND(OR(CARI!$C$5="",ISNUMBER(SEARCH(CARI!$C$5,$B621&amp;" "&amp;$C621&amp;" "&amp;$I621&amp;" "&amp;$J621&amp;" "&amp;$Q621))),OR(CARI!$C$6="",$E621=CARI!$C$6),OR(CARI!$C$7="",$F621=CARI!$C$7),OR(CARI!$C$8="",$O621=CARI!$C$8)),MAX($U$3:U620)+1,""))</f>
        <v/>
      </c>
      <c r="V621" s="40" t="str">
        <f aca="false">IF($T621="","",MAX($V$3:V620)+1)</f>
        <v/>
      </c>
      <c r="W621" s="40" t="str">
        <f aca="false">IF($E621="","",$E621&amp;"#"&amp;COUNTIF($E$4:$E621,$E621))</f>
        <v/>
      </c>
      <c r="X621" s="40" t="str">
        <f aca="false">IF($B621="","",IF(AND(OR(CETAK!$J$10="",$E621=CETAK!$J$10),OR(CETAK!$J$11="",$F621=CETAK!$J$11),OR(CETAK!$J$12="",$K621=CETAK!$J$12),OR(CETAK!$J$13="",$H621=CETAK!$J$13),OR(CETAK!$J$14="",$O621=CETAK!$J$14)),MAX($X$3:X620)+1,""))</f>
        <v/>
      </c>
      <c r="Y621" s="40" t="str">
        <f aca="false">IF($B621="","",IF(AND(OR(ABSENSI!$H$10="",$E621=ABSENSI!$H$10),OR(ABSENSI!$H$11="",$F621=ABSENSI!$H$11),OR(ABSENSI!$H$12="",$K621=ABSENSI!$H$12)),MAX($Y$3:Y620)+1,""))</f>
        <v/>
      </c>
      <c r="Z621" s="40" t="str">
        <f aca="false">IF($B621="","",IF(AND(OR(KARTU!$K$6="",$E621=KARTU!$K$6),OR(KARTU!$K$7="",$F621=KARTU!$K$7),OR(KARTU!$K$8="",$K621=KARTU!$K$8)),MAX($Z$3:Z620)+1,""))</f>
        <v/>
      </c>
    </row>
    <row r="622" customFormat="false" ht="15" hidden="false" customHeight="false" outlineLevel="0" collapsed="false">
      <c r="A622" s="36" t="str">
        <f aca="false">IF($B622="","",COUNTA($B$4:$B622))</f>
        <v/>
      </c>
      <c r="B622" s="37"/>
      <c r="C622" s="38"/>
      <c r="D622" s="39"/>
      <c r="E622" s="37"/>
      <c r="F622" s="39"/>
      <c r="G622" s="40" t="str">
        <f aca="false">IF(OR($E622="",$F622=""),"",$E622&amp;" - RT "&amp;$F622)</f>
        <v/>
      </c>
      <c r="H622" s="37"/>
      <c r="I622" s="38"/>
      <c r="J622" s="37"/>
      <c r="K622" s="39"/>
      <c r="L622" s="41"/>
      <c r="M622" s="36" t="str">
        <f aca="true">IF(OR($B622="",$L622=""),"",DATEDIF($L622,TODAY(),"Y"))</f>
        <v/>
      </c>
      <c r="N622" s="40" t="str">
        <f aca="false">IF($M622="","",INDEX(usia_label,MATCH($M622,usia_min,1)))</f>
        <v/>
      </c>
      <c r="O622" s="37"/>
      <c r="P622" s="41"/>
      <c r="Q622" s="37"/>
      <c r="R622" s="37"/>
      <c r="S622" s="40" t="str">
        <f aca="false">IF($G622="","",$G622&amp;"#"&amp;COUNTIF($G$4:$G622,$G622))</f>
        <v/>
      </c>
      <c r="T622" s="40" t="str">
        <f aca="false">IF($B622="","",IF($C622="","NIK kosong",IF(LEN($C622)&lt;&gt;16,"NIK bukan 16 digit",IF(COUNTIF($C$4:$C$2003,$C622&amp;"*")&gt;1,"NIK ganda",IF($E622="","Kadus kosong",IF($F622="","RT kosong",IF($H622="","Jabatan kosong",IF($I622="","No. HP kosong",IF($J622="","Alamat kosong",IF(AND($M622&lt;&gt;"",$M622&lt;17),"Usia di bawah 17",""))))))))))</f>
        <v/>
      </c>
      <c r="U622" s="40" t="str">
        <f aca="false">IF($B622="","",IF(AND(OR(CARI!$C$5="",ISNUMBER(SEARCH(CARI!$C$5,$B622&amp;" "&amp;$C622&amp;" "&amp;$I622&amp;" "&amp;$J622&amp;" "&amp;$Q622))),OR(CARI!$C$6="",$E622=CARI!$C$6),OR(CARI!$C$7="",$F622=CARI!$C$7),OR(CARI!$C$8="",$O622=CARI!$C$8)),MAX($U$3:U621)+1,""))</f>
        <v/>
      </c>
      <c r="V622" s="40" t="str">
        <f aca="false">IF($T622="","",MAX($V$3:V621)+1)</f>
        <v/>
      </c>
      <c r="W622" s="40" t="str">
        <f aca="false">IF($E622="","",$E622&amp;"#"&amp;COUNTIF($E$4:$E622,$E622))</f>
        <v/>
      </c>
      <c r="X622" s="40" t="str">
        <f aca="false">IF($B622="","",IF(AND(OR(CETAK!$J$10="",$E622=CETAK!$J$10),OR(CETAK!$J$11="",$F622=CETAK!$J$11),OR(CETAK!$J$12="",$K622=CETAK!$J$12),OR(CETAK!$J$13="",$H622=CETAK!$J$13),OR(CETAK!$J$14="",$O622=CETAK!$J$14)),MAX($X$3:X621)+1,""))</f>
        <v/>
      </c>
      <c r="Y622" s="40" t="str">
        <f aca="false">IF($B622="","",IF(AND(OR(ABSENSI!$H$10="",$E622=ABSENSI!$H$10),OR(ABSENSI!$H$11="",$F622=ABSENSI!$H$11),OR(ABSENSI!$H$12="",$K622=ABSENSI!$H$12)),MAX($Y$3:Y621)+1,""))</f>
        <v/>
      </c>
      <c r="Z622" s="40" t="str">
        <f aca="false">IF($B622="","",IF(AND(OR(KARTU!$K$6="",$E622=KARTU!$K$6),OR(KARTU!$K$7="",$F622=KARTU!$K$7),OR(KARTU!$K$8="",$K622=KARTU!$K$8)),MAX($Z$3:Z621)+1,""))</f>
        <v/>
      </c>
    </row>
    <row r="623" customFormat="false" ht="15" hidden="false" customHeight="false" outlineLevel="0" collapsed="false">
      <c r="A623" s="36" t="str">
        <f aca="false">IF($B623="","",COUNTA($B$4:$B623))</f>
        <v/>
      </c>
      <c r="B623" s="37"/>
      <c r="C623" s="38"/>
      <c r="D623" s="39"/>
      <c r="E623" s="37"/>
      <c r="F623" s="39"/>
      <c r="G623" s="40" t="str">
        <f aca="false">IF(OR($E623="",$F623=""),"",$E623&amp;" - RT "&amp;$F623)</f>
        <v/>
      </c>
      <c r="H623" s="37"/>
      <c r="I623" s="38"/>
      <c r="J623" s="37"/>
      <c r="K623" s="39"/>
      <c r="L623" s="41"/>
      <c r="M623" s="36" t="str">
        <f aca="true">IF(OR($B623="",$L623=""),"",DATEDIF($L623,TODAY(),"Y"))</f>
        <v/>
      </c>
      <c r="N623" s="40" t="str">
        <f aca="false">IF($M623="","",INDEX(usia_label,MATCH($M623,usia_min,1)))</f>
        <v/>
      </c>
      <c r="O623" s="37"/>
      <c r="P623" s="41"/>
      <c r="Q623" s="37"/>
      <c r="R623" s="37"/>
      <c r="S623" s="40" t="str">
        <f aca="false">IF($G623="","",$G623&amp;"#"&amp;COUNTIF($G$4:$G623,$G623))</f>
        <v/>
      </c>
      <c r="T623" s="40" t="str">
        <f aca="false">IF($B623="","",IF($C623="","NIK kosong",IF(LEN($C623)&lt;&gt;16,"NIK bukan 16 digit",IF(COUNTIF($C$4:$C$2003,$C623&amp;"*")&gt;1,"NIK ganda",IF($E623="","Kadus kosong",IF($F623="","RT kosong",IF($H623="","Jabatan kosong",IF($I623="","No. HP kosong",IF($J623="","Alamat kosong",IF(AND($M623&lt;&gt;"",$M623&lt;17),"Usia di bawah 17",""))))))))))</f>
        <v/>
      </c>
      <c r="U623" s="40" t="str">
        <f aca="false">IF($B623="","",IF(AND(OR(CARI!$C$5="",ISNUMBER(SEARCH(CARI!$C$5,$B623&amp;" "&amp;$C623&amp;" "&amp;$I623&amp;" "&amp;$J623&amp;" "&amp;$Q623))),OR(CARI!$C$6="",$E623=CARI!$C$6),OR(CARI!$C$7="",$F623=CARI!$C$7),OR(CARI!$C$8="",$O623=CARI!$C$8)),MAX($U$3:U622)+1,""))</f>
        <v/>
      </c>
      <c r="V623" s="40" t="str">
        <f aca="false">IF($T623="","",MAX($V$3:V622)+1)</f>
        <v/>
      </c>
      <c r="W623" s="40" t="str">
        <f aca="false">IF($E623="","",$E623&amp;"#"&amp;COUNTIF($E$4:$E623,$E623))</f>
        <v/>
      </c>
      <c r="X623" s="40" t="str">
        <f aca="false">IF($B623="","",IF(AND(OR(CETAK!$J$10="",$E623=CETAK!$J$10),OR(CETAK!$J$11="",$F623=CETAK!$J$11),OR(CETAK!$J$12="",$K623=CETAK!$J$12),OR(CETAK!$J$13="",$H623=CETAK!$J$13),OR(CETAK!$J$14="",$O623=CETAK!$J$14)),MAX($X$3:X622)+1,""))</f>
        <v/>
      </c>
      <c r="Y623" s="40" t="str">
        <f aca="false">IF($B623="","",IF(AND(OR(ABSENSI!$H$10="",$E623=ABSENSI!$H$10),OR(ABSENSI!$H$11="",$F623=ABSENSI!$H$11),OR(ABSENSI!$H$12="",$K623=ABSENSI!$H$12)),MAX($Y$3:Y622)+1,""))</f>
        <v/>
      </c>
      <c r="Z623" s="40" t="str">
        <f aca="false">IF($B623="","",IF(AND(OR(KARTU!$K$6="",$E623=KARTU!$K$6),OR(KARTU!$K$7="",$F623=KARTU!$K$7),OR(KARTU!$K$8="",$K623=KARTU!$K$8)),MAX($Z$3:Z622)+1,""))</f>
        <v/>
      </c>
    </row>
    <row r="624" customFormat="false" ht="15" hidden="false" customHeight="false" outlineLevel="0" collapsed="false">
      <c r="A624" s="36" t="str">
        <f aca="false">IF($B624="","",COUNTA($B$4:$B624))</f>
        <v/>
      </c>
      <c r="B624" s="37"/>
      <c r="C624" s="38"/>
      <c r="D624" s="39"/>
      <c r="E624" s="37"/>
      <c r="F624" s="39"/>
      <c r="G624" s="40" t="str">
        <f aca="false">IF(OR($E624="",$F624=""),"",$E624&amp;" - RT "&amp;$F624)</f>
        <v/>
      </c>
      <c r="H624" s="37"/>
      <c r="I624" s="38"/>
      <c r="J624" s="37"/>
      <c r="K624" s="39"/>
      <c r="L624" s="41"/>
      <c r="M624" s="36" t="str">
        <f aca="true">IF(OR($B624="",$L624=""),"",DATEDIF($L624,TODAY(),"Y"))</f>
        <v/>
      </c>
      <c r="N624" s="40" t="str">
        <f aca="false">IF($M624="","",INDEX(usia_label,MATCH($M624,usia_min,1)))</f>
        <v/>
      </c>
      <c r="O624" s="37"/>
      <c r="P624" s="41"/>
      <c r="Q624" s="37"/>
      <c r="R624" s="37"/>
      <c r="S624" s="40" t="str">
        <f aca="false">IF($G624="","",$G624&amp;"#"&amp;COUNTIF($G$4:$G624,$G624))</f>
        <v/>
      </c>
      <c r="T624" s="40" t="str">
        <f aca="false">IF($B624="","",IF($C624="","NIK kosong",IF(LEN($C624)&lt;&gt;16,"NIK bukan 16 digit",IF(COUNTIF($C$4:$C$2003,$C624&amp;"*")&gt;1,"NIK ganda",IF($E624="","Kadus kosong",IF($F624="","RT kosong",IF($H624="","Jabatan kosong",IF($I624="","No. HP kosong",IF($J624="","Alamat kosong",IF(AND($M624&lt;&gt;"",$M624&lt;17),"Usia di bawah 17",""))))))))))</f>
        <v/>
      </c>
      <c r="U624" s="40" t="str">
        <f aca="false">IF($B624="","",IF(AND(OR(CARI!$C$5="",ISNUMBER(SEARCH(CARI!$C$5,$B624&amp;" "&amp;$C624&amp;" "&amp;$I624&amp;" "&amp;$J624&amp;" "&amp;$Q624))),OR(CARI!$C$6="",$E624=CARI!$C$6),OR(CARI!$C$7="",$F624=CARI!$C$7),OR(CARI!$C$8="",$O624=CARI!$C$8)),MAX($U$3:U623)+1,""))</f>
        <v/>
      </c>
      <c r="V624" s="40" t="str">
        <f aca="false">IF($T624="","",MAX($V$3:V623)+1)</f>
        <v/>
      </c>
      <c r="W624" s="40" t="str">
        <f aca="false">IF($E624="","",$E624&amp;"#"&amp;COUNTIF($E$4:$E624,$E624))</f>
        <v/>
      </c>
      <c r="X624" s="40" t="str">
        <f aca="false">IF($B624="","",IF(AND(OR(CETAK!$J$10="",$E624=CETAK!$J$10),OR(CETAK!$J$11="",$F624=CETAK!$J$11),OR(CETAK!$J$12="",$K624=CETAK!$J$12),OR(CETAK!$J$13="",$H624=CETAK!$J$13),OR(CETAK!$J$14="",$O624=CETAK!$J$14)),MAX($X$3:X623)+1,""))</f>
        <v/>
      </c>
      <c r="Y624" s="40" t="str">
        <f aca="false">IF($B624="","",IF(AND(OR(ABSENSI!$H$10="",$E624=ABSENSI!$H$10),OR(ABSENSI!$H$11="",$F624=ABSENSI!$H$11),OR(ABSENSI!$H$12="",$K624=ABSENSI!$H$12)),MAX($Y$3:Y623)+1,""))</f>
        <v/>
      </c>
      <c r="Z624" s="40" t="str">
        <f aca="false">IF($B624="","",IF(AND(OR(KARTU!$K$6="",$E624=KARTU!$K$6),OR(KARTU!$K$7="",$F624=KARTU!$K$7),OR(KARTU!$K$8="",$K624=KARTU!$K$8)),MAX($Z$3:Z623)+1,""))</f>
        <v/>
      </c>
    </row>
    <row r="625" customFormat="false" ht="15" hidden="false" customHeight="false" outlineLevel="0" collapsed="false">
      <c r="A625" s="36" t="str">
        <f aca="false">IF($B625="","",COUNTA($B$4:$B625))</f>
        <v/>
      </c>
      <c r="B625" s="37"/>
      <c r="C625" s="38"/>
      <c r="D625" s="39"/>
      <c r="E625" s="37"/>
      <c r="F625" s="39"/>
      <c r="G625" s="40" t="str">
        <f aca="false">IF(OR($E625="",$F625=""),"",$E625&amp;" - RT "&amp;$F625)</f>
        <v/>
      </c>
      <c r="H625" s="37"/>
      <c r="I625" s="38"/>
      <c r="J625" s="37"/>
      <c r="K625" s="39"/>
      <c r="L625" s="41"/>
      <c r="M625" s="36" t="str">
        <f aca="true">IF(OR($B625="",$L625=""),"",DATEDIF($L625,TODAY(),"Y"))</f>
        <v/>
      </c>
      <c r="N625" s="40" t="str">
        <f aca="false">IF($M625="","",INDEX(usia_label,MATCH($M625,usia_min,1)))</f>
        <v/>
      </c>
      <c r="O625" s="37"/>
      <c r="P625" s="41"/>
      <c r="Q625" s="37"/>
      <c r="R625" s="37"/>
      <c r="S625" s="40" t="str">
        <f aca="false">IF($G625="","",$G625&amp;"#"&amp;COUNTIF($G$4:$G625,$G625))</f>
        <v/>
      </c>
      <c r="T625" s="40" t="str">
        <f aca="false">IF($B625="","",IF($C625="","NIK kosong",IF(LEN($C625)&lt;&gt;16,"NIK bukan 16 digit",IF(COUNTIF($C$4:$C$2003,$C625&amp;"*")&gt;1,"NIK ganda",IF($E625="","Kadus kosong",IF($F625="","RT kosong",IF($H625="","Jabatan kosong",IF($I625="","No. HP kosong",IF($J625="","Alamat kosong",IF(AND($M625&lt;&gt;"",$M625&lt;17),"Usia di bawah 17",""))))))))))</f>
        <v/>
      </c>
      <c r="U625" s="40" t="str">
        <f aca="false">IF($B625="","",IF(AND(OR(CARI!$C$5="",ISNUMBER(SEARCH(CARI!$C$5,$B625&amp;" "&amp;$C625&amp;" "&amp;$I625&amp;" "&amp;$J625&amp;" "&amp;$Q625))),OR(CARI!$C$6="",$E625=CARI!$C$6),OR(CARI!$C$7="",$F625=CARI!$C$7),OR(CARI!$C$8="",$O625=CARI!$C$8)),MAX($U$3:U624)+1,""))</f>
        <v/>
      </c>
      <c r="V625" s="40" t="str">
        <f aca="false">IF($T625="","",MAX($V$3:V624)+1)</f>
        <v/>
      </c>
      <c r="W625" s="40" t="str">
        <f aca="false">IF($E625="","",$E625&amp;"#"&amp;COUNTIF($E$4:$E625,$E625))</f>
        <v/>
      </c>
      <c r="X625" s="40" t="str">
        <f aca="false">IF($B625="","",IF(AND(OR(CETAK!$J$10="",$E625=CETAK!$J$10),OR(CETAK!$J$11="",$F625=CETAK!$J$11),OR(CETAK!$J$12="",$K625=CETAK!$J$12),OR(CETAK!$J$13="",$H625=CETAK!$J$13),OR(CETAK!$J$14="",$O625=CETAK!$J$14)),MAX($X$3:X624)+1,""))</f>
        <v/>
      </c>
      <c r="Y625" s="40" t="str">
        <f aca="false">IF($B625="","",IF(AND(OR(ABSENSI!$H$10="",$E625=ABSENSI!$H$10),OR(ABSENSI!$H$11="",$F625=ABSENSI!$H$11),OR(ABSENSI!$H$12="",$K625=ABSENSI!$H$12)),MAX($Y$3:Y624)+1,""))</f>
        <v/>
      </c>
      <c r="Z625" s="40" t="str">
        <f aca="false">IF($B625="","",IF(AND(OR(KARTU!$K$6="",$E625=KARTU!$K$6),OR(KARTU!$K$7="",$F625=KARTU!$K$7),OR(KARTU!$K$8="",$K625=KARTU!$K$8)),MAX($Z$3:Z624)+1,""))</f>
        <v/>
      </c>
    </row>
    <row r="626" customFormat="false" ht="15" hidden="false" customHeight="false" outlineLevel="0" collapsed="false">
      <c r="A626" s="36" t="str">
        <f aca="false">IF($B626="","",COUNTA($B$4:$B626))</f>
        <v/>
      </c>
      <c r="B626" s="37"/>
      <c r="C626" s="38"/>
      <c r="D626" s="39"/>
      <c r="E626" s="37"/>
      <c r="F626" s="39"/>
      <c r="G626" s="40" t="str">
        <f aca="false">IF(OR($E626="",$F626=""),"",$E626&amp;" - RT "&amp;$F626)</f>
        <v/>
      </c>
      <c r="H626" s="37"/>
      <c r="I626" s="38"/>
      <c r="J626" s="37"/>
      <c r="K626" s="39"/>
      <c r="L626" s="41"/>
      <c r="M626" s="36" t="str">
        <f aca="true">IF(OR($B626="",$L626=""),"",DATEDIF($L626,TODAY(),"Y"))</f>
        <v/>
      </c>
      <c r="N626" s="40" t="str">
        <f aca="false">IF($M626="","",INDEX(usia_label,MATCH($M626,usia_min,1)))</f>
        <v/>
      </c>
      <c r="O626" s="37"/>
      <c r="P626" s="41"/>
      <c r="Q626" s="37"/>
      <c r="R626" s="37"/>
      <c r="S626" s="40" t="str">
        <f aca="false">IF($G626="","",$G626&amp;"#"&amp;COUNTIF($G$4:$G626,$G626))</f>
        <v/>
      </c>
      <c r="T626" s="40" t="str">
        <f aca="false">IF($B626="","",IF($C626="","NIK kosong",IF(LEN($C626)&lt;&gt;16,"NIK bukan 16 digit",IF(COUNTIF($C$4:$C$2003,$C626&amp;"*")&gt;1,"NIK ganda",IF($E626="","Kadus kosong",IF($F626="","RT kosong",IF($H626="","Jabatan kosong",IF($I626="","No. HP kosong",IF($J626="","Alamat kosong",IF(AND($M626&lt;&gt;"",$M626&lt;17),"Usia di bawah 17",""))))))))))</f>
        <v/>
      </c>
      <c r="U626" s="40" t="str">
        <f aca="false">IF($B626="","",IF(AND(OR(CARI!$C$5="",ISNUMBER(SEARCH(CARI!$C$5,$B626&amp;" "&amp;$C626&amp;" "&amp;$I626&amp;" "&amp;$J626&amp;" "&amp;$Q626))),OR(CARI!$C$6="",$E626=CARI!$C$6),OR(CARI!$C$7="",$F626=CARI!$C$7),OR(CARI!$C$8="",$O626=CARI!$C$8)),MAX($U$3:U625)+1,""))</f>
        <v/>
      </c>
      <c r="V626" s="40" t="str">
        <f aca="false">IF($T626="","",MAX($V$3:V625)+1)</f>
        <v/>
      </c>
      <c r="W626" s="40" t="str">
        <f aca="false">IF($E626="","",$E626&amp;"#"&amp;COUNTIF($E$4:$E626,$E626))</f>
        <v/>
      </c>
      <c r="X626" s="40" t="str">
        <f aca="false">IF($B626="","",IF(AND(OR(CETAK!$J$10="",$E626=CETAK!$J$10),OR(CETAK!$J$11="",$F626=CETAK!$J$11),OR(CETAK!$J$12="",$K626=CETAK!$J$12),OR(CETAK!$J$13="",$H626=CETAK!$J$13),OR(CETAK!$J$14="",$O626=CETAK!$J$14)),MAX($X$3:X625)+1,""))</f>
        <v/>
      </c>
      <c r="Y626" s="40" t="str">
        <f aca="false">IF($B626="","",IF(AND(OR(ABSENSI!$H$10="",$E626=ABSENSI!$H$10),OR(ABSENSI!$H$11="",$F626=ABSENSI!$H$11),OR(ABSENSI!$H$12="",$K626=ABSENSI!$H$12)),MAX($Y$3:Y625)+1,""))</f>
        <v/>
      </c>
      <c r="Z626" s="40" t="str">
        <f aca="false">IF($B626="","",IF(AND(OR(KARTU!$K$6="",$E626=KARTU!$K$6),OR(KARTU!$K$7="",$F626=KARTU!$K$7),OR(KARTU!$K$8="",$K626=KARTU!$K$8)),MAX($Z$3:Z625)+1,""))</f>
        <v/>
      </c>
    </row>
    <row r="627" customFormat="false" ht="15" hidden="false" customHeight="false" outlineLevel="0" collapsed="false">
      <c r="A627" s="36" t="str">
        <f aca="false">IF($B627="","",COUNTA($B$4:$B627))</f>
        <v/>
      </c>
      <c r="B627" s="37"/>
      <c r="C627" s="38"/>
      <c r="D627" s="39"/>
      <c r="E627" s="37"/>
      <c r="F627" s="39"/>
      <c r="G627" s="40" t="str">
        <f aca="false">IF(OR($E627="",$F627=""),"",$E627&amp;" - RT "&amp;$F627)</f>
        <v/>
      </c>
      <c r="H627" s="37"/>
      <c r="I627" s="38"/>
      <c r="J627" s="37"/>
      <c r="K627" s="39"/>
      <c r="L627" s="41"/>
      <c r="M627" s="36" t="str">
        <f aca="true">IF(OR($B627="",$L627=""),"",DATEDIF($L627,TODAY(),"Y"))</f>
        <v/>
      </c>
      <c r="N627" s="40" t="str">
        <f aca="false">IF($M627="","",INDEX(usia_label,MATCH($M627,usia_min,1)))</f>
        <v/>
      </c>
      <c r="O627" s="37"/>
      <c r="P627" s="41"/>
      <c r="Q627" s="37"/>
      <c r="R627" s="37"/>
      <c r="S627" s="40" t="str">
        <f aca="false">IF($G627="","",$G627&amp;"#"&amp;COUNTIF($G$4:$G627,$G627))</f>
        <v/>
      </c>
      <c r="T627" s="40" t="str">
        <f aca="false">IF($B627="","",IF($C627="","NIK kosong",IF(LEN($C627)&lt;&gt;16,"NIK bukan 16 digit",IF(COUNTIF($C$4:$C$2003,$C627&amp;"*")&gt;1,"NIK ganda",IF($E627="","Kadus kosong",IF($F627="","RT kosong",IF($H627="","Jabatan kosong",IF($I627="","No. HP kosong",IF($J627="","Alamat kosong",IF(AND($M627&lt;&gt;"",$M627&lt;17),"Usia di bawah 17",""))))))))))</f>
        <v/>
      </c>
      <c r="U627" s="40" t="str">
        <f aca="false">IF($B627="","",IF(AND(OR(CARI!$C$5="",ISNUMBER(SEARCH(CARI!$C$5,$B627&amp;" "&amp;$C627&amp;" "&amp;$I627&amp;" "&amp;$J627&amp;" "&amp;$Q627))),OR(CARI!$C$6="",$E627=CARI!$C$6),OR(CARI!$C$7="",$F627=CARI!$C$7),OR(CARI!$C$8="",$O627=CARI!$C$8)),MAX($U$3:U626)+1,""))</f>
        <v/>
      </c>
      <c r="V627" s="40" t="str">
        <f aca="false">IF($T627="","",MAX($V$3:V626)+1)</f>
        <v/>
      </c>
      <c r="W627" s="40" t="str">
        <f aca="false">IF($E627="","",$E627&amp;"#"&amp;COUNTIF($E$4:$E627,$E627))</f>
        <v/>
      </c>
      <c r="X627" s="40" t="str">
        <f aca="false">IF($B627="","",IF(AND(OR(CETAK!$J$10="",$E627=CETAK!$J$10),OR(CETAK!$J$11="",$F627=CETAK!$J$11),OR(CETAK!$J$12="",$K627=CETAK!$J$12),OR(CETAK!$J$13="",$H627=CETAK!$J$13),OR(CETAK!$J$14="",$O627=CETAK!$J$14)),MAX($X$3:X626)+1,""))</f>
        <v/>
      </c>
      <c r="Y627" s="40" t="str">
        <f aca="false">IF($B627="","",IF(AND(OR(ABSENSI!$H$10="",$E627=ABSENSI!$H$10),OR(ABSENSI!$H$11="",$F627=ABSENSI!$H$11),OR(ABSENSI!$H$12="",$K627=ABSENSI!$H$12)),MAX($Y$3:Y626)+1,""))</f>
        <v/>
      </c>
      <c r="Z627" s="40" t="str">
        <f aca="false">IF($B627="","",IF(AND(OR(KARTU!$K$6="",$E627=KARTU!$K$6),OR(KARTU!$K$7="",$F627=KARTU!$K$7),OR(KARTU!$K$8="",$K627=KARTU!$K$8)),MAX($Z$3:Z626)+1,""))</f>
        <v/>
      </c>
    </row>
    <row r="628" customFormat="false" ht="15" hidden="false" customHeight="false" outlineLevel="0" collapsed="false">
      <c r="A628" s="36" t="str">
        <f aca="false">IF($B628="","",COUNTA($B$4:$B628))</f>
        <v/>
      </c>
      <c r="B628" s="37"/>
      <c r="C628" s="38"/>
      <c r="D628" s="39"/>
      <c r="E628" s="37"/>
      <c r="F628" s="39"/>
      <c r="G628" s="40" t="str">
        <f aca="false">IF(OR($E628="",$F628=""),"",$E628&amp;" - RT "&amp;$F628)</f>
        <v/>
      </c>
      <c r="H628" s="37"/>
      <c r="I628" s="38"/>
      <c r="J628" s="37"/>
      <c r="K628" s="39"/>
      <c r="L628" s="41"/>
      <c r="M628" s="36" t="str">
        <f aca="true">IF(OR($B628="",$L628=""),"",DATEDIF($L628,TODAY(),"Y"))</f>
        <v/>
      </c>
      <c r="N628" s="40" t="str">
        <f aca="false">IF($M628="","",INDEX(usia_label,MATCH($M628,usia_min,1)))</f>
        <v/>
      </c>
      <c r="O628" s="37"/>
      <c r="P628" s="41"/>
      <c r="Q628" s="37"/>
      <c r="R628" s="37"/>
      <c r="S628" s="40" t="str">
        <f aca="false">IF($G628="","",$G628&amp;"#"&amp;COUNTIF($G$4:$G628,$G628))</f>
        <v/>
      </c>
      <c r="T628" s="40" t="str">
        <f aca="false">IF($B628="","",IF($C628="","NIK kosong",IF(LEN($C628)&lt;&gt;16,"NIK bukan 16 digit",IF(COUNTIF($C$4:$C$2003,$C628&amp;"*")&gt;1,"NIK ganda",IF($E628="","Kadus kosong",IF($F628="","RT kosong",IF($H628="","Jabatan kosong",IF($I628="","No. HP kosong",IF($J628="","Alamat kosong",IF(AND($M628&lt;&gt;"",$M628&lt;17),"Usia di bawah 17",""))))))))))</f>
        <v/>
      </c>
      <c r="U628" s="40" t="str">
        <f aca="false">IF($B628="","",IF(AND(OR(CARI!$C$5="",ISNUMBER(SEARCH(CARI!$C$5,$B628&amp;" "&amp;$C628&amp;" "&amp;$I628&amp;" "&amp;$J628&amp;" "&amp;$Q628))),OR(CARI!$C$6="",$E628=CARI!$C$6),OR(CARI!$C$7="",$F628=CARI!$C$7),OR(CARI!$C$8="",$O628=CARI!$C$8)),MAX($U$3:U627)+1,""))</f>
        <v/>
      </c>
      <c r="V628" s="40" t="str">
        <f aca="false">IF($T628="","",MAX($V$3:V627)+1)</f>
        <v/>
      </c>
      <c r="W628" s="40" t="str">
        <f aca="false">IF($E628="","",$E628&amp;"#"&amp;COUNTIF($E$4:$E628,$E628))</f>
        <v/>
      </c>
      <c r="X628" s="40" t="str">
        <f aca="false">IF($B628="","",IF(AND(OR(CETAK!$J$10="",$E628=CETAK!$J$10),OR(CETAK!$J$11="",$F628=CETAK!$J$11),OR(CETAK!$J$12="",$K628=CETAK!$J$12),OR(CETAK!$J$13="",$H628=CETAK!$J$13),OR(CETAK!$J$14="",$O628=CETAK!$J$14)),MAX($X$3:X627)+1,""))</f>
        <v/>
      </c>
      <c r="Y628" s="40" t="str">
        <f aca="false">IF($B628="","",IF(AND(OR(ABSENSI!$H$10="",$E628=ABSENSI!$H$10),OR(ABSENSI!$H$11="",$F628=ABSENSI!$H$11),OR(ABSENSI!$H$12="",$K628=ABSENSI!$H$12)),MAX($Y$3:Y627)+1,""))</f>
        <v/>
      </c>
      <c r="Z628" s="40" t="str">
        <f aca="false">IF($B628="","",IF(AND(OR(KARTU!$K$6="",$E628=KARTU!$K$6),OR(KARTU!$K$7="",$F628=KARTU!$K$7),OR(KARTU!$K$8="",$K628=KARTU!$K$8)),MAX($Z$3:Z627)+1,""))</f>
        <v/>
      </c>
    </row>
    <row r="629" customFormat="false" ht="15" hidden="false" customHeight="false" outlineLevel="0" collapsed="false">
      <c r="A629" s="36" t="str">
        <f aca="false">IF($B629="","",COUNTA($B$4:$B629))</f>
        <v/>
      </c>
      <c r="B629" s="37"/>
      <c r="C629" s="38"/>
      <c r="D629" s="39"/>
      <c r="E629" s="37"/>
      <c r="F629" s="39"/>
      <c r="G629" s="40" t="str">
        <f aca="false">IF(OR($E629="",$F629=""),"",$E629&amp;" - RT "&amp;$F629)</f>
        <v/>
      </c>
      <c r="H629" s="37"/>
      <c r="I629" s="38"/>
      <c r="J629" s="37"/>
      <c r="K629" s="39"/>
      <c r="L629" s="41"/>
      <c r="M629" s="36" t="str">
        <f aca="true">IF(OR($B629="",$L629=""),"",DATEDIF($L629,TODAY(),"Y"))</f>
        <v/>
      </c>
      <c r="N629" s="40" t="str">
        <f aca="false">IF($M629="","",INDEX(usia_label,MATCH($M629,usia_min,1)))</f>
        <v/>
      </c>
      <c r="O629" s="37"/>
      <c r="P629" s="41"/>
      <c r="Q629" s="37"/>
      <c r="R629" s="37"/>
      <c r="S629" s="40" t="str">
        <f aca="false">IF($G629="","",$G629&amp;"#"&amp;COUNTIF($G$4:$G629,$G629))</f>
        <v/>
      </c>
      <c r="T629" s="40" t="str">
        <f aca="false">IF($B629="","",IF($C629="","NIK kosong",IF(LEN($C629)&lt;&gt;16,"NIK bukan 16 digit",IF(COUNTIF($C$4:$C$2003,$C629&amp;"*")&gt;1,"NIK ganda",IF($E629="","Kadus kosong",IF($F629="","RT kosong",IF($H629="","Jabatan kosong",IF($I629="","No. HP kosong",IF($J629="","Alamat kosong",IF(AND($M629&lt;&gt;"",$M629&lt;17),"Usia di bawah 17",""))))))))))</f>
        <v/>
      </c>
      <c r="U629" s="40" t="str">
        <f aca="false">IF($B629="","",IF(AND(OR(CARI!$C$5="",ISNUMBER(SEARCH(CARI!$C$5,$B629&amp;" "&amp;$C629&amp;" "&amp;$I629&amp;" "&amp;$J629&amp;" "&amp;$Q629))),OR(CARI!$C$6="",$E629=CARI!$C$6),OR(CARI!$C$7="",$F629=CARI!$C$7),OR(CARI!$C$8="",$O629=CARI!$C$8)),MAX($U$3:U628)+1,""))</f>
        <v/>
      </c>
      <c r="V629" s="40" t="str">
        <f aca="false">IF($T629="","",MAX($V$3:V628)+1)</f>
        <v/>
      </c>
      <c r="W629" s="40" t="str">
        <f aca="false">IF($E629="","",$E629&amp;"#"&amp;COUNTIF($E$4:$E629,$E629))</f>
        <v/>
      </c>
      <c r="X629" s="40" t="str">
        <f aca="false">IF($B629="","",IF(AND(OR(CETAK!$J$10="",$E629=CETAK!$J$10),OR(CETAK!$J$11="",$F629=CETAK!$J$11),OR(CETAK!$J$12="",$K629=CETAK!$J$12),OR(CETAK!$J$13="",$H629=CETAK!$J$13),OR(CETAK!$J$14="",$O629=CETAK!$J$14)),MAX($X$3:X628)+1,""))</f>
        <v/>
      </c>
      <c r="Y629" s="40" t="str">
        <f aca="false">IF($B629="","",IF(AND(OR(ABSENSI!$H$10="",$E629=ABSENSI!$H$10),OR(ABSENSI!$H$11="",$F629=ABSENSI!$H$11),OR(ABSENSI!$H$12="",$K629=ABSENSI!$H$12)),MAX($Y$3:Y628)+1,""))</f>
        <v/>
      </c>
      <c r="Z629" s="40" t="str">
        <f aca="false">IF($B629="","",IF(AND(OR(KARTU!$K$6="",$E629=KARTU!$K$6),OR(KARTU!$K$7="",$F629=KARTU!$K$7),OR(KARTU!$K$8="",$K629=KARTU!$K$8)),MAX($Z$3:Z628)+1,""))</f>
        <v/>
      </c>
    </row>
    <row r="630" customFormat="false" ht="15" hidden="false" customHeight="false" outlineLevel="0" collapsed="false">
      <c r="A630" s="36" t="str">
        <f aca="false">IF($B630="","",COUNTA($B$4:$B630))</f>
        <v/>
      </c>
      <c r="B630" s="37"/>
      <c r="C630" s="38"/>
      <c r="D630" s="39"/>
      <c r="E630" s="37"/>
      <c r="F630" s="39"/>
      <c r="G630" s="40" t="str">
        <f aca="false">IF(OR($E630="",$F630=""),"",$E630&amp;" - RT "&amp;$F630)</f>
        <v/>
      </c>
      <c r="H630" s="37"/>
      <c r="I630" s="38"/>
      <c r="J630" s="37"/>
      <c r="K630" s="39"/>
      <c r="L630" s="41"/>
      <c r="M630" s="36" t="str">
        <f aca="true">IF(OR($B630="",$L630=""),"",DATEDIF($L630,TODAY(),"Y"))</f>
        <v/>
      </c>
      <c r="N630" s="40" t="str">
        <f aca="false">IF($M630="","",INDEX(usia_label,MATCH($M630,usia_min,1)))</f>
        <v/>
      </c>
      <c r="O630" s="37"/>
      <c r="P630" s="41"/>
      <c r="Q630" s="37"/>
      <c r="R630" s="37"/>
      <c r="S630" s="40" t="str">
        <f aca="false">IF($G630="","",$G630&amp;"#"&amp;COUNTIF($G$4:$G630,$G630))</f>
        <v/>
      </c>
      <c r="T630" s="40" t="str">
        <f aca="false">IF($B630="","",IF($C630="","NIK kosong",IF(LEN($C630)&lt;&gt;16,"NIK bukan 16 digit",IF(COUNTIF($C$4:$C$2003,$C630&amp;"*")&gt;1,"NIK ganda",IF($E630="","Kadus kosong",IF($F630="","RT kosong",IF($H630="","Jabatan kosong",IF($I630="","No. HP kosong",IF($J630="","Alamat kosong",IF(AND($M630&lt;&gt;"",$M630&lt;17),"Usia di bawah 17",""))))))))))</f>
        <v/>
      </c>
      <c r="U630" s="40" t="str">
        <f aca="false">IF($B630="","",IF(AND(OR(CARI!$C$5="",ISNUMBER(SEARCH(CARI!$C$5,$B630&amp;" "&amp;$C630&amp;" "&amp;$I630&amp;" "&amp;$J630&amp;" "&amp;$Q630))),OR(CARI!$C$6="",$E630=CARI!$C$6),OR(CARI!$C$7="",$F630=CARI!$C$7),OR(CARI!$C$8="",$O630=CARI!$C$8)),MAX($U$3:U629)+1,""))</f>
        <v/>
      </c>
      <c r="V630" s="40" t="str">
        <f aca="false">IF($T630="","",MAX($V$3:V629)+1)</f>
        <v/>
      </c>
      <c r="W630" s="40" t="str">
        <f aca="false">IF($E630="","",$E630&amp;"#"&amp;COUNTIF($E$4:$E630,$E630))</f>
        <v/>
      </c>
      <c r="X630" s="40" t="str">
        <f aca="false">IF($B630="","",IF(AND(OR(CETAK!$J$10="",$E630=CETAK!$J$10),OR(CETAK!$J$11="",$F630=CETAK!$J$11),OR(CETAK!$J$12="",$K630=CETAK!$J$12),OR(CETAK!$J$13="",$H630=CETAK!$J$13),OR(CETAK!$J$14="",$O630=CETAK!$J$14)),MAX($X$3:X629)+1,""))</f>
        <v/>
      </c>
      <c r="Y630" s="40" t="str">
        <f aca="false">IF($B630="","",IF(AND(OR(ABSENSI!$H$10="",$E630=ABSENSI!$H$10),OR(ABSENSI!$H$11="",$F630=ABSENSI!$H$11),OR(ABSENSI!$H$12="",$K630=ABSENSI!$H$12)),MAX($Y$3:Y629)+1,""))</f>
        <v/>
      </c>
      <c r="Z630" s="40" t="str">
        <f aca="false">IF($B630="","",IF(AND(OR(KARTU!$K$6="",$E630=KARTU!$K$6),OR(KARTU!$K$7="",$F630=KARTU!$K$7),OR(KARTU!$K$8="",$K630=KARTU!$K$8)),MAX($Z$3:Z629)+1,""))</f>
        <v/>
      </c>
    </row>
    <row r="631" customFormat="false" ht="15" hidden="false" customHeight="false" outlineLevel="0" collapsed="false">
      <c r="A631" s="36" t="str">
        <f aca="false">IF($B631="","",COUNTA($B$4:$B631))</f>
        <v/>
      </c>
      <c r="B631" s="37"/>
      <c r="C631" s="38"/>
      <c r="D631" s="39"/>
      <c r="E631" s="37"/>
      <c r="F631" s="39"/>
      <c r="G631" s="40" t="str">
        <f aca="false">IF(OR($E631="",$F631=""),"",$E631&amp;" - RT "&amp;$F631)</f>
        <v/>
      </c>
      <c r="H631" s="37"/>
      <c r="I631" s="38"/>
      <c r="J631" s="37"/>
      <c r="K631" s="39"/>
      <c r="L631" s="41"/>
      <c r="M631" s="36" t="str">
        <f aca="true">IF(OR($B631="",$L631=""),"",DATEDIF($L631,TODAY(),"Y"))</f>
        <v/>
      </c>
      <c r="N631" s="40" t="str">
        <f aca="false">IF($M631="","",INDEX(usia_label,MATCH($M631,usia_min,1)))</f>
        <v/>
      </c>
      <c r="O631" s="37"/>
      <c r="P631" s="41"/>
      <c r="Q631" s="37"/>
      <c r="R631" s="37"/>
      <c r="S631" s="40" t="str">
        <f aca="false">IF($G631="","",$G631&amp;"#"&amp;COUNTIF($G$4:$G631,$G631))</f>
        <v/>
      </c>
      <c r="T631" s="40" t="str">
        <f aca="false">IF($B631="","",IF($C631="","NIK kosong",IF(LEN($C631)&lt;&gt;16,"NIK bukan 16 digit",IF(COUNTIF($C$4:$C$2003,$C631&amp;"*")&gt;1,"NIK ganda",IF($E631="","Kadus kosong",IF($F631="","RT kosong",IF($H631="","Jabatan kosong",IF($I631="","No. HP kosong",IF($J631="","Alamat kosong",IF(AND($M631&lt;&gt;"",$M631&lt;17),"Usia di bawah 17",""))))))))))</f>
        <v/>
      </c>
      <c r="U631" s="40" t="str">
        <f aca="false">IF($B631="","",IF(AND(OR(CARI!$C$5="",ISNUMBER(SEARCH(CARI!$C$5,$B631&amp;" "&amp;$C631&amp;" "&amp;$I631&amp;" "&amp;$J631&amp;" "&amp;$Q631))),OR(CARI!$C$6="",$E631=CARI!$C$6),OR(CARI!$C$7="",$F631=CARI!$C$7),OR(CARI!$C$8="",$O631=CARI!$C$8)),MAX($U$3:U630)+1,""))</f>
        <v/>
      </c>
      <c r="V631" s="40" t="str">
        <f aca="false">IF($T631="","",MAX($V$3:V630)+1)</f>
        <v/>
      </c>
      <c r="W631" s="40" t="str">
        <f aca="false">IF($E631="","",$E631&amp;"#"&amp;COUNTIF($E$4:$E631,$E631))</f>
        <v/>
      </c>
      <c r="X631" s="40" t="str">
        <f aca="false">IF($B631="","",IF(AND(OR(CETAK!$J$10="",$E631=CETAK!$J$10),OR(CETAK!$J$11="",$F631=CETAK!$J$11),OR(CETAK!$J$12="",$K631=CETAK!$J$12),OR(CETAK!$J$13="",$H631=CETAK!$J$13),OR(CETAK!$J$14="",$O631=CETAK!$J$14)),MAX($X$3:X630)+1,""))</f>
        <v/>
      </c>
      <c r="Y631" s="40" t="str">
        <f aca="false">IF($B631="","",IF(AND(OR(ABSENSI!$H$10="",$E631=ABSENSI!$H$10),OR(ABSENSI!$H$11="",$F631=ABSENSI!$H$11),OR(ABSENSI!$H$12="",$K631=ABSENSI!$H$12)),MAX($Y$3:Y630)+1,""))</f>
        <v/>
      </c>
      <c r="Z631" s="40" t="str">
        <f aca="false">IF($B631="","",IF(AND(OR(KARTU!$K$6="",$E631=KARTU!$K$6),OR(KARTU!$K$7="",$F631=KARTU!$K$7),OR(KARTU!$K$8="",$K631=KARTU!$K$8)),MAX($Z$3:Z630)+1,""))</f>
        <v/>
      </c>
    </row>
    <row r="632" customFormat="false" ht="15" hidden="false" customHeight="false" outlineLevel="0" collapsed="false">
      <c r="A632" s="36" t="str">
        <f aca="false">IF($B632="","",COUNTA($B$4:$B632))</f>
        <v/>
      </c>
      <c r="B632" s="37"/>
      <c r="C632" s="38"/>
      <c r="D632" s="39"/>
      <c r="E632" s="37"/>
      <c r="F632" s="39"/>
      <c r="G632" s="40" t="str">
        <f aca="false">IF(OR($E632="",$F632=""),"",$E632&amp;" - RT "&amp;$F632)</f>
        <v/>
      </c>
      <c r="H632" s="37"/>
      <c r="I632" s="38"/>
      <c r="J632" s="37"/>
      <c r="K632" s="39"/>
      <c r="L632" s="41"/>
      <c r="M632" s="36" t="str">
        <f aca="true">IF(OR($B632="",$L632=""),"",DATEDIF($L632,TODAY(),"Y"))</f>
        <v/>
      </c>
      <c r="N632" s="40" t="str">
        <f aca="false">IF($M632="","",INDEX(usia_label,MATCH($M632,usia_min,1)))</f>
        <v/>
      </c>
      <c r="O632" s="37"/>
      <c r="P632" s="41"/>
      <c r="Q632" s="37"/>
      <c r="R632" s="37"/>
      <c r="S632" s="40" t="str">
        <f aca="false">IF($G632="","",$G632&amp;"#"&amp;COUNTIF($G$4:$G632,$G632))</f>
        <v/>
      </c>
      <c r="T632" s="40" t="str">
        <f aca="false">IF($B632="","",IF($C632="","NIK kosong",IF(LEN($C632)&lt;&gt;16,"NIK bukan 16 digit",IF(COUNTIF($C$4:$C$2003,$C632&amp;"*")&gt;1,"NIK ganda",IF($E632="","Kadus kosong",IF($F632="","RT kosong",IF($H632="","Jabatan kosong",IF($I632="","No. HP kosong",IF($J632="","Alamat kosong",IF(AND($M632&lt;&gt;"",$M632&lt;17),"Usia di bawah 17",""))))))))))</f>
        <v/>
      </c>
      <c r="U632" s="40" t="str">
        <f aca="false">IF($B632="","",IF(AND(OR(CARI!$C$5="",ISNUMBER(SEARCH(CARI!$C$5,$B632&amp;" "&amp;$C632&amp;" "&amp;$I632&amp;" "&amp;$J632&amp;" "&amp;$Q632))),OR(CARI!$C$6="",$E632=CARI!$C$6),OR(CARI!$C$7="",$F632=CARI!$C$7),OR(CARI!$C$8="",$O632=CARI!$C$8)),MAX($U$3:U631)+1,""))</f>
        <v/>
      </c>
      <c r="V632" s="40" t="str">
        <f aca="false">IF($T632="","",MAX($V$3:V631)+1)</f>
        <v/>
      </c>
      <c r="W632" s="40" t="str">
        <f aca="false">IF($E632="","",$E632&amp;"#"&amp;COUNTIF($E$4:$E632,$E632))</f>
        <v/>
      </c>
      <c r="X632" s="40" t="str">
        <f aca="false">IF($B632="","",IF(AND(OR(CETAK!$J$10="",$E632=CETAK!$J$10),OR(CETAK!$J$11="",$F632=CETAK!$J$11),OR(CETAK!$J$12="",$K632=CETAK!$J$12),OR(CETAK!$J$13="",$H632=CETAK!$J$13),OR(CETAK!$J$14="",$O632=CETAK!$J$14)),MAX($X$3:X631)+1,""))</f>
        <v/>
      </c>
      <c r="Y632" s="40" t="str">
        <f aca="false">IF($B632="","",IF(AND(OR(ABSENSI!$H$10="",$E632=ABSENSI!$H$10),OR(ABSENSI!$H$11="",$F632=ABSENSI!$H$11),OR(ABSENSI!$H$12="",$K632=ABSENSI!$H$12)),MAX($Y$3:Y631)+1,""))</f>
        <v/>
      </c>
      <c r="Z632" s="40" t="str">
        <f aca="false">IF($B632="","",IF(AND(OR(KARTU!$K$6="",$E632=KARTU!$K$6),OR(KARTU!$K$7="",$F632=KARTU!$K$7),OR(KARTU!$K$8="",$K632=KARTU!$K$8)),MAX($Z$3:Z631)+1,""))</f>
        <v/>
      </c>
    </row>
    <row r="633" customFormat="false" ht="15" hidden="false" customHeight="false" outlineLevel="0" collapsed="false">
      <c r="A633" s="36" t="str">
        <f aca="false">IF($B633="","",COUNTA($B$4:$B633))</f>
        <v/>
      </c>
      <c r="B633" s="37"/>
      <c r="C633" s="38"/>
      <c r="D633" s="39"/>
      <c r="E633" s="37"/>
      <c r="F633" s="39"/>
      <c r="G633" s="40" t="str">
        <f aca="false">IF(OR($E633="",$F633=""),"",$E633&amp;" - RT "&amp;$F633)</f>
        <v/>
      </c>
      <c r="H633" s="37"/>
      <c r="I633" s="38"/>
      <c r="J633" s="37"/>
      <c r="K633" s="39"/>
      <c r="L633" s="41"/>
      <c r="M633" s="36" t="str">
        <f aca="true">IF(OR($B633="",$L633=""),"",DATEDIF($L633,TODAY(),"Y"))</f>
        <v/>
      </c>
      <c r="N633" s="40" t="str">
        <f aca="false">IF($M633="","",INDEX(usia_label,MATCH($M633,usia_min,1)))</f>
        <v/>
      </c>
      <c r="O633" s="37"/>
      <c r="P633" s="41"/>
      <c r="Q633" s="37"/>
      <c r="R633" s="37"/>
      <c r="S633" s="40" t="str">
        <f aca="false">IF($G633="","",$G633&amp;"#"&amp;COUNTIF($G$4:$G633,$G633))</f>
        <v/>
      </c>
      <c r="T633" s="40" t="str">
        <f aca="false">IF($B633="","",IF($C633="","NIK kosong",IF(LEN($C633)&lt;&gt;16,"NIK bukan 16 digit",IF(COUNTIF($C$4:$C$2003,$C633&amp;"*")&gt;1,"NIK ganda",IF($E633="","Kadus kosong",IF($F633="","RT kosong",IF($H633="","Jabatan kosong",IF($I633="","No. HP kosong",IF($J633="","Alamat kosong",IF(AND($M633&lt;&gt;"",$M633&lt;17),"Usia di bawah 17",""))))))))))</f>
        <v/>
      </c>
      <c r="U633" s="40" t="str">
        <f aca="false">IF($B633="","",IF(AND(OR(CARI!$C$5="",ISNUMBER(SEARCH(CARI!$C$5,$B633&amp;" "&amp;$C633&amp;" "&amp;$I633&amp;" "&amp;$J633&amp;" "&amp;$Q633))),OR(CARI!$C$6="",$E633=CARI!$C$6),OR(CARI!$C$7="",$F633=CARI!$C$7),OR(CARI!$C$8="",$O633=CARI!$C$8)),MAX($U$3:U632)+1,""))</f>
        <v/>
      </c>
      <c r="V633" s="40" t="str">
        <f aca="false">IF($T633="","",MAX($V$3:V632)+1)</f>
        <v/>
      </c>
      <c r="W633" s="40" t="str">
        <f aca="false">IF($E633="","",$E633&amp;"#"&amp;COUNTIF($E$4:$E633,$E633))</f>
        <v/>
      </c>
      <c r="X633" s="40" t="str">
        <f aca="false">IF($B633="","",IF(AND(OR(CETAK!$J$10="",$E633=CETAK!$J$10),OR(CETAK!$J$11="",$F633=CETAK!$J$11),OR(CETAK!$J$12="",$K633=CETAK!$J$12),OR(CETAK!$J$13="",$H633=CETAK!$J$13),OR(CETAK!$J$14="",$O633=CETAK!$J$14)),MAX($X$3:X632)+1,""))</f>
        <v/>
      </c>
      <c r="Y633" s="40" t="str">
        <f aca="false">IF($B633="","",IF(AND(OR(ABSENSI!$H$10="",$E633=ABSENSI!$H$10),OR(ABSENSI!$H$11="",$F633=ABSENSI!$H$11),OR(ABSENSI!$H$12="",$K633=ABSENSI!$H$12)),MAX($Y$3:Y632)+1,""))</f>
        <v/>
      </c>
      <c r="Z633" s="40" t="str">
        <f aca="false">IF($B633="","",IF(AND(OR(KARTU!$K$6="",$E633=KARTU!$K$6),OR(KARTU!$K$7="",$F633=KARTU!$K$7),OR(KARTU!$K$8="",$K633=KARTU!$K$8)),MAX($Z$3:Z632)+1,""))</f>
        <v/>
      </c>
    </row>
    <row r="634" customFormat="false" ht="15" hidden="false" customHeight="false" outlineLevel="0" collapsed="false">
      <c r="A634" s="36" t="str">
        <f aca="false">IF($B634="","",COUNTA($B$4:$B634))</f>
        <v/>
      </c>
      <c r="B634" s="37"/>
      <c r="C634" s="38"/>
      <c r="D634" s="39"/>
      <c r="E634" s="37"/>
      <c r="F634" s="39"/>
      <c r="G634" s="40" t="str">
        <f aca="false">IF(OR($E634="",$F634=""),"",$E634&amp;" - RT "&amp;$F634)</f>
        <v/>
      </c>
      <c r="H634" s="37"/>
      <c r="I634" s="38"/>
      <c r="J634" s="37"/>
      <c r="K634" s="39"/>
      <c r="L634" s="41"/>
      <c r="M634" s="36" t="str">
        <f aca="true">IF(OR($B634="",$L634=""),"",DATEDIF($L634,TODAY(),"Y"))</f>
        <v/>
      </c>
      <c r="N634" s="40" t="str">
        <f aca="false">IF($M634="","",INDEX(usia_label,MATCH($M634,usia_min,1)))</f>
        <v/>
      </c>
      <c r="O634" s="37"/>
      <c r="P634" s="41"/>
      <c r="Q634" s="37"/>
      <c r="R634" s="37"/>
      <c r="S634" s="40" t="str">
        <f aca="false">IF($G634="","",$G634&amp;"#"&amp;COUNTIF($G$4:$G634,$G634))</f>
        <v/>
      </c>
      <c r="T634" s="40" t="str">
        <f aca="false">IF($B634="","",IF($C634="","NIK kosong",IF(LEN($C634)&lt;&gt;16,"NIK bukan 16 digit",IF(COUNTIF($C$4:$C$2003,$C634&amp;"*")&gt;1,"NIK ganda",IF($E634="","Kadus kosong",IF($F634="","RT kosong",IF($H634="","Jabatan kosong",IF($I634="","No. HP kosong",IF($J634="","Alamat kosong",IF(AND($M634&lt;&gt;"",$M634&lt;17),"Usia di bawah 17",""))))))))))</f>
        <v/>
      </c>
      <c r="U634" s="40" t="str">
        <f aca="false">IF($B634="","",IF(AND(OR(CARI!$C$5="",ISNUMBER(SEARCH(CARI!$C$5,$B634&amp;" "&amp;$C634&amp;" "&amp;$I634&amp;" "&amp;$J634&amp;" "&amp;$Q634))),OR(CARI!$C$6="",$E634=CARI!$C$6),OR(CARI!$C$7="",$F634=CARI!$C$7),OR(CARI!$C$8="",$O634=CARI!$C$8)),MAX($U$3:U633)+1,""))</f>
        <v/>
      </c>
      <c r="V634" s="40" t="str">
        <f aca="false">IF($T634="","",MAX($V$3:V633)+1)</f>
        <v/>
      </c>
      <c r="W634" s="40" t="str">
        <f aca="false">IF($E634="","",$E634&amp;"#"&amp;COUNTIF($E$4:$E634,$E634))</f>
        <v/>
      </c>
      <c r="X634" s="40" t="str">
        <f aca="false">IF($B634="","",IF(AND(OR(CETAK!$J$10="",$E634=CETAK!$J$10),OR(CETAK!$J$11="",$F634=CETAK!$J$11),OR(CETAK!$J$12="",$K634=CETAK!$J$12),OR(CETAK!$J$13="",$H634=CETAK!$J$13),OR(CETAK!$J$14="",$O634=CETAK!$J$14)),MAX($X$3:X633)+1,""))</f>
        <v/>
      </c>
      <c r="Y634" s="40" t="str">
        <f aca="false">IF($B634="","",IF(AND(OR(ABSENSI!$H$10="",$E634=ABSENSI!$H$10),OR(ABSENSI!$H$11="",$F634=ABSENSI!$H$11),OR(ABSENSI!$H$12="",$K634=ABSENSI!$H$12)),MAX($Y$3:Y633)+1,""))</f>
        <v/>
      </c>
      <c r="Z634" s="40" t="str">
        <f aca="false">IF($B634="","",IF(AND(OR(KARTU!$K$6="",$E634=KARTU!$K$6),OR(KARTU!$K$7="",$F634=KARTU!$K$7),OR(KARTU!$K$8="",$K634=KARTU!$K$8)),MAX($Z$3:Z633)+1,""))</f>
        <v/>
      </c>
    </row>
    <row r="635" customFormat="false" ht="15" hidden="false" customHeight="false" outlineLevel="0" collapsed="false">
      <c r="A635" s="36" t="str">
        <f aca="false">IF($B635="","",COUNTA($B$4:$B635))</f>
        <v/>
      </c>
      <c r="B635" s="37"/>
      <c r="C635" s="38"/>
      <c r="D635" s="39"/>
      <c r="E635" s="37"/>
      <c r="F635" s="39"/>
      <c r="G635" s="40" t="str">
        <f aca="false">IF(OR($E635="",$F635=""),"",$E635&amp;" - RT "&amp;$F635)</f>
        <v/>
      </c>
      <c r="H635" s="37"/>
      <c r="I635" s="38"/>
      <c r="J635" s="37"/>
      <c r="K635" s="39"/>
      <c r="L635" s="41"/>
      <c r="M635" s="36" t="str">
        <f aca="true">IF(OR($B635="",$L635=""),"",DATEDIF($L635,TODAY(),"Y"))</f>
        <v/>
      </c>
      <c r="N635" s="40" t="str">
        <f aca="false">IF($M635="","",INDEX(usia_label,MATCH($M635,usia_min,1)))</f>
        <v/>
      </c>
      <c r="O635" s="37"/>
      <c r="P635" s="41"/>
      <c r="Q635" s="37"/>
      <c r="R635" s="37"/>
      <c r="S635" s="40" t="str">
        <f aca="false">IF($G635="","",$G635&amp;"#"&amp;COUNTIF($G$4:$G635,$G635))</f>
        <v/>
      </c>
      <c r="T635" s="40" t="str">
        <f aca="false">IF($B635="","",IF($C635="","NIK kosong",IF(LEN($C635)&lt;&gt;16,"NIK bukan 16 digit",IF(COUNTIF($C$4:$C$2003,$C635&amp;"*")&gt;1,"NIK ganda",IF($E635="","Kadus kosong",IF($F635="","RT kosong",IF($H635="","Jabatan kosong",IF($I635="","No. HP kosong",IF($J635="","Alamat kosong",IF(AND($M635&lt;&gt;"",$M635&lt;17),"Usia di bawah 17",""))))))))))</f>
        <v/>
      </c>
      <c r="U635" s="40" t="str">
        <f aca="false">IF($B635="","",IF(AND(OR(CARI!$C$5="",ISNUMBER(SEARCH(CARI!$C$5,$B635&amp;" "&amp;$C635&amp;" "&amp;$I635&amp;" "&amp;$J635&amp;" "&amp;$Q635))),OR(CARI!$C$6="",$E635=CARI!$C$6),OR(CARI!$C$7="",$F635=CARI!$C$7),OR(CARI!$C$8="",$O635=CARI!$C$8)),MAX($U$3:U634)+1,""))</f>
        <v/>
      </c>
      <c r="V635" s="40" t="str">
        <f aca="false">IF($T635="","",MAX($V$3:V634)+1)</f>
        <v/>
      </c>
      <c r="W635" s="40" t="str">
        <f aca="false">IF($E635="","",$E635&amp;"#"&amp;COUNTIF($E$4:$E635,$E635))</f>
        <v/>
      </c>
      <c r="X635" s="40" t="str">
        <f aca="false">IF($B635="","",IF(AND(OR(CETAK!$J$10="",$E635=CETAK!$J$10),OR(CETAK!$J$11="",$F635=CETAK!$J$11),OR(CETAK!$J$12="",$K635=CETAK!$J$12),OR(CETAK!$J$13="",$H635=CETAK!$J$13),OR(CETAK!$J$14="",$O635=CETAK!$J$14)),MAX($X$3:X634)+1,""))</f>
        <v/>
      </c>
      <c r="Y635" s="40" t="str">
        <f aca="false">IF($B635="","",IF(AND(OR(ABSENSI!$H$10="",$E635=ABSENSI!$H$10),OR(ABSENSI!$H$11="",$F635=ABSENSI!$H$11),OR(ABSENSI!$H$12="",$K635=ABSENSI!$H$12)),MAX($Y$3:Y634)+1,""))</f>
        <v/>
      </c>
      <c r="Z635" s="40" t="str">
        <f aca="false">IF($B635="","",IF(AND(OR(KARTU!$K$6="",$E635=KARTU!$K$6),OR(KARTU!$K$7="",$F635=KARTU!$K$7),OR(KARTU!$K$8="",$K635=KARTU!$K$8)),MAX($Z$3:Z634)+1,""))</f>
        <v/>
      </c>
    </row>
    <row r="636" customFormat="false" ht="15" hidden="false" customHeight="false" outlineLevel="0" collapsed="false">
      <c r="A636" s="36" t="str">
        <f aca="false">IF($B636="","",COUNTA($B$4:$B636))</f>
        <v/>
      </c>
      <c r="B636" s="37"/>
      <c r="C636" s="38"/>
      <c r="D636" s="39"/>
      <c r="E636" s="37"/>
      <c r="F636" s="39"/>
      <c r="G636" s="40" t="str">
        <f aca="false">IF(OR($E636="",$F636=""),"",$E636&amp;" - RT "&amp;$F636)</f>
        <v/>
      </c>
      <c r="H636" s="37"/>
      <c r="I636" s="38"/>
      <c r="J636" s="37"/>
      <c r="K636" s="39"/>
      <c r="L636" s="41"/>
      <c r="M636" s="36" t="str">
        <f aca="true">IF(OR($B636="",$L636=""),"",DATEDIF($L636,TODAY(),"Y"))</f>
        <v/>
      </c>
      <c r="N636" s="40" t="str">
        <f aca="false">IF($M636="","",INDEX(usia_label,MATCH($M636,usia_min,1)))</f>
        <v/>
      </c>
      <c r="O636" s="37"/>
      <c r="P636" s="41"/>
      <c r="Q636" s="37"/>
      <c r="R636" s="37"/>
      <c r="S636" s="40" t="str">
        <f aca="false">IF($G636="","",$G636&amp;"#"&amp;COUNTIF($G$4:$G636,$G636))</f>
        <v/>
      </c>
      <c r="T636" s="40" t="str">
        <f aca="false">IF($B636="","",IF($C636="","NIK kosong",IF(LEN($C636)&lt;&gt;16,"NIK bukan 16 digit",IF(COUNTIF($C$4:$C$2003,$C636&amp;"*")&gt;1,"NIK ganda",IF($E636="","Kadus kosong",IF($F636="","RT kosong",IF($H636="","Jabatan kosong",IF($I636="","No. HP kosong",IF($J636="","Alamat kosong",IF(AND($M636&lt;&gt;"",$M636&lt;17),"Usia di bawah 17",""))))))))))</f>
        <v/>
      </c>
      <c r="U636" s="40" t="str">
        <f aca="false">IF($B636="","",IF(AND(OR(CARI!$C$5="",ISNUMBER(SEARCH(CARI!$C$5,$B636&amp;" "&amp;$C636&amp;" "&amp;$I636&amp;" "&amp;$J636&amp;" "&amp;$Q636))),OR(CARI!$C$6="",$E636=CARI!$C$6),OR(CARI!$C$7="",$F636=CARI!$C$7),OR(CARI!$C$8="",$O636=CARI!$C$8)),MAX($U$3:U635)+1,""))</f>
        <v/>
      </c>
      <c r="V636" s="40" t="str">
        <f aca="false">IF($T636="","",MAX($V$3:V635)+1)</f>
        <v/>
      </c>
      <c r="W636" s="40" t="str">
        <f aca="false">IF($E636="","",$E636&amp;"#"&amp;COUNTIF($E$4:$E636,$E636))</f>
        <v/>
      </c>
      <c r="X636" s="40" t="str">
        <f aca="false">IF($B636="","",IF(AND(OR(CETAK!$J$10="",$E636=CETAK!$J$10),OR(CETAK!$J$11="",$F636=CETAK!$J$11),OR(CETAK!$J$12="",$K636=CETAK!$J$12),OR(CETAK!$J$13="",$H636=CETAK!$J$13),OR(CETAK!$J$14="",$O636=CETAK!$J$14)),MAX($X$3:X635)+1,""))</f>
        <v/>
      </c>
      <c r="Y636" s="40" t="str">
        <f aca="false">IF($B636="","",IF(AND(OR(ABSENSI!$H$10="",$E636=ABSENSI!$H$10),OR(ABSENSI!$H$11="",$F636=ABSENSI!$H$11),OR(ABSENSI!$H$12="",$K636=ABSENSI!$H$12)),MAX($Y$3:Y635)+1,""))</f>
        <v/>
      </c>
      <c r="Z636" s="40" t="str">
        <f aca="false">IF($B636="","",IF(AND(OR(KARTU!$K$6="",$E636=KARTU!$K$6),OR(KARTU!$K$7="",$F636=KARTU!$K$7),OR(KARTU!$K$8="",$K636=KARTU!$K$8)),MAX($Z$3:Z635)+1,""))</f>
        <v/>
      </c>
    </row>
    <row r="637" customFormat="false" ht="15" hidden="false" customHeight="false" outlineLevel="0" collapsed="false">
      <c r="A637" s="36" t="str">
        <f aca="false">IF($B637="","",COUNTA($B$4:$B637))</f>
        <v/>
      </c>
      <c r="B637" s="37"/>
      <c r="C637" s="38"/>
      <c r="D637" s="39"/>
      <c r="E637" s="37"/>
      <c r="F637" s="39"/>
      <c r="G637" s="40" t="str">
        <f aca="false">IF(OR($E637="",$F637=""),"",$E637&amp;" - RT "&amp;$F637)</f>
        <v/>
      </c>
      <c r="H637" s="37"/>
      <c r="I637" s="38"/>
      <c r="J637" s="37"/>
      <c r="K637" s="39"/>
      <c r="L637" s="41"/>
      <c r="M637" s="36" t="str">
        <f aca="true">IF(OR($B637="",$L637=""),"",DATEDIF($L637,TODAY(),"Y"))</f>
        <v/>
      </c>
      <c r="N637" s="40" t="str">
        <f aca="false">IF($M637="","",INDEX(usia_label,MATCH($M637,usia_min,1)))</f>
        <v/>
      </c>
      <c r="O637" s="37"/>
      <c r="P637" s="41"/>
      <c r="Q637" s="37"/>
      <c r="R637" s="37"/>
      <c r="S637" s="40" t="str">
        <f aca="false">IF($G637="","",$G637&amp;"#"&amp;COUNTIF($G$4:$G637,$G637))</f>
        <v/>
      </c>
      <c r="T637" s="40" t="str">
        <f aca="false">IF($B637="","",IF($C637="","NIK kosong",IF(LEN($C637)&lt;&gt;16,"NIK bukan 16 digit",IF(COUNTIF($C$4:$C$2003,$C637&amp;"*")&gt;1,"NIK ganda",IF($E637="","Kadus kosong",IF($F637="","RT kosong",IF($H637="","Jabatan kosong",IF($I637="","No. HP kosong",IF($J637="","Alamat kosong",IF(AND($M637&lt;&gt;"",$M637&lt;17),"Usia di bawah 17",""))))))))))</f>
        <v/>
      </c>
      <c r="U637" s="40" t="str">
        <f aca="false">IF($B637="","",IF(AND(OR(CARI!$C$5="",ISNUMBER(SEARCH(CARI!$C$5,$B637&amp;" "&amp;$C637&amp;" "&amp;$I637&amp;" "&amp;$J637&amp;" "&amp;$Q637))),OR(CARI!$C$6="",$E637=CARI!$C$6),OR(CARI!$C$7="",$F637=CARI!$C$7),OR(CARI!$C$8="",$O637=CARI!$C$8)),MAX($U$3:U636)+1,""))</f>
        <v/>
      </c>
      <c r="V637" s="40" t="str">
        <f aca="false">IF($T637="","",MAX($V$3:V636)+1)</f>
        <v/>
      </c>
      <c r="W637" s="40" t="str">
        <f aca="false">IF($E637="","",$E637&amp;"#"&amp;COUNTIF($E$4:$E637,$E637))</f>
        <v/>
      </c>
      <c r="X637" s="40" t="str">
        <f aca="false">IF($B637="","",IF(AND(OR(CETAK!$J$10="",$E637=CETAK!$J$10),OR(CETAK!$J$11="",$F637=CETAK!$J$11),OR(CETAK!$J$12="",$K637=CETAK!$J$12),OR(CETAK!$J$13="",$H637=CETAK!$J$13),OR(CETAK!$J$14="",$O637=CETAK!$J$14)),MAX($X$3:X636)+1,""))</f>
        <v/>
      </c>
      <c r="Y637" s="40" t="str">
        <f aca="false">IF($B637="","",IF(AND(OR(ABSENSI!$H$10="",$E637=ABSENSI!$H$10),OR(ABSENSI!$H$11="",$F637=ABSENSI!$H$11),OR(ABSENSI!$H$12="",$K637=ABSENSI!$H$12)),MAX($Y$3:Y636)+1,""))</f>
        <v/>
      </c>
      <c r="Z637" s="40" t="str">
        <f aca="false">IF($B637="","",IF(AND(OR(KARTU!$K$6="",$E637=KARTU!$K$6),OR(KARTU!$K$7="",$F637=KARTU!$K$7),OR(KARTU!$K$8="",$K637=KARTU!$K$8)),MAX($Z$3:Z636)+1,""))</f>
        <v/>
      </c>
    </row>
    <row r="638" customFormat="false" ht="15" hidden="false" customHeight="false" outlineLevel="0" collapsed="false">
      <c r="A638" s="36" t="str">
        <f aca="false">IF($B638="","",COUNTA($B$4:$B638))</f>
        <v/>
      </c>
      <c r="B638" s="37"/>
      <c r="C638" s="38"/>
      <c r="D638" s="39"/>
      <c r="E638" s="37"/>
      <c r="F638" s="39"/>
      <c r="G638" s="40" t="str">
        <f aca="false">IF(OR($E638="",$F638=""),"",$E638&amp;" - RT "&amp;$F638)</f>
        <v/>
      </c>
      <c r="H638" s="37"/>
      <c r="I638" s="38"/>
      <c r="J638" s="37"/>
      <c r="K638" s="39"/>
      <c r="L638" s="41"/>
      <c r="M638" s="36" t="str">
        <f aca="true">IF(OR($B638="",$L638=""),"",DATEDIF($L638,TODAY(),"Y"))</f>
        <v/>
      </c>
      <c r="N638" s="40" t="str">
        <f aca="false">IF($M638="","",INDEX(usia_label,MATCH($M638,usia_min,1)))</f>
        <v/>
      </c>
      <c r="O638" s="37"/>
      <c r="P638" s="41"/>
      <c r="Q638" s="37"/>
      <c r="R638" s="37"/>
      <c r="S638" s="40" t="str">
        <f aca="false">IF($G638="","",$G638&amp;"#"&amp;COUNTIF($G$4:$G638,$G638))</f>
        <v/>
      </c>
      <c r="T638" s="40" t="str">
        <f aca="false">IF($B638="","",IF($C638="","NIK kosong",IF(LEN($C638)&lt;&gt;16,"NIK bukan 16 digit",IF(COUNTIF($C$4:$C$2003,$C638&amp;"*")&gt;1,"NIK ganda",IF($E638="","Kadus kosong",IF($F638="","RT kosong",IF($H638="","Jabatan kosong",IF($I638="","No. HP kosong",IF($J638="","Alamat kosong",IF(AND($M638&lt;&gt;"",$M638&lt;17),"Usia di bawah 17",""))))))))))</f>
        <v/>
      </c>
      <c r="U638" s="40" t="str">
        <f aca="false">IF($B638="","",IF(AND(OR(CARI!$C$5="",ISNUMBER(SEARCH(CARI!$C$5,$B638&amp;" "&amp;$C638&amp;" "&amp;$I638&amp;" "&amp;$J638&amp;" "&amp;$Q638))),OR(CARI!$C$6="",$E638=CARI!$C$6),OR(CARI!$C$7="",$F638=CARI!$C$7),OR(CARI!$C$8="",$O638=CARI!$C$8)),MAX($U$3:U637)+1,""))</f>
        <v/>
      </c>
      <c r="V638" s="40" t="str">
        <f aca="false">IF($T638="","",MAX($V$3:V637)+1)</f>
        <v/>
      </c>
      <c r="W638" s="40" t="str">
        <f aca="false">IF($E638="","",$E638&amp;"#"&amp;COUNTIF($E$4:$E638,$E638))</f>
        <v/>
      </c>
      <c r="X638" s="40" t="str">
        <f aca="false">IF($B638="","",IF(AND(OR(CETAK!$J$10="",$E638=CETAK!$J$10),OR(CETAK!$J$11="",$F638=CETAK!$J$11),OR(CETAK!$J$12="",$K638=CETAK!$J$12),OR(CETAK!$J$13="",$H638=CETAK!$J$13),OR(CETAK!$J$14="",$O638=CETAK!$J$14)),MAX($X$3:X637)+1,""))</f>
        <v/>
      </c>
      <c r="Y638" s="40" t="str">
        <f aca="false">IF($B638="","",IF(AND(OR(ABSENSI!$H$10="",$E638=ABSENSI!$H$10),OR(ABSENSI!$H$11="",$F638=ABSENSI!$H$11),OR(ABSENSI!$H$12="",$K638=ABSENSI!$H$12)),MAX($Y$3:Y637)+1,""))</f>
        <v/>
      </c>
      <c r="Z638" s="40" t="str">
        <f aca="false">IF($B638="","",IF(AND(OR(KARTU!$K$6="",$E638=KARTU!$K$6),OR(KARTU!$K$7="",$F638=KARTU!$K$7),OR(KARTU!$K$8="",$K638=KARTU!$K$8)),MAX($Z$3:Z637)+1,""))</f>
        <v/>
      </c>
    </row>
    <row r="639" customFormat="false" ht="15" hidden="false" customHeight="false" outlineLevel="0" collapsed="false">
      <c r="A639" s="36" t="str">
        <f aca="false">IF($B639="","",COUNTA($B$4:$B639))</f>
        <v/>
      </c>
      <c r="B639" s="37"/>
      <c r="C639" s="38"/>
      <c r="D639" s="39"/>
      <c r="E639" s="37"/>
      <c r="F639" s="39"/>
      <c r="G639" s="40" t="str">
        <f aca="false">IF(OR($E639="",$F639=""),"",$E639&amp;" - RT "&amp;$F639)</f>
        <v/>
      </c>
      <c r="H639" s="37"/>
      <c r="I639" s="38"/>
      <c r="J639" s="37"/>
      <c r="K639" s="39"/>
      <c r="L639" s="41"/>
      <c r="M639" s="36" t="str">
        <f aca="true">IF(OR($B639="",$L639=""),"",DATEDIF($L639,TODAY(),"Y"))</f>
        <v/>
      </c>
      <c r="N639" s="40" t="str">
        <f aca="false">IF($M639="","",INDEX(usia_label,MATCH($M639,usia_min,1)))</f>
        <v/>
      </c>
      <c r="O639" s="37"/>
      <c r="P639" s="41"/>
      <c r="Q639" s="37"/>
      <c r="R639" s="37"/>
      <c r="S639" s="40" t="str">
        <f aca="false">IF($G639="","",$G639&amp;"#"&amp;COUNTIF($G$4:$G639,$G639))</f>
        <v/>
      </c>
      <c r="T639" s="40" t="str">
        <f aca="false">IF($B639="","",IF($C639="","NIK kosong",IF(LEN($C639)&lt;&gt;16,"NIK bukan 16 digit",IF(COUNTIF($C$4:$C$2003,$C639&amp;"*")&gt;1,"NIK ganda",IF($E639="","Kadus kosong",IF($F639="","RT kosong",IF($H639="","Jabatan kosong",IF($I639="","No. HP kosong",IF($J639="","Alamat kosong",IF(AND($M639&lt;&gt;"",$M639&lt;17),"Usia di bawah 17",""))))))))))</f>
        <v/>
      </c>
      <c r="U639" s="40" t="str">
        <f aca="false">IF($B639="","",IF(AND(OR(CARI!$C$5="",ISNUMBER(SEARCH(CARI!$C$5,$B639&amp;" "&amp;$C639&amp;" "&amp;$I639&amp;" "&amp;$J639&amp;" "&amp;$Q639))),OR(CARI!$C$6="",$E639=CARI!$C$6),OR(CARI!$C$7="",$F639=CARI!$C$7),OR(CARI!$C$8="",$O639=CARI!$C$8)),MAX($U$3:U638)+1,""))</f>
        <v/>
      </c>
      <c r="V639" s="40" t="str">
        <f aca="false">IF($T639="","",MAX($V$3:V638)+1)</f>
        <v/>
      </c>
      <c r="W639" s="40" t="str">
        <f aca="false">IF($E639="","",$E639&amp;"#"&amp;COUNTIF($E$4:$E639,$E639))</f>
        <v/>
      </c>
      <c r="X639" s="40" t="str">
        <f aca="false">IF($B639="","",IF(AND(OR(CETAK!$J$10="",$E639=CETAK!$J$10),OR(CETAK!$J$11="",$F639=CETAK!$J$11),OR(CETAK!$J$12="",$K639=CETAK!$J$12),OR(CETAK!$J$13="",$H639=CETAK!$J$13),OR(CETAK!$J$14="",$O639=CETAK!$J$14)),MAX($X$3:X638)+1,""))</f>
        <v/>
      </c>
      <c r="Y639" s="40" t="str">
        <f aca="false">IF($B639="","",IF(AND(OR(ABSENSI!$H$10="",$E639=ABSENSI!$H$10),OR(ABSENSI!$H$11="",$F639=ABSENSI!$H$11),OR(ABSENSI!$H$12="",$K639=ABSENSI!$H$12)),MAX($Y$3:Y638)+1,""))</f>
        <v/>
      </c>
      <c r="Z639" s="40" t="str">
        <f aca="false">IF($B639="","",IF(AND(OR(KARTU!$K$6="",$E639=KARTU!$K$6),OR(KARTU!$K$7="",$F639=KARTU!$K$7),OR(KARTU!$K$8="",$K639=KARTU!$K$8)),MAX($Z$3:Z638)+1,""))</f>
        <v/>
      </c>
    </row>
    <row r="640" customFormat="false" ht="15" hidden="false" customHeight="false" outlineLevel="0" collapsed="false">
      <c r="A640" s="36" t="str">
        <f aca="false">IF($B640="","",COUNTA($B$4:$B640))</f>
        <v/>
      </c>
      <c r="B640" s="37"/>
      <c r="C640" s="38"/>
      <c r="D640" s="39"/>
      <c r="E640" s="37"/>
      <c r="F640" s="39"/>
      <c r="G640" s="40" t="str">
        <f aca="false">IF(OR($E640="",$F640=""),"",$E640&amp;" - RT "&amp;$F640)</f>
        <v/>
      </c>
      <c r="H640" s="37"/>
      <c r="I640" s="38"/>
      <c r="J640" s="37"/>
      <c r="K640" s="39"/>
      <c r="L640" s="41"/>
      <c r="M640" s="36" t="str">
        <f aca="true">IF(OR($B640="",$L640=""),"",DATEDIF($L640,TODAY(),"Y"))</f>
        <v/>
      </c>
      <c r="N640" s="40" t="str">
        <f aca="false">IF($M640="","",INDEX(usia_label,MATCH($M640,usia_min,1)))</f>
        <v/>
      </c>
      <c r="O640" s="37"/>
      <c r="P640" s="41"/>
      <c r="Q640" s="37"/>
      <c r="R640" s="37"/>
      <c r="S640" s="40" t="str">
        <f aca="false">IF($G640="","",$G640&amp;"#"&amp;COUNTIF($G$4:$G640,$G640))</f>
        <v/>
      </c>
      <c r="T640" s="40" t="str">
        <f aca="false">IF($B640="","",IF($C640="","NIK kosong",IF(LEN($C640)&lt;&gt;16,"NIK bukan 16 digit",IF(COUNTIF($C$4:$C$2003,$C640&amp;"*")&gt;1,"NIK ganda",IF($E640="","Kadus kosong",IF($F640="","RT kosong",IF($H640="","Jabatan kosong",IF($I640="","No. HP kosong",IF($J640="","Alamat kosong",IF(AND($M640&lt;&gt;"",$M640&lt;17),"Usia di bawah 17",""))))))))))</f>
        <v/>
      </c>
      <c r="U640" s="40" t="str">
        <f aca="false">IF($B640="","",IF(AND(OR(CARI!$C$5="",ISNUMBER(SEARCH(CARI!$C$5,$B640&amp;" "&amp;$C640&amp;" "&amp;$I640&amp;" "&amp;$J640&amp;" "&amp;$Q640))),OR(CARI!$C$6="",$E640=CARI!$C$6),OR(CARI!$C$7="",$F640=CARI!$C$7),OR(CARI!$C$8="",$O640=CARI!$C$8)),MAX($U$3:U639)+1,""))</f>
        <v/>
      </c>
      <c r="V640" s="40" t="str">
        <f aca="false">IF($T640="","",MAX($V$3:V639)+1)</f>
        <v/>
      </c>
      <c r="W640" s="40" t="str">
        <f aca="false">IF($E640="","",$E640&amp;"#"&amp;COUNTIF($E$4:$E640,$E640))</f>
        <v/>
      </c>
      <c r="X640" s="40" t="str">
        <f aca="false">IF($B640="","",IF(AND(OR(CETAK!$J$10="",$E640=CETAK!$J$10),OR(CETAK!$J$11="",$F640=CETAK!$J$11),OR(CETAK!$J$12="",$K640=CETAK!$J$12),OR(CETAK!$J$13="",$H640=CETAK!$J$13),OR(CETAK!$J$14="",$O640=CETAK!$J$14)),MAX($X$3:X639)+1,""))</f>
        <v/>
      </c>
      <c r="Y640" s="40" t="str">
        <f aca="false">IF($B640="","",IF(AND(OR(ABSENSI!$H$10="",$E640=ABSENSI!$H$10),OR(ABSENSI!$H$11="",$F640=ABSENSI!$H$11),OR(ABSENSI!$H$12="",$K640=ABSENSI!$H$12)),MAX($Y$3:Y639)+1,""))</f>
        <v/>
      </c>
      <c r="Z640" s="40" t="str">
        <f aca="false">IF($B640="","",IF(AND(OR(KARTU!$K$6="",$E640=KARTU!$K$6),OR(KARTU!$K$7="",$F640=KARTU!$K$7),OR(KARTU!$K$8="",$K640=KARTU!$K$8)),MAX($Z$3:Z639)+1,""))</f>
        <v/>
      </c>
    </row>
    <row r="641" customFormat="false" ht="15" hidden="false" customHeight="false" outlineLevel="0" collapsed="false">
      <c r="A641" s="36" t="str">
        <f aca="false">IF($B641="","",COUNTA($B$4:$B641))</f>
        <v/>
      </c>
      <c r="B641" s="37"/>
      <c r="C641" s="38"/>
      <c r="D641" s="39"/>
      <c r="E641" s="37"/>
      <c r="F641" s="39"/>
      <c r="G641" s="40" t="str">
        <f aca="false">IF(OR($E641="",$F641=""),"",$E641&amp;" - RT "&amp;$F641)</f>
        <v/>
      </c>
      <c r="H641" s="37"/>
      <c r="I641" s="38"/>
      <c r="J641" s="37"/>
      <c r="K641" s="39"/>
      <c r="L641" s="41"/>
      <c r="M641" s="36" t="str">
        <f aca="true">IF(OR($B641="",$L641=""),"",DATEDIF($L641,TODAY(),"Y"))</f>
        <v/>
      </c>
      <c r="N641" s="40" t="str">
        <f aca="false">IF($M641="","",INDEX(usia_label,MATCH($M641,usia_min,1)))</f>
        <v/>
      </c>
      <c r="O641" s="37"/>
      <c r="P641" s="41"/>
      <c r="Q641" s="37"/>
      <c r="R641" s="37"/>
      <c r="S641" s="40" t="str">
        <f aca="false">IF($G641="","",$G641&amp;"#"&amp;COUNTIF($G$4:$G641,$G641))</f>
        <v/>
      </c>
      <c r="T641" s="40" t="str">
        <f aca="false">IF($B641="","",IF($C641="","NIK kosong",IF(LEN($C641)&lt;&gt;16,"NIK bukan 16 digit",IF(COUNTIF($C$4:$C$2003,$C641&amp;"*")&gt;1,"NIK ganda",IF($E641="","Kadus kosong",IF($F641="","RT kosong",IF($H641="","Jabatan kosong",IF($I641="","No. HP kosong",IF($J641="","Alamat kosong",IF(AND($M641&lt;&gt;"",$M641&lt;17),"Usia di bawah 17",""))))))))))</f>
        <v/>
      </c>
      <c r="U641" s="40" t="str">
        <f aca="false">IF($B641="","",IF(AND(OR(CARI!$C$5="",ISNUMBER(SEARCH(CARI!$C$5,$B641&amp;" "&amp;$C641&amp;" "&amp;$I641&amp;" "&amp;$J641&amp;" "&amp;$Q641))),OR(CARI!$C$6="",$E641=CARI!$C$6),OR(CARI!$C$7="",$F641=CARI!$C$7),OR(CARI!$C$8="",$O641=CARI!$C$8)),MAX($U$3:U640)+1,""))</f>
        <v/>
      </c>
      <c r="V641" s="40" t="str">
        <f aca="false">IF($T641="","",MAX($V$3:V640)+1)</f>
        <v/>
      </c>
      <c r="W641" s="40" t="str">
        <f aca="false">IF($E641="","",$E641&amp;"#"&amp;COUNTIF($E$4:$E641,$E641))</f>
        <v/>
      </c>
      <c r="X641" s="40" t="str">
        <f aca="false">IF($B641="","",IF(AND(OR(CETAK!$J$10="",$E641=CETAK!$J$10),OR(CETAK!$J$11="",$F641=CETAK!$J$11),OR(CETAK!$J$12="",$K641=CETAK!$J$12),OR(CETAK!$J$13="",$H641=CETAK!$J$13),OR(CETAK!$J$14="",$O641=CETAK!$J$14)),MAX($X$3:X640)+1,""))</f>
        <v/>
      </c>
      <c r="Y641" s="40" t="str">
        <f aca="false">IF($B641="","",IF(AND(OR(ABSENSI!$H$10="",$E641=ABSENSI!$H$10),OR(ABSENSI!$H$11="",$F641=ABSENSI!$H$11),OR(ABSENSI!$H$12="",$K641=ABSENSI!$H$12)),MAX($Y$3:Y640)+1,""))</f>
        <v/>
      </c>
      <c r="Z641" s="40" t="str">
        <f aca="false">IF($B641="","",IF(AND(OR(KARTU!$K$6="",$E641=KARTU!$K$6),OR(KARTU!$K$7="",$F641=KARTU!$K$7),OR(KARTU!$K$8="",$K641=KARTU!$K$8)),MAX($Z$3:Z640)+1,""))</f>
        <v/>
      </c>
    </row>
    <row r="642" customFormat="false" ht="15" hidden="false" customHeight="false" outlineLevel="0" collapsed="false">
      <c r="A642" s="36" t="str">
        <f aca="false">IF($B642="","",COUNTA($B$4:$B642))</f>
        <v/>
      </c>
      <c r="B642" s="37"/>
      <c r="C642" s="38"/>
      <c r="D642" s="39"/>
      <c r="E642" s="37"/>
      <c r="F642" s="39"/>
      <c r="G642" s="40" t="str">
        <f aca="false">IF(OR($E642="",$F642=""),"",$E642&amp;" - RT "&amp;$F642)</f>
        <v/>
      </c>
      <c r="H642" s="37"/>
      <c r="I642" s="38"/>
      <c r="J642" s="37"/>
      <c r="K642" s="39"/>
      <c r="L642" s="41"/>
      <c r="M642" s="36" t="str">
        <f aca="true">IF(OR($B642="",$L642=""),"",DATEDIF($L642,TODAY(),"Y"))</f>
        <v/>
      </c>
      <c r="N642" s="40" t="str">
        <f aca="false">IF($M642="","",INDEX(usia_label,MATCH($M642,usia_min,1)))</f>
        <v/>
      </c>
      <c r="O642" s="37"/>
      <c r="P642" s="41"/>
      <c r="Q642" s="37"/>
      <c r="R642" s="37"/>
      <c r="S642" s="40" t="str">
        <f aca="false">IF($G642="","",$G642&amp;"#"&amp;COUNTIF($G$4:$G642,$G642))</f>
        <v/>
      </c>
      <c r="T642" s="40" t="str">
        <f aca="false">IF($B642="","",IF($C642="","NIK kosong",IF(LEN($C642)&lt;&gt;16,"NIK bukan 16 digit",IF(COUNTIF($C$4:$C$2003,$C642&amp;"*")&gt;1,"NIK ganda",IF($E642="","Kadus kosong",IF($F642="","RT kosong",IF($H642="","Jabatan kosong",IF($I642="","No. HP kosong",IF($J642="","Alamat kosong",IF(AND($M642&lt;&gt;"",$M642&lt;17),"Usia di bawah 17",""))))))))))</f>
        <v/>
      </c>
      <c r="U642" s="40" t="str">
        <f aca="false">IF($B642="","",IF(AND(OR(CARI!$C$5="",ISNUMBER(SEARCH(CARI!$C$5,$B642&amp;" "&amp;$C642&amp;" "&amp;$I642&amp;" "&amp;$J642&amp;" "&amp;$Q642))),OR(CARI!$C$6="",$E642=CARI!$C$6),OR(CARI!$C$7="",$F642=CARI!$C$7),OR(CARI!$C$8="",$O642=CARI!$C$8)),MAX($U$3:U641)+1,""))</f>
        <v/>
      </c>
      <c r="V642" s="40" t="str">
        <f aca="false">IF($T642="","",MAX($V$3:V641)+1)</f>
        <v/>
      </c>
      <c r="W642" s="40" t="str">
        <f aca="false">IF($E642="","",$E642&amp;"#"&amp;COUNTIF($E$4:$E642,$E642))</f>
        <v/>
      </c>
      <c r="X642" s="40" t="str">
        <f aca="false">IF($B642="","",IF(AND(OR(CETAK!$J$10="",$E642=CETAK!$J$10),OR(CETAK!$J$11="",$F642=CETAK!$J$11),OR(CETAK!$J$12="",$K642=CETAK!$J$12),OR(CETAK!$J$13="",$H642=CETAK!$J$13),OR(CETAK!$J$14="",$O642=CETAK!$J$14)),MAX($X$3:X641)+1,""))</f>
        <v/>
      </c>
      <c r="Y642" s="40" t="str">
        <f aca="false">IF($B642="","",IF(AND(OR(ABSENSI!$H$10="",$E642=ABSENSI!$H$10),OR(ABSENSI!$H$11="",$F642=ABSENSI!$H$11),OR(ABSENSI!$H$12="",$K642=ABSENSI!$H$12)),MAX($Y$3:Y641)+1,""))</f>
        <v/>
      </c>
      <c r="Z642" s="40" t="str">
        <f aca="false">IF($B642="","",IF(AND(OR(KARTU!$K$6="",$E642=KARTU!$K$6),OR(KARTU!$K$7="",$F642=KARTU!$K$7),OR(KARTU!$K$8="",$K642=KARTU!$K$8)),MAX($Z$3:Z641)+1,""))</f>
        <v/>
      </c>
    </row>
    <row r="643" customFormat="false" ht="15" hidden="false" customHeight="false" outlineLevel="0" collapsed="false">
      <c r="A643" s="36" t="str">
        <f aca="false">IF($B643="","",COUNTA($B$4:$B643))</f>
        <v/>
      </c>
      <c r="B643" s="37"/>
      <c r="C643" s="38"/>
      <c r="D643" s="39"/>
      <c r="E643" s="37"/>
      <c r="F643" s="39"/>
      <c r="G643" s="40" t="str">
        <f aca="false">IF(OR($E643="",$F643=""),"",$E643&amp;" - RT "&amp;$F643)</f>
        <v/>
      </c>
      <c r="H643" s="37"/>
      <c r="I643" s="38"/>
      <c r="J643" s="37"/>
      <c r="K643" s="39"/>
      <c r="L643" s="41"/>
      <c r="M643" s="36" t="str">
        <f aca="true">IF(OR($B643="",$L643=""),"",DATEDIF($L643,TODAY(),"Y"))</f>
        <v/>
      </c>
      <c r="N643" s="40" t="str">
        <f aca="false">IF($M643="","",INDEX(usia_label,MATCH($M643,usia_min,1)))</f>
        <v/>
      </c>
      <c r="O643" s="37"/>
      <c r="P643" s="41"/>
      <c r="Q643" s="37"/>
      <c r="R643" s="37"/>
      <c r="S643" s="40" t="str">
        <f aca="false">IF($G643="","",$G643&amp;"#"&amp;COUNTIF($G$4:$G643,$G643))</f>
        <v/>
      </c>
      <c r="T643" s="40" t="str">
        <f aca="false">IF($B643="","",IF($C643="","NIK kosong",IF(LEN($C643)&lt;&gt;16,"NIK bukan 16 digit",IF(COUNTIF($C$4:$C$2003,$C643&amp;"*")&gt;1,"NIK ganda",IF($E643="","Kadus kosong",IF($F643="","RT kosong",IF($H643="","Jabatan kosong",IF($I643="","No. HP kosong",IF($J643="","Alamat kosong",IF(AND($M643&lt;&gt;"",$M643&lt;17),"Usia di bawah 17",""))))))))))</f>
        <v/>
      </c>
      <c r="U643" s="40" t="str">
        <f aca="false">IF($B643="","",IF(AND(OR(CARI!$C$5="",ISNUMBER(SEARCH(CARI!$C$5,$B643&amp;" "&amp;$C643&amp;" "&amp;$I643&amp;" "&amp;$J643&amp;" "&amp;$Q643))),OR(CARI!$C$6="",$E643=CARI!$C$6),OR(CARI!$C$7="",$F643=CARI!$C$7),OR(CARI!$C$8="",$O643=CARI!$C$8)),MAX($U$3:U642)+1,""))</f>
        <v/>
      </c>
      <c r="V643" s="40" t="str">
        <f aca="false">IF($T643="","",MAX($V$3:V642)+1)</f>
        <v/>
      </c>
      <c r="W643" s="40" t="str">
        <f aca="false">IF($E643="","",$E643&amp;"#"&amp;COUNTIF($E$4:$E643,$E643))</f>
        <v/>
      </c>
      <c r="X643" s="40" t="str">
        <f aca="false">IF($B643="","",IF(AND(OR(CETAK!$J$10="",$E643=CETAK!$J$10),OR(CETAK!$J$11="",$F643=CETAK!$J$11),OR(CETAK!$J$12="",$K643=CETAK!$J$12),OR(CETAK!$J$13="",$H643=CETAK!$J$13),OR(CETAK!$J$14="",$O643=CETAK!$J$14)),MAX($X$3:X642)+1,""))</f>
        <v/>
      </c>
      <c r="Y643" s="40" t="str">
        <f aca="false">IF($B643="","",IF(AND(OR(ABSENSI!$H$10="",$E643=ABSENSI!$H$10),OR(ABSENSI!$H$11="",$F643=ABSENSI!$H$11),OR(ABSENSI!$H$12="",$K643=ABSENSI!$H$12)),MAX($Y$3:Y642)+1,""))</f>
        <v/>
      </c>
      <c r="Z643" s="40" t="str">
        <f aca="false">IF($B643="","",IF(AND(OR(KARTU!$K$6="",$E643=KARTU!$K$6),OR(KARTU!$K$7="",$F643=KARTU!$K$7),OR(KARTU!$K$8="",$K643=KARTU!$K$8)),MAX($Z$3:Z642)+1,""))</f>
        <v/>
      </c>
    </row>
    <row r="644" customFormat="false" ht="15" hidden="false" customHeight="false" outlineLevel="0" collapsed="false">
      <c r="A644" s="36" t="str">
        <f aca="false">IF($B644="","",COUNTA($B$4:$B644))</f>
        <v/>
      </c>
      <c r="B644" s="37"/>
      <c r="C644" s="38"/>
      <c r="D644" s="39"/>
      <c r="E644" s="37"/>
      <c r="F644" s="39"/>
      <c r="G644" s="40" t="str">
        <f aca="false">IF(OR($E644="",$F644=""),"",$E644&amp;" - RT "&amp;$F644)</f>
        <v/>
      </c>
      <c r="H644" s="37"/>
      <c r="I644" s="38"/>
      <c r="J644" s="37"/>
      <c r="K644" s="39"/>
      <c r="L644" s="41"/>
      <c r="M644" s="36" t="str">
        <f aca="true">IF(OR($B644="",$L644=""),"",DATEDIF($L644,TODAY(),"Y"))</f>
        <v/>
      </c>
      <c r="N644" s="40" t="str">
        <f aca="false">IF($M644="","",INDEX(usia_label,MATCH($M644,usia_min,1)))</f>
        <v/>
      </c>
      <c r="O644" s="37"/>
      <c r="P644" s="41"/>
      <c r="Q644" s="37"/>
      <c r="R644" s="37"/>
      <c r="S644" s="40" t="str">
        <f aca="false">IF($G644="","",$G644&amp;"#"&amp;COUNTIF($G$4:$G644,$G644))</f>
        <v/>
      </c>
      <c r="T644" s="40" t="str">
        <f aca="false">IF($B644="","",IF($C644="","NIK kosong",IF(LEN($C644)&lt;&gt;16,"NIK bukan 16 digit",IF(COUNTIF($C$4:$C$2003,$C644&amp;"*")&gt;1,"NIK ganda",IF($E644="","Kadus kosong",IF($F644="","RT kosong",IF($H644="","Jabatan kosong",IF($I644="","No. HP kosong",IF($J644="","Alamat kosong",IF(AND($M644&lt;&gt;"",$M644&lt;17),"Usia di bawah 17",""))))))))))</f>
        <v/>
      </c>
      <c r="U644" s="40" t="str">
        <f aca="false">IF($B644="","",IF(AND(OR(CARI!$C$5="",ISNUMBER(SEARCH(CARI!$C$5,$B644&amp;" "&amp;$C644&amp;" "&amp;$I644&amp;" "&amp;$J644&amp;" "&amp;$Q644))),OR(CARI!$C$6="",$E644=CARI!$C$6),OR(CARI!$C$7="",$F644=CARI!$C$7),OR(CARI!$C$8="",$O644=CARI!$C$8)),MAX($U$3:U643)+1,""))</f>
        <v/>
      </c>
      <c r="V644" s="40" t="str">
        <f aca="false">IF($T644="","",MAX($V$3:V643)+1)</f>
        <v/>
      </c>
      <c r="W644" s="40" t="str">
        <f aca="false">IF($E644="","",$E644&amp;"#"&amp;COUNTIF($E$4:$E644,$E644))</f>
        <v/>
      </c>
      <c r="X644" s="40" t="str">
        <f aca="false">IF($B644="","",IF(AND(OR(CETAK!$J$10="",$E644=CETAK!$J$10),OR(CETAK!$J$11="",$F644=CETAK!$J$11),OR(CETAK!$J$12="",$K644=CETAK!$J$12),OR(CETAK!$J$13="",$H644=CETAK!$J$13),OR(CETAK!$J$14="",$O644=CETAK!$J$14)),MAX($X$3:X643)+1,""))</f>
        <v/>
      </c>
      <c r="Y644" s="40" t="str">
        <f aca="false">IF($B644="","",IF(AND(OR(ABSENSI!$H$10="",$E644=ABSENSI!$H$10),OR(ABSENSI!$H$11="",$F644=ABSENSI!$H$11),OR(ABSENSI!$H$12="",$K644=ABSENSI!$H$12)),MAX($Y$3:Y643)+1,""))</f>
        <v/>
      </c>
      <c r="Z644" s="40" t="str">
        <f aca="false">IF($B644="","",IF(AND(OR(KARTU!$K$6="",$E644=KARTU!$K$6),OR(KARTU!$K$7="",$F644=KARTU!$K$7),OR(KARTU!$K$8="",$K644=KARTU!$K$8)),MAX($Z$3:Z643)+1,""))</f>
        <v/>
      </c>
    </row>
    <row r="645" customFormat="false" ht="15" hidden="false" customHeight="false" outlineLevel="0" collapsed="false">
      <c r="A645" s="36" t="str">
        <f aca="false">IF($B645="","",COUNTA($B$4:$B645))</f>
        <v/>
      </c>
      <c r="B645" s="37"/>
      <c r="C645" s="38"/>
      <c r="D645" s="39"/>
      <c r="E645" s="37"/>
      <c r="F645" s="39"/>
      <c r="G645" s="40" t="str">
        <f aca="false">IF(OR($E645="",$F645=""),"",$E645&amp;" - RT "&amp;$F645)</f>
        <v/>
      </c>
      <c r="H645" s="37"/>
      <c r="I645" s="38"/>
      <c r="J645" s="37"/>
      <c r="K645" s="39"/>
      <c r="L645" s="41"/>
      <c r="M645" s="36" t="str">
        <f aca="true">IF(OR($B645="",$L645=""),"",DATEDIF($L645,TODAY(),"Y"))</f>
        <v/>
      </c>
      <c r="N645" s="40" t="str">
        <f aca="false">IF($M645="","",INDEX(usia_label,MATCH($M645,usia_min,1)))</f>
        <v/>
      </c>
      <c r="O645" s="37"/>
      <c r="P645" s="41"/>
      <c r="Q645" s="37"/>
      <c r="R645" s="37"/>
      <c r="S645" s="40" t="str">
        <f aca="false">IF($G645="","",$G645&amp;"#"&amp;COUNTIF($G$4:$G645,$G645))</f>
        <v/>
      </c>
      <c r="T645" s="40" t="str">
        <f aca="false">IF($B645="","",IF($C645="","NIK kosong",IF(LEN($C645)&lt;&gt;16,"NIK bukan 16 digit",IF(COUNTIF($C$4:$C$2003,$C645&amp;"*")&gt;1,"NIK ganda",IF($E645="","Kadus kosong",IF($F645="","RT kosong",IF($H645="","Jabatan kosong",IF($I645="","No. HP kosong",IF($J645="","Alamat kosong",IF(AND($M645&lt;&gt;"",$M645&lt;17),"Usia di bawah 17",""))))))))))</f>
        <v/>
      </c>
      <c r="U645" s="40" t="str">
        <f aca="false">IF($B645="","",IF(AND(OR(CARI!$C$5="",ISNUMBER(SEARCH(CARI!$C$5,$B645&amp;" "&amp;$C645&amp;" "&amp;$I645&amp;" "&amp;$J645&amp;" "&amp;$Q645))),OR(CARI!$C$6="",$E645=CARI!$C$6),OR(CARI!$C$7="",$F645=CARI!$C$7),OR(CARI!$C$8="",$O645=CARI!$C$8)),MAX($U$3:U644)+1,""))</f>
        <v/>
      </c>
      <c r="V645" s="40" t="str">
        <f aca="false">IF($T645="","",MAX($V$3:V644)+1)</f>
        <v/>
      </c>
      <c r="W645" s="40" t="str">
        <f aca="false">IF($E645="","",$E645&amp;"#"&amp;COUNTIF($E$4:$E645,$E645))</f>
        <v/>
      </c>
      <c r="X645" s="40" t="str">
        <f aca="false">IF($B645="","",IF(AND(OR(CETAK!$J$10="",$E645=CETAK!$J$10),OR(CETAK!$J$11="",$F645=CETAK!$J$11),OR(CETAK!$J$12="",$K645=CETAK!$J$12),OR(CETAK!$J$13="",$H645=CETAK!$J$13),OR(CETAK!$J$14="",$O645=CETAK!$J$14)),MAX($X$3:X644)+1,""))</f>
        <v/>
      </c>
      <c r="Y645" s="40" t="str">
        <f aca="false">IF($B645="","",IF(AND(OR(ABSENSI!$H$10="",$E645=ABSENSI!$H$10),OR(ABSENSI!$H$11="",$F645=ABSENSI!$H$11),OR(ABSENSI!$H$12="",$K645=ABSENSI!$H$12)),MAX($Y$3:Y644)+1,""))</f>
        <v/>
      </c>
      <c r="Z645" s="40" t="str">
        <f aca="false">IF($B645="","",IF(AND(OR(KARTU!$K$6="",$E645=KARTU!$K$6),OR(KARTU!$K$7="",$F645=KARTU!$K$7),OR(KARTU!$K$8="",$K645=KARTU!$K$8)),MAX($Z$3:Z644)+1,""))</f>
        <v/>
      </c>
    </row>
    <row r="646" customFormat="false" ht="15" hidden="false" customHeight="false" outlineLevel="0" collapsed="false">
      <c r="A646" s="36" t="str">
        <f aca="false">IF($B646="","",COUNTA($B$4:$B646))</f>
        <v/>
      </c>
      <c r="B646" s="37"/>
      <c r="C646" s="38"/>
      <c r="D646" s="39"/>
      <c r="E646" s="37"/>
      <c r="F646" s="39"/>
      <c r="G646" s="40" t="str">
        <f aca="false">IF(OR($E646="",$F646=""),"",$E646&amp;" - RT "&amp;$F646)</f>
        <v/>
      </c>
      <c r="H646" s="37"/>
      <c r="I646" s="38"/>
      <c r="J646" s="37"/>
      <c r="K646" s="39"/>
      <c r="L646" s="41"/>
      <c r="M646" s="36" t="str">
        <f aca="true">IF(OR($B646="",$L646=""),"",DATEDIF($L646,TODAY(),"Y"))</f>
        <v/>
      </c>
      <c r="N646" s="40" t="str">
        <f aca="false">IF($M646="","",INDEX(usia_label,MATCH($M646,usia_min,1)))</f>
        <v/>
      </c>
      <c r="O646" s="37"/>
      <c r="P646" s="41"/>
      <c r="Q646" s="37"/>
      <c r="R646" s="37"/>
      <c r="S646" s="40" t="str">
        <f aca="false">IF($G646="","",$G646&amp;"#"&amp;COUNTIF($G$4:$G646,$G646))</f>
        <v/>
      </c>
      <c r="T646" s="40" t="str">
        <f aca="false">IF($B646="","",IF($C646="","NIK kosong",IF(LEN($C646)&lt;&gt;16,"NIK bukan 16 digit",IF(COUNTIF($C$4:$C$2003,$C646&amp;"*")&gt;1,"NIK ganda",IF($E646="","Kadus kosong",IF($F646="","RT kosong",IF($H646="","Jabatan kosong",IF($I646="","No. HP kosong",IF($J646="","Alamat kosong",IF(AND($M646&lt;&gt;"",$M646&lt;17),"Usia di bawah 17",""))))))))))</f>
        <v/>
      </c>
      <c r="U646" s="40" t="str">
        <f aca="false">IF($B646="","",IF(AND(OR(CARI!$C$5="",ISNUMBER(SEARCH(CARI!$C$5,$B646&amp;" "&amp;$C646&amp;" "&amp;$I646&amp;" "&amp;$J646&amp;" "&amp;$Q646))),OR(CARI!$C$6="",$E646=CARI!$C$6),OR(CARI!$C$7="",$F646=CARI!$C$7),OR(CARI!$C$8="",$O646=CARI!$C$8)),MAX($U$3:U645)+1,""))</f>
        <v/>
      </c>
      <c r="V646" s="40" t="str">
        <f aca="false">IF($T646="","",MAX($V$3:V645)+1)</f>
        <v/>
      </c>
      <c r="W646" s="40" t="str">
        <f aca="false">IF($E646="","",$E646&amp;"#"&amp;COUNTIF($E$4:$E646,$E646))</f>
        <v/>
      </c>
      <c r="X646" s="40" t="str">
        <f aca="false">IF($B646="","",IF(AND(OR(CETAK!$J$10="",$E646=CETAK!$J$10),OR(CETAK!$J$11="",$F646=CETAK!$J$11),OR(CETAK!$J$12="",$K646=CETAK!$J$12),OR(CETAK!$J$13="",$H646=CETAK!$J$13),OR(CETAK!$J$14="",$O646=CETAK!$J$14)),MAX($X$3:X645)+1,""))</f>
        <v/>
      </c>
      <c r="Y646" s="40" t="str">
        <f aca="false">IF($B646="","",IF(AND(OR(ABSENSI!$H$10="",$E646=ABSENSI!$H$10),OR(ABSENSI!$H$11="",$F646=ABSENSI!$H$11),OR(ABSENSI!$H$12="",$K646=ABSENSI!$H$12)),MAX($Y$3:Y645)+1,""))</f>
        <v/>
      </c>
      <c r="Z646" s="40" t="str">
        <f aca="false">IF($B646="","",IF(AND(OR(KARTU!$K$6="",$E646=KARTU!$K$6),OR(KARTU!$K$7="",$F646=KARTU!$K$7),OR(KARTU!$K$8="",$K646=KARTU!$K$8)),MAX($Z$3:Z645)+1,""))</f>
        <v/>
      </c>
    </row>
    <row r="647" customFormat="false" ht="15" hidden="false" customHeight="false" outlineLevel="0" collapsed="false">
      <c r="A647" s="36" t="str">
        <f aca="false">IF($B647="","",COUNTA($B$4:$B647))</f>
        <v/>
      </c>
      <c r="B647" s="37"/>
      <c r="C647" s="38"/>
      <c r="D647" s="39"/>
      <c r="E647" s="37"/>
      <c r="F647" s="39"/>
      <c r="G647" s="40" t="str">
        <f aca="false">IF(OR($E647="",$F647=""),"",$E647&amp;" - RT "&amp;$F647)</f>
        <v/>
      </c>
      <c r="H647" s="37"/>
      <c r="I647" s="38"/>
      <c r="J647" s="37"/>
      <c r="K647" s="39"/>
      <c r="L647" s="41"/>
      <c r="M647" s="36" t="str">
        <f aca="true">IF(OR($B647="",$L647=""),"",DATEDIF($L647,TODAY(),"Y"))</f>
        <v/>
      </c>
      <c r="N647" s="40" t="str">
        <f aca="false">IF($M647="","",INDEX(usia_label,MATCH($M647,usia_min,1)))</f>
        <v/>
      </c>
      <c r="O647" s="37"/>
      <c r="P647" s="41"/>
      <c r="Q647" s="37"/>
      <c r="R647" s="37"/>
      <c r="S647" s="40" t="str">
        <f aca="false">IF($G647="","",$G647&amp;"#"&amp;COUNTIF($G$4:$G647,$G647))</f>
        <v/>
      </c>
      <c r="T647" s="40" t="str">
        <f aca="false">IF($B647="","",IF($C647="","NIK kosong",IF(LEN($C647)&lt;&gt;16,"NIK bukan 16 digit",IF(COUNTIF($C$4:$C$2003,$C647&amp;"*")&gt;1,"NIK ganda",IF($E647="","Kadus kosong",IF($F647="","RT kosong",IF($H647="","Jabatan kosong",IF($I647="","No. HP kosong",IF($J647="","Alamat kosong",IF(AND($M647&lt;&gt;"",$M647&lt;17),"Usia di bawah 17",""))))))))))</f>
        <v/>
      </c>
      <c r="U647" s="40" t="str">
        <f aca="false">IF($B647="","",IF(AND(OR(CARI!$C$5="",ISNUMBER(SEARCH(CARI!$C$5,$B647&amp;" "&amp;$C647&amp;" "&amp;$I647&amp;" "&amp;$J647&amp;" "&amp;$Q647))),OR(CARI!$C$6="",$E647=CARI!$C$6),OR(CARI!$C$7="",$F647=CARI!$C$7),OR(CARI!$C$8="",$O647=CARI!$C$8)),MAX($U$3:U646)+1,""))</f>
        <v/>
      </c>
      <c r="V647" s="40" t="str">
        <f aca="false">IF($T647="","",MAX($V$3:V646)+1)</f>
        <v/>
      </c>
      <c r="W647" s="40" t="str">
        <f aca="false">IF($E647="","",$E647&amp;"#"&amp;COUNTIF($E$4:$E647,$E647))</f>
        <v/>
      </c>
      <c r="X647" s="40" t="str">
        <f aca="false">IF($B647="","",IF(AND(OR(CETAK!$J$10="",$E647=CETAK!$J$10),OR(CETAK!$J$11="",$F647=CETAK!$J$11),OR(CETAK!$J$12="",$K647=CETAK!$J$12),OR(CETAK!$J$13="",$H647=CETAK!$J$13),OR(CETAK!$J$14="",$O647=CETAK!$J$14)),MAX($X$3:X646)+1,""))</f>
        <v/>
      </c>
      <c r="Y647" s="40" t="str">
        <f aca="false">IF($B647="","",IF(AND(OR(ABSENSI!$H$10="",$E647=ABSENSI!$H$10),OR(ABSENSI!$H$11="",$F647=ABSENSI!$H$11),OR(ABSENSI!$H$12="",$K647=ABSENSI!$H$12)),MAX($Y$3:Y646)+1,""))</f>
        <v/>
      </c>
      <c r="Z647" s="40" t="str">
        <f aca="false">IF($B647="","",IF(AND(OR(KARTU!$K$6="",$E647=KARTU!$K$6),OR(KARTU!$K$7="",$F647=KARTU!$K$7),OR(KARTU!$K$8="",$K647=KARTU!$K$8)),MAX($Z$3:Z646)+1,""))</f>
        <v/>
      </c>
    </row>
    <row r="648" customFormat="false" ht="15" hidden="false" customHeight="false" outlineLevel="0" collapsed="false">
      <c r="A648" s="36" t="str">
        <f aca="false">IF($B648="","",COUNTA($B$4:$B648))</f>
        <v/>
      </c>
      <c r="B648" s="37"/>
      <c r="C648" s="38"/>
      <c r="D648" s="39"/>
      <c r="E648" s="37"/>
      <c r="F648" s="39"/>
      <c r="G648" s="40" t="str">
        <f aca="false">IF(OR($E648="",$F648=""),"",$E648&amp;" - RT "&amp;$F648)</f>
        <v/>
      </c>
      <c r="H648" s="37"/>
      <c r="I648" s="38"/>
      <c r="J648" s="37"/>
      <c r="K648" s="39"/>
      <c r="L648" s="41"/>
      <c r="M648" s="36" t="str">
        <f aca="true">IF(OR($B648="",$L648=""),"",DATEDIF($L648,TODAY(),"Y"))</f>
        <v/>
      </c>
      <c r="N648" s="40" t="str">
        <f aca="false">IF($M648="","",INDEX(usia_label,MATCH($M648,usia_min,1)))</f>
        <v/>
      </c>
      <c r="O648" s="37"/>
      <c r="P648" s="41"/>
      <c r="Q648" s="37"/>
      <c r="R648" s="37"/>
      <c r="S648" s="40" t="str">
        <f aca="false">IF($G648="","",$G648&amp;"#"&amp;COUNTIF($G$4:$G648,$G648))</f>
        <v/>
      </c>
      <c r="T648" s="40" t="str">
        <f aca="false">IF($B648="","",IF($C648="","NIK kosong",IF(LEN($C648)&lt;&gt;16,"NIK bukan 16 digit",IF(COUNTIF($C$4:$C$2003,$C648&amp;"*")&gt;1,"NIK ganda",IF($E648="","Kadus kosong",IF($F648="","RT kosong",IF($H648="","Jabatan kosong",IF($I648="","No. HP kosong",IF($J648="","Alamat kosong",IF(AND($M648&lt;&gt;"",$M648&lt;17),"Usia di bawah 17",""))))))))))</f>
        <v/>
      </c>
      <c r="U648" s="40" t="str">
        <f aca="false">IF($B648="","",IF(AND(OR(CARI!$C$5="",ISNUMBER(SEARCH(CARI!$C$5,$B648&amp;" "&amp;$C648&amp;" "&amp;$I648&amp;" "&amp;$J648&amp;" "&amp;$Q648))),OR(CARI!$C$6="",$E648=CARI!$C$6),OR(CARI!$C$7="",$F648=CARI!$C$7),OR(CARI!$C$8="",$O648=CARI!$C$8)),MAX($U$3:U647)+1,""))</f>
        <v/>
      </c>
      <c r="V648" s="40" t="str">
        <f aca="false">IF($T648="","",MAX($V$3:V647)+1)</f>
        <v/>
      </c>
      <c r="W648" s="40" t="str">
        <f aca="false">IF($E648="","",$E648&amp;"#"&amp;COUNTIF($E$4:$E648,$E648))</f>
        <v/>
      </c>
      <c r="X648" s="40" t="str">
        <f aca="false">IF($B648="","",IF(AND(OR(CETAK!$J$10="",$E648=CETAK!$J$10),OR(CETAK!$J$11="",$F648=CETAK!$J$11),OR(CETAK!$J$12="",$K648=CETAK!$J$12),OR(CETAK!$J$13="",$H648=CETAK!$J$13),OR(CETAK!$J$14="",$O648=CETAK!$J$14)),MAX($X$3:X647)+1,""))</f>
        <v/>
      </c>
      <c r="Y648" s="40" t="str">
        <f aca="false">IF($B648="","",IF(AND(OR(ABSENSI!$H$10="",$E648=ABSENSI!$H$10),OR(ABSENSI!$H$11="",$F648=ABSENSI!$H$11),OR(ABSENSI!$H$12="",$K648=ABSENSI!$H$12)),MAX($Y$3:Y647)+1,""))</f>
        <v/>
      </c>
      <c r="Z648" s="40" t="str">
        <f aca="false">IF($B648="","",IF(AND(OR(KARTU!$K$6="",$E648=KARTU!$K$6),OR(KARTU!$K$7="",$F648=KARTU!$K$7),OR(KARTU!$K$8="",$K648=KARTU!$K$8)),MAX($Z$3:Z647)+1,""))</f>
        <v/>
      </c>
    </row>
    <row r="649" customFormat="false" ht="15" hidden="false" customHeight="false" outlineLevel="0" collapsed="false">
      <c r="A649" s="36" t="str">
        <f aca="false">IF($B649="","",COUNTA($B$4:$B649))</f>
        <v/>
      </c>
      <c r="B649" s="37"/>
      <c r="C649" s="38"/>
      <c r="D649" s="39"/>
      <c r="E649" s="37"/>
      <c r="F649" s="39"/>
      <c r="G649" s="40" t="str">
        <f aca="false">IF(OR($E649="",$F649=""),"",$E649&amp;" - RT "&amp;$F649)</f>
        <v/>
      </c>
      <c r="H649" s="37"/>
      <c r="I649" s="38"/>
      <c r="J649" s="37"/>
      <c r="K649" s="39"/>
      <c r="L649" s="41"/>
      <c r="M649" s="36" t="str">
        <f aca="true">IF(OR($B649="",$L649=""),"",DATEDIF($L649,TODAY(),"Y"))</f>
        <v/>
      </c>
      <c r="N649" s="40" t="str">
        <f aca="false">IF($M649="","",INDEX(usia_label,MATCH($M649,usia_min,1)))</f>
        <v/>
      </c>
      <c r="O649" s="37"/>
      <c r="P649" s="41"/>
      <c r="Q649" s="37"/>
      <c r="R649" s="37"/>
      <c r="S649" s="40" t="str">
        <f aca="false">IF($G649="","",$G649&amp;"#"&amp;COUNTIF($G$4:$G649,$G649))</f>
        <v/>
      </c>
      <c r="T649" s="40" t="str">
        <f aca="false">IF($B649="","",IF($C649="","NIK kosong",IF(LEN($C649)&lt;&gt;16,"NIK bukan 16 digit",IF(COUNTIF($C$4:$C$2003,$C649&amp;"*")&gt;1,"NIK ganda",IF($E649="","Kadus kosong",IF($F649="","RT kosong",IF($H649="","Jabatan kosong",IF($I649="","No. HP kosong",IF($J649="","Alamat kosong",IF(AND($M649&lt;&gt;"",$M649&lt;17),"Usia di bawah 17",""))))))))))</f>
        <v/>
      </c>
      <c r="U649" s="40" t="str">
        <f aca="false">IF($B649="","",IF(AND(OR(CARI!$C$5="",ISNUMBER(SEARCH(CARI!$C$5,$B649&amp;" "&amp;$C649&amp;" "&amp;$I649&amp;" "&amp;$J649&amp;" "&amp;$Q649))),OR(CARI!$C$6="",$E649=CARI!$C$6),OR(CARI!$C$7="",$F649=CARI!$C$7),OR(CARI!$C$8="",$O649=CARI!$C$8)),MAX($U$3:U648)+1,""))</f>
        <v/>
      </c>
      <c r="V649" s="40" t="str">
        <f aca="false">IF($T649="","",MAX($V$3:V648)+1)</f>
        <v/>
      </c>
      <c r="W649" s="40" t="str">
        <f aca="false">IF($E649="","",$E649&amp;"#"&amp;COUNTIF($E$4:$E649,$E649))</f>
        <v/>
      </c>
      <c r="X649" s="40" t="str">
        <f aca="false">IF($B649="","",IF(AND(OR(CETAK!$J$10="",$E649=CETAK!$J$10),OR(CETAK!$J$11="",$F649=CETAK!$J$11),OR(CETAK!$J$12="",$K649=CETAK!$J$12),OR(CETAK!$J$13="",$H649=CETAK!$J$13),OR(CETAK!$J$14="",$O649=CETAK!$J$14)),MAX($X$3:X648)+1,""))</f>
        <v/>
      </c>
      <c r="Y649" s="40" t="str">
        <f aca="false">IF($B649="","",IF(AND(OR(ABSENSI!$H$10="",$E649=ABSENSI!$H$10),OR(ABSENSI!$H$11="",$F649=ABSENSI!$H$11),OR(ABSENSI!$H$12="",$K649=ABSENSI!$H$12)),MAX($Y$3:Y648)+1,""))</f>
        <v/>
      </c>
      <c r="Z649" s="40" t="str">
        <f aca="false">IF($B649="","",IF(AND(OR(KARTU!$K$6="",$E649=KARTU!$K$6),OR(KARTU!$K$7="",$F649=KARTU!$K$7),OR(KARTU!$K$8="",$K649=KARTU!$K$8)),MAX($Z$3:Z648)+1,""))</f>
        <v/>
      </c>
    </row>
    <row r="650" customFormat="false" ht="15" hidden="false" customHeight="false" outlineLevel="0" collapsed="false">
      <c r="A650" s="36" t="str">
        <f aca="false">IF($B650="","",COUNTA($B$4:$B650))</f>
        <v/>
      </c>
      <c r="B650" s="37"/>
      <c r="C650" s="38"/>
      <c r="D650" s="39"/>
      <c r="E650" s="37"/>
      <c r="F650" s="39"/>
      <c r="G650" s="40" t="str">
        <f aca="false">IF(OR($E650="",$F650=""),"",$E650&amp;" - RT "&amp;$F650)</f>
        <v/>
      </c>
      <c r="H650" s="37"/>
      <c r="I650" s="38"/>
      <c r="J650" s="37"/>
      <c r="K650" s="39"/>
      <c r="L650" s="41"/>
      <c r="M650" s="36" t="str">
        <f aca="true">IF(OR($B650="",$L650=""),"",DATEDIF($L650,TODAY(),"Y"))</f>
        <v/>
      </c>
      <c r="N650" s="40" t="str">
        <f aca="false">IF($M650="","",INDEX(usia_label,MATCH($M650,usia_min,1)))</f>
        <v/>
      </c>
      <c r="O650" s="37"/>
      <c r="P650" s="41"/>
      <c r="Q650" s="37"/>
      <c r="R650" s="37"/>
      <c r="S650" s="40" t="str">
        <f aca="false">IF($G650="","",$G650&amp;"#"&amp;COUNTIF($G$4:$G650,$G650))</f>
        <v/>
      </c>
      <c r="T650" s="40" t="str">
        <f aca="false">IF($B650="","",IF($C650="","NIK kosong",IF(LEN($C650)&lt;&gt;16,"NIK bukan 16 digit",IF(COUNTIF($C$4:$C$2003,$C650&amp;"*")&gt;1,"NIK ganda",IF($E650="","Kadus kosong",IF($F650="","RT kosong",IF($H650="","Jabatan kosong",IF($I650="","No. HP kosong",IF($J650="","Alamat kosong",IF(AND($M650&lt;&gt;"",$M650&lt;17),"Usia di bawah 17",""))))))))))</f>
        <v/>
      </c>
      <c r="U650" s="40" t="str">
        <f aca="false">IF($B650="","",IF(AND(OR(CARI!$C$5="",ISNUMBER(SEARCH(CARI!$C$5,$B650&amp;" "&amp;$C650&amp;" "&amp;$I650&amp;" "&amp;$J650&amp;" "&amp;$Q650))),OR(CARI!$C$6="",$E650=CARI!$C$6),OR(CARI!$C$7="",$F650=CARI!$C$7),OR(CARI!$C$8="",$O650=CARI!$C$8)),MAX($U$3:U649)+1,""))</f>
        <v/>
      </c>
      <c r="V650" s="40" t="str">
        <f aca="false">IF($T650="","",MAX($V$3:V649)+1)</f>
        <v/>
      </c>
      <c r="W650" s="40" t="str">
        <f aca="false">IF($E650="","",$E650&amp;"#"&amp;COUNTIF($E$4:$E650,$E650))</f>
        <v/>
      </c>
      <c r="X650" s="40" t="str">
        <f aca="false">IF($B650="","",IF(AND(OR(CETAK!$J$10="",$E650=CETAK!$J$10),OR(CETAK!$J$11="",$F650=CETAK!$J$11),OR(CETAK!$J$12="",$K650=CETAK!$J$12),OR(CETAK!$J$13="",$H650=CETAK!$J$13),OR(CETAK!$J$14="",$O650=CETAK!$J$14)),MAX($X$3:X649)+1,""))</f>
        <v/>
      </c>
      <c r="Y650" s="40" t="str">
        <f aca="false">IF($B650="","",IF(AND(OR(ABSENSI!$H$10="",$E650=ABSENSI!$H$10),OR(ABSENSI!$H$11="",$F650=ABSENSI!$H$11),OR(ABSENSI!$H$12="",$K650=ABSENSI!$H$12)),MAX($Y$3:Y649)+1,""))</f>
        <v/>
      </c>
      <c r="Z650" s="40" t="str">
        <f aca="false">IF($B650="","",IF(AND(OR(KARTU!$K$6="",$E650=KARTU!$K$6),OR(KARTU!$K$7="",$F650=KARTU!$K$7),OR(KARTU!$K$8="",$K650=KARTU!$K$8)),MAX($Z$3:Z649)+1,""))</f>
        <v/>
      </c>
    </row>
    <row r="651" customFormat="false" ht="15" hidden="false" customHeight="false" outlineLevel="0" collapsed="false">
      <c r="A651" s="36" t="str">
        <f aca="false">IF($B651="","",COUNTA($B$4:$B651))</f>
        <v/>
      </c>
      <c r="B651" s="37"/>
      <c r="C651" s="38"/>
      <c r="D651" s="39"/>
      <c r="E651" s="37"/>
      <c r="F651" s="39"/>
      <c r="G651" s="40" t="str">
        <f aca="false">IF(OR($E651="",$F651=""),"",$E651&amp;" - RT "&amp;$F651)</f>
        <v/>
      </c>
      <c r="H651" s="37"/>
      <c r="I651" s="38"/>
      <c r="J651" s="37"/>
      <c r="K651" s="39"/>
      <c r="L651" s="41"/>
      <c r="M651" s="36" t="str">
        <f aca="true">IF(OR($B651="",$L651=""),"",DATEDIF($L651,TODAY(),"Y"))</f>
        <v/>
      </c>
      <c r="N651" s="40" t="str">
        <f aca="false">IF($M651="","",INDEX(usia_label,MATCH($M651,usia_min,1)))</f>
        <v/>
      </c>
      <c r="O651" s="37"/>
      <c r="P651" s="41"/>
      <c r="Q651" s="37"/>
      <c r="R651" s="37"/>
      <c r="S651" s="40" t="str">
        <f aca="false">IF($G651="","",$G651&amp;"#"&amp;COUNTIF($G$4:$G651,$G651))</f>
        <v/>
      </c>
      <c r="T651" s="40" t="str">
        <f aca="false">IF($B651="","",IF($C651="","NIK kosong",IF(LEN($C651)&lt;&gt;16,"NIK bukan 16 digit",IF(COUNTIF($C$4:$C$2003,$C651&amp;"*")&gt;1,"NIK ganda",IF($E651="","Kadus kosong",IF($F651="","RT kosong",IF($H651="","Jabatan kosong",IF($I651="","No. HP kosong",IF($J651="","Alamat kosong",IF(AND($M651&lt;&gt;"",$M651&lt;17),"Usia di bawah 17",""))))))))))</f>
        <v/>
      </c>
      <c r="U651" s="40" t="str">
        <f aca="false">IF($B651="","",IF(AND(OR(CARI!$C$5="",ISNUMBER(SEARCH(CARI!$C$5,$B651&amp;" "&amp;$C651&amp;" "&amp;$I651&amp;" "&amp;$J651&amp;" "&amp;$Q651))),OR(CARI!$C$6="",$E651=CARI!$C$6),OR(CARI!$C$7="",$F651=CARI!$C$7),OR(CARI!$C$8="",$O651=CARI!$C$8)),MAX($U$3:U650)+1,""))</f>
        <v/>
      </c>
      <c r="V651" s="40" t="str">
        <f aca="false">IF($T651="","",MAX($V$3:V650)+1)</f>
        <v/>
      </c>
      <c r="W651" s="40" t="str">
        <f aca="false">IF($E651="","",$E651&amp;"#"&amp;COUNTIF($E$4:$E651,$E651))</f>
        <v/>
      </c>
      <c r="X651" s="40" t="str">
        <f aca="false">IF($B651="","",IF(AND(OR(CETAK!$J$10="",$E651=CETAK!$J$10),OR(CETAK!$J$11="",$F651=CETAK!$J$11),OR(CETAK!$J$12="",$K651=CETAK!$J$12),OR(CETAK!$J$13="",$H651=CETAK!$J$13),OR(CETAK!$J$14="",$O651=CETAK!$J$14)),MAX($X$3:X650)+1,""))</f>
        <v/>
      </c>
      <c r="Y651" s="40" t="str">
        <f aca="false">IF($B651="","",IF(AND(OR(ABSENSI!$H$10="",$E651=ABSENSI!$H$10),OR(ABSENSI!$H$11="",$F651=ABSENSI!$H$11),OR(ABSENSI!$H$12="",$K651=ABSENSI!$H$12)),MAX($Y$3:Y650)+1,""))</f>
        <v/>
      </c>
      <c r="Z651" s="40" t="str">
        <f aca="false">IF($B651="","",IF(AND(OR(KARTU!$K$6="",$E651=KARTU!$K$6),OR(KARTU!$K$7="",$F651=KARTU!$K$7),OR(KARTU!$K$8="",$K651=KARTU!$K$8)),MAX($Z$3:Z650)+1,""))</f>
        <v/>
      </c>
    </row>
    <row r="652" customFormat="false" ht="15" hidden="false" customHeight="false" outlineLevel="0" collapsed="false">
      <c r="A652" s="36" t="str">
        <f aca="false">IF($B652="","",COUNTA($B$4:$B652))</f>
        <v/>
      </c>
      <c r="B652" s="37"/>
      <c r="C652" s="38"/>
      <c r="D652" s="39"/>
      <c r="E652" s="37"/>
      <c r="F652" s="39"/>
      <c r="G652" s="40" t="str">
        <f aca="false">IF(OR($E652="",$F652=""),"",$E652&amp;" - RT "&amp;$F652)</f>
        <v/>
      </c>
      <c r="H652" s="37"/>
      <c r="I652" s="38"/>
      <c r="J652" s="37"/>
      <c r="K652" s="39"/>
      <c r="L652" s="41"/>
      <c r="M652" s="36" t="str">
        <f aca="true">IF(OR($B652="",$L652=""),"",DATEDIF($L652,TODAY(),"Y"))</f>
        <v/>
      </c>
      <c r="N652" s="40" t="str">
        <f aca="false">IF($M652="","",INDEX(usia_label,MATCH($M652,usia_min,1)))</f>
        <v/>
      </c>
      <c r="O652" s="37"/>
      <c r="P652" s="41"/>
      <c r="Q652" s="37"/>
      <c r="R652" s="37"/>
      <c r="S652" s="40" t="str">
        <f aca="false">IF($G652="","",$G652&amp;"#"&amp;COUNTIF($G$4:$G652,$G652))</f>
        <v/>
      </c>
      <c r="T652" s="40" t="str">
        <f aca="false">IF($B652="","",IF($C652="","NIK kosong",IF(LEN($C652)&lt;&gt;16,"NIK bukan 16 digit",IF(COUNTIF($C$4:$C$2003,$C652&amp;"*")&gt;1,"NIK ganda",IF($E652="","Kadus kosong",IF($F652="","RT kosong",IF($H652="","Jabatan kosong",IF($I652="","No. HP kosong",IF($J652="","Alamat kosong",IF(AND($M652&lt;&gt;"",$M652&lt;17),"Usia di bawah 17",""))))))))))</f>
        <v/>
      </c>
      <c r="U652" s="40" t="str">
        <f aca="false">IF($B652="","",IF(AND(OR(CARI!$C$5="",ISNUMBER(SEARCH(CARI!$C$5,$B652&amp;" "&amp;$C652&amp;" "&amp;$I652&amp;" "&amp;$J652&amp;" "&amp;$Q652))),OR(CARI!$C$6="",$E652=CARI!$C$6),OR(CARI!$C$7="",$F652=CARI!$C$7),OR(CARI!$C$8="",$O652=CARI!$C$8)),MAX($U$3:U651)+1,""))</f>
        <v/>
      </c>
      <c r="V652" s="40" t="str">
        <f aca="false">IF($T652="","",MAX($V$3:V651)+1)</f>
        <v/>
      </c>
      <c r="W652" s="40" t="str">
        <f aca="false">IF($E652="","",$E652&amp;"#"&amp;COUNTIF($E$4:$E652,$E652))</f>
        <v/>
      </c>
      <c r="X652" s="40" t="str">
        <f aca="false">IF($B652="","",IF(AND(OR(CETAK!$J$10="",$E652=CETAK!$J$10),OR(CETAK!$J$11="",$F652=CETAK!$J$11),OR(CETAK!$J$12="",$K652=CETAK!$J$12),OR(CETAK!$J$13="",$H652=CETAK!$J$13),OR(CETAK!$J$14="",$O652=CETAK!$J$14)),MAX($X$3:X651)+1,""))</f>
        <v/>
      </c>
      <c r="Y652" s="40" t="str">
        <f aca="false">IF($B652="","",IF(AND(OR(ABSENSI!$H$10="",$E652=ABSENSI!$H$10),OR(ABSENSI!$H$11="",$F652=ABSENSI!$H$11),OR(ABSENSI!$H$12="",$K652=ABSENSI!$H$12)),MAX($Y$3:Y651)+1,""))</f>
        <v/>
      </c>
      <c r="Z652" s="40" t="str">
        <f aca="false">IF($B652="","",IF(AND(OR(KARTU!$K$6="",$E652=KARTU!$K$6),OR(KARTU!$K$7="",$F652=KARTU!$K$7),OR(KARTU!$K$8="",$K652=KARTU!$K$8)),MAX($Z$3:Z651)+1,""))</f>
        <v/>
      </c>
    </row>
    <row r="653" customFormat="false" ht="15" hidden="false" customHeight="false" outlineLevel="0" collapsed="false">
      <c r="A653" s="36" t="str">
        <f aca="false">IF($B653="","",COUNTA($B$4:$B653))</f>
        <v/>
      </c>
      <c r="B653" s="37"/>
      <c r="C653" s="38"/>
      <c r="D653" s="39"/>
      <c r="E653" s="37"/>
      <c r="F653" s="39"/>
      <c r="G653" s="40" t="str">
        <f aca="false">IF(OR($E653="",$F653=""),"",$E653&amp;" - RT "&amp;$F653)</f>
        <v/>
      </c>
      <c r="H653" s="37"/>
      <c r="I653" s="38"/>
      <c r="J653" s="37"/>
      <c r="K653" s="39"/>
      <c r="L653" s="41"/>
      <c r="M653" s="36" t="str">
        <f aca="true">IF(OR($B653="",$L653=""),"",DATEDIF($L653,TODAY(),"Y"))</f>
        <v/>
      </c>
      <c r="N653" s="40" t="str">
        <f aca="false">IF($M653="","",INDEX(usia_label,MATCH($M653,usia_min,1)))</f>
        <v/>
      </c>
      <c r="O653" s="37"/>
      <c r="P653" s="41"/>
      <c r="Q653" s="37"/>
      <c r="R653" s="37"/>
      <c r="S653" s="40" t="str">
        <f aca="false">IF($G653="","",$G653&amp;"#"&amp;COUNTIF($G$4:$G653,$G653))</f>
        <v/>
      </c>
      <c r="T653" s="40" t="str">
        <f aca="false">IF($B653="","",IF($C653="","NIK kosong",IF(LEN($C653)&lt;&gt;16,"NIK bukan 16 digit",IF(COUNTIF($C$4:$C$2003,$C653&amp;"*")&gt;1,"NIK ganda",IF($E653="","Kadus kosong",IF($F653="","RT kosong",IF($H653="","Jabatan kosong",IF($I653="","No. HP kosong",IF($J653="","Alamat kosong",IF(AND($M653&lt;&gt;"",$M653&lt;17),"Usia di bawah 17",""))))))))))</f>
        <v/>
      </c>
      <c r="U653" s="40" t="str">
        <f aca="false">IF($B653="","",IF(AND(OR(CARI!$C$5="",ISNUMBER(SEARCH(CARI!$C$5,$B653&amp;" "&amp;$C653&amp;" "&amp;$I653&amp;" "&amp;$J653&amp;" "&amp;$Q653))),OR(CARI!$C$6="",$E653=CARI!$C$6),OR(CARI!$C$7="",$F653=CARI!$C$7),OR(CARI!$C$8="",$O653=CARI!$C$8)),MAX($U$3:U652)+1,""))</f>
        <v/>
      </c>
      <c r="V653" s="40" t="str">
        <f aca="false">IF($T653="","",MAX($V$3:V652)+1)</f>
        <v/>
      </c>
      <c r="W653" s="40" t="str">
        <f aca="false">IF($E653="","",$E653&amp;"#"&amp;COUNTIF($E$4:$E653,$E653))</f>
        <v/>
      </c>
      <c r="X653" s="40" t="str">
        <f aca="false">IF($B653="","",IF(AND(OR(CETAK!$J$10="",$E653=CETAK!$J$10),OR(CETAK!$J$11="",$F653=CETAK!$J$11),OR(CETAK!$J$12="",$K653=CETAK!$J$12),OR(CETAK!$J$13="",$H653=CETAK!$J$13),OR(CETAK!$J$14="",$O653=CETAK!$J$14)),MAX($X$3:X652)+1,""))</f>
        <v/>
      </c>
      <c r="Y653" s="40" t="str">
        <f aca="false">IF($B653="","",IF(AND(OR(ABSENSI!$H$10="",$E653=ABSENSI!$H$10),OR(ABSENSI!$H$11="",$F653=ABSENSI!$H$11),OR(ABSENSI!$H$12="",$K653=ABSENSI!$H$12)),MAX($Y$3:Y652)+1,""))</f>
        <v/>
      </c>
      <c r="Z653" s="40" t="str">
        <f aca="false">IF($B653="","",IF(AND(OR(KARTU!$K$6="",$E653=KARTU!$K$6),OR(KARTU!$K$7="",$F653=KARTU!$K$7),OR(KARTU!$K$8="",$K653=KARTU!$K$8)),MAX($Z$3:Z652)+1,""))</f>
        <v/>
      </c>
    </row>
    <row r="654" customFormat="false" ht="15" hidden="false" customHeight="false" outlineLevel="0" collapsed="false">
      <c r="A654" s="36" t="str">
        <f aca="false">IF($B654="","",COUNTA($B$4:$B654))</f>
        <v/>
      </c>
      <c r="B654" s="37"/>
      <c r="C654" s="38"/>
      <c r="D654" s="39"/>
      <c r="E654" s="37"/>
      <c r="F654" s="39"/>
      <c r="G654" s="40" t="str">
        <f aca="false">IF(OR($E654="",$F654=""),"",$E654&amp;" - RT "&amp;$F654)</f>
        <v/>
      </c>
      <c r="H654" s="37"/>
      <c r="I654" s="38"/>
      <c r="J654" s="37"/>
      <c r="K654" s="39"/>
      <c r="L654" s="41"/>
      <c r="M654" s="36" t="str">
        <f aca="true">IF(OR($B654="",$L654=""),"",DATEDIF($L654,TODAY(),"Y"))</f>
        <v/>
      </c>
      <c r="N654" s="40" t="str">
        <f aca="false">IF($M654="","",INDEX(usia_label,MATCH($M654,usia_min,1)))</f>
        <v/>
      </c>
      <c r="O654" s="37"/>
      <c r="P654" s="41"/>
      <c r="Q654" s="37"/>
      <c r="R654" s="37"/>
      <c r="S654" s="40" t="str">
        <f aca="false">IF($G654="","",$G654&amp;"#"&amp;COUNTIF($G$4:$G654,$G654))</f>
        <v/>
      </c>
      <c r="T654" s="40" t="str">
        <f aca="false">IF($B654="","",IF($C654="","NIK kosong",IF(LEN($C654)&lt;&gt;16,"NIK bukan 16 digit",IF(COUNTIF($C$4:$C$2003,$C654&amp;"*")&gt;1,"NIK ganda",IF($E654="","Kadus kosong",IF($F654="","RT kosong",IF($H654="","Jabatan kosong",IF($I654="","No. HP kosong",IF($J654="","Alamat kosong",IF(AND($M654&lt;&gt;"",$M654&lt;17),"Usia di bawah 17",""))))))))))</f>
        <v/>
      </c>
      <c r="U654" s="40" t="str">
        <f aca="false">IF($B654="","",IF(AND(OR(CARI!$C$5="",ISNUMBER(SEARCH(CARI!$C$5,$B654&amp;" "&amp;$C654&amp;" "&amp;$I654&amp;" "&amp;$J654&amp;" "&amp;$Q654))),OR(CARI!$C$6="",$E654=CARI!$C$6),OR(CARI!$C$7="",$F654=CARI!$C$7),OR(CARI!$C$8="",$O654=CARI!$C$8)),MAX($U$3:U653)+1,""))</f>
        <v/>
      </c>
      <c r="V654" s="40" t="str">
        <f aca="false">IF($T654="","",MAX($V$3:V653)+1)</f>
        <v/>
      </c>
      <c r="W654" s="40" t="str">
        <f aca="false">IF($E654="","",$E654&amp;"#"&amp;COUNTIF($E$4:$E654,$E654))</f>
        <v/>
      </c>
      <c r="X654" s="40" t="str">
        <f aca="false">IF($B654="","",IF(AND(OR(CETAK!$J$10="",$E654=CETAK!$J$10),OR(CETAK!$J$11="",$F654=CETAK!$J$11),OR(CETAK!$J$12="",$K654=CETAK!$J$12),OR(CETAK!$J$13="",$H654=CETAK!$J$13),OR(CETAK!$J$14="",$O654=CETAK!$J$14)),MAX($X$3:X653)+1,""))</f>
        <v/>
      </c>
      <c r="Y654" s="40" t="str">
        <f aca="false">IF($B654="","",IF(AND(OR(ABSENSI!$H$10="",$E654=ABSENSI!$H$10),OR(ABSENSI!$H$11="",$F654=ABSENSI!$H$11),OR(ABSENSI!$H$12="",$K654=ABSENSI!$H$12)),MAX($Y$3:Y653)+1,""))</f>
        <v/>
      </c>
      <c r="Z654" s="40" t="str">
        <f aca="false">IF($B654="","",IF(AND(OR(KARTU!$K$6="",$E654=KARTU!$K$6),OR(KARTU!$K$7="",$F654=KARTU!$K$7),OR(KARTU!$K$8="",$K654=KARTU!$K$8)),MAX($Z$3:Z653)+1,""))</f>
        <v/>
      </c>
    </row>
    <row r="655" customFormat="false" ht="15" hidden="false" customHeight="false" outlineLevel="0" collapsed="false">
      <c r="A655" s="36" t="str">
        <f aca="false">IF($B655="","",COUNTA($B$4:$B655))</f>
        <v/>
      </c>
      <c r="B655" s="37"/>
      <c r="C655" s="38"/>
      <c r="D655" s="39"/>
      <c r="E655" s="37"/>
      <c r="F655" s="39"/>
      <c r="G655" s="40" t="str">
        <f aca="false">IF(OR($E655="",$F655=""),"",$E655&amp;" - RT "&amp;$F655)</f>
        <v/>
      </c>
      <c r="H655" s="37"/>
      <c r="I655" s="38"/>
      <c r="J655" s="37"/>
      <c r="K655" s="39"/>
      <c r="L655" s="41"/>
      <c r="M655" s="36" t="str">
        <f aca="true">IF(OR($B655="",$L655=""),"",DATEDIF($L655,TODAY(),"Y"))</f>
        <v/>
      </c>
      <c r="N655" s="40" t="str">
        <f aca="false">IF($M655="","",INDEX(usia_label,MATCH($M655,usia_min,1)))</f>
        <v/>
      </c>
      <c r="O655" s="37"/>
      <c r="P655" s="41"/>
      <c r="Q655" s="37"/>
      <c r="R655" s="37"/>
      <c r="S655" s="40" t="str">
        <f aca="false">IF($G655="","",$G655&amp;"#"&amp;COUNTIF($G$4:$G655,$G655))</f>
        <v/>
      </c>
      <c r="T655" s="40" t="str">
        <f aca="false">IF($B655="","",IF($C655="","NIK kosong",IF(LEN($C655)&lt;&gt;16,"NIK bukan 16 digit",IF(COUNTIF($C$4:$C$2003,$C655&amp;"*")&gt;1,"NIK ganda",IF($E655="","Kadus kosong",IF($F655="","RT kosong",IF($H655="","Jabatan kosong",IF($I655="","No. HP kosong",IF($J655="","Alamat kosong",IF(AND($M655&lt;&gt;"",$M655&lt;17),"Usia di bawah 17",""))))))))))</f>
        <v/>
      </c>
      <c r="U655" s="40" t="str">
        <f aca="false">IF($B655="","",IF(AND(OR(CARI!$C$5="",ISNUMBER(SEARCH(CARI!$C$5,$B655&amp;" "&amp;$C655&amp;" "&amp;$I655&amp;" "&amp;$J655&amp;" "&amp;$Q655))),OR(CARI!$C$6="",$E655=CARI!$C$6),OR(CARI!$C$7="",$F655=CARI!$C$7),OR(CARI!$C$8="",$O655=CARI!$C$8)),MAX($U$3:U654)+1,""))</f>
        <v/>
      </c>
      <c r="V655" s="40" t="str">
        <f aca="false">IF($T655="","",MAX($V$3:V654)+1)</f>
        <v/>
      </c>
      <c r="W655" s="40" t="str">
        <f aca="false">IF($E655="","",$E655&amp;"#"&amp;COUNTIF($E$4:$E655,$E655))</f>
        <v/>
      </c>
      <c r="X655" s="40" t="str">
        <f aca="false">IF($B655="","",IF(AND(OR(CETAK!$J$10="",$E655=CETAK!$J$10),OR(CETAK!$J$11="",$F655=CETAK!$J$11),OR(CETAK!$J$12="",$K655=CETAK!$J$12),OR(CETAK!$J$13="",$H655=CETAK!$J$13),OR(CETAK!$J$14="",$O655=CETAK!$J$14)),MAX($X$3:X654)+1,""))</f>
        <v/>
      </c>
      <c r="Y655" s="40" t="str">
        <f aca="false">IF($B655="","",IF(AND(OR(ABSENSI!$H$10="",$E655=ABSENSI!$H$10),OR(ABSENSI!$H$11="",$F655=ABSENSI!$H$11),OR(ABSENSI!$H$12="",$K655=ABSENSI!$H$12)),MAX($Y$3:Y654)+1,""))</f>
        <v/>
      </c>
      <c r="Z655" s="40" t="str">
        <f aca="false">IF($B655="","",IF(AND(OR(KARTU!$K$6="",$E655=KARTU!$K$6),OR(KARTU!$K$7="",$F655=KARTU!$K$7),OR(KARTU!$K$8="",$K655=KARTU!$K$8)),MAX($Z$3:Z654)+1,""))</f>
        <v/>
      </c>
    </row>
    <row r="656" customFormat="false" ht="15" hidden="false" customHeight="false" outlineLevel="0" collapsed="false">
      <c r="A656" s="36" t="str">
        <f aca="false">IF($B656="","",COUNTA($B$4:$B656))</f>
        <v/>
      </c>
      <c r="B656" s="37"/>
      <c r="C656" s="38"/>
      <c r="D656" s="39"/>
      <c r="E656" s="37"/>
      <c r="F656" s="39"/>
      <c r="G656" s="40" t="str">
        <f aca="false">IF(OR($E656="",$F656=""),"",$E656&amp;" - RT "&amp;$F656)</f>
        <v/>
      </c>
      <c r="H656" s="37"/>
      <c r="I656" s="38"/>
      <c r="J656" s="37"/>
      <c r="K656" s="39"/>
      <c r="L656" s="41"/>
      <c r="M656" s="36" t="str">
        <f aca="true">IF(OR($B656="",$L656=""),"",DATEDIF($L656,TODAY(),"Y"))</f>
        <v/>
      </c>
      <c r="N656" s="40" t="str">
        <f aca="false">IF($M656="","",INDEX(usia_label,MATCH($M656,usia_min,1)))</f>
        <v/>
      </c>
      <c r="O656" s="37"/>
      <c r="P656" s="41"/>
      <c r="Q656" s="37"/>
      <c r="R656" s="37"/>
      <c r="S656" s="40" t="str">
        <f aca="false">IF($G656="","",$G656&amp;"#"&amp;COUNTIF($G$4:$G656,$G656))</f>
        <v/>
      </c>
      <c r="T656" s="40" t="str">
        <f aca="false">IF($B656="","",IF($C656="","NIK kosong",IF(LEN($C656)&lt;&gt;16,"NIK bukan 16 digit",IF(COUNTIF($C$4:$C$2003,$C656&amp;"*")&gt;1,"NIK ganda",IF($E656="","Kadus kosong",IF($F656="","RT kosong",IF($H656="","Jabatan kosong",IF($I656="","No. HP kosong",IF($J656="","Alamat kosong",IF(AND($M656&lt;&gt;"",$M656&lt;17),"Usia di bawah 17",""))))))))))</f>
        <v/>
      </c>
      <c r="U656" s="40" t="str">
        <f aca="false">IF($B656="","",IF(AND(OR(CARI!$C$5="",ISNUMBER(SEARCH(CARI!$C$5,$B656&amp;" "&amp;$C656&amp;" "&amp;$I656&amp;" "&amp;$J656&amp;" "&amp;$Q656))),OR(CARI!$C$6="",$E656=CARI!$C$6),OR(CARI!$C$7="",$F656=CARI!$C$7),OR(CARI!$C$8="",$O656=CARI!$C$8)),MAX($U$3:U655)+1,""))</f>
        <v/>
      </c>
      <c r="V656" s="40" t="str">
        <f aca="false">IF($T656="","",MAX($V$3:V655)+1)</f>
        <v/>
      </c>
      <c r="W656" s="40" t="str">
        <f aca="false">IF($E656="","",$E656&amp;"#"&amp;COUNTIF($E$4:$E656,$E656))</f>
        <v/>
      </c>
      <c r="X656" s="40" t="str">
        <f aca="false">IF($B656="","",IF(AND(OR(CETAK!$J$10="",$E656=CETAK!$J$10),OR(CETAK!$J$11="",$F656=CETAK!$J$11),OR(CETAK!$J$12="",$K656=CETAK!$J$12),OR(CETAK!$J$13="",$H656=CETAK!$J$13),OR(CETAK!$J$14="",$O656=CETAK!$J$14)),MAX($X$3:X655)+1,""))</f>
        <v/>
      </c>
      <c r="Y656" s="40" t="str">
        <f aca="false">IF($B656="","",IF(AND(OR(ABSENSI!$H$10="",$E656=ABSENSI!$H$10),OR(ABSENSI!$H$11="",$F656=ABSENSI!$H$11),OR(ABSENSI!$H$12="",$K656=ABSENSI!$H$12)),MAX($Y$3:Y655)+1,""))</f>
        <v/>
      </c>
      <c r="Z656" s="40" t="str">
        <f aca="false">IF($B656="","",IF(AND(OR(KARTU!$K$6="",$E656=KARTU!$K$6),OR(KARTU!$K$7="",$F656=KARTU!$K$7),OR(KARTU!$K$8="",$K656=KARTU!$K$8)),MAX($Z$3:Z655)+1,""))</f>
        <v/>
      </c>
    </row>
    <row r="657" customFormat="false" ht="15" hidden="false" customHeight="false" outlineLevel="0" collapsed="false">
      <c r="A657" s="36" t="str">
        <f aca="false">IF($B657="","",COUNTA($B$4:$B657))</f>
        <v/>
      </c>
      <c r="B657" s="37"/>
      <c r="C657" s="38"/>
      <c r="D657" s="39"/>
      <c r="E657" s="37"/>
      <c r="F657" s="39"/>
      <c r="G657" s="40" t="str">
        <f aca="false">IF(OR($E657="",$F657=""),"",$E657&amp;" - RT "&amp;$F657)</f>
        <v/>
      </c>
      <c r="H657" s="37"/>
      <c r="I657" s="38"/>
      <c r="J657" s="37"/>
      <c r="K657" s="39"/>
      <c r="L657" s="41"/>
      <c r="M657" s="36" t="str">
        <f aca="true">IF(OR($B657="",$L657=""),"",DATEDIF($L657,TODAY(),"Y"))</f>
        <v/>
      </c>
      <c r="N657" s="40" t="str">
        <f aca="false">IF($M657="","",INDEX(usia_label,MATCH($M657,usia_min,1)))</f>
        <v/>
      </c>
      <c r="O657" s="37"/>
      <c r="P657" s="41"/>
      <c r="Q657" s="37"/>
      <c r="R657" s="37"/>
      <c r="S657" s="40" t="str">
        <f aca="false">IF($G657="","",$G657&amp;"#"&amp;COUNTIF($G$4:$G657,$G657))</f>
        <v/>
      </c>
      <c r="T657" s="40" t="str">
        <f aca="false">IF($B657="","",IF($C657="","NIK kosong",IF(LEN($C657)&lt;&gt;16,"NIK bukan 16 digit",IF(COUNTIF($C$4:$C$2003,$C657&amp;"*")&gt;1,"NIK ganda",IF($E657="","Kadus kosong",IF($F657="","RT kosong",IF($H657="","Jabatan kosong",IF($I657="","No. HP kosong",IF($J657="","Alamat kosong",IF(AND($M657&lt;&gt;"",$M657&lt;17),"Usia di bawah 17",""))))))))))</f>
        <v/>
      </c>
      <c r="U657" s="40" t="str">
        <f aca="false">IF($B657="","",IF(AND(OR(CARI!$C$5="",ISNUMBER(SEARCH(CARI!$C$5,$B657&amp;" "&amp;$C657&amp;" "&amp;$I657&amp;" "&amp;$J657&amp;" "&amp;$Q657))),OR(CARI!$C$6="",$E657=CARI!$C$6),OR(CARI!$C$7="",$F657=CARI!$C$7),OR(CARI!$C$8="",$O657=CARI!$C$8)),MAX($U$3:U656)+1,""))</f>
        <v/>
      </c>
      <c r="V657" s="40" t="str">
        <f aca="false">IF($T657="","",MAX($V$3:V656)+1)</f>
        <v/>
      </c>
      <c r="W657" s="40" t="str">
        <f aca="false">IF($E657="","",$E657&amp;"#"&amp;COUNTIF($E$4:$E657,$E657))</f>
        <v/>
      </c>
      <c r="X657" s="40" t="str">
        <f aca="false">IF($B657="","",IF(AND(OR(CETAK!$J$10="",$E657=CETAK!$J$10),OR(CETAK!$J$11="",$F657=CETAK!$J$11),OR(CETAK!$J$12="",$K657=CETAK!$J$12),OR(CETAK!$J$13="",$H657=CETAK!$J$13),OR(CETAK!$J$14="",$O657=CETAK!$J$14)),MAX($X$3:X656)+1,""))</f>
        <v/>
      </c>
      <c r="Y657" s="40" t="str">
        <f aca="false">IF($B657="","",IF(AND(OR(ABSENSI!$H$10="",$E657=ABSENSI!$H$10),OR(ABSENSI!$H$11="",$F657=ABSENSI!$H$11),OR(ABSENSI!$H$12="",$K657=ABSENSI!$H$12)),MAX($Y$3:Y656)+1,""))</f>
        <v/>
      </c>
      <c r="Z657" s="40" t="str">
        <f aca="false">IF($B657="","",IF(AND(OR(KARTU!$K$6="",$E657=KARTU!$K$6),OR(KARTU!$K$7="",$F657=KARTU!$K$7),OR(KARTU!$K$8="",$K657=KARTU!$K$8)),MAX($Z$3:Z656)+1,""))</f>
        <v/>
      </c>
    </row>
    <row r="658" customFormat="false" ht="15" hidden="false" customHeight="false" outlineLevel="0" collapsed="false">
      <c r="A658" s="36" t="str">
        <f aca="false">IF($B658="","",COUNTA($B$4:$B658))</f>
        <v/>
      </c>
      <c r="B658" s="37"/>
      <c r="C658" s="38"/>
      <c r="D658" s="39"/>
      <c r="E658" s="37"/>
      <c r="F658" s="39"/>
      <c r="G658" s="40" t="str">
        <f aca="false">IF(OR($E658="",$F658=""),"",$E658&amp;" - RT "&amp;$F658)</f>
        <v/>
      </c>
      <c r="H658" s="37"/>
      <c r="I658" s="38"/>
      <c r="J658" s="37"/>
      <c r="K658" s="39"/>
      <c r="L658" s="41"/>
      <c r="M658" s="36" t="str">
        <f aca="true">IF(OR($B658="",$L658=""),"",DATEDIF($L658,TODAY(),"Y"))</f>
        <v/>
      </c>
      <c r="N658" s="40" t="str">
        <f aca="false">IF($M658="","",INDEX(usia_label,MATCH($M658,usia_min,1)))</f>
        <v/>
      </c>
      <c r="O658" s="37"/>
      <c r="P658" s="41"/>
      <c r="Q658" s="37"/>
      <c r="R658" s="37"/>
      <c r="S658" s="40" t="str">
        <f aca="false">IF($G658="","",$G658&amp;"#"&amp;COUNTIF($G$4:$G658,$G658))</f>
        <v/>
      </c>
      <c r="T658" s="40" t="str">
        <f aca="false">IF($B658="","",IF($C658="","NIK kosong",IF(LEN($C658)&lt;&gt;16,"NIK bukan 16 digit",IF(COUNTIF($C$4:$C$2003,$C658&amp;"*")&gt;1,"NIK ganda",IF($E658="","Kadus kosong",IF($F658="","RT kosong",IF($H658="","Jabatan kosong",IF($I658="","No. HP kosong",IF($J658="","Alamat kosong",IF(AND($M658&lt;&gt;"",$M658&lt;17),"Usia di bawah 17",""))))))))))</f>
        <v/>
      </c>
      <c r="U658" s="40" t="str">
        <f aca="false">IF($B658="","",IF(AND(OR(CARI!$C$5="",ISNUMBER(SEARCH(CARI!$C$5,$B658&amp;" "&amp;$C658&amp;" "&amp;$I658&amp;" "&amp;$J658&amp;" "&amp;$Q658))),OR(CARI!$C$6="",$E658=CARI!$C$6),OR(CARI!$C$7="",$F658=CARI!$C$7),OR(CARI!$C$8="",$O658=CARI!$C$8)),MAX($U$3:U657)+1,""))</f>
        <v/>
      </c>
      <c r="V658" s="40" t="str">
        <f aca="false">IF($T658="","",MAX($V$3:V657)+1)</f>
        <v/>
      </c>
      <c r="W658" s="40" t="str">
        <f aca="false">IF($E658="","",$E658&amp;"#"&amp;COUNTIF($E$4:$E658,$E658))</f>
        <v/>
      </c>
      <c r="X658" s="40" t="str">
        <f aca="false">IF($B658="","",IF(AND(OR(CETAK!$J$10="",$E658=CETAK!$J$10),OR(CETAK!$J$11="",$F658=CETAK!$J$11),OR(CETAK!$J$12="",$K658=CETAK!$J$12),OR(CETAK!$J$13="",$H658=CETAK!$J$13),OR(CETAK!$J$14="",$O658=CETAK!$J$14)),MAX($X$3:X657)+1,""))</f>
        <v/>
      </c>
      <c r="Y658" s="40" t="str">
        <f aca="false">IF($B658="","",IF(AND(OR(ABSENSI!$H$10="",$E658=ABSENSI!$H$10),OR(ABSENSI!$H$11="",$F658=ABSENSI!$H$11),OR(ABSENSI!$H$12="",$K658=ABSENSI!$H$12)),MAX($Y$3:Y657)+1,""))</f>
        <v/>
      </c>
      <c r="Z658" s="40" t="str">
        <f aca="false">IF($B658="","",IF(AND(OR(KARTU!$K$6="",$E658=KARTU!$K$6),OR(KARTU!$K$7="",$F658=KARTU!$K$7),OR(KARTU!$K$8="",$K658=KARTU!$K$8)),MAX($Z$3:Z657)+1,""))</f>
        <v/>
      </c>
    </row>
    <row r="659" customFormat="false" ht="15" hidden="false" customHeight="false" outlineLevel="0" collapsed="false">
      <c r="A659" s="36" t="str">
        <f aca="false">IF($B659="","",COUNTA($B$4:$B659))</f>
        <v/>
      </c>
      <c r="B659" s="37"/>
      <c r="C659" s="38"/>
      <c r="D659" s="39"/>
      <c r="E659" s="37"/>
      <c r="F659" s="39"/>
      <c r="G659" s="40" t="str">
        <f aca="false">IF(OR($E659="",$F659=""),"",$E659&amp;" - RT "&amp;$F659)</f>
        <v/>
      </c>
      <c r="H659" s="37"/>
      <c r="I659" s="38"/>
      <c r="J659" s="37"/>
      <c r="K659" s="39"/>
      <c r="L659" s="41"/>
      <c r="M659" s="36" t="str">
        <f aca="true">IF(OR($B659="",$L659=""),"",DATEDIF($L659,TODAY(),"Y"))</f>
        <v/>
      </c>
      <c r="N659" s="40" t="str">
        <f aca="false">IF($M659="","",INDEX(usia_label,MATCH($M659,usia_min,1)))</f>
        <v/>
      </c>
      <c r="O659" s="37"/>
      <c r="P659" s="41"/>
      <c r="Q659" s="37"/>
      <c r="R659" s="37"/>
      <c r="S659" s="40" t="str">
        <f aca="false">IF($G659="","",$G659&amp;"#"&amp;COUNTIF($G$4:$G659,$G659))</f>
        <v/>
      </c>
      <c r="T659" s="40" t="str">
        <f aca="false">IF($B659="","",IF($C659="","NIK kosong",IF(LEN($C659)&lt;&gt;16,"NIK bukan 16 digit",IF(COUNTIF($C$4:$C$2003,$C659&amp;"*")&gt;1,"NIK ganda",IF($E659="","Kadus kosong",IF($F659="","RT kosong",IF($H659="","Jabatan kosong",IF($I659="","No. HP kosong",IF($J659="","Alamat kosong",IF(AND($M659&lt;&gt;"",$M659&lt;17),"Usia di bawah 17",""))))))))))</f>
        <v/>
      </c>
      <c r="U659" s="40" t="str">
        <f aca="false">IF($B659="","",IF(AND(OR(CARI!$C$5="",ISNUMBER(SEARCH(CARI!$C$5,$B659&amp;" "&amp;$C659&amp;" "&amp;$I659&amp;" "&amp;$J659&amp;" "&amp;$Q659))),OR(CARI!$C$6="",$E659=CARI!$C$6),OR(CARI!$C$7="",$F659=CARI!$C$7),OR(CARI!$C$8="",$O659=CARI!$C$8)),MAX($U$3:U658)+1,""))</f>
        <v/>
      </c>
      <c r="V659" s="40" t="str">
        <f aca="false">IF($T659="","",MAX($V$3:V658)+1)</f>
        <v/>
      </c>
      <c r="W659" s="40" t="str">
        <f aca="false">IF($E659="","",$E659&amp;"#"&amp;COUNTIF($E$4:$E659,$E659))</f>
        <v/>
      </c>
      <c r="X659" s="40" t="str">
        <f aca="false">IF($B659="","",IF(AND(OR(CETAK!$J$10="",$E659=CETAK!$J$10),OR(CETAK!$J$11="",$F659=CETAK!$J$11),OR(CETAK!$J$12="",$K659=CETAK!$J$12),OR(CETAK!$J$13="",$H659=CETAK!$J$13),OR(CETAK!$J$14="",$O659=CETAK!$J$14)),MAX($X$3:X658)+1,""))</f>
        <v/>
      </c>
      <c r="Y659" s="40" t="str">
        <f aca="false">IF($B659="","",IF(AND(OR(ABSENSI!$H$10="",$E659=ABSENSI!$H$10),OR(ABSENSI!$H$11="",$F659=ABSENSI!$H$11),OR(ABSENSI!$H$12="",$K659=ABSENSI!$H$12)),MAX($Y$3:Y658)+1,""))</f>
        <v/>
      </c>
      <c r="Z659" s="40" t="str">
        <f aca="false">IF($B659="","",IF(AND(OR(KARTU!$K$6="",$E659=KARTU!$K$6),OR(KARTU!$K$7="",$F659=KARTU!$K$7),OR(KARTU!$K$8="",$K659=KARTU!$K$8)),MAX($Z$3:Z658)+1,""))</f>
        <v/>
      </c>
    </row>
    <row r="660" customFormat="false" ht="15" hidden="false" customHeight="false" outlineLevel="0" collapsed="false">
      <c r="A660" s="36" t="str">
        <f aca="false">IF($B660="","",COUNTA($B$4:$B660))</f>
        <v/>
      </c>
      <c r="B660" s="37"/>
      <c r="C660" s="38"/>
      <c r="D660" s="39"/>
      <c r="E660" s="37"/>
      <c r="F660" s="39"/>
      <c r="G660" s="40" t="str">
        <f aca="false">IF(OR($E660="",$F660=""),"",$E660&amp;" - RT "&amp;$F660)</f>
        <v/>
      </c>
      <c r="H660" s="37"/>
      <c r="I660" s="38"/>
      <c r="J660" s="37"/>
      <c r="K660" s="39"/>
      <c r="L660" s="41"/>
      <c r="M660" s="36" t="str">
        <f aca="true">IF(OR($B660="",$L660=""),"",DATEDIF($L660,TODAY(),"Y"))</f>
        <v/>
      </c>
      <c r="N660" s="40" t="str">
        <f aca="false">IF($M660="","",INDEX(usia_label,MATCH($M660,usia_min,1)))</f>
        <v/>
      </c>
      <c r="O660" s="37"/>
      <c r="P660" s="41"/>
      <c r="Q660" s="37"/>
      <c r="R660" s="37"/>
      <c r="S660" s="40" t="str">
        <f aca="false">IF($G660="","",$G660&amp;"#"&amp;COUNTIF($G$4:$G660,$G660))</f>
        <v/>
      </c>
      <c r="T660" s="40" t="str">
        <f aca="false">IF($B660="","",IF($C660="","NIK kosong",IF(LEN($C660)&lt;&gt;16,"NIK bukan 16 digit",IF(COUNTIF($C$4:$C$2003,$C660&amp;"*")&gt;1,"NIK ganda",IF($E660="","Kadus kosong",IF($F660="","RT kosong",IF($H660="","Jabatan kosong",IF($I660="","No. HP kosong",IF($J660="","Alamat kosong",IF(AND($M660&lt;&gt;"",$M660&lt;17),"Usia di bawah 17",""))))))))))</f>
        <v/>
      </c>
      <c r="U660" s="40" t="str">
        <f aca="false">IF($B660="","",IF(AND(OR(CARI!$C$5="",ISNUMBER(SEARCH(CARI!$C$5,$B660&amp;" "&amp;$C660&amp;" "&amp;$I660&amp;" "&amp;$J660&amp;" "&amp;$Q660))),OR(CARI!$C$6="",$E660=CARI!$C$6),OR(CARI!$C$7="",$F660=CARI!$C$7),OR(CARI!$C$8="",$O660=CARI!$C$8)),MAX($U$3:U659)+1,""))</f>
        <v/>
      </c>
      <c r="V660" s="40" t="str">
        <f aca="false">IF($T660="","",MAX($V$3:V659)+1)</f>
        <v/>
      </c>
      <c r="W660" s="40" t="str">
        <f aca="false">IF($E660="","",$E660&amp;"#"&amp;COUNTIF($E$4:$E660,$E660))</f>
        <v/>
      </c>
      <c r="X660" s="40" t="str">
        <f aca="false">IF($B660="","",IF(AND(OR(CETAK!$J$10="",$E660=CETAK!$J$10),OR(CETAK!$J$11="",$F660=CETAK!$J$11),OR(CETAK!$J$12="",$K660=CETAK!$J$12),OR(CETAK!$J$13="",$H660=CETAK!$J$13),OR(CETAK!$J$14="",$O660=CETAK!$J$14)),MAX($X$3:X659)+1,""))</f>
        <v/>
      </c>
      <c r="Y660" s="40" t="str">
        <f aca="false">IF($B660="","",IF(AND(OR(ABSENSI!$H$10="",$E660=ABSENSI!$H$10),OR(ABSENSI!$H$11="",$F660=ABSENSI!$H$11),OR(ABSENSI!$H$12="",$K660=ABSENSI!$H$12)),MAX($Y$3:Y659)+1,""))</f>
        <v/>
      </c>
      <c r="Z660" s="40" t="str">
        <f aca="false">IF($B660="","",IF(AND(OR(KARTU!$K$6="",$E660=KARTU!$K$6),OR(KARTU!$K$7="",$F660=KARTU!$K$7),OR(KARTU!$K$8="",$K660=KARTU!$K$8)),MAX($Z$3:Z659)+1,""))</f>
        <v/>
      </c>
    </row>
    <row r="661" customFormat="false" ht="15" hidden="false" customHeight="false" outlineLevel="0" collapsed="false">
      <c r="A661" s="36" t="str">
        <f aca="false">IF($B661="","",COUNTA($B$4:$B661))</f>
        <v/>
      </c>
      <c r="B661" s="37"/>
      <c r="C661" s="38"/>
      <c r="D661" s="39"/>
      <c r="E661" s="37"/>
      <c r="F661" s="39"/>
      <c r="G661" s="40" t="str">
        <f aca="false">IF(OR($E661="",$F661=""),"",$E661&amp;" - RT "&amp;$F661)</f>
        <v/>
      </c>
      <c r="H661" s="37"/>
      <c r="I661" s="38"/>
      <c r="J661" s="37"/>
      <c r="K661" s="39"/>
      <c r="L661" s="41"/>
      <c r="M661" s="36" t="str">
        <f aca="true">IF(OR($B661="",$L661=""),"",DATEDIF($L661,TODAY(),"Y"))</f>
        <v/>
      </c>
      <c r="N661" s="40" t="str">
        <f aca="false">IF($M661="","",INDEX(usia_label,MATCH($M661,usia_min,1)))</f>
        <v/>
      </c>
      <c r="O661" s="37"/>
      <c r="P661" s="41"/>
      <c r="Q661" s="37"/>
      <c r="R661" s="37"/>
      <c r="S661" s="40" t="str">
        <f aca="false">IF($G661="","",$G661&amp;"#"&amp;COUNTIF($G$4:$G661,$G661))</f>
        <v/>
      </c>
      <c r="T661" s="40" t="str">
        <f aca="false">IF($B661="","",IF($C661="","NIK kosong",IF(LEN($C661)&lt;&gt;16,"NIK bukan 16 digit",IF(COUNTIF($C$4:$C$2003,$C661&amp;"*")&gt;1,"NIK ganda",IF($E661="","Kadus kosong",IF($F661="","RT kosong",IF($H661="","Jabatan kosong",IF($I661="","No. HP kosong",IF($J661="","Alamat kosong",IF(AND($M661&lt;&gt;"",$M661&lt;17),"Usia di bawah 17",""))))))))))</f>
        <v/>
      </c>
      <c r="U661" s="40" t="str">
        <f aca="false">IF($B661="","",IF(AND(OR(CARI!$C$5="",ISNUMBER(SEARCH(CARI!$C$5,$B661&amp;" "&amp;$C661&amp;" "&amp;$I661&amp;" "&amp;$J661&amp;" "&amp;$Q661))),OR(CARI!$C$6="",$E661=CARI!$C$6),OR(CARI!$C$7="",$F661=CARI!$C$7),OR(CARI!$C$8="",$O661=CARI!$C$8)),MAX($U$3:U660)+1,""))</f>
        <v/>
      </c>
      <c r="V661" s="40" t="str">
        <f aca="false">IF($T661="","",MAX($V$3:V660)+1)</f>
        <v/>
      </c>
      <c r="W661" s="40" t="str">
        <f aca="false">IF($E661="","",$E661&amp;"#"&amp;COUNTIF($E$4:$E661,$E661))</f>
        <v/>
      </c>
      <c r="X661" s="40" t="str">
        <f aca="false">IF($B661="","",IF(AND(OR(CETAK!$J$10="",$E661=CETAK!$J$10),OR(CETAK!$J$11="",$F661=CETAK!$J$11),OR(CETAK!$J$12="",$K661=CETAK!$J$12),OR(CETAK!$J$13="",$H661=CETAK!$J$13),OR(CETAK!$J$14="",$O661=CETAK!$J$14)),MAX($X$3:X660)+1,""))</f>
        <v/>
      </c>
      <c r="Y661" s="40" t="str">
        <f aca="false">IF($B661="","",IF(AND(OR(ABSENSI!$H$10="",$E661=ABSENSI!$H$10),OR(ABSENSI!$H$11="",$F661=ABSENSI!$H$11),OR(ABSENSI!$H$12="",$K661=ABSENSI!$H$12)),MAX($Y$3:Y660)+1,""))</f>
        <v/>
      </c>
      <c r="Z661" s="40" t="str">
        <f aca="false">IF($B661="","",IF(AND(OR(KARTU!$K$6="",$E661=KARTU!$K$6),OR(KARTU!$K$7="",$F661=KARTU!$K$7),OR(KARTU!$K$8="",$K661=KARTU!$K$8)),MAX($Z$3:Z660)+1,""))</f>
        <v/>
      </c>
    </row>
    <row r="662" customFormat="false" ht="15" hidden="false" customHeight="false" outlineLevel="0" collapsed="false">
      <c r="A662" s="36" t="str">
        <f aca="false">IF($B662="","",COUNTA($B$4:$B662))</f>
        <v/>
      </c>
      <c r="B662" s="37"/>
      <c r="C662" s="38"/>
      <c r="D662" s="39"/>
      <c r="E662" s="37"/>
      <c r="F662" s="39"/>
      <c r="G662" s="40" t="str">
        <f aca="false">IF(OR($E662="",$F662=""),"",$E662&amp;" - RT "&amp;$F662)</f>
        <v/>
      </c>
      <c r="H662" s="37"/>
      <c r="I662" s="38"/>
      <c r="J662" s="37"/>
      <c r="K662" s="39"/>
      <c r="L662" s="41"/>
      <c r="M662" s="36" t="str">
        <f aca="true">IF(OR($B662="",$L662=""),"",DATEDIF($L662,TODAY(),"Y"))</f>
        <v/>
      </c>
      <c r="N662" s="40" t="str">
        <f aca="false">IF($M662="","",INDEX(usia_label,MATCH($M662,usia_min,1)))</f>
        <v/>
      </c>
      <c r="O662" s="37"/>
      <c r="P662" s="41"/>
      <c r="Q662" s="37"/>
      <c r="R662" s="37"/>
      <c r="S662" s="40" t="str">
        <f aca="false">IF($G662="","",$G662&amp;"#"&amp;COUNTIF($G$4:$G662,$G662))</f>
        <v/>
      </c>
      <c r="T662" s="40" t="str">
        <f aca="false">IF($B662="","",IF($C662="","NIK kosong",IF(LEN($C662)&lt;&gt;16,"NIK bukan 16 digit",IF(COUNTIF($C$4:$C$2003,$C662&amp;"*")&gt;1,"NIK ganda",IF($E662="","Kadus kosong",IF($F662="","RT kosong",IF($H662="","Jabatan kosong",IF($I662="","No. HP kosong",IF($J662="","Alamat kosong",IF(AND($M662&lt;&gt;"",$M662&lt;17),"Usia di bawah 17",""))))))))))</f>
        <v/>
      </c>
      <c r="U662" s="40" t="str">
        <f aca="false">IF($B662="","",IF(AND(OR(CARI!$C$5="",ISNUMBER(SEARCH(CARI!$C$5,$B662&amp;" "&amp;$C662&amp;" "&amp;$I662&amp;" "&amp;$J662&amp;" "&amp;$Q662))),OR(CARI!$C$6="",$E662=CARI!$C$6),OR(CARI!$C$7="",$F662=CARI!$C$7),OR(CARI!$C$8="",$O662=CARI!$C$8)),MAX($U$3:U661)+1,""))</f>
        <v/>
      </c>
      <c r="V662" s="40" t="str">
        <f aca="false">IF($T662="","",MAX($V$3:V661)+1)</f>
        <v/>
      </c>
      <c r="W662" s="40" t="str">
        <f aca="false">IF($E662="","",$E662&amp;"#"&amp;COUNTIF($E$4:$E662,$E662))</f>
        <v/>
      </c>
      <c r="X662" s="40" t="str">
        <f aca="false">IF($B662="","",IF(AND(OR(CETAK!$J$10="",$E662=CETAK!$J$10),OR(CETAK!$J$11="",$F662=CETAK!$J$11),OR(CETAK!$J$12="",$K662=CETAK!$J$12),OR(CETAK!$J$13="",$H662=CETAK!$J$13),OR(CETAK!$J$14="",$O662=CETAK!$J$14)),MAX($X$3:X661)+1,""))</f>
        <v/>
      </c>
      <c r="Y662" s="40" t="str">
        <f aca="false">IF($B662="","",IF(AND(OR(ABSENSI!$H$10="",$E662=ABSENSI!$H$10),OR(ABSENSI!$H$11="",$F662=ABSENSI!$H$11),OR(ABSENSI!$H$12="",$K662=ABSENSI!$H$12)),MAX($Y$3:Y661)+1,""))</f>
        <v/>
      </c>
      <c r="Z662" s="40" t="str">
        <f aca="false">IF($B662="","",IF(AND(OR(KARTU!$K$6="",$E662=KARTU!$K$6),OR(KARTU!$K$7="",$F662=KARTU!$K$7),OR(KARTU!$K$8="",$K662=KARTU!$K$8)),MAX($Z$3:Z661)+1,""))</f>
        <v/>
      </c>
    </row>
    <row r="663" customFormat="false" ht="15" hidden="false" customHeight="false" outlineLevel="0" collapsed="false">
      <c r="A663" s="36" t="str">
        <f aca="false">IF($B663="","",COUNTA($B$4:$B663))</f>
        <v/>
      </c>
      <c r="B663" s="37"/>
      <c r="C663" s="38"/>
      <c r="D663" s="39"/>
      <c r="E663" s="37"/>
      <c r="F663" s="39"/>
      <c r="G663" s="40" t="str">
        <f aca="false">IF(OR($E663="",$F663=""),"",$E663&amp;" - RT "&amp;$F663)</f>
        <v/>
      </c>
      <c r="H663" s="37"/>
      <c r="I663" s="38"/>
      <c r="J663" s="37"/>
      <c r="K663" s="39"/>
      <c r="L663" s="41"/>
      <c r="M663" s="36" t="str">
        <f aca="true">IF(OR($B663="",$L663=""),"",DATEDIF($L663,TODAY(),"Y"))</f>
        <v/>
      </c>
      <c r="N663" s="40" t="str">
        <f aca="false">IF($M663="","",INDEX(usia_label,MATCH($M663,usia_min,1)))</f>
        <v/>
      </c>
      <c r="O663" s="37"/>
      <c r="P663" s="41"/>
      <c r="Q663" s="37"/>
      <c r="R663" s="37"/>
      <c r="S663" s="40" t="str">
        <f aca="false">IF($G663="","",$G663&amp;"#"&amp;COUNTIF($G$4:$G663,$G663))</f>
        <v/>
      </c>
      <c r="T663" s="40" t="str">
        <f aca="false">IF($B663="","",IF($C663="","NIK kosong",IF(LEN($C663)&lt;&gt;16,"NIK bukan 16 digit",IF(COUNTIF($C$4:$C$2003,$C663&amp;"*")&gt;1,"NIK ganda",IF($E663="","Kadus kosong",IF($F663="","RT kosong",IF($H663="","Jabatan kosong",IF($I663="","No. HP kosong",IF($J663="","Alamat kosong",IF(AND($M663&lt;&gt;"",$M663&lt;17),"Usia di bawah 17",""))))))))))</f>
        <v/>
      </c>
      <c r="U663" s="40" t="str">
        <f aca="false">IF($B663="","",IF(AND(OR(CARI!$C$5="",ISNUMBER(SEARCH(CARI!$C$5,$B663&amp;" "&amp;$C663&amp;" "&amp;$I663&amp;" "&amp;$J663&amp;" "&amp;$Q663))),OR(CARI!$C$6="",$E663=CARI!$C$6),OR(CARI!$C$7="",$F663=CARI!$C$7),OR(CARI!$C$8="",$O663=CARI!$C$8)),MAX($U$3:U662)+1,""))</f>
        <v/>
      </c>
      <c r="V663" s="40" t="str">
        <f aca="false">IF($T663="","",MAX($V$3:V662)+1)</f>
        <v/>
      </c>
      <c r="W663" s="40" t="str">
        <f aca="false">IF($E663="","",$E663&amp;"#"&amp;COUNTIF($E$4:$E663,$E663))</f>
        <v/>
      </c>
      <c r="X663" s="40" t="str">
        <f aca="false">IF($B663="","",IF(AND(OR(CETAK!$J$10="",$E663=CETAK!$J$10),OR(CETAK!$J$11="",$F663=CETAK!$J$11),OR(CETAK!$J$12="",$K663=CETAK!$J$12),OR(CETAK!$J$13="",$H663=CETAK!$J$13),OR(CETAK!$J$14="",$O663=CETAK!$J$14)),MAX($X$3:X662)+1,""))</f>
        <v/>
      </c>
      <c r="Y663" s="40" t="str">
        <f aca="false">IF($B663="","",IF(AND(OR(ABSENSI!$H$10="",$E663=ABSENSI!$H$10),OR(ABSENSI!$H$11="",$F663=ABSENSI!$H$11),OR(ABSENSI!$H$12="",$K663=ABSENSI!$H$12)),MAX($Y$3:Y662)+1,""))</f>
        <v/>
      </c>
      <c r="Z663" s="40" t="str">
        <f aca="false">IF($B663="","",IF(AND(OR(KARTU!$K$6="",$E663=KARTU!$K$6),OR(KARTU!$K$7="",$F663=KARTU!$K$7),OR(KARTU!$K$8="",$K663=KARTU!$K$8)),MAX($Z$3:Z662)+1,""))</f>
        <v/>
      </c>
    </row>
    <row r="664" customFormat="false" ht="15" hidden="false" customHeight="false" outlineLevel="0" collapsed="false">
      <c r="A664" s="36" t="str">
        <f aca="false">IF($B664="","",COUNTA($B$4:$B664))</f>
        <v/>
      </c>
      <c r="B664" s="37"/>
      <c r="C664" s="38"/>
      <c r="D664" s="39"/>
      <c r="E664" s="37"/>
      <c r="F664" s="39"/>
      <c r="G664" s="40" t="str">
        <f aca="false">IF(OR($E664="",$F664=""),"",$E664&amp;" - RT "&amp;$F664)</f>
        <v/>
      </c>
      <c r="H664" s="37"/>
      <c r="I664" s="38"/>
      <c r="J664" s="37"/>
      <c r="K664" s="39"/>
      <c r="L664" s="41"/>
      <c r="M664" s="36" t="str">
        <f aca="true">IF(OR($B664="",$L664=""),"",DATEDIF($L664,TODAY(),"Y"))</f>
        <v/>
      </c>
      <c r="N664" s="40" t="str">
        <f aca="false">IF($M664="","",INDEX(usia_label,MATCH($M664,usia_min,1)))</f>
        <v/>
      </c>
      <c r="O664" s="37"/>
      <c r="P664" s="41"/>
      <c r="Q664" s="37"/>
      <c r="R664" s="37"/>
      <c r="S664" s="40" t="str">
        <f aca="false">IF($G664="","",$G664&amp;"#"&amp;COUNTIF($G$4:$G664,$G664))</f>
        <v/>
      </c>
      <c r="T664" s="40" t="str">
        <f aca="false">IF($B664="","",IF($C664="","NIK kosong",IF(LEN($C664)&lt;&gt;16,"NIK bukan 16 digit",IF(COUNTIF($C$4:$C$2003,$C664&amp;"*")&gt;1,"NIK ganda",IF($E664="","Kadus kosong",IF($F664="","RT kosong",IF($H664="","Jabatan kosong",IF($I664="","No. HP kosong",IF($J664="","Alamat kosong",IF(AND($M664&lt;&gt;"",$M664&lt;17),"Usia di bawah 17",""))))))))))</f>
        <v/>
      </c>
      <c r="U664" s="40" t="str">
        <f aca="false">IF($B664="","",IF(AND(OR(CARI!$C$5="",ISNUMBER(SEARCH(CARI!$C$5,$B664&amp;" "&amp;$C664&amp;" "&amp;$I664&amp;" "&amp;$J664&amp;" "&amp;$Q664))),OR(CARI!$C$6="",$E664=CARI!$C$6),OR(CARI!$C$7="",$F664=CARI!$C$7),OR(CARI!$C$8="",$O664=CARI!$C$8)),MAX($U$3:U663)+1,""))</f>
        <v/>
      </c>
      <c r="V664" s="40" t="str">
        <f aca="false">IF($T664="","",MAX($V$3:V663)+1)</f>
        <v/>
      </c>
      <c r="W664" s="40" t="str">
        <f aca="false">IF($E664="","",$E664&amp;"#"&amp;COUNTIF($E$4:$E664,$E664))</f>
        <v/>
      </c>
      <c r="X664" s="40" t="str">
        <f aca="false">IF($B664="","",IF(AND(OR(CETAK!$J$10="",$E664=CETAK!$J$10),OR(CETAK!$J$11="",$F664=CETAK!$J$11),OR(CETAK!$J$12="",$K664=CETAK!$J$12),OR(CETAK!$J$13="",$H664=CETAK!$J$13),OR(CETAK!$J$14="",$O664=CETAK!$J$14)),MAX($X$3:X663)+1,""))</f>
        <v/>
      </c>
      <c r="Y664" s="40" t="str">
        <f aca="false">IF($B664="","",IF(AND(OR(ABSENSI!$H$10="",$E664=ABSENSI!$H$10),OR(ABSENSI!$H$11="",$F664=ABSENSI!$H$11),OR(ABSENSI!$H$12="",$K664=ABSENSI!$H$12)),MAX($Y$3:Y663)+1,""))</f>
        <v/>
      </c>
      <c r="Z664" s="40" t="str">
        <f aca="false">IF($B664="","",IF(AND(OR(KARTU!$K$6="",$E664=KARTU!$K$6),OR(KARTU!$K$7="",$F664=KARTU!$K$7),OR(KARTU!$K$8="",$K664=KARTU!$K$8)),MAX($Z$3:Z663)+1,""))</f>
        <v/>
      </c>
    </row>
    <row r="665" customFormat="false" ht="15" hidden="false" customHeight="false" outlineLevel="0" collapsed="false">
      <c r="A665" s="36" t="str">
        <f aca="false">IF($B665="","",COUNTA($B$4:$B665))</f>
        <v/>
      </c>
      <c r="B665" s="37"/>
      <c r="C665" s="38"/>
      <c r="D665" s="39"/>
      <c r="E665" s="37"/>
      <c r="F665" s="39"/>
      <c r="G665" s="40" t="str">
        <f aca="false">IF(OR($E665="",$F665=""),"",$E665&amp;" - RT "&amp;$F665)</f>
        <v/>
      </c>
      <c r="H665" s="37"/>
      <c r="I665" s="38"/>
      <c r="J665" s="37"/>
      <c r="K665" s="39"/>
      <c r="L665" s="41"/>
      <c r="M665" s="36" t="str">
        <f aca="true">IF(OR($B665="",$L665=""),"",DATEDIF($L665,TODAY(),"Y"))</f>
        <v/>
      </c>
      <c r="N665" s="40" t="str">
        <f aca="false">IF($M665="","",INDEX(usia_label,MATCH($M665,usia_min,1)))</f>
        <v/>
      </c>
      <c r="O665" s="37"/>
      <c r="P665" s="41"/>
      <c r="Q665" s="37"/>
      <c r="R665" s="37"/>
      <c r="S665" s="40" t="str">
        <f aca="false">IF($G665="","",$G665&amp;"#"&amp;COUNTIF($G$4:$G665,$G665))</f>
        <v/>
      </c>
      <c r="T665" s="40" t="str">
        <f aca="false">IF($B665="","",IF($C665="","NIK kosong",IF(LEN($C665)&lt;&gt;16,"NIK bukan 16 digit",IF(COUNTIF($C$4:$C$2003,$C665&amp;"*")&gt;1,"NIK ganda",IF($E665="","Kadus kosong",IF($F665="","RT kosong",IF($H665="","Jabatan kosong",IF($I665="","No. HP kosong",IF($J665="","Alamat kosong",IF(AND($M665&lt;&gt;"",$M665&lt;17),"Usia di bawah 17",""))))))))))</f>
        <v/>
      </c>
      <c r="U665" s="40" t="str">
        <f aca="false">IF($B665="","",IF(AND(OR(CARI!$C$5="",ISNUMBER(SEARCH(CARI!$C$5,$B665&amp;" "&amp;$C665&amp;" "&amp;$I665&amp;" "&amp;$J665&amp;" "&amp;$Q665))),OR(CARI!$C$6="",$E665=CARI!$C$6),OR(CARI!$C$7="",$F665=CARI!$C$7),OR(CARI!$C$8="",$O665=CARI!$C$8)),MAX($U$3:U664)+1,""))</f>
        <v/>
      </c>
      <c r="V665" s="40" t="str">
        <f aca="false">IF($T665="","",MAX($V$3:V664)+1)</f>
        <v/>
      </c>
      <c r="W665" s="40" t="str">
        <f aca="false">IF($E665="","",$E665&amp;"#"&amp;COUNTIF($E$4:$E665,$E665))</f>
        <v/>
      </c>
      <c r="X665" s="40" t="str">
        <f aca="false">IF($B665="","",IF(AND(OR(CETAK!$J$10="",$E665=CETAK!$J$10),OR(CETAK!$J$11="",$F665=CETAK!$J$11),OR(CETAK!$J$12="",$K665=CETAK!$J$12),OR(CETAK!$J$13="",$H665=CETAK!$J$13),OR(CETAK!$J$14="",$O665=CETAK!$J$14)),MAX($X$3:X664)+1,""))</f>
        <v/>
      </c>
      <c r="Y665" s="40" t="str">
        <f aca="false">IF($B665="","",IF(AND(OR(ABSENSI!$H$10="",$E665=ABSENSI!$H$10),OR(ABSENSI!$H$11="",$F665=ABSENSI!$H$11),OR(ABSENSI!$H$12="",$K665=ABSENSI!$H$12)),MAX($Y$3:Y664)+1,""))</f>
        <v/>
      </c>
      <c r="Z665" s="40" t="str">
        <f aca="false">IF($B665="","",IF(AND(OR(KARTU!$K$6="",$E665=KARTU!$K$6),OR(KARTU!$K$7="",$F665=KARTU!$K$7),OR(KARTU!$K$8="",$K665=KARTU!$K$8)),MAX($Z$3:Z664)+1,""))</f>
        <v/>
      </c>
    </row>
    <row r="666" customFormat="false" ht="15" hidden="false" customHeight="false" outlineLevel="0" collapsed="false">
      <c r="A666" s="36" t="str">
        <f aca="false">IF($B666="","",COUNTA($B$4:$B666))</f>
        <v/>
      </c>
      <c r="B666" s="37"/>
      <c r="C666" s="38"/>
      <c r="D666" s="39"/>
      <c r="E666" s="37"/>
      <c r="F666" s="39"/>
      <c r="G666" s="40" t="str">
        <f aca="false">IF(OR($E666="",$F666=""),"",$E666&amp;" - RT "&amp;$F666)</f>
        <v/>
      </c>
      <c r="H666" s="37"/>
      <c r="I666" s="38"/>
      <c r="J666" s="37"/>
      <c r="K666" s="39"/>
      <c r="L666" s="41"/>
      <c r="M666" s="36" t="str">
        <f aca="true">IF(OR($B666="",$L666=""),"",DATEDIF($L666,TODAY(),"Y"))</f>
        <v/>
      </c>
      <c r="N666" s="40" t="str">
        <f aca="false">IF($M666="","",INDEX(usia_label,MATCH($M666,usia_min,1)))</f>
        <v/>
      </c>
      <c r="O666" s="37"/>
      <c r="P666" s="41"/>
      <c r="Q666" s="37"/>
      <c r="R666" s="37"/>
      <c r="S666" s="40" t="str">
        <f aca="false">IF($G666="","",$G666&amp;"#"&amp;COUNTIF($G$4:$G666,$G666))</f>
        <v/>
      </c>
      <c r="T666" s="40" t="str">
        <f aca="false">IF($B666="","",IF($C666="","NIK kosong",IF(LEN($C666)&lt;&gt;16,"NIK bukan 16 digit",IF(COUNTIF($C$4:$C$2003,$C666&amp;"*")&gt;1,"NIK ganda",IF($E666="","Kadus kosong",IF($F666="","RT kosong",IF($H666="","Jabatan kosong",IF($I666="","No. HP kosong",IF($J666="","Alamat kosong",IF(AND($M666&lt;&gt;"",$M666&lt;17),"Usia di bawah 17",""))))))))))</f>
        <v/>
      </c>
      <c r="U666" s="40" t="str">
        <f aca="false">IF($B666="","",IF(AND(OR(CARI!$C$5="",ISNUMBER(SEARCH(CARI!$C$5,$B666&amp;" "&amp;$C666&amp;" "&amp;$I666&amp;" "&amp;$J666&amp;" "&amp;$Q666))),OR(CARI!$C$6="",$E666=CARI!$C$6),OR(CARI!$C$7="",$F666=CARI!$C$7),OR(CARI!$C$8="",$O666=CARI!$C$8)),MAX($U$3:U665)+1,""))</f>
        <v/>
      </c>
      <c r="V666" s="40" t="str">
        <f aca="false">IF($T666="","",MAX($V$3:V665)+1)</f>
        <v/>
      </c>
      <c r="W666" s="40" t="str">
        <f aca="false">IF($E666="","",$E666&amp;"#"&amp;COUNTIF($E$4:$E666,$E666))</f>
        <v/>
      </c>
      <c r="X666" s="40" t="str">
        <f aca="false">IF($B666="","",IF(AND(OR(CETAK!$J$10="",$E666=CETAK!$J$10),OR(CETAK!$J$11="",$F666=CETAK!$J$11),OR(CETAK!$J$12="",$K666=CETAK!$J$12),OR(CETAK!$J$13="",$H666=CETAK!$J$13),OR(CETAK!$J$14="",$O666=CETAK!$J$14)),MAX($X$3:X665)+1,""))</f>
        <v/>
      </c>
      <c r="Y666" s="40" t="str">
        <f aca="false">IF($B666="","",IF(AND(OR(ABSENSI!$H$10="",$E666=ABSENSI!$H$10),OR(ABSENSI!$H$11="",$F666=ABSENSI!$H$11),OR(ABSENSI!$H$12="",$K666=ABSENSI!$H$12)),MAX($Y$3:Y665)+1,""))</f>
        <v/>
      </c>
      <c r="Z666" s="40" t="str">
        <f aca="false">IF($B666="","",IF(AND(OR(KARTU!$K$6="",$E666=KARTU!$K$6),OR(KARTU!$K$7="",$F666=KARTU!$K$7),OR(KARTU!$K$8="",$K666=KARTU!$K$8)),MAX($Z$3:Z665)+1,""))</f>
        <v/>
      </c>
    </row>
    <row r="667" customFormat="false" ht="15" hidden="false" customHeight="false" outlineLevel="0" collapsed="false">
      <c r="A667" s="36" t="str">
        <f aca="false">IF($B667="","",COUNTA($B$4:$B667))</f>
        <v/>
      </c>
      <c r="B667" s="37"/>
      <c r="C667" s="38"/>
      <c r="D667" s="39"/>
      <c r="E667" s="37"/>
      <c r="F667" s="39"/>
      <c r="G667" s="40" t="str">
        <f aca="false">IF(OR($E667="",$F667=""),"",$E667&amp;" - RT "&amp;$F667)</f>
        <v/>
      </c>
      <c r="H667" s="37"/>
      <c r="I667" s="38"/>
      <c r="J667" s="37"/>
      <c r="K667" s="39"/>
      <c r="L667" s="41"/>
      <c r="M667" s="36" t="str">
        <f aca="true">IF(OR($B667="",$L667=""),"",DATEDIF($L667,TODAY(),"Y"))</f>
        <v/>
      </c>
      <c r="N667" s="40" t="str">
        <f aca="false">IF($M667="","",INDEX(usia_label,MATCH($M667,usia_min,1)))</f>
        <v/>
      </c>
      <c r="O667" s="37"/>
      <c r="P667" s="41"/>
      <c r="Q667" s="37"/>
      <c r="R667" s="37"/>
      <c r="S667" s="40" t="str">
        <f aca="false">IF($G667="","",$G667&amp;"#"&amp;COUNTIF($G$4:$G667,$G667))</f>
        <v/>
      </c>
      <c r="T667" s="40" t="str">
        <f aca="false">IF($B667="","",IF($C667="","NIK kosong",IF(LEN($C667)&lt;&gt;16,"NIK bukan 16 digit",IF(COUNTIF($C$4:$C$2003,$C667&amp;"*")&gt;1,"NIK ganda",IF($E667="","Kadus kosong",IF($F667="","RT kosong",IF($H667="","Jabatan kosong",IF($I667="","No. HP kosong",IF($J667="","Alamat kosong",IF(AND($M667&lt;&gt;"",$M667&lt;17),"Usia di bawah 17",""))))))))))</f>
        <v/>
      </c>
      <c r="U667" s="40" t="str">
        <f aca="false">IF($B667="","",IF(AND(OR(CARI!$C$5="",ISNUMBER(SEARCH(CARI!$C$5,$B667&amp;" "&amp;$C667&amp;" "&amp;$I667&amp;" "&amp;$J667&amp;" "&amp;$Q667))),OR(CARI!$C$6="",$E667=CARI!$C$6),OR(CARI!$C$7="",$F667=CARI!$C$7),OR(CARI!$C$8="",$O667=CARI!$C$8)),MAX($U$3:U666)+1,""))</f>
        <v/>
      </c>
      <c r="V667" s="40" t="str">
        <f aca="false">IF($T667="","",MAX($V$3:V666)+1)</f>
        <v/>
      </c>
      <c r="W667" s="40" t="str">
        <f aca="false">IF($E667="","",$E667&amp;"#"&amp;COUNTIF($E$4:$E667,$E667))</f>
        <v/>
      </c>
      <c r="X667" s="40" t="str">
        <f aca="false">IF($B667="","",IF(AND(OR(CETAK!$J$10="",$E667=CETAK!$J$10),OR(CETAK!$J$11="",$F667=CETAK!$J$11),OR(CETAK!$J$12="",$K667=CETAK!$J$12),OR(CETAK!$J$13="",$H667=CETAK!$J$13),OR(CETAK!$J$14="",$O667=CETAK!$J$14)),MAX($X$3:X666)+1,""))</f>
        <v/>
      </c>
      <c r="Y667" s="40" t="str">
        <f aca="false">IF($B667="","",IF(AND(OR(ABSENSI!$H$10="",$E667=ABSENSI!$H$10),OR(ABSENSI!$H$11="",$F667=ABSENSI!$H$11),OR(ABSENSI!$H$12="",$K667=ABSENSI!$H$12)),MAX($Y$3:Y666)+1,""))</f>
        <v/>
      </c>
      <c r="Z667" s="40" t="str">
        <f aca="false">IF($B667="","",IF(AND(OR(KARTU!$K$6="",$E667=KARTU!$K$6),OR(KARTU!$K$7="",$F667=KARTU!$K$7),OR(KARTU!$K$8="",$K667=KARTU!$K$8)),MAX($Z$3:Z666)+1,""))</f>
        <v/>
      </c>
    </row>
    <row r="668" customFormat="false" ht="15" hidden="false" customHeight="false" outlineLevel="0" collapsed="false">
      <c r="A668" s="36" t="str">
        <f aca="false">IF($B668="","",COUNTA($B$4:$B668))</f>
        <v/>
      </c>
      <c r="B668" s="37"/>
      <c r="C668" s="38"/>
      <c r="D668" s="39"/>
      <c r="E668" s="37"/>
      <c r="F668" s="39"/>
      <c r="G668" s="40" t="str">
        <f aca="false">IF(OR($E668="",$F668=""),"",$E668&amp;" - RT "&amp;$F668)</f>
        <v/>
      </c>
      <c r="H668" s="37"/>
      <c r="I668" s="38"/>
      <c r="J668" s="37"/>
      <c r="K668" s="39"/>
      <c r="L668" s="41"/>
      <c r="M668" s="36" t="str">
        <f aca="true">IF(OR($B668="",$L668=""),"",DATEDIF($L668,TODAY(),"Y"))</f>
        <v/>
      </c>
      <c r="N668" s="40" t="str">
        <f aca="false">IF($M668="","",INDEX(usia_label,MATCH($M668,usia_min,1)))</f>
        <v/>
      </c>
      <c r="O668" s="37"/>
      <c r="P668" s="41"/>
      <c r="Q668" s="37"/>
      <c r="R668" s="37"/>
      <c r="S668" s="40" t="str">
        <f aca="false">IF($G668="","",$G668&amp;"#"&amp;COUNTIF($G$4:$G668,$G668))</f>
        <v/>
      </c>
      <c r="T668" s="40" t="str">
        <f aca="false">IF($B668="","",IF($C668="","NIK kosong",IF(LEN($C668)&lt;&gt;16,"NIK bukan 16 digit",IF(COUNTIF($C$4:$C$2003,$C668&amp;"*")&gt;1,"NIK ganda",IF($E668="","Kadus kosong",IF($F668="","RT kosong",IF($H668="","Jabatan kosong",IF($I668="","No. HP kosong",IF($J668="","Alamat kosong",IF(AND($M668&lt;&gt;"",$M668&lt;17),"Usia di bawah 17",""))))))))))</f>
        <v/>
      </c>
      <c r="U668" s="40" t="str">
        <f aca="false">IF($B668="","",IF(AND(OR(CARI!$C$5="",ISNUMBER(SEARCH(CARI!$C$5,$B668&amp;" "&amp;$C668&amp;" "&amp;$I668&amp;" "&amp;$J668&amp;" "&amp;$Q668))),OR(CARI!$C$6="",$E668=CARI!$C$6),OR(CARI!$C$7="",$F668=CARI!$C$7),OR(CARI!$C$8="",$O668=CARI!$C$8)),MAX($U$3:U667)+1,""))</f>
        <v/>
      </c>
      <c r="V668" s="40" t="str">
        <f aca="false">IF($T668="","",MAX($V$3:V667)+1)</f>
        <v/>
      </c>
      <c r="W668" s="40" t="str">
        <f aca="false">IF($E668="","",$E668&amp;"#"&amp;COUNTIF($E$4:$E668,$E668))</f>
        <v/>
      </c>
      <c r="X668" s="40" t="str">
        <f aca="false">IF($B668="","",IF(AND(OR(CETAK!$J$10="",$E668=CETAK!$J$10),OR(CETAK!$J$11="",$F668=CETAK!$J$11),OR(CETAK!$J$12="",$K668=CETAK!$J$12),OR(CETAK!$J$13="",$H668=CETAK!$J$13),OR(CETAK!$J$14="",$O668=CETAK!$J$14)),MAX($X$3:X667)+1,""))</f>
        <v/>
      </c>
      <c r="Y668" s="40" t="str">
        <f aca="false">IF($B668="","",IF(AND(OR(ABSENSI!$H$10="",$E668=ABSENSI!$H$10),OR(ABSENSI!$H$11="",$F668=ABSENSI!$H$11),OR(ABSENSI!$H$12="",$K668=ABSENSI!$H$12)),MAX($Y$3:Y667)+1,""))</f>
        <v/>
      </c>
      <c r="Z668" s="40" t="str">
        <f aca="false">IF($B668="","",IF(AND(OR(KARTU!$K$6="",$E668=KARTU!$K$6),OR(KARTU!$K$7="",$F668=KARTU!$K$7),OR(KARTU!$K$8="",$K668=KARTU!$K$8)),MAX($Z$3:Z667)+1,""))</f>
        <v/>
      </c>
    </row>
    <row r="669" customFormat="false" ht="15" hidden="false" customHeight="false" outlineLevel="0" collapsed="false">
      <c r="A669" s="36" t="str">
        <f aca="false">IF($B669="","",COUNTA($B$4:$B669))</f>
        <v/>
      </c>
      <c r="B669" s="37"/>
      <c r="C669" s="38"/>
      <c r="D669" s="39"/>
      <c r="E669" s="37"/>
      <c r="F669" s="39"/>
      <c r="G669" s="40" t="str">
        <f aca="false">IF(OR($E669="",$F669=""),"",$E669&amp;" - RT "&amp;$F669)</f>
        <v/>
      </c>
      <c r="H669" s="37"/>
      <c r="I669" s="38"/>
      <c r="J669" s="37"/>
      <c r="K669" s="39"/>
      <c r="L669" s="41"/>
      <c r="M669" s="36" t="str">
        <f aca="true">IF(OR($B669="",$L669=""),"",DATEDIF($L669,TODAY(),"Y"))</f>
        <v/>
      </c>
      <c r="N669" s="40" t="str">
        <f aca="false">IF($M669="","",INDEX(usia_label,MATCH($M669,usia_min,1)))</f>
        <v/>
      </c>
      <c r="O669" s="37"/>
      <c r="P669" s="41"/>
      <c r="Q669" s="37"/>
      <c r="R669" s="37"/>
      <c r="S669" s="40" t="str">
        <f aca="false">IF($G669="","",$G669&amp;"#"&amp;COUNTIF($G$4:$G669,$G669))</f>
        <v/>
      </c>
      <c r="T669" s="40" t="str">
        <f aca="false">IF($B669="","",IF($C669="","NIK kosong",IF(LEN($C669)&lt;&gt;16,"NIK bukan 16 digit",IF(COUNTIF($C$4:$C$2003,$C669&amp;"*")&gt;1,"NIK ganda",IF($E669="","Kadus kosong",IF($F669="","RT kosong",IF($H669="","Jabatan kosong",IF($I669="","No. HP kosong",IF($J669="","Alamat kosong",IF(AND($M669&lt;&gt;"",$M669&lt;17),"Usia di bawah 17",""))))))))))</f>
        <v/>
      </c>
      <c r="U669" s="40" t="str">
        <f aca="false">IF($B669="","",IF(AND(OR(CARI!$C$5="",ISNUMBER(SEARCH(CARI!$C$5,$B669&amp;" "&amp;$C669&amp;" "&amp;$I669&amp;" "&amp;$J669&amp;" "&amp;$Q669))),OR(CARI!$C$6="",$E669=CARI!$C$6),OR(CARI!$C$7="",$F669=CARI!$C$7),OR(CARI!$C$8="",$O669=CARI!$C$8)),MAX($U$3:U668)+1,""))</f>
        <v/>
      </c>
      <c r="V669" s="40" t="str">
        <f aca="false">IF($T669="","",MAX($V$3:V668)+1)</f>
        <v/>
      </c>
      <c r="W669" s="40" t="str">
        <f aca="false">IF($E669="","",$E669&amp;"#"&amp;COUNTIF($E$4:$E669,$E669))</f>
        <v/>
      </c>
      <c r="X669" s="40" t="str">
        <f aca="false">IF($B669="","",IF(AND(OR(CETAK!$J$10="",$E669=CETAK!$J$10),OR(CETAK!$J$11="",$F669=CETAK!$J$11),OR(CETAK!$J$12="",$K669=CETAK!$J$12),OR(CETAK!$J$13="",$H669=CETAK!$J$13),OR(CETAK!$J$14="",$O669=CETAK!$J$14)),MAX($X$3:X668)+1,""))</f>
        <v/>
      </c>
      <c r="Y669" s="40" t="str">
        <f aca="false">IF($B669="","",IF(AND(OR(ABSENSI!$H$10="",$E669=ABSENSI!$H$10),OR(ABSENSI!$H$11="",$F669=ABSENSI!$H$11),OR(ABSENSI!$H$12="",$K669=ABSENSI!$H$12)),MAX($Y$3:Y668)+1,""))</f>
        <v/>
      </c>
      <c r="Z669" s="40" t="str">
        <f aca="false">IF($B669="","",IF(AND(OR(KARTU!$K$6="",$E669=KARTU!$K$6),OR(KARTU!$K$7="",$F669=KARTU!$K$7),OR(KARTU!$K$8="",$K669=KARTU!$K$8)),MAX($Z$3:Z668)+1,""))</f>
        <v/>
      </c>
    </row>
    <row r="670" customFormat="false" ht="15" hidden="false" customHeight="false" outlineLevel="0" collapsed="false">
      <c r="A670" s="36" t="str">
        <f aca="false">IF($B670="","",COUNTA($B$4:$B670))</f>
        <v/>
      </c>
      <c r="B670" s="37"/>
      <c r="C670" s="38"/>
      <c r="D670" s="39"/>
      <c r="E670" s="37"/>
      <c r="F670" s="39"/>
      <c r="G670" s="40" t="str">
        <f aca="false">IF(OR($E670="",$F670=""),"",$E670&amp;" - RT "&amp;$F670)</f>
        <v/>
      </c>
      <c r="H670" s="37"/>
      <c r="I670" s="38"/>
      <c r="J670" s="37"/>
      <c r="K670" s="39"/>
      <c r="L670" s="41"/>
      <c r="M670" s="36" t="str">
        <f aca="true">IF(OR($B670="",$L670=""),"",DATEDIF($L670,TODAY(),"Y"))</f>
        <v/>
      </c>
      <c r="N670" s="40" t="str">
        <f aca="false">IF($M670="","",INDEX(usia_label,MATCH($M670,usia_min,1)))</f>
        <v/>
      </c>
      <c r="O670" s="37"/>
      <c r="P670" s="41"/>
      <c r="Q670" s="37"/>
      <c r="R670" s="37"/>
      <c r="S670" s="40" t="str">
        <f aca="false">IF($G670="","",$G670&amp;"#"&amp;COUNTIF($G$4:$G670,$G670))</f>
        <v/>
      </c>
      <c r="T670" s="40" t="str">
        <f aca="false">IF($B670="","",IF($C670="","NIK kosong",IF(LEN($C670)&lt;&gt;16,"NIK bukan 16 digit",IF(COUNTIF($C$4:$C$2003,$C670&amp;"*")&gt;1,"NIK ganda",IF($E670="","Kadus kosong",IF($F670="","RT kosong",IF($H670="","Jabatan kosong",IF($I670="","No. HP kosong",IF($J670="","Alamat kosong",IF(AND($M670&lt;&gt;"",$M670&lt;17),"Usia di bawah 17",""))))))))))</f>
        <v/>
      </c>
      <c r="U670" s="40" t="str">
        <f aca="false">IF($B670="","",IF(AND(OR(CARI!$C$5="",ISNUMBER(SEARCH(CARI!$C$5,$B670&amp;" "&amp;$C670&amp;" "&amp;$I670&amp;" "&amp;$J670&amp;" "&amp;$Q670))),OR(CARI!$C$6="",$E670=CARI!$C$6),OR(CARI!$C$7="",$F670=CARI!$C$7),OR(CARI!$C$8="",$O670=CARI!$C$8)),MAX($U$3:U669)+1,""))</f>
        <v/>
      </c>
      <c r="V670" s="40" t="str">
        <f aca="false">IF($T670="","",MAX($V$3:V669)+1)</f>
        <v/>
      </c>
      <c r="W670" s="40" t="str">
        <f aca="false">IF($E670="","",$E670&amp;"#"&amp;COUNTIF($E$4:$E670,$E670))</f>
        <v/>
      </c>
      <c r="X670" s="40" t="str">
        <f aca="false">IF($B670="","",IF(AND(OR(CETAK!$J$10="",$E670=CETAK!$J$10),OR(CETAK!$J$11="",$F670=CETAK!$J$11),OR(CETAK!$J$12="",$K670=CETAK!$J$12),OR(CETAK!$J$13="",$H670=CETAK!$J$13),OR(CETAK!$J$14="",$O670=CETAK!$J$14)),MAX($X$3:X669)+1,""))</f>
        <v/>
      </c>
      <c r="Y670" s="40" t="str">
        <f aca="false">IF($B670="","",IF(AND(OR(ABSENSI!$H$10="",$E670=ABSENSI!$H$10),OR(ABSENSI!$H$11="",$F670=ABSENSI!$H$11),OR(ABSENSI!$H$12="",$K670=ABSENSI!$H$12)),MAX($Y$3:Y669)+1,""))</f>
        <v/>
      </c>
      <c r="Z670" s="40" t="str">
        <f aca="false">IF($B670="","",IF(AND(OR(KARTU!$K$6="",$E670=KARTU!$K$6),OR(KARTU!$K$7="",$F670=KARTU!$K$7),OR(KARTU!$K$8="",$K670=KARTU!$K$8)),MAX($Z$3:Z669)+1,""))</f>
        <v/>
      </c>
    </row>
    <row r="671" customFormat="false" ht="15" hidden="false" customHeight="false" outlineLevel="0" collapsed="false">
      <c r="A671" s="36" t="str">
        <f aca="false">IF($B671="","",COUNTA($B$4:$B671))</f>
        <v/>
      </c>
      <c r="B671" s="37"/>
      <c r="C671" s="38"/>
      <c r="D671" s="39"/>
      <c r="E671" s="37"/>
      <c r="F671" s="39"/>
      <c r="G671" s="40" t="str">
        <f aca="false">IF(OR($E671="",$F671=""),"",$E671&amp;" - RT "&amp;$F671)</f>
        <v/>
      </c>
      <c r="H671" s="37"/>
      <c r="I671" s="38"/>
      <c r="J671" s="37"/>
      <c r="K671" s="39"/>
      <c r="L671" s="41"/>
      <c r="M671" s="36" t="str">
        <f aca="true">IF(OR($B671="",$L671=""),"",DATEDIF($L671,TODAY(),"Y"))</f>
        <v/>
      </c>
      <c r="N671" s="40" t="str">
        <f aca="false">IF($M671="","",INDEX(usia_label,MATCH($M671,usia_min,1)))</f>
        <v/>
      </c>
      <c r="O671" s="37"/>
      <c r="P671" s="41"/>
      <c r="Q671" s="37"/>
      <c r="R671" s="37"/>
      <c r="S671" s="40" t="str">
        <f aca="false">IF($G671="","",$G671&amp;"#"&amp;COUNTIF($G$4:$G671,$G671))</f>
        <v/>
      </c>
      <c r="T671" s="40" t="str">
        <f aca="false">IF($B671="","",IF($C671="","NIK kosong",IF(LEN($C671)&lt;&gt;16,"NIK bukan 16 digit",IF(COUNTIF($C$4:$C$2003,$C671&amp;"*")&gt;1,"NIK ganda",IF($E671="","Kadus kosong",IF($F671="","RT kosong",IF($H671="","Jabatan kosong",IF($I671="","No. HP kosong",IF($J671="","Alamat kosong",IF(AND($M671&lt;&gt;"",$M671&lt;17),"Usia di bawah 17",""))))))))))</f>
        <v/>
      </c>
      <c r="U671" s="40" t="str">
        <f aca="false">IF($B671="","",IF(AND(OR(CARI!$C$5="",ISNUMBER(SEARCH(CARI!$C$5,$B671&amp;" "&amp;$C671&amp;" "&amp;$I671&amp;" "&amp;$J671&amp;" "&amp;$Q671))),OR(CARI!$C$6="",$E671=CARI!$C$6),OR(CARI!$C$7="",$F671=CARI!$C$7),OR(CARI!$C$8="",$O671=CARI!$C$8)),MAX($U$3:U670)+1,""))</f>
        <v/>
      </c>
      <c r="V671" s="40" t="str">
        <f aca="false">IF($T671="","",MAX($V$3:V670)+1)</f>
        <v/>
      </c>
      <c r="W671" s="40" t="str">
        <f aca="false">IF($E671="","",$E671&amp;"#"&amp;COUNTIF($E$4:$E671,$E671))</f>
        <v/>
      </c>
      <c r="X671" s="40" t="str">
        <f aca="false">IF($B671="","",IF(AND(OR(CETAK!$J$10="",$E671=CETAK!$J$10),OR(CETAK!$J$11="",$F671=CETAK!$J$11),OR(CETAK!$J$12="",$K671=CETAK!$J$12),OR(CETAK!$J$13="",$H671=CETAK!$J$13),OR(CETAK!$J$14="",$O671=CETAK!$J$14)),MAX($X$3:X670)+1,""))</f>
        <v/>
      </c>
      <c r="Y671" s="40" t="str">
        <f aca="false">IF($B671="","",IF(AND(OR(ABSENSI!$H$10="",$E671=ABSENSI!$H$10),OR(ABSENSI!$H$11="",$F671=ABSENSI!$H$11),OR(ABSENSI!$H$12="",$K671=ABSENSI!$H$12)),MAX($Y$3:Y670)+1,""))</f>
        <v/>
      </c>
      <c r="Z671" s="40" t="str">
        <f aca="false">IF($B671="","",IF(AND(OR(KARTU!$K$6="",$E671=KARTU!$K$6),OR(KARTU!$K$7="",$F671=KARTU!$K$7),OR(KARTU!$K$8="",$K671=KARTU!$K$8)),MAX($Z$3:Z670)+1,""))</f>
        <v/>
      </c>
    </row>
    <row r="672" customFormat="false" ht="15" hidden="false" customHeight="false" outlineLevel="0" collapsed="false">
      <c r="A672" s="36" t="str">
        <f aca="false">IF($B672="","",COUNTA($B$4:$B672))</f>
        <v/>
      </c>
      <c r="B672" s="37"/>
      <c r="C672" s="38"/>
      <c r="D672" s="39"/>
      <c r="E672" s="37"/>
      <c r="F672" s="39"/>
      <c r="G672" s="40" t="str">
        <f aca="false">IF(OR($E672="",$F672=""),"",$E672&amp;" - RT "&amp;$F672)</f>
        <v/>
      </c>
      <c r="H672" s="37"/>
      <c r="I672" s="38"/>
      <c r="J672" s="37"/>
      <c r="K672" s="39"/>
      <c r="L672" s="41"/>
      <c r="M672" s="36" t="str">
        <f aca="true">IF(OR($B672="",$L672=""),"",DATEDIF($L672,TODAY(),"Y"))</f>
        <v/>
      </c>
      <c r="N672" s="40" t="str">
        <f aca="false">IF($M672="","",INDEX(usia_label,MATCH($M672,usia_min,1)))</f>
        <v/>
      </c>
      <c r="O672" s="37"/>
      <c r="P672" s="41"/>
      <c r="Q672" s="37"/>
      <c r="R672" s="37"/>
      <c r="S672" s="40" t="str">
        <f aca="false">IF($G672="","",$G672&amp;"#"&amp;COUNTIF($G$4:$G672,$G672))</f>
        <v/>
      </c>
      <c r="T672" s="40" t="str">
        <f aca="false">IF($B672="","",IF($C672="","NIK kosong",IF(LEN($C672)&lt;&gt;16,"NIK bukan 16 digit",IF(COUNTIF($C$4:$C$2003,$C672&amp;"*")&gt;1,"NIK ganda",IF($E672="","Kadus kosong",IF($F672="","RT kosong",IF($H672="","Jabatan kosong",IF($I672="","No. HP kosong",IF($J672="","Alamat kosong",IF(AND($M672&lt;&gt;"",$M672&lt;17),"Usia di bawah 17",""))))))))))</f>
        <v/>
      </c>
      <c r="U672" s="40" t="str">
        <f aca="false">IF($B672="","",IF(AND(OR(CARI!$C$5="",ISNUMBER(SEARCH(CARI!$C$5,$B672&amp;" "&amp;$C672&amp;" "&amp;$I672&amp;" "&amp;$J672&amp;" "&amp;$Q672))),OR(CARI!$C$6="",$E672=CARI!$C$6),OR(CARI!$C$7="",$F672=CARI!$C$7),OR(CARI!$C$8="",$O672=CARI!$C$8)),MAX($U$3:U671)+1,""))</f>
        <v/>
      </c>
      <c r="V672" s="40" t="str">
        <f aca="false">IF($T672="","",MAX($V$3:V671)+1)</f>
        <v/>
      </c>
      <c r="W672" s="40" t="str">
        <f aca="false">IF($E672="","",$E672&amp;"#"&amp;COUNTIF($E$4:$E672,$E672))</f>
        <v/>
      </c>
      <c r="X672" s="40" t="str">
        <f aca="false">IF($B672="","",IF(AND(OR(CETAK!$J$10="",$E672=CETAK!$J$10),OR(CETAK!$J$11="",$F672=CETAK!$J$11),OR(CETAK!$J$12="",$K672=CETAK!$J$12),OR(CETAK!$J$13="",$H672=CETAK!$J$13),OR(CETAK!$J$14="",$O672=CETAK!$J$14)),MAX($X$3:X671)+1,""))</f>
        <v/>
      </c>
      <c r="Y672" s="40" t="str">
        <f aca="false">IF($B672="","",IF(AND(OR(ABSENSI!$H$10="",$E672=ABSENSI!$H$10),OR(ABSENSI!$H$11="",$F672=ABSENSI!$H$11),OR(ABSENSI!$H$12="",$K672=ABSENSI!$H$12)),MAX($Y$3:Y671)+1,""))</f>
        <v/>
      </c>
      <c r="Z672" s="40" t="str">
        <f aca="false">IF($B672="","",IF(AND(OR(KARTU!$K$6="",$E672=KARTU!$K$6),OR(KARTU!$K$7="",$F672=KARTU!$K$7),OR(KARTU!$K$8="",$K672=KARTU!$K$8)),MAX($Z$3:Z671)+1,""))</f>
        <v/>
      </c>
    </row>
    <row r="673" customFormat="false" ht="15" hidden="false" customHeight="false" outlineLevel="0" collapsed="false">
      <c r="A673" s="36" t="str">
        <f aca="false">IF($B673="","",COUNTA($B$4:$B673))</f>
        <v/>
      </c>
      <c r="B673" s="37"/>
      <c r="C673" s="38"/>
      <c r="D673" s="39"/>
      <c r="E673" s="37"/>
      <c r="F673" s="39"/>
      <c r="G673" s="40" t="str">
        <f aca="false">IF(OR($E673="",$F673=""),"",$E673&amp;" - RT "&amp;$F673)</f>
        <v/>
      </c>
      <c r="H673" s="37"/>
      <c r="I673" s="38"/>
      <c r="J673" s="37"/>
      <c r="K673" s="39"/>
      <c r="L673" s="41"/>
      <c r="M673" s="36" t="str">
        <f aca="true">IF(OR($B673="",$L673=""),"",DATEDIF($L673,TODAY(),"Y"))</f>
        <v/>
      </c>
      <c r="N673" s="40" t="str">
        <f aca="false">IF($M673="","",INDEX(usia_label,MATCH($M673,usia_min,1)))</f>
        <v/>
      </c>
      <c r="O673" s="37"/>
      <c r="P673" s="41"/>
      <c r="Q673" s="37"/>
      <c r="R673" s="37"/>
      <c r="S673" s="40" t="str">
        <f aca="false">IF($G673="","",$G673&amp;"#"&amp;COUNTIF($G$4:$G673,$G673))</f>
        <v/>
      </c>
      <c r="T673" s="40" t="str">
        <f aca="false">IF($B673="","",IF($C673="","NIK kosong",IF(LEN($C673)&lt;&gt;16,"NIK bukan 16 digit",IF(COUNTIF($C$4:$C$2003,$C673&amp;"*")&gt;1,"NIK ganda",IF($E673="","Kadus kosong",IF($F673="","RT kosong",IF($H673="","Jabatan kosong",IF($I673="","No. HP kosong",IF($J673="","Alamat kosong",IF(AND($M673&lt;&gt;"",$M673&lt;17),"Usia di bawah 17",""))))))))))</f>
        <v/>
      </c>
      <c r="U673" s="40" t="str">
        <f aca="false">IF($B673="","",IF(AND(OR(CARI!$C$5="",ISNUMBER(SEARCH(CARI!$C$5,$B673&amp;" "&amp;$C673&amp;" "&amp;$I673&amp;" "&amp;$J673&amp;" "&amp;$Q673))),OR(CARI!$C$6="",$E673=CARI!$C$6),OR(CARI!$C$7="",$F673=CARI!$C$7),OR(CARI!$C$8="",$O673=CARI!$C$8)),MAX($U$3:U672)+1,""))</f>
        <v/>
      </c>
      <c r="V673" s="40" t="str">
        <f aca="false">IF($T673="","",MAX($V$3:V672)+1)</f>
        <v/>
      </c>
      <c r="W673" s="40" t="str">
        <f aca="false">IF($E673="","",$E673&amp;"#"&amp;COUNTIF($E$4:$E673,$E673))</f>
        <v/>
      </c>
      <c r="X673" s="40" t="str">
        <f aca="false">IF($B673="","",IF(AND(OR(CETAK!$J$10="",$E673=CETAK!$J$10),OR(CETAK!$J$11="",$F673=CETAK!$J$11),OR(CETAK!$J$12="",$K673=CETAK!$J$12),OR(CETAK!$J$13="",$H673=CETAK!$J$13),OR(CETAK!$J$14="",$O673=CETAK!$J$14)),MAX($X$3:X672)+1,""))</f>
        <v/>
      </c>
      <c r="Y673" s="40" t="str">
        <f aca="false">IF($B673="","",IF(AND(OR(ABSENSI!$H$10="",$E673=ABSENSI!$H$10),OR(ABSENSI!$H$11="",$F673=ABSENSI!$H$11),OR(ABSENSI!$H$12="",$K673=ABSENSI!$H$12)),MAX($Y$3:Y672)+1,""))</f>
        <v/>
      </c>
      <c r="Z673" s="40" t="str">
        <f aca="false">IF($B673="","",IF(AND(OR(KARTU!$K$6="",$E673=KARTU!$K$6),OR(KARTU!$K$7="",$F673=KARTU!$K$7),OR(KARTU!$K$8="",$K673=KARTU!$K$8)),MAX($Z$3:Z672)+1,""))</f>
        <v/>
      </c>
    </row>
    <row r="674" customFormat="false" ht="15" hidden="false" customHeight="false" outlineLevel="0" collapsed="false">
      <c r="A674" s="36" t="str">
        <f aca="false">IF($B674="","",COUNTA($B$4:$B674))</f>
        <v/>
      </c>
      <c r="B674" s="37"/>
      <c r="C674" s="38"/>
      <c r="D674" s="39"/>
      <c r="E674" s="37"/>
      <c r="F674" s="39"/>
      <c r="G674" s="40" t="str">
        <f aca="false">IF(OR($E674="",$F674=""),"",$E674&amp;" - RT "&amp;$F674)</f>
        <v/>
      </c>
      <c r="H674" s="37"/>
      <c r="I674" s="38"/>
      <c r="J674" s="37"/>
      <c r="K674" s="39"/>
      <c r="L674" s="41"/>
      <c r="M674" s="36" t="str">
        <f aca="true">IF(OR($B674="",$L674=""),"",DATEDIF($L674,TODAY(),"Y"))</f>
        <v/>
      </c>
      <c r="N674" s="40" t="str">
        <f aca="false">IF($M674="","",INDEX(usia_label,MATCH($M674,usia_min,1)))</f>
        <v/>
      </c>
      <c r="O674" s="37"/>
      <c r="P674" s="41"/>
      <c r="Q674" s="37"/>
      <c r="R674" s="37"/>
      <c r="S674" s="40" t="str">
        <f aca="false">IF($G674="","",$G674&amp;"#"&amp;COUNTIF($G$4:$G674,$G674))</f>
        <v/>
      </c>
      <c r="T674" s="40" t="str">
        <f aca="false">IF($B674="","",IF($C674="","NIK kosong",IF(LEN($C674)&lt;&gt;16,"NIK bukan 16 digit",IF(COUNTIF($C$4:$C$2003,$C674&amp;"*")&gt;1,"NIK ganda",IF($E674="","Kadus kosong",IF($F674="","RT kosong",IF($H674="","Jabatan kosong",IF($I674="","No. HP kosong",IF($J674="","Alamat kosong",IF(AND($M674&lt;&gt;"",$M674&lt;17),"Usia di bawah 17",""))))))))))</f>
        <v/>
      </c>
      <c r="U674" s="40" t="str">
        <f aca="false">IF($B674="","",IF(AND(OR(CARI!$C$5="",ISNUMBER(SEARCH(CARI!$C$5,$B674&amp;" "&amp;$C674&amp;" "&amp;$I674&amp;" "&amp;$J674&amp;" "&amp;$Q674))),OR(CARI!$C$6="",$E674=CARI!$C$6),OR(CARI!$C$7="",$F674=CARI!$C$7),OR(CARI!$C$8="",$O674=CARI!$C$8)),MAX($U$3:U673)+1,""))</f>
        <v/>
      </c>
      <c r="V674" s="40" t="str">
        <f aca="false">IF($T674="","",MAX($V$3:V673)+1)</f>
        <v/>
      </c>
      <c r="W674" s="40" t="str">
        <f aca="false">IF($E674="","",$E674&amp;"#"&amp;COUNTIF($E$4:$E674,$E674))</f>
        <v/>
      </c>
      <c r="X674" s="40" t="str">
        <f aca="false">IF($B674="","",IF(AND(OR(CETAK!$J$10="",$E674=CETAK!$J$10),OR(CETAK!$J$11="",$F674=CETAK!$J$11),OR(CETAK!$J$12="",$K674=CETAK!$J$12),OR(CETAK!$J$13="",$H674=CETAK!$J$13),OR(CETAK!$J$14="",$O674=CETAK!$J$14)),MAX($X$3:X673)+1,""))</f>
        <v/>
      </c>
      <c r="Y674" s="40" t="str">
        <f aca="false">IF($B674="","",IF(AND(OR(ABSENSI!$H$10="",$E674=ABSENSI!$H$10),OR(ABSENSI!$H$11="",$F674=ABSENSI!$H$11),OR(ABSENSI!$H$12="",$K674=ABSENSI!$H$12)),MAX($Y$3:Y673)+1,""))</f>
        <v/>
      </c>
      <c r="Z674" s="40" t="str">
        <f aca="false">IF($B674="","",IF(AND(OR(KARTU!$K$6="",$E674=KARTU!$K$6),OR(KARTU!$K$7="",$F674=KARTU!$K$7),OR(KARTU!$K$8="",$K674=KARTU!$K$8)),MAX($Z$3:Z673)+1,""))</f>
        <v/>
      </c>
    </row>
    <row r="675" customFormat="false" ht="15" hidden="false" customHeight="false" outlineLevel="0" collapsed="false">
      <c r="A675" s="36" t="str">
        <f aca="false">IF($B675="","",COUNTA($B$4:$B675))</f>
        <v/>
      </c>
      <c r="B675" s="37"/>
      <c r="C675" s="38"/>
      <c r="D675" s="39"/>
      <c r="E675" s="37"/>
      <c r="F675" s="39"/>
      <c r="G675" s="40" t="str">
        <f aca="false">IF(OR($E675="",$F675=""),"",$E675&amp;" - RT "&amp;$F675)</f>
        <v/>
      </c>
      <c r="H675" s="37"/>
      <c r="I675" s="38"/>
      <c r="J675" s="37"/>
      <c r="K675" s="39"/>
      <c r="L675" s="41"/>
      <c r="M675" s="36" t="str">
        <f aca="true">IF(OR($B675="",$L675=""),"",DATEDIF($L675,TODAY(),"Y"))</f>
        <v/>
      </c>
      <c r="N675" s="40" t="str">
        <f aca="false">IF($M675="","",INDEX(usia_label,MATCH($M675,usia_min,1)))</f>
        <v/>
      </c>
      <c r="O675" s="37"/>
      <c r="P675" s="41"/>
      <c r="Q675" s="37"/>
      <c r="R675" s="37"/>
      <c r="S675" s="40" t="str">
        <f aca="false">IF($G675="","",$G675&amp;"#"&amp;COUNTIF($G$4:$G675,$G675))</f>
        <v/>
      </c>
      <c r="T675" s="40" t="str">
        <f aca="false">IF($B675="","",IF($C675="","NIK kosong",IF(LEN($C675)&lt;&gt;16,"NIK bukan 16 digit",IF(COUNTIF($C$4:$C$2003,$C675&amp;"*")&gt;1,"NIK ganda",IF($E675="","Kadus kosong",IF($F675="","RT kosong",IF($H675="","Jabatan kosong",IF($I675="","No. HP kosong",IF($J675="","Alamat kosong",IF(AND($M675&lt;&gt;"",$M675&lt;17),"Usia di bawah 17",""))))))))))</f>
        <v/>
      </c>
      <c r="U675" s="40" t="str">
        <f aca="false">IF($B675="","",IF(AND(OR(CARI!$C$5="",ISNUMBER(SEARCH(CARI!$C$5,$B675&amp;" "&amp;$C675&amp;" "&amp;$I675&amp;" "&amp;$J675&amp;" "&amp;$Q675))),OR(CARI!$C$6="",$E675=CARI!$C$6),OR(CARI!$C$7="",$F675=CARI!$C$7),OR(CARI!$C$8="",$O675=CARI!$C$8)),MAX($U$3:U674)+1,""))</f>
        <v/>
      </c>
      <c r="V675" s="40" t="str">
        <f aca="false">IF($T675="","",MAX($V$3:V674)+1)</f>
        <v/>
      </c>
      <c r="W675" s="40" t="str">
        <f aca="false">IF($E675="","",$E675&amp;"#"&amp;COUNTIF($E$4:$E675,$E675))</f>
        <v/>
      </c>
      <c r="X675" s="40" t="str">
        <f aca="false">IF($B675="","",IF(AND(OR(CETAK!$J$10="",$E675=CETAK!$J$10),OR(CETAK!$J$11="",$F675=CETAK!$J$11),OR(CETAK!$J$12="",$K675=CETAK!$J$12),OR(CETAK!$J$13="",$H675=CETAK!$J$13),OR(CETAK!$J$14="",$O675=CETAK!$J$14)),MAX($X$3:X674)+1,""))</f>
        <v/>
      </c>
      <c r="Y675" s="40" t="str">
        <f aca="false">IF($B675="","",IF(AND(OR(ABSENSI!$H$10="",$E675=ABSENSI!$H$10),OR(ABSENSI!$H$11="",$F675=ABSENSI!$H$11),OR(ABSENSI!$H$12="",$K675=ABSENSI!$H$12)),MAX($Y$3:Y674)+1,""))</f>
        <v/>
      </c>
      <c r="Z675" s="40" t="str">
        <f aca="false">IF($B675="","",IF(AND(OR(KARTU!$K$6="",$E675=KARTU!$K$6),OR(KARTU!$K$7="",$F675=KARTU!$K$7),OR(KARTU!$K$8="",$K675=KARTU!$K$8)),MAX($Z$3:Z674)+1,""))</f>
        <v/>
      </c>
    </row>
    <row r="676" customFormat="false" ht="15" hidden="false" customHeight="false" outlineLevel="0" collapsed="false">
      <c r="A676" s="36" t="str">
        <f aca="false">IF($B676="","",COUNTA($B$4:$B676))</f>
        <v/>
      </c>
      <c r="B676" s="37"/>
      <c r="C676" s="38"/>
      <c r="D676" s="39"/>
      <c r="E676" s="37"/>
      <c r="F676" s="39"/>
      <c r="G676" s="40" t="str">
        <f aca="false">IF(OR($E676="",$F676=""),"",$E676&amp;" - RT "&amp;$F676)</f>
        <v/>
      </c>
      <c r="H676" s="37"/>
      <c r="I676" s="38"/>
      <c r="J676" s="37"/>
      <c r="K676" s="39"/>
      <c r="L676" s="41"/>
      <c r="M676" s="36" t="str">
        <f aca="true">IF(OR($B676="",$L676=""),"",DATEDIF($L676,TODAY(),"Y"))</f>
        <v/>
      </c>
      <c r="N676" s="40" t="str">
        <f aca="false">IF($M676="","",INDEX(usia_label,MATCH($M676,usia_min,1)))</f>
        <v/>
      </c>
      <c r="O676" s="37"/>
      <c r="P676" s="41"/>
      <c r="Q676" s="37"/>
      <c r="R676" s="37"/>
      <c r="S676" s="40" t="str">
        <f aca="false">IF($G676="","",$G676&amp;"#"&amp;COUNTIF($G$4:$G676,$G676))</f>
        <v/>
      </c>
      <c r="T676" s="40" t="str">
        <f aca="false">IF($B676="","",IF($C676="","NIK kosong",IF(LEN($C676)&lt;&gt;16,"NIK bukan 16 digit",IF(COUNTIF($C$4:$C$2003,$C676&amp;"*")&gt;1,"NIK ganda",IF($E676="","Kadus kosong",IF($F676="","RT kosong",IF($H676="","Jabatan kosong",IF($I676="","No. HP kosong",IF($J676="","Alamat kosong",IF(AND($M676&lt;&gt;"",$M676&lt;17),"Usia di bawah 17",""))))))))))</f>
        <v/>
      </c>
      <c r="U676" s="40" t="str">
        <f aca="false">IF($B676="","",IF(AND(OR(CARI!$C$5="",ISNUMBER(SEARCH(CARI!$C$5,$B676&amp;" "&amp;$C676&amp;" "&amp;$I676&amp;" "&amp;$J676&amp;" "&amp;$Q676))),OR(CARI!$C$6="",$E676=CARI!$C$6),OR(CARI!$C$7="",$F676=CARI!$C$7),OR(CARI!$C$8="",$O676=CARI!$C$8)),MAX($U$3:U675)+1,""))</f>
        <v/>
      </c>
      <c r="V676" s="40" t="str">
        <f aca="false">IF($T676="","",MAX($V$3:V675)+1)</f>
        <v/>
      </c>
      <c r="W676" s="40" t="str">
        <f aca="false">IF($E676="","",$E676&amp;"#"&amp;COUNTIF($E$4:$E676,$E676))</f>
        <v/>
      </c>
      <c r="X676" s="40" t="str">
        <f aca="false">IF($B676="","",IF(AND(OR(CETAK!$J$10="",$E676=CETAK!$J$10),OR(CETAK!$J$11="",$F676=CETAK!$J$11),OR(CETAK!$J$12="",$K676=CETAK!$J$12),OR(CETAK!$J$13="",$H676=CETAK!$J$13),OR(CETAK!$J$14="",$O676=CETAK!$J$14)),MAX($X$3:X675)+1,""))</f>
        <v/>
      </c>
      <c r="Y676" s="40" t="str">
        <f aca="false">IF($B676="","",IF(AND(OR(ABSENSI!$H$10="",$E676=ABSENSI!$H$10),OR(ABSENSI!$H$11="",$F676=ABSENSI!$H$11),OR(ABSENSI!$H$12="",$K676=ABSENSI!$H$12)),MAX($Y$3:Y675)+1,""))</f>
        <v/>
      </c>
      <c r="Z676" s="40" t="str">
        <f aca="false">IF($B676="","",IF(AND(OR(KARTU!$K$6="",$E676=KARTU!$K$6),OR(KARTU!$K$7="",$F676=KARTU!$K$7),OR(KARTU!$K$8="",$K676=KARTU!$K$8)),MAX($Z$3:Z675)+1,""))</f>
        <v/>
      </c>
    </row>
    <row r="677" customFormat="false" ht="15" hidden="false" customHeight="false" outlineLevel="0" collapsed="false">
      <c r="A677" s="36" t="str">
        <f aca="false">IF($B677="","",COUNTA($B$4:$B677))</f>
        <v/>
      </c>
      <c r="B677" s="37"/>
      <c r="C677" s="38"/>
      <c r="D677" s="39"/>
      <c r="E677" s="37"/>
      <c r="F677" s="39"/>
      <c r="G677" s="40" t="str">
        <f aca="false">IF(OR($E677="",$F677=""),"",$E677&amp;" - RT "&amp;$F677)</f>
        <v/>
      </c>
      <c r="H677" s="37"/>
      <c r="I677" s="38"/>
      <c r="J677" s="37"/>
      <c r="K677" s="39"/>
      <c r="L677" s="41"/>
      <c r="M677" s="36" t="str">
        <f aca="true">IF(OR($B677="",$L677=""),"",DATEDIF($L677,TODAY(),"Y"))</f>
        <v/>
      </c>
      <c r="N677" s="40" t="str">
        <f aca="false">IF($M677="","",INDEX(usia_label,MATCH($M677,usia_min,1)))</f>
        <v/>
      </c>
      <c r="O677" s="37"/>
      <c r="P677" s="41"/>
      <c r="Q677" s="37"/>
      <c r="R677" s="37"/>
      <c r="S677" s="40" t="str">
        <f aca="false">IF($G677="","",$G677&amp;"#"&amp;COUNTIF($G$4:$G677,$G677))</f>
        <v/>
      </c>
      <c r="T677" s="40" t="str">
        <f aca="false">IF($B677="","",IF($C677="","NIK kosong",IF(LEN($C677)&lt;&gt;16,"NIK bukan 16 digit",IF(COUNTIF($C$4:$C$2003,$C677&amp;"*")&gt;1,"NIK ganda",IF($E677="","Kadus kosong",IF($F677="","RT kosong",IF($H677="","Jabatan kosong",IF($I677="","No. HP kosong",IF($J677="","Alamat kosong",IF(AND($M677&lt;&gt;"",$M677&lt;17),"Usia di bawah 17",""))))))))))</f>
        <v/>
      </c>
      <c r="U677" s="40" t="str">
        <f aca="false">IF($B677="","",IF(AND(OR(CARI!$C$5="",ISNUMBER(SEARCH(CARI!$C$5,$B677&amp;" "&amp;$C677&amp;" "&amp;$I677&amp;" "&amp;$J677&amp;" "&amp;$Q677))),OR(CARI!$C$6="",$E677=CARI!$C$6),OR(CARI!$C$7="",$F677=CARI!$C$7),OR(CARI!$C$8="",$O677=CARI!$C$8)),MAX($U$3:U676)+1,""))</f>
        <v/>
      </c>
      <c r="V677" s="40" t="str">
        <f aca="false">IF($T677="","",MAX($V$3:V676)+1)</f>
        <v/>
      </c>
      <c r="W677" s="40" t="str">
        <f aca="false">IF($E677="","",$E677&amp;"#"&amp;COUNTIF($E$4:$E677,$E677))</f>
        <v/>
      </c>
      <c r="X677" s="40" t="str">
        <f aca="false">IF($B677="","",IF(AND(OR(CETAK!$J$10="",$E677=CETAK!$J$10),OR(CETAK!$J$11="",$F677=CETAK!$J$11),OR(CETAK!$J$12="",$K677=CETAK!$J$12),OR(CETAK!$J$13="",$H677=CETAK!$J$13),OR(CETAK!$J$14="",$O677=CETAK!$J$14)),MAX($X$3:X676)+1,""))</f>
        <v/>
      </c>
      <c r="Y677" s="40" t="str">
        <f aca="false">IF($B677="","",IF(AND(OR(ABSENSI!$H$10="",$E677=ABSENSI!$H$10),OR(ABSENSI!$H$11="",$F677=ABSENSI!$H$11),OR(ABSENSI!$H$12="",$K677=ABSENSI!$H$12)),MAX($Y$3:Y676)+1,""))</f>
        <v/>
      </c>
      <c r="Z677" s="40" t="str">
        <f aca="false">IF($B677="","",IF(AND(OR(KARTU!$K$6="",$E677=KARTU!$K$6),OR(KARTU!$K$7="",$F677=KARTU!$K$7),OR(KARTU!$K$8="",$K677=KARTU!$K$8)),MAX($Z$3:Z676)+1,""))</f>
        <v/>
      </c>
    </row>
    <row r="678" customFormat="false" ht="15" hidden="false" customHeight="false" outlineLevel="0" collapsed="false">
      <c r="A678" s="36" t="str">
        <f aca="false">IF($B678="","",COUNTA($B$4:$B678))</f>
        <v/>
      </c>
      <c r="B678" s="37"/>
      <c r="C678" s="38"/>
      <c r="D678" s="39"/>
      <c r="E678" s="37"/>
      <c r="F678" s="39"/>
      <c r="G678" s="40" t="str">
        <f aca="false">IF(OR($E678="",$F678=""),"",$E678&amp;" - RT "&amp;$F678)</f>
        <v/>
      </c>
      <c r="H678" s="37"/>
      <c r="I678" s="38"/>
      <c r="J678" s="37"/>
      <c r="K678" s="39"/>
      <c r="L678" s="41"/>
      <c r="M678" s="36" t="str">
        <f aca="true">IF(OR($B678="",$L678=""),"",DATEDIF($L678,TODAY(),"Y"))</f>
        <v/>
      </c>
      <c r="N678" s="40" t="str">
        <f aca="false">IF($M678="","",INDEX(usia_label,MATCH($M678,usia_min,1)))</f>
        <v/>
      </c>
      <c r="O678" s="37"/>
      <c r="P678" s="41"/>
      <c r="Q678" s="37"/>
      <c r="R678" s="37"/>
      <c r="S678" s="40" t="str">
        <f aca="false">IF($G678="","",$G678&amp;"#"&amp;COUNTIF($G$4:$G678,$G678))</f>
        <v/>
      </c>
      <c r="T678" s="40" t="str">
        <f aca="false">IF($B678="","",IF($C678="","NIK kosong",IF(LEN($C678)&lt;&gt;16,"NIK bukan 16 digit",IF(COUNTIF($C$4:$C$2003,$C678&amp;"*")&gt;1,"NIK ganda",IF($E678="","Kadus kosong",IF($F678="","RT kosong",IF($H678="","Jabatan kosong",IF($I678="","No. HP kosong",IF($J678="","Alamat kosong",IF(AND($M678&lt;&gt;"",$M678&lt;17),"Usia di bawah 17",""))))))))))</f>
        <v/>
      </c>
      <c r="U678" s="40" t="str">
        <f aca="false">IF($B678="","",IF(AND(OR(CARI!$C$5="",ISNUMBER(SEARCH(CARI!$C$5,$B678&amp;" "&amp;$C678&amp;" "&amp;$I678&amp;" "&amp;$J678&amp;" "&amp;$Q678))),OR(CARI!$C$6="",$E678=CARI!$C$6),OR(CARI!$C$7="",$F678=CARI!$C$7),OR(CARI!$C$8="",$O678=CARI!$C$8)),MAX($U$3:U677)+1,""))</f>
        <v/>
      </c>
      <c r="V678" s="40" t="str">
        <f aca="false">IF($T678="","",MAX($V$3:V677)+1)</f>
        <v/>
      </c>
      <c r="W678" s="40" t="str">
        <f aca="false">IF($E678="","",$E678&amp;"#"&amp;COUNTIF($E$4:$E678,$E678))</f>
        <v/>
      </c>
      <c r="X678" s="40" t="str">
        <f aca="false">IF($B678="","",IF(AND(OR(CETAK!$J$10="",$E678=CETAK!$J$10),OR(CETAK!$J$11="",$F678=CETAK!$J$11),OR(CETAK!$J$12="",$K678=CETAK!$J$12),OR(CETAK!$J$13="",$H678=CETAK!$J$13),OR(CETAK!$J$14="",$O678=CETAK!$J$14)),MAX($X$3:X677)+1,""))</f>
        <v/>
      </c>
      <c r="Y678" s="40" t="str">
        <f aca="false">IF($B678="","",IF(AND(OR(ABSENSI!$H$10="",$E678=ABSENSI!$H$10),OR(ABSENSI!$H$11="",$F678=ABSENSI!$H$11),OR(ABSENSI!$H$12="",$K678=ABSENSI!$H$12)),MAX($Y$3:Y677)+1,""))</f>
        <v/>
      </c>
      <c r="Z678" s="40" t="str">
        <f aca="false">IF($B678="","",IF(AND(OR(KARTU!$K$6="",$E678=KARTU!$K$6),OR(KARTU!$K$7="",$F678=KARTU!$K$7),OR(KARTU!$K$8="",$K678=KARTU!$K$8)),MAX($Z$3:Z677)+1,""))</f>
        <v/>
      </c>
    </row>
    <row r="679" customFormat="false" ht="15" hidden="false" customHeight="false" outlineLevel="0" collapsed="false">
      <c r="A679" s="36" t="str">
        <f aca="false">IF($B679="","",COUNTA($B$4:$B679))</f>
        <v/>
      </c>
      <c r="B679" s="37"/>
      <c r="C679" s="38"/>
      <c r="D679" s="39"/>
      <c r="E679" s="37"/>
      <c r="F679" s="39"/>
      <c r="G679" s="40" t="str">
        <f aca="false">IF(OR($E679="",$F679=""),"",$E679&amp;" - RT "&amp;$F679)</f>
        <v/>
      </c>
      <c r="H679" s="37"/>
      <c r="I679" s="38"/>
      <c r="J679" s="37"/>
      <c r="K679" s="39"/>
      <c r="L679" s="41"/>
      <c r="M679" s="36" t="str">
        <f aca="true">IF(OR($B679="",$L679=""),"",DATEDIF($L679,TODAY(),"Y"))</f>
        <v/>
      </c>
      <c r="N679" s="40" t="str">
        <f aca="false">IF($M679="","",INDEX(usia_label,MATCH($M679,usia_min,1)))</f>
        <v/>
      </c>
      <c r="O679" s="37"/>
      <c r="P679" s="41"/>
      <c r="Q679" s="37"/>
      <c r="R679" s="37"/>
      <c r="S679" s="40" t="str">
        <f aca="false">IF($G679="","",$G679&amp;"#"&amp;COUNTIF($G$4:$G679,$G679))</f>
        <v/>
      </c>
      <c r="T679" s="40" t="str">
        <f aca="false">IF($B679="","",IF($C679="","NIK kosong",IF(LEN($C679)&lt;&gt;16,"NIK bukan 16 digit",IF(COUNTIF($C$4:$C$2003,$C679&amp;"*")&gt;1,"NIK ganda",IF($E679="","Kadus kosong",IF($F679="","RT kosong",IF($H679="","Jabatan kosong",IF($I679="","No. HP kosong",IF($J679="","Alamat kosong",IF(AND($M679&lt;&gt;"",$M679&lt;17),"Usia di bawah 17",""))))))))))</f>
        <v/>
      </c>
      <c r="U679" s="40" t="str">
        <f aca="false">IF($B679="","",IF(AND(OR(CARI!$C$5="",ISNUMBER(SEARCH(CARI!$C$5,$B679&amp;" "&amp;$C679&amp;" "&amp;$I679&amp;" "&amp;$J679&amp;" "&amp;$Q679))),OR(CARI!$C$6="",$E679=CARI!$C$6),OR(CARI!$C$7="",$F679=CARI!$C$7),OR(CARI!$C$8="",$O679=CARI!$C$8)),MAX($U$3:U678)+1,""))</f>
        <v/>
      </c>
      <c r="V679" s="40" t="str">
        <f aca="false">IF($T679="","",MAX($V$3:V678)+1)</f>
        <v/>
      </c>
      <c r="W679" s="40" t="str">
        <f aca="false">IF($E679="","",$E679&amp;"#"&amp;COUNTIF($E$4:$E679,$E679))</f>
        <v/>
      </c>
      <c r="X679" s="40" t="str">
        <f aca="false">IF($B679="","",IF(AND(OR(CETAK!$J$10="",$E679=CETAK!$J$10),OR(CETAK!$J$11="",$F679=CETAK!$J$11),OR(CETAK!$J$12="",$K679=CETAK!$J$12),OR(CETAK!$J$13="",$H679=CETAK!$J$13),OR(CETAK!$J$14="",$O679=CETAK!$J$14)),MAX($X$3:X678)+1,""))</f>
        <v/>
      </c>
      <c r="Y679" s="40" t="str">
        <f aca="false">IF($B679="","",IF(AND(OR(ABSENSI!$H$10="",$E679=ABSENSI!$H$10),OR(ABSENSI!$H$11="",$F679=ABSENSI!$H$11),OR(ABSENSI!$H$12="",$K679=ABSENSI!$H$12)),MAX($Y$3:Y678)+1,""))</f>
        <v/>
      </c>
      <c r="Z679" s="40" t="str">
        <f aca="false">IF($B679="","",IF(AND(OR(KARTU!$K$6="",$E679=KARTU!$K$6),OR(KARTU!$K$7="",$F679=KARTU!$K$7),OR(KARTU!$K$8="",$K679=KARTU!$K$8)),MAX($Z$3:Z678)+1,""))</f>
        <v/>
      </c>
    </row>
    <row r="680" customFormat="false" ht="15" hidden="false" customHeight="false" outlineLevel="0" collapsed="false">
      <c r="A680" s="36" t="str">
        <f aca="false">IF($B680="","",COUNTA($B$4:$B680))</f>
        <v/>
      </c>
      <c r="B680" s="37"/>
      <c r="C680" s="38"/>
      <c r="D680" s="39"/>
      <c r="E680" s="37"/>
      <c r="F680" s="39"/>
      <c r="G680" s="40" t="str">
        <f aca="false">IF(OR($E680="",$F680=""),"",$E680&amp;" - RT "&amp;$F680)</f>
        <v/>
      </c>
      <c r="H680" s="37"/>
      <c r="I680" s="38"/>
      <c r="J680" s="37"/>
      <c r="K680" s="39"/>
      <c r="L680" s="41"/>
      <c r="M680" s="36" t="str">
        <f aca="true">IF(OR($B680="",$L680=""),"",DATEDIF($L680,TODAY(),"Y"))</f>
        <v/>
      </c>
      <c r="N680" s="40" t="str">
        <f aca="false">IF($M680="","",INDEX(usia_label,MATCH($M680,usia_min,1)))</f>
        <v/>
      </c>
      <c r="O680" s="37"/>
      <c r="P680" s="41"/>
      <c r="Q680" s="37"/>
      <c r="R680" s="37"/>
      <c r="S680" s="40" t="str">
        <f aca="false">IF($G680="","",$G680&amp;"#"&amp;COUNTIF($G$4:$G680,$G680))</f>
        <v/>
      </c>
      <c r="T680" s="40" t="str">
        <f aca="false">IF($B680="","",IF($C680="","NIK kosong",IF(LEN($C680)&lt;&gt;16,"NIK bukan 16 digit",IF(COUNTIF($C$4:$C$2003,$C680&amp;"*")&gt;1,"NIK ganda",IF($E680="","Kadus kosong",IF($F680="","RT kosong",IF($H680="","Jabatan kosong",IF($I680="","No. HP kosong",IF($J680="","Alamat kosong",IF(AND($M680&lt;&gt;"",$M680&lt;17),"Usia di bawah 17",""))))))))))</f>
        <v/>
      </c>
      <c r="U680" s="40" t="str">
        <f aca="false">IF($B680="","",IF(AND(OR(CARI!$C$5="",ISNUMBER(SEARCH(CARI!$C$5,$B680&amp;" "&amp;$C680&amp;" "&amp;$I680&amp;" "&amp;$J680&amp;" "&amp;$Q680))),OR(CARI!$C$6="",$E680=CARI!$C$6),OR(CARI!$C$7="",$F680=CARI!$C$7),OR(CARI!$C$8="",$O680=CARI!$C$8)),MAX($U$3:U679)+1,""))</f>
        <v/>
      </c>
      <c r="V680" s="40" t="str">
        <f aca="false">IF($T680="","",MAX($V$3:V679)+1)</f>
        <v/>
      </c>
      <c r="W680" s="40" t="str">
        <f aca="false">IF($E680="","",$E680&amp;"#"&amp;COUNTIF($E$4:$E680,$E680))</f>
        <v/>
      </c>
      <c r="X680" s="40" t="str">
        <f aca="false">IF($B680="","",IF(AND(OR(CETAK!$J$10="",$E680=CETAK!$J$10),OR(CETAK!$J$11="",$F680=CETAK!$J$11),OR(CETAK!$J$12="",$K680=CETAK!$J$12),OR(CETAK!$J$13="",$H680=CETAK!$J$13),OR(CETAK!$J$14="",$O680=CETAK!$J$14)),MAX($X$3:X679)+1,""))</f>
        <v/>
      </c>
      <c r="Y680" s="40" t="str">
        <f aca="false">IF($B680="","",IF(AND(OR(ABSENSI!$H$10="",$E680=ABSENSI!$H$10),OR(ABSENSI!$H$11="",$F680=ABSENSI!$H$11),OR(ABSENSI!$H$12="",$K680=ABSENSI!$H$12)),MAX($Y$3:Y679)+1,""))</f>
        <v/>
      </c>
      <c r="Z680" s="40" t="str">
        <f aca="false">IF($B680="","",IF(AND(OR(KARTU!$K$6="",$E680=KARTU!$K$6),OR(KARTU!$K$7="",$F680=KARTU!$K$7),OR(KARTU!$K$8="",$K680=KARTU!$K$8)),MAX($Z$3:Z679)+1,""))</f>
        <v/>
      </c>
    </row>
    <row r="681" customFormat="false" ht="15" hidden="false" customHeight="false" outlineLevel="0" collapsed="false">
      <c r="A681" s="36" t="str">
        <f aca="false">IF($B681="","",COUNTA($B$4:$B681))</f>
        <v/>
      </c>
      <c r="B681" s="37"/>
      <c r="C681" s="38"/>
      <c r="D681" s="39"/>
      <c r="E681" s="37"/>
      <c r="F681" s="39"/>
      <c r="G681" s="40" t="str">
        <f aca="false">IF(OR($E681="",$F681=""),"",$E681&amp;" - RT "&amp;$F681)</f>
        <v/>
      </c>
      <c r="H681" s="37"/>
      <c r="I681" s="38"/>
      <c r="J681" s="37"/>
      <c r="K681" s="39"/>
      <c r="L681" s="41"/>
      <c r="M681" s="36" t="str">
        <f aca="true">IF(OR($B681="",$L681=""),"",DATEDIF($L681,TODAY(),"Y"))</f>
        <v/>
      </c>
      <c r="N681" s="40" t="str">
        <f aca="false">IF($M681="","",INDEX(usia_label,MATCH($M681,usia_min,1)))</f>
        <v/>
      </c>
      <c r="O681" s="37"/>
      <c r="P681" s="41"/>
      <c r="Q681" s="37"/>
      <c r="R681" s="37"/>
      <c r="S681" s="40" t="str">
        <f aca="false">IF($G681="","",$G681&amp;"#"&amp;COUNTIF($G$4:$G681,$G681))</f>
        <v/>
      </c>
      <c r="T681" s="40" t="str">
        <f aca="false">IF($B681="","",IF($C681="","NIK kosong",IF(LEN($C681)&lt;&gt;16,"NIK bukan 16 digit",IF(COUNTIF($C$4:$C$2003,$C681&amp;"*")&gt;1,"NIK ganda",IF($E681="","Kadus kosong",IF($F681="","RT kosong",IF($H681="","Jabatan kosong",IF($I681="","No. HP kosong",IF($J681="","Alamat kosong",IF(AND($M681&lt;&gt;"",$M681&lt;17),"Usia di bawah 17",""))))))))))</f>
        <v/>
      </c>
      <c r="U681" s="40" t="str">
        <f aca="false">IF($B681="","",IF(AND(OR(CARI!$C$5="",ISNUMBER(SEARCH(CARI!$C$5,$B681&amp;" "&amp;$C681&amp;" "&amp;$I681&amp;" "&amp;$J681&amp;" "&amp;$Q681))),OR(CARI!$C$6="",$E681=CARI!$C$6),OR(CARI!$C$7="",$F681=CARI!$C$7),OR(CARI!$C$8="",$O681=CARI!$C$8)),MAX($U$3:U680)+1,""))</f>
        <v/>
      </c>
      <c r="V681" s="40" t="str">
        <f aca="false">IF($T681="","",MAX($V$3:V680)+1)</f>
        <v/>
      </c>
      <c r="W681" s="40" t="str">
        <f aca="false">IF($E681="","",$E681&amp;"#"&amp;COUNTIF($E$4:$E681,$E681))</f>
        <v/>
      </c>
      <c r="X681" s="40" t="str">
        <f aca="false">IF($B681="","",IF(AND(OR(CETAK!$J$10="",$E681=CETAK!$J$10),OR(CETAK!$J$11="",$F681=CETAK!$J$11),OR(CETAK!$J$12="",$K681=CETAK!$J$12),OR(CETAK!$J$13="",$H681=CETAK!$J$13),OR(CETAK!$J$14="",$O681=CETAK!$J$14)),MAX($X$3:X680)+1,""))</f>
        <v/>
      </c>
      <c r="Y681" s="40" t="str">
        <f aca="false">IF($B681="","",IF(AND(OR(ABSENSI!$H$10="",$E681=ABSENSI!$H$10),OR(ABSENSI!$H$11="",$F681=ABSENSI!$H$11),OR(ABSENSI!$H$12="",$K681=ABSENSI!$H$12)),MAX($Y$3:Y680)+1,""))</f>
        <v/>
      </c>
      <c r="Z681" s="40" t="str">
        <f aca="false">IF($B681="","",IF(AND(OR(KARTU!$K$6="",$E681=KARTU!$K$6),OR(KARTU!$K$7="",$F681=KARTU!$K$7),OR(KARTU!$K$8="",$K681=KARTU!$K$8)),MAX($Z$3:Z680)+1,""))</f>
        <v/>
      </c>
    </row>
    <row r="682" customFormat="false" ht="15" hidden="false" customHeight="false" outlineLevel="0" collapsed="false">
      <c r="A682" s="36" t="str">
        <f aca="false">IF($B682="","",COUNTA($B$4:$B682))</f>
        <v/>
      </c>
      <c r="B682" s="37"/>
      <c r="C682" s="38"/>
      <c r="D682" s="39"/>
      <c r="E682" s="37"/>
      <c r="F682" s="39"/>
      <c r="G682" s="40" t="str">
        <f aca="false">IF(OR($E682="",$F682=""),"",$E682&amp;" - RT "&amp;$F682)</f>
        <v/>
      </c>
      <c r="H682" s="37"/>
      <c r="I682" s="38"/>
      <c r="J682" s="37"/>
      <c r="K682" s="39"/>
      <c r="L682" s="41"/>
      <c r="M682" s="36" t="str">
        <f aca="true">IF(OR($B682="",$L682=""),"",DATEDIF($L682,TODAY(),"Y"))</f>
        <v/>
      </c>
      <c r="N682" s="40" t="str">
        <f aca="false">IF($M682="","",INDEX(usia_label,MATCH($M682,usia_min,1)))</f>
        <v/>
      </c>
      <c r="O682" s="37"/>
      <c r="P682" s="41"/>
      <c r="Q682" s="37"/>
      <c r="R682" s="37"/>
      <c r="S682" s="40" t="str">
        <f aca="false">IF($G682="","",$G682&amp;"#"&amp;COUNTIF($G$4:$G682,$G682))</f>
        <v/>
      </c>
      <c r="T682" s="40" t="str">
        <f aca="false">IF($B682="","",IF($C682="","NIK kosong",IF(LEN($C682)&lt;&gt;16,"NIK bukan 16 digit",IF(COUNTIF($C$4:$C$2003,$C682&amp;"*")&gt;1,"NIK ganda",IF($E682="","Kadus kosong",IF($F682="","RT kosong",IF($H682="","Jabatan kosong",IF($I682="","No. HP kosong",IF($J682="","Alamat kosong",IF(AND($M682&lt;&gt;"",$M682&lt;17),"Usia di bawah 17",""))))))))))</f>
        <v/>
      </c>
      <c r="U682" s="40" t="str">
        <f aca="false">IF($B682="","",IF(AND(OR(CARI!$C$5="",ISNUMBER(SEARCH(CARI!$C$5,$B682&amp;" "&amp;$C682&amp;" "&amp;$I682&amp;" "&amp;$J682&amp;" "&amp;$Q682))),OR(CARI!$C$6="",$E682=CARI!$C$6),OR(CARI!$C$7="",$F682=CARI!$C$7),OR(CARI!$C$8="",$O682=CARI!$C$8)),MAX($U$3:U681)+1,""))</f>
        <v/>
      </c>
      <c r="V682" s="40" t="str">
        <f aca="false">IF($T682="","",MAX($V$3:V681)+1)</f>
        <v/>
      </c>
      <c r="W682" s="40" t="str">
        <f aca="false">IF($E682="","",$E682&amp;"#"&amp;COUNTIF($E$4:$E682,$E682))</f>
        <v/>
      </c>
      <c r="X682" s="40" t="str">
        <f aca="false">IF($B682="","",IF(AND(OR(CETAK!$J$10="",$E682=CETAK!$J$10),OR(CETAK!$J$11="",$F682=CETAK!$J$11),OR(CETAK!$J$12="",$K682=CETAK!$J$12),OR(CETAK!$J$13="",$H682=CETAK!$J$13),OR(CETAK!$J$14="",$O682=CETAK!$J$14)),MAX($X$3:X681)+1,""))</f>
        <v/>
      </c>
      <c r="Y682" s="40" t="str">
        <f aca="false">IF($B682="","",IF(AND(OR(ABSENSI!$H$10="",$E682=ABSENSI!$H$10),OR(ABSENSI!$H$11="",$F682=ABSENSI!$H$11),OR(ABSENSI!$H$12="",$K682=ABSENSI!$H$12)),MAX($Y$3:Y681)+1,""))</f>
        <v/>
      </c>
      <c r="Z682" s="40" t="str">
        <f aca="false">IF($B682="","",IF(AND(OR(KARTU!$K$6="",$E682=KARTU!$K$6),OR(KARTU!$K$7="",$F682=KARTU!$K$7),OR(KARTU!$K$8="",$K682=KARTU!$K$8)),MAX($Z$3:Z681)+1,""))</f>
        <v/>
      </c>
    </row>
    <row r="683" customFormat="false" ht="15" hidden="false" customHeight="false" outlineLevel="0" collapsed="false">
      <c r="A683" s="36" t="str">
        <f aca="false">IF($B683="","",COUNTA($B$4:$B683))</f>
        <v/>
      </c>
      <c r="B683" s="37"/>
      <c r="C683" s="38"/>
      <c r="D683" s="39"/>
      <c r="E683" s="37"/>
      <c r="F683" s="39"/>
      <c r="G683" s="40" t="str">
        <f aca="false">IF(OR($E683="",$F683=""),"",$E683&amp;" - RT "&amp;$F683)</f>
        <v/>
      </c>
      <c r="H683" s="37"/>
      <c r="I683" s="38"/>
      <c r="J683" s="37"/>
      <c r="K683" s="39"/>
      <c r="L683" s="41"/>
      <c r="M683" s="36" t="str">
        <f aca="true">IF(OR($B683="",$L683=""),"",DATEDIF($L683,TODAY(),"Y"))</f>
        <v/>
      </c>
      <c r="N683" s="40" t="str">
        <f aca="false">IF($M683="","",INDEX(usia_label,MATCH($M683,usia_min,1)))</f>
        <v/>
      </c>
      <c r="O683" s="37"/>
      <c r="P683" s="41"/>
      <c r="Q683" s="37"/>
      <c r="R683" s="37"/>
      <c r="S683" s="40" t="str">
        <f aca="false">IF($G683="","",$G683&amp;"#"&amp;COUNTIF($G$4:$G683,$G683))</f>
        <v/>
      </c>
      <c r="T683" s="40" t="str">
        <f aca="false">IF($B683="","",IF($C683="","NIK kosong",IF(LEN($C683)&lt;&gt;16,"NIK bukan 16 digit",IF(COUNTIF($C$4:$C$2003,$C683&amp;"*")&gt;1,"NIK ganda",IF($E683="","Kadus kosong",IF($F683="","RT kosong",IF($H683="","Jabatan kosong",IF($I683="","No. HP kosong",IF($J683="","Alamat kosong",IF(AND($M683&lt;&gt;"",$M683&lt;17),"Usia di bawah 17",""))))))))))</f>
        <v/>
      </c>
      <c r="U683" s="40" t="str">
        <f aca="false">IF($B683="","",IF(AND(OR(CARI!$C$5="",ISNUMBER(SEARCH(CARI!$C$5,$B683&amp;" "&amp;$C683&amp;" "&amp;$I683&amp;" "&amp;$J683&amp;" "&amp;$Q683))),OR(CARI!$C$6="",$E683=CARI!$C$6),OR(CARI!$C$7="",$F683=CARI!$C$7),OR(CARI!$C$8="",$O683=CARI!$C$8)),MAX($U$3:U682)+1,""))</f>
        <v/>
      </c>
      <c r="V683" s="40" t="str">
        <f aca="false">IF($T683="","",MAX($V$3:V682)+1)</f>
        <v/>
      </c>
      <c r="W683" s="40" t="str">
        <f aca="false">IF($E683="","",$E683&amp;"#"&amp;COUNTIF($E$4:$E683,$E683))</f>
        <v/>
      </c>
      <c r="X683" s="40" t="str">
        <f aca="false">IF($B683="","",IF(AND(OR(CETAK!$J$10="",$E683=CETAK!$J$10),OR(CETAK!$J$11="",$F683=CETAK!$J$11),OR(CETAK!$J$12="",$K683=CETAK!$J$12),OR(CETAK!$J$13="",$H683=CETAK!$J$13),OR(CETAK!$J$14="",$O683=CETAK!$J$14)),MAX($X$3:X682)+1,""))</f>
        <v/>
      </c>
      <c r="Y683" s="40" t="str">
        <f aca="false">IF($B683="","",IF(AND(OR(ABSENSI!$H$10="",$E683=ABSENSI!$H$10),OR(ABSENSI!$H$11="",$F683=ABSENSI!$H$11),OR(ABSENSI!$H$12="",$K683=ABSENSI!$H$12)),MAX($Y$3:Y682)+1,""))</f>
        <v/>
      </c>
      <c r="Z683" s="40" t="str">
        <f aca="false">IF($B683="","",IF(AND(OR(KARTU!$K$6="",$E683=KARTU!$K$6),OR(KARTU!$K$7="",$F683=KARTU!$K$7),OR(KARTU!$K$8="",$K683=KARTU!$K$8)),MAX($Z$3:Z682)+1,""))</f>
        <v/>
      </c>
    </row>
    <row r="684" customFormat="false" ht="15" hidden="false" customHeight="false" outlineLevel="0" collapsed="false">
      <c r="A684" s="36" t="str">
        <f aca="false">IF($B684="","",COUNTA($B$4:$B684))</f>
        <v/>
      </c>
      <c r="B684" s="37"/>
      <c r="C684" s="38"/>
      <c r="D684" s="39"/>
      <c r="E684" s="37"/>
      <c r="F684" s="39"/>
      <c r="G684" s="40" t="str">
        <f aca="false">IF(OR($E684="",$F684=""),"",$E684&amp;" - RT "&amp;$F684)</f>
        <v/>
      </c>
      <c r="H684" s="37"/>
      <c r="I684" s="38"/>
      <c r="J684" s="37"/>
      <c r="K684" s="39"/>
      <c r="L684" s="41"/>
      <c r="M684" s="36" t="str">
        <f aca="true">IF(OR($B684="",$L684=""),"",DATEDIF($L684,TODAY(),"Y"))</f>
        <v/>
      </c>
      <c r="N684" s="40" t="str">
        <f aca="false">IF($M684="","",INDEX(usia_label,MATCH($M684,usia_min,1)))</f>
        <v/>
      </c>
      <c r="O684" s="37"/>
      <c r="P684" s="41"/>
      <c r="Q684" s="37"/>
      <c r="R684" s="37"/>
      <c r="S684" s="40" t="str">
        <f aca="false">IF($G684="","",$G684&amp;"#"&amp;COUNTIF($G$4:$G684,$G684))</f>
        <v/>
      </c>
      <c r="T684" s="40" t="str">
        <f aca="false">IF($B684="","",IF($C684="","NIK kosong",IF(LEN($C684)&lt;&gt;16,"NIK bukan 16 digit",IF(COUNTIF($C$4:$C$2003,$C684&amp;"*")&gt;1,"NIK ganda",IF($E684="","Kadus kosong",IF($F684="","RT kosong",IF($H684="","Jabatan kosong",IF($I684="","No. HP kosong",IF($J684="","Alamat kosong",IF(AND($M684&lt;&gt;"",$M684&lt;17),"Usia di bawah 17",""))))))))))</f>
        <v/>
      </c>
      <c r="U684" s="40" t="str">
        <f aca="false">IF($B684="","",IF(AND(OR(CARI!$C$5="",ISNUMBER(SEARCH(CARI!$C$5,$B684&amp;" "&amp;$C684&amp;" "&amp;$I684&amp;" "&amp;$J684&amp;" "&amp;$Q684))),OR(CARI!$C$6="",$E684=CARI!$C$6),OR(CARI!$C$7="",$F684=CARI!$C$7),OR(CARI!$C$8="",$O684=CARI!$C$8)),MAX($U$3:U683)+1,""))</f>
        <v/>
      </c>
      <c r="V684" s="40" t="str">
        <f aca="false">IF($T684="","",MAX($V$3:V683)+1)</f>
        <v/>
      </c>
      <c r="W684" s="40" t="str">
        <f aca="false">IF($E684="","",$E684&amp;"#"&amp;COUNTIF($E$4:$E684,$E684))</f>
        <v/>
      </c>
      <c r="X684" s="40" t="str">
        <f aca="false">IF($B684="","",IF(AND(OR(CETAK!$J$10="",$E684=CETAK!$J$10),OR(CETAK!$J$11="",$F684=CETAK!$J$11),OR(CETAK!$J$12="",$K684=CETAK!$J$12),OR(CETAK!$J$13="",$H684=CETAK!$J$13),OR(CETAK!$J$14="",$O684=CETAK!$J$14)),MAX($X$3:X683)+1,""))</f>
        <v/>
      </c>
      <c r="Y684" s="40" t="str">
        <f aca="false">IF($B684="","",IF(AND(OR(ABSENSI!$H$10="",$E684=ABSENSI!$H$10),OR(ABSENSI!$H$11="",$F684=ABSENSI!$H$11),OR(ABSENSI!$H$12="",$K684=ABSENSI!$H$12)),MAX($Y$3:Y683)+1,""))</f>
        <v/>
      </c>
      <c r="Z684" s="40" t="str">
        <f aca="false">IF($B684="","",IF(AND(OR(KARTU!$K$6="",$E684=KARTU!$K$6),OR(KARTU!$K$7="",$F684=KARTU!$K$7),OR(KARTU!$K$8="",$K684=KARTU!$K$8)),MAX($Z$3:Z683)+1,""))</f>
        <v/>
      </c>
    </row>
    <row r="685" customFormat="false" ht="15" hidden="false" customHeight="false" outlineLevel="0" collapsed="false">
      <c r="A685" s="36" t="str">
        <f aca="false">IF($B685="","",COUNTA($B$4:$B685))</f>
        <v/>
      </c>
      <c r="B685" s="37"/>
      <c r="C685" s="38"/>
      <c r="D685" s="39"/>
      <c r="E685" s="37"/>
      <c r="F685" s="39"/>
      <c r="G685" s="40" t="str">
        <f aca="false">IF(OR($E685="",$F685=""),"",$E685&amp;" - RT "&amp;$F685)</f>
        <v/>
      </c>
      <c r="H685" s="37"/>
      <c r="I685" s="38"/>
      <c r="J685" s="37"/>
      <c r="K685" s="39"/>
      <c r="L685" s="41"/>
      <c r="M685" s="36" t="str">
        <f aca="true">IF(OR($B685="",$L685=""),"",DATEDIF($L685,TODAY(),"Y"))</f>
        <v/>
      </c>
      <c r="N685" s="40" t="str">
        <f aca="false">IF($M685="","",INDEX(usia_label,MATCH($M685,usia_min,1)))</f>
        <v/>
      </c>
      <c r="O685" s="37"/>
      <c r="P685" s="41"/>
      <c r="Q685" s="37"/>
      <c r="R685" s="37"/>
      <c r="S685" s="40" t="str">
        <f aca="false">IF($G685="","",$G685&amp;"#"&amp;COUNTIF($G$4:$G685,$G685))</f>
        <v/>
      </c>
      <c r="T685" s="40" t="str">
        <f aca="false">IF($B685="","",IF($C685="","NIK kosong",IF(LEN($C685)&lt;&gt;16,"NIK bukan 16 digit",IF(COUNTIF($C$4:$C$2003,$C685&amp;"*")&gt;1,"NIK ganda",IF($E685="","Kadus kosong",IF($F685="","RT kosong",IF($H685="","Jabatan kosong",IF($I685="","No. HP kosong",IF($J685="","Alamat kosong",IF(AND($M685&lt;&gt;"",$M685&lt;17),"Usia di bawah 17",""))))))))))</f>
        <v/>
      </c>
      <c r="U685" s="40" t="str">
        <f aca="false">IF($B685="","",IF(AND(OR(CARI!$C$5="",ISNUMBER(SEARCH(CARI!$C$5,$B685&amp;" "&amp;$C685&amp;" "&amp;$I685&amp;" "&amp;$J685&amp;" "&amp;$Q685))),OR(CARI!$C$6="",$E685=CARI!$C$6),OR(CARI!$C$7="",$F685=CARI!$C$7),OR(CARI!$C$8="",$O685=CARI!$C$8)),MAX($U$3:U684)+1,""))</f>
        <v/>
      </c>
      <c r="V685" s="40" t="str">
        <f aca="false">IF($T685="","",MAX($V$3:V684)+1)</f>
        <v/>
      </c>
      <c r="W685" s="40" t="str">
        <f aca="false">IF($E685="","",$E685&amp;"#"&amp;COUNTIF($E$4:$E685,$E685))</f>
        <v/>
      </c>
      <c r="X685" s="40" t="str">
        <f aca="false">IF($B685="","",IF(AND(OR(CETAK!$J$10="",$E685=CETAK!$J$10),OR(CETAK!$J$11="",$F685=CETAK!$J$11),OR(CETAK!$J$12="",$K685=CETAK!$J$12),OR(CETAK!$J$13="",$H685=CETAK!$J$13),OR(CETAK!$J$14="",$O685=CETAK!$J$14)),MAX($X$3:X684)+1,""))</f>
        <v/>
      </c>
      <c r="Y685" s="40" t="str">
        <f aca="false">IF($B685="","",IF(AND(OR(ABSENSI!$H$10="",$E685=ABSENSI!$H$10),OR(ABSENSI!$H$11="",$F685=ABSENSI!$H$11),OR(ABSENSI!$H$12="",$K685=ABSENSI!$H$12)),MAX($Y$3:Y684)+1,""))</f>
        <v/>
      </c>
      <c r="Z685" s="40" t="str">
        <f aca="false">IF($B685="","",IF(AND(OR(KARTU!$K$6="",$E685=KARTU!$K$6),OR(KARTU!$K$7="",$F685=KARTU!$K$7),OR(KARTU!$K$8="",$K685=KARTU!$K$8)),MAX($Z$3:Z684)+1,""))</f>
        <v/>
      </c>
    </row>
    <row r="686" customFormat="false" ht="15" hidden="false" customHeight="false" outlineLevel="0" collapsed="false">
      <c r="A686" s="36" t="str">
        <f aca="false">IF($B686="","",COUNTA($B$4:$B686))</f>
        <v/>
      </c>
      <c r="B686" s="37"/>
      <c r="C686" s="38"/>
      <c r="D686" s="39"/>
      <c r="E686" s="37"/>
      <c r="F686" s="39"/>
      <c r="G686" s="40" t="str">
        <f aca="false">IF(OR($E686="",$F686=""),"",$E686&amp;" - RT "&amp;$F686)</f>
        <v/>
      </c>
      <c r="H686" s="37"/>
      <c r="I686" s="38"/>
      <c r="J686" s="37"/>
      <c r="K686" s="39"/>
      <c r="L686" s="41"/>
      <c r="M686" s="36" t="str">
        <f aca="true">IF(OR($B686="",$L686=""),"",DATEDIF($L686,TODAY(),"Y"))</f>
        <v/>
      </c>
      <c r="N686" s="40" t="str">
        <f aca="false">IF($M686="","",INDEX(usia_label,MATCH($M686,usia_min,1)))</f>
        <v/>
      </c>
      <c r="O686" s="37"/>
      <c r="P686" s="41"/>
      <c r="Q686" s="37"/>
      <c r="R686" s="37"/>
      <c r="S686" s="40" t="str">
        <f aca="false">IF($G686="","",$G686&amp;"#"&amp;COUNTIF($G$4:$G686,$G686))</f>
        <v/>
      </c>
      <c r="T686" s="40" t="str">
        <f aca="false">IF($B686="","",IF($C686="","NIK kosong",IF(LEN($C686)&lt;&gt;16,"NIK bukan 16 digit",IF(COUNTIF($C$4:$C$2003,$C686&amp;"*")&gt;1,"NIK ganda",IF($E686="","Kadus kosong",IF($F686="","RT kosong",IF($H686="","Jabatan kosong",IF($I686="","No. HP kosong",IF($J686="","Alamat kosong",IF(AND($M686&lt;&gt;"",$M686&lt;17),"Usia di bawah 17",""))))))))))</f>
        <v/>
      </c>
      <c r="U686" s="40" t="str">
        <f aca="false">IF($B686="","",IF(AND(OR(CARI!$C$5="",ISNUMBER(SEARCH(CARI!$C$5,$B686&amp;" "&amp;$C686&amp;" "&amp;$I686&amp;" "&amp;$J686&amp;" "&amp;$Q686))),OR(CARI!$C$6="",$E686=CARI!$C$6),OR(CARI!$C$7="",$F686=CARI!$C$7),OR(CARI!$C$8="",$O686=CARI!$C$8)),MAX($U$3:U685)+1,""))</f>
        <v/>
      </c>
      <c r="V686" s="40" t="str">
        <f aca="false">IF($T686="","",MAX($V$3:V685)+1)</f>
        <v/>
      </c>
      <c r="W686" s="40" t="str">
        <f aca="false">IF($E686="","",$E686&amp;"#"&amp;COUNTIF($E$4:$E686,$E686))</f>
        <v/>
      </c>
      <c r="X686" s="40" t="str">
        <f aca="false">IF($B686="","",IF(AND(OR(CETAK!$J$10="",$E686=CETAK!$J$10),OR(CETAK!$J$11="",$F686=CETAK!$J$11),OR(CETAK!$J$12="",$K686=CETAK!$J$12),OR(CETAK!$J$13="",$H686=CETAK!$J$13),OR(CETAK!$J$14="",$O686=CETAK!$J$14)),MAX($X$3:X685)+1,""))</f>
        <v/>
      </c>
      <c r="Y686" s="40" t="str">
        <f aca="false">IF($B686="","",IF(AND(OR(ABSENSI!$H$10="",$E686=ABSENSI!$H$10),OR(ABSENSI!$H$11="",$F686=ABSENSI!$H$11),OR(ABSENSI!$H$12="",$K686=ABSENSI!$H$12)),MAX($Y$3:Y685)+1,""))</f>
        <v/>
      </c>
      <c r="Z686" s="40" t="str">
        <f aca="false">IF($B686="","",IF(AND(OR(KARTU!$K$6="",$E686=KARTU!$K$6),OR(KARTU!$K$7="",$F686=KARTU!$K$7),OR(KARTU!$K$8="",$K686=KARTU!$K$8)),MAX($Z$3:Z685)+1,""))</f>
        <v/>
      </c>
    </row>
    <row r="687" customFormat="false" ht="15" hidden="false" customHeight="false" outlineLevel="0" collapsed="false">
      <c r="A687" s="36" t="str">
        <f aca="false">IF($B687="","",COUNTA($B$4:$B687))</f>
        <v/>
      </c>
      <c r="B687" s="37"/>
      <c r="C687" s="38"/>
      <c r="D687" s="39"/>
      <c r="E687" s="37"/>
      <c r="F687" s="39"/>
      <c r="G687" s="40" t="str">
        <f aca="false">IF(OR($E687="",$F687=""),"",$E687&amp;" - RT "&amp;$F687)</f>
        <v/>
      </c>
      <c r="H687" s="37"/>
      <c r="I687" s="38"/>
      <c r="J687" s="37"/>
      <c r="K687" s="39"/>
      <c r="L687" s="41"/>
      <c r="M687" s="36" t="str">
        <f aca="true">IF(OR($B687="",$L687=""),"",DATEDIF($L687,TODAY(),"Y"))</f>
        <v/>
      </c>
      <c r="N687" s="40" t="str">
        <f aca="false">IF($M687="","",INDEX(usia_label,MATCH($M687,usia_min,1)))</f>
        <v/>
      </c>
      <c r="O687" s="37"/>
      <c r="P687" s="41"/>
      <c r="Q687" s="37"/>
      <c r="R687" s="37"/>
      <c r="S687" s="40" t="str">
        <f aca="false">IF($G687="","",$G687&amp;"#"&amp;COUNTIF($G$4:$G687,$G687))</f>
        <v/>
      </c>
      <c r="T687" s="40" t="str">
        <f aca="false">IF($B687="","",IF($C687="","NIK kosong",IF(LEN($C687)&lt;&gt;16,"NIK bukan 16 digit",IF(COUNTIF($C$4:$C$2003,$C687&amp;"*")&gt;1,"NIK ganda",IF($E687="","Kadus kosong",IF($F687="","RT kosong",IF($H687="","Jabatan kosong",IF($I687="","No. HP kosong",IF($J687="","Alamat kosong",IF(AND($M687&lt;&gt;"",$M687&lt;17),"Usia di bawah 17",""))))))))))</f>
        <v/>
      </c>
      <c r="U687" s="40" t="str">
        <f aca="false">IF($B687="","",IF(AND(OR(CARI!$C$5="",ISNUMBER(SEARCH(CARI!$C$5,$B687&amp;" "&amp;$C687&amp;" "&amp;$I687&amp;" "&amp;$J687&amp;" "&amp;$Q687))),OR(CARI!$C$6="",$E687=CARI!$C$6),OR(CARI!$C$7="",$F687=CARI!$C$7),OR(CARI!$C$8="",$O687=CARI!$C$8)),MAX($U$3:U686)+1,""))</f>
        <v/>
      </c>
      <c r="V687" s="40" t="str">
        <f aca="false">IF($T687="","",MAX($V$3:V686)+1)</f>
        <v/>
      </c>
      <c r="W687" s="40" t="str">
        <f aca="false">IF($E687="","",$E687&amp;"#"&amp;COUNTIF($E$4:$E687,$E687))</f>
        <v/>
      </c>
      <c r="X687" s="40" t="str">
        <f aca="false">IF($B687="","",IF(AND(OR(CETAK!$J$10="",$E687=CETAK!$J$10),OR(CETAK!$J$11="",$F687=CETAK!$J$11),OR(CETAK!$J$12="",$K687=CETAK!$J$12),OR(CETAK!$J$13="",$H687=CETAK!$J$13),OR(CETAK!$J$14="",$O687=CETAK!$J$14)),MAX($X$3:X686)+1,""))</f>
        <v/>
      </c>
      <c r="Y687" s="40" t="str">
        <f aca="false">IF($B687="","",IF(AND(OR(ABSENSI!$H$10="",$E687=ABSENSI!$H$10),OR(ABSENSI!$H$11="",$F687=ABSENSI!$H$11),OR(ABSENSI!$H$12="",$K687=ABSENSI!$H$12)),MAX($Y$3:Y686)+1,""))</f>
        <v/>
      </c>
      <c r="Z687" s="40" t="str">
        <f aca="false">IF($B687="","",IF(AND(OR(KARTU!$K$6="",$E687=KARTU!$K$6),OR(KARTU!$K$7="",$F687=KARTU!$K$7),OR(KARTU!$K$8="",$K687=KARTU!$K$8)),MAX($Z$3:Z686)+1,""))</f>
        <v/>
      </c>
    </row>
    <row r="688" customFormat="false" ht="15" hidden="false" customHeight="false" outlineLevel="0" collapsed="false">
      <c r="A688" s="36" t="str">
        <f aca="false">IF($B688="","",COUNTA($B$4:$B688))</f>
        <v/>
      </c>
      <c r="B688" s="37"/>
      <c r="C688" s="38"/>
      <c r="D688" s="39"/>
      <c r="E688" s="37"/>
      <c r="F688" s="39"/>
      <c r="G688" s="40" t="str">
        <f aca="false">IF(OR($E688="",$F688=""),"",$E688&amp;" - RT "&amp;$F688)</f>
        <v/>
      </c>
      <c r="H688" s="37"/>
      <c r="I688" s="38"/>
      <c r="J688" s="37"/>
      <c r="K688" s="39"/>
      <c r="L688" s="41"/>
      <c r="M688" s="36" t="str">
        <f aca="true">IF(OR($B688="",$L688=""),"",DATEDIF($L688,TODAY(),"Y"))</f>
        <v/>
      </c>
      <c r="N688" s="40" t="str">
        <f aca="false">IF($M688="","",INDEX(usia_label,MATCH($M688,usia_min,1)))</f>
        <v/>
      </c>
      <c r="O688" s="37"/>
      <c r="P688" s="41"/>
      <c r="Q688" s="37"/>
      <c r="R688" s="37"/>
      <c r="S688" s="40" t="str">
        <f aca="false">IF($G688="","",$G688&amp;"#"&amp;COUNTIF($G$4:$G688,$G688))</f>
        <v/>
      </c>
      <c r="T688" s="40" t="str">
        <f aca="false">IF($B688="","",IF($C688="","NIK kosong",IF(LEN($C688)&lt;&gt;16,"NIK bukan 16 digit",IF(COUNTIF($C$4:$C$2003,$C688&amp;"*")&gt;1,"NIK ganda",IF($E688="","Kadus kosong",IF($F688="","RT kosong",IF($H688="","Jabatan kosong",IF($I688="","No. HP kosong",IF($J688="","Alamat kosong",IF(AND($M688&lt;&gt;"",$M688&lt;17),"Usia di bawah 17",""))))))))))</f>
        <v/>
      </c>
      <c r="U688" s="40" t="str">
        <f aca="false">IF($B688="","",IF(AND(OR(CARI!$C$5="",ISNUMBER(SEARCH(CARI!$C$5,$B688&amp;" "&amp;$C688&amp;" "&amp;$I688&amp;" "&amp;$J688&amp;" "&amp;$Q688))),OR(CARI!$C$6="",$E688=CARI!$C$6),OR(CARI!$C$7="",$F688=CARI!$C$7),OR(CARI!$C$8="",$O688=CARI!$C$8)),MAX($U$3:U687)+1,""))</f>
        <v/>
      </c>
      <c r="V688" s="40" t="str">
        <f aca="false">IF($T688="","",MAX($V$3:V687)+1)</f>
        <v/>
      </c>
      <c r="W688" s="40" t="str">
        <f aca="false">IF($E688="","",$E688&amp;"#"&amp;COUNTIF($E$4:$E688,$E688))</f>
        <v/>
      </c>
      <c r="X688" s="40" t="str">
        <f aca="false">IF($B688="","",IF(AND(OR(CETAK!$J$10="",$E688=CETAK!$J$10),OR(CETAK!$J$11="",$F688=CETAK!$J$11),OR(CETAK!$J$12="",$K688=CETAK!$J$12),OR(CETAK!$J$13="",$H688=CETAK!$J$13),OR(CETAK!$J$14="",$O688=CETAK!$J$14)),MAX($X$3:X687)+1,""))</f>
        <v/>
      </c>
      <c r="Y688" s="40" t="str">
        <f aca="false">IF($B688="","",IF(AND(OR(ABSENSI!$H$10="",$E688=ABSENSI!$H$10),OR(ABSENSI!$H$11="",$F688=ABSENSI!$H$11),OR(ABSENSI!$H$12="",$K688=ABSENSI!$H$12)),MAX($Y$3:Y687)+1,""))</f>
        <v/>
      </c>
      <c r="Z688" s="40" t="str">
        <f aca="false">IF($B688="","",IF(AND(OR(KARTU!$K$6="",$E688=KARTU!$K$6),OR(KARTU!$K$7="",$F688=KARTU!$K$7),OR(KARTU!$K$8="",$K688=KARTU!$K$8)),MAX($Z$3:Z687)+1,""))</f>
        <v/>
      </c>
    </row>
    <row r="689" customFormat="false" ht="15" hidden="false" customHeight="false" outlineLevel="0" collapsed="false">
      <c r="A689" s="36" t="str">
        <f aca="false">IF($B689="","",COUNTA($B$4:$B689))</f>
        <v/>
      </c>
      <c r="B689" s="37"/>
      <c r="C689" s="38"/>
      <c r="D689" s="39"/>
      <c r="E689" s="37"/>
      <c r="F689" s="39"/>
      <c r="G689" s="40" t="str">
        <f aca="false">IF(OR($E689="",$F689=""),"",$E689&amp;" - RT "&amp;$F689)</f>
        <v/>
      </c>
      <c r="H689" s="37"/>
      <c r="I689" s="38"/>
      <c r="J689" s="37"/>
      <c r="K689" s="39"/>
      <c r="L689" s="41"/>
      <c r="M689" s="36" t="str">
        <f aca="true">IF(OR($B689="",$L689=""),"",DATEDIF($L689,TODAY(),"Y"))</f>
        <v/>
      </c>
      <c r="N689" s="40" t="str">
        <f aca="false">IF($M689="","",INDEX(usia_label,MATCH($M689,usia_min,1)))</f>
        <v/>
      </c>
      <c r="O689" s="37"/>
      <c r="P689" s="41"/>
      <c r="Q689" s="37"/>
      <c r="R689" s="37"/>
      <c r="S689" s="40" t="str">
        <f aca="false">IF($G689="","",$G689&amp;"#"&amp;COUNTIF($G$4:$G689,$G689))</f>
        <v/>
      </c>
      <c r="T689" s="40" t="str">
        <f aca="false">IF($B689="","",IF($C689="","NIK kosong",IF(LEN($C689)&lt;&gt;16,"NIK bukan 16 digit",IF(COUNTIF($C$4:$C$2003,$C689&amp;"*")&gt;1,"NIK ganda",IF($E689="","Kadus kosong",IF($F689="","RT kosong",IF($H689="","Jabatan kosong",IF($I689="","No. HP kosong",IF($J689="","Alamat kosong",IF(AND($M689&lt;&gt;"",$M689&lt;17),"Usia di bawah 17",""))))))))))</f>
        <v/>
      </c>
      <c r="U689" s="40" t="str">
        <f aca="false">IF($B689="","",IF(AND(OR(CARI!$C$5="",ISNUMBER(SEARCH(CARI!$C$5,$B689&amp;" "&amp;$C689&amp;" "&amp;$I689&amp;" "&amp;$J689&amp;" "&amp;$Q689))),OR(CARI!$C$6="",$E689=CARI!$C$6),OR(CARI!$C$7="",$F689=CARI!$C$7),OR(CARI!$C$8="",$O689=CARI!$C$8)),MAX($U$3:U688)+1,""))</f>
        <v/>
      </c>
      <c r="V689" s="40" t="str">
        <f aca="false">IF($T689="","",MAX($V$3:V688)+1)</f>
        <v/>
      </c>
      <c r="W689" s="40" t="str">
        <f aca="false">IF($E689="","",$E689&amp;"#"&amp;COUNTIF($E$4:$E689,$E689))</f>
        <v/>
      </c>
      <c r="X689" s="40" t="str">
        <f aca="false">IF($B689="","",IF(AND(OR(CETAK!$J$10="",$E689=CETAK!$J$10),OR(CETAK!$J$11="",$F689=CETAK!$J$11),OR(CETAK!$J$12="",$K689=CETAK!$J$12),OR(CETAK!$J$13="",$H689=CETAK!$J$13),OR(CETAK!$J$14="",$O689=CETAK!$J$14)),MAX($X$3:X688)+1,""))</f>
        <v/>
      </c>
      <c r="Y689" s="40" t="str">
        <f aca="false">IF($B689="","",IF(AND(OR(ABSENSI!$H$10="",$E689=ABSENSI!$H$10),OR(ABSENSI!$H$11="",$F689=ABSENSI!$H$11),OR(ABSENSI!$H$12="",$K689=ABSENSI!$H$12)),MAX($Y$3:Y688)+1,""))</f>
        <v/>
      </c>
      <c r="Z689" s="40" t="str">
        <f aca="false">IF($B689="","",IF(AND(OR(KARTU!$K$6="",$E689=KARTU!$K$6),OR(KARTU!$K$7="",$F689=KARTU!$K$7),OR(KARTU!$K$8="",$K689=KARTU!$K$8)),MAX($Z$3:Z688)+1,""))</f>
        <v/>
      </c>
    </row>
    <row r="690" customFormat="false" ht="15" hidden="false" customHeight="false" outlineLevel="0" collapsed="false">
      <c r="A690" s="36" t="str">
        <f aca="false">IF($B690="","",COUNTA($B$4:$B690))</f>
        <v/>
      </c>
      <c r="B690" s="37"/>
      <c r="C690" s="38"/>
      <c r="D690" s="39"/>
      <c r="E690" s="37"/>
      <c r="F690" s="39"/>
      <c r="G690" s="40" t="str">
        <f aca="false">IF(OR($E690="",$F690=""),"",$E690&amp;" - RT "&amp;$F690)</f>
        <v/>
      </c>
      <c r="H690" s="37"/>
      <c r="I690" s="38"/>
      <c r="J690" s="37"/>
      <c r="K690" s="39"/>
      <c r="L690" s="41"/>
      <c r="M690" s="36" t="str">
        <f aca="true">IF(OR($B690="",$L690=""),"",DATEDIF($L690,TODAY(),"Y"))</f>
        <v/>
      </c>
      <c r="N690" s="40" t="str">
        <f aca="false">IF($M690="","",INDEX(usia_label,MATCH($M690,usia_min,1)))</f>
        <v/>
      </c>
      <c r="O690" s="37"/>
      <c r="P690" s="41"/>
      <c r="Q690" s="37"/>
      <c r="R690" s="37"/>
      <c r="S690" s="40" t="str">
        <f aca="false">IF($G690="","",$G690&amp;"#"&amp;COUNTIF($G$4:$G690,$G690))</f>
        <v/>
      </c>
      <c r="T690" s="40" t="str">
        <f aca="false">IF($B690="","",IF($C690="","NIK kosong",IF(LEN($C690)&lt;&gt;16,"NIK bukan 16 digit",IF(COUNTIF($C$4:$C$2003,$C690&amp;"*")&gt;1,"NIK ganda",IF($E690="","Kadus kosong",IF($F690="","RT kosong",IF($H690="","Jabatan kosong",IF($I690="","No. HP kosong",IF($J690="","Alamat kosong",IF(AND($M690&lt;&gt;"",$M690&lt;17),"Usia di bawah 17",""))))))))))</f>
        <v/>
      </c>
      <c r="U690" s="40" t="str">
        <f aca="false">IF($B690="","",IF(AND(OR(CARI!$C$5="",ISNUMBER(SEARCH(CARI!$C$5,$B690&amp;" "&amp;$C690&amp;" "&amp;$I690&amp;" "&amp;$J690&amp;" "&amp;$Q690))),OR(CARI!$C$6="",$E690=CARI!$C$6),OR(CARI!$C$7="",$F690=CARI!$C$7),OR(CARI!$C$8="",$O690=CARI!$C$8)),MAX($U$3:U689)+1,""))</f>
        <v/>
      </c>
      <c r="V690" s="40" t="str">
        <f aca="false">IF($T690="","",MAX($V$3:V689)+1)</f>
        <v/>
      </c>
      <c r="W690" s="40" t="str">
        <f aca="false">IF($E690="","",$E690&amp;"#"&amp;COUNTIF($E$4:$E690,$E690))</f>
        <v/>
      </c>
      <c r="X690" s="40" t="str">
        <f aca="false">IF($B690="","",IF(AND(OR(CETAK!$J$10="",$E690=CETAK!$J$10),OR(CETAK!$J$11="",$F690=CETAK!$J$11),OR(CETAK!$J$12="",$K690=CETAK!$J$12),OR(CETAK!$J$13="",$H690=CETAK!$J$13),OR(CETAK!$J$14="",$O690=CETAK!$J$14)),MAX($X$3:X689)+1,""))</f>
        <v/>
      </c>
      <c r="Y690" s="40" t="str">
        <f aca="false">IF($B690="","",IF(AND(OR(ABSENSI!$H$10="",$E690=ABSENSI!$H$10),OR(ABSENSI!$H$11="",$F690=ABSENSI!$H$11),OR(ABSENSI!$H$12="",$K690=ABSENSI!$H$12)),MAX($Y$3:Y689)+1,""))</f>
        <v/>
      </c>
      <c r="Z690" s="40" t="str">
        <f aca="false">IF($B690="","",IF(AND(OR(KARTU!$K$6="",$E690=KARTU!$K$6),OR(KARTU!$K$7="",$F690=KARTU!$K$7),OR(KARTU!$K$8="",$K690=KARTU!$K$8)),MAX($Z$3:Z689)+1,""))</f>
        <v/>
      </c>
    </row>
    <row r="691" customFormat="false" ht="15" hidden="false" customHeight="false" outlineLevel="0" collapsed="false">
      <c r="A691" s="36" t="str">
        <f aca="false">IF($B691="","",COUNTA($B$4:$B691))</f>
        <v/>
      </c>
      <c r="B691" s="37"/>
      <c r="C691" s="38"/>
      <c r="D691" s="39"/>
      <c r="E691" s="37"/>
      <c r="F691" s="39"/>
      <c r="G691" s="40" t="str">
        <f aca="false">IF(OR($E691="",$F691=""),"",$E691&amp;" - RT "&amp;$F691)</f>
        <v/>
      </c>
      <c r="H691" s="37"/>
      <c r="I691" s="38"/>
      <c r="J691" s="37"/>
      <c r="K691" s="39"/>
      <c r="L691" s="41"/>
      <c r="M691" s="36" t="str">
        <f aca="true">IF(OR($B691="",$L691=""),"",DATEDIF($L691,TODAY(),"Y"))</f>
        <v/>
      </c>
      <c r="N691" s="40" t="str">
        <f aca="false">IF($M691="","",INDEX(usia_label,MATCH($M691,usia_min,1)))</f>
        <v/>
      </c>
      <c r="O691" s="37"/>
      <c r="P691" s="41"/>
      <c r="Q691" s="37"/>
      <c r="R691" s="37"/>
      <c r="S691" s="40" t="str">
        <f aca="false">IF($G691="","",$G691&amp;"#"&amp;COUNTIF($G$4:$G691,$G691))</f>
        <v/>
      </c>
      <c r="T691" s="40" t="str">
        <f aca="false">IF($B691="","",IF($C691="","NIK kosong",IF(LEN($C691)&lt;&gt;16,"NIK bukan 16 digit",IF(COUNTIF($C$4:$C$2003,$C691&amp;"*")&gt;1,"NIK ganda",IF($E691="","Kadus kosong",IF($F691="","RT kosong",IF($H691="","Jabatan kosong",IF($I691="","No. HP kosong",IF($J691="","Alamat kosong",IF(AND($M691&lt;&gt;"",$M691&lt;17),"Usia di bawah 17",""))))))))))</f>
        <v/>
      </c>
      <c r="U691" s="40" t="str">
        <f aca="false">IF($B691="","",IF(AND(OR(CARI!$C$5="",ISNUMBER(SEARCH(CARI!$C$5,$B691&amp;" "&amp;$C691&amp;" "&amp;$I691&amp;" "&amp;$J691&amp;" "&amp;$Q691))),OR(CARI!$C$6="",$E691=CARI!$C$6),OR(CARI!$C$7="",$F691=CARI!$C$7),OR(CARI!$C$8="",$O691=CARI!$C$8)),MAX($U$3:U690)+1,""))</f>
        <v/>
      </c>
      <c r="V691" s="40" t="str">
        <f aca="false">IF($T691="","",MAX($V$3:V690)+1)</f>
        <v/>
      </c>
      <c r="W691" s="40" t="str">
        <f aca="false">IF($E691="","",$E691&amp;"#"&amp;COUNTIF($E$4:$E691,$E691))</f>
        <v/>
      </c>
      <c r="X691" s="40" t="str">
        <f aca="false">IF($B691="","",IF(AND(OR(CETAK!$J$10="",$E691=CETAK!$J$10),OR(CETAK!$J$11="",$F691=CETAK!$J$11),OR(CETAK!$J$12="",$K691=CETAK!$J$12),OR(CETAK!$J$13="",$H691=CETAK!$J$13),OR(CETAK!$J$14="",$O691=CETAK!$J$14)),MAX($X$3:X690)+1,""))</f>
        <v/>
      </c>
      <c r="Y691" s="40" t="str">
        <f aca="false">IF($B691="","",IF(AND(OR(ABSENSI!$H$10="",$E691=ABSENSI!$H$10),OR(ABSENSI!$H$11="",$F691=ABSENSI!$H$11),OR(ABSENSI!$H$12="",$K691=ABSENSI!$H$12)),MAX($Y$3:Y690)+1,""))</f>
        <v/>
      </c>
      <c r="Z691" s="40" t="str">
        <f aca="false">IF($B691="","",IF(AND(OR(KARTU!$K$6="",$E691=KARTU!$K$6),OR(KARTU!$K$7="",$F691=KARTU!$K$7),OR(KARTU!$K$8="",$K691=KARTU!$K$8)),MAX($Z$3:Z690)+1,""))</f>
        <v/>
      </c>
    </row>
    <row r="692" customFormat="false" ht="15" hidden="false" customHeight="false" outlineLevel="0" collapsed="false">
      <c r="A692" s="36" t="str">
        <f aca="false">IF($B692="","",COUNTA($B$4:$B692))</f>
        <v/>
      </c>
      <c r="B692" s="37"/>
      <c r="C692" s="38"/>
      <c r="D692" s="39"/>
      <c r="E692" s="37"/>
      <c r="F692" s="39"/>
      <c r="G692" s="40" t="str">
        <f aca="false">IF(OR($E692="",$F692=""),"",$E692&amp;" - RT "&amp;$F692)</f>
        <v/>
      </c>
      <c r="H692" s="37"/>
      <c r="I692" s="38"/>
      <c r="J692" s="37"/>
      <c r="K692" s="39"/>
      <c r="L692" s="41"/>
      <c r="M692" s="36" t="str">
        <f aca="true">IF(OR($B692="",$L692=""),"",DATEDIF($L692,TODAY(),"Y"))</f>
        <v/>
      </c>
      <c r="N692" s="40" t="str">
        <f aca="false">IF($M692="","",INDEX(usia_label,MATCH($M692,usia_min,1)))</f>
        <v/>
      </c>
      <c r="O692" s="37"/>
      <c r="P692" s="41"/>
      <c r="Q692" s="37"/>
      <c r="R692" s="37"/>
      <c r="S692" s="40" t="str">
        <f aca="false">IF($G692="","",$G692&amp;"#"&amp;COUNTIF($G$4:$G692,$G692))</f>
        <v/>
      </c>
      <c r="T692" s="40" t="str">
        <f aca="false">IF($B692="","",IF($C692="","NIK kosong",IF(LEN($C692)&lt;&gt;16,"NIK bukan 16 digit",IF(COUNTIF($C$4:$C$2003,$C692&amp;"*")&gt;1,"NIK ganda",IF($E692="","Kadus kosong",IF($F692="","RT kosong",IF($H692="","Jabatan kosong",IF($I692="","No. HP kosong",IF($J692="","Alamat kosong",IF(AND($M692&lt;&gt;"",$M692&lt;17),"Usia di bawah 17",""))))))))))</f>
        <v/>
      </c>
      <c r="U692" s="40" t="str">
        <f aca="false">IF($B692="","",IF(AND(OR(CARI!$C$5="",ISNUMBER(SEARCH(CARI!$C$5,$B692&amp;" "&amp;$C692&amp;" "&amp;$I692&amp;" "&amp;$J692&amp;" "&amp;$Q692))),OR(CARI!$C$6="",$E692=CARI!$C$6),OR(CARI!$C$7="",$F692=CARI!$C$7),OR(CARI!$C$8="",$O692=CARI!$C$8)),MAX($U$3:U691)+1,""))</f>
        <v/>
      </c>
      <c r="V692" s="40" t="str">
        <f aca="false">IF($T692="","",MAX($V$3:V691)+1)</f>
        <v/>
      </c>
      <c r="W692" s="40" t="str">
        <f aca="false">IF($E692="","",$E692&amp;"#"&amp;COUNTIF($E$4:$E692,$E692))</f>
        <v/>
      </c>
      <c r="X692" s="40" t="str">
        <f aca="false">IF($B692="","",IF(AND(OR(CETAK!$J$10="",$E692=CETAK!$J$10),OR(CETAK!$J$11="",$F692=CETAK!$J$11),OR(CETAK!$J$12="",$K692=CETAK!$J$12),OR(CETAK!$J$13="",$H692=CETAK!$J$13),OR(CETAK!$J$14="",$O692=CETAK!$J$14)),MAX($X$3:X691)+1,""))</f>
        <v/>
      </c>
      <c r="Y692" s="40" t="str">
        <f aca="false">IF($B692="","",IF(AND(OR(ABSENSI!$H$10="",$E692=ABSENSI!$H$10),OR(ABSENSI!$H$11="",$F692=ABSENSI!$H$11),OR(ABSENSI!$H$12="",$K692=ABSENSI!$H$12)),MAX($Y$3:Y691)+1,""))</f>
        <v/>
      </c>
      <c r="Z692" s="40" t="str">
        <f aca="false">IF($B692="","",IF(AND(OR(KARTU!$K$6="",$E692=KARTU!$K$6),OR(KARTU!$K$7="",$F692=KARTU!$K$7),OR(KARTU!$K$8="",$K692=KARTU!$K$8)),MAX($Z$3:Z691)+1,""))</f>
        <v/>
      </c>
    </row>
    <row r="693" customFormat="false" ht="15" hidden="false" customHeight="false" outlineLevel="0" collapsed="false">
      <c r="A693" s="36" t="str">
        <f aca="false">IF($B693="","",COUNTA($B$4:$B693))</f>
        <v/>
      </c>
      <c r="B693" s="37"/>
      <c r="C693" s="38"/>
      <c r="D693" s="39"/>
      <c r="E693" s="37"/>
      <c r="F693" s="39"/>
      <c r="G693" s="40" t="str">
        <f aca="false">IF(OR($E693="",$F693=""),"",$E693&amp;" - RT "&amp;$F693)</f>
        <v/>
      </c>
      <c r="H693" s="37"/>
      <c r="I693" s="38"/>
      <c r="J693" s="37"/>
      <c r="K693" s="39"/>
      <c r="L693" s="41"/>
      <c r="M693" s="36" t="str">
        <f aca="true">IF(OR($B693="",$L693=""),"",DATEDIF($L693,TODAY(),"Y"))</f>
        <v/>
      </c>
      <c r="N693" s="40" t="str">
        <f aca="false">IF($M693="","",INDEX(usia_label,MATCH($M693,usia_min,1)))</f>
        <v/>
      </c>
      <c r="O693" s="37"/>
      <c r="P693" s="41"/>
      <c r="Q693" s="37"/>
      <c r="R693" s="37"/>
      <c r="S693" s="40" t="str">
        <f aca="false">IF($G693="","",$G693&amp;"#"&amp;COUNTIF($G$4:$G693,$G693))</f>
        <v/>
      </c>
      <c r="T693" s="40" t="str">
        <f aca="false">IF($B693="","",IF($C693="","NIK kosong",IF(LEN($C693)&lt;&gt;16,"NIK bukan 16 digit",IF(COUNTIF($C$4:$C$2003,$C693&amp;"*")&gt;1,"NIK ganda",IF($E693="","Kadus kosong",IF($F693="","RT kosong",IF($H693="","Jabatan kosong",IF($I693="","No. HP kosong",IF($J693="","Alamat kosong",IF(AND($M693&lt;&gt;"",$M693&lt;17),"Usia di bawah 17",""))))))))))</f>
        <v/>
      </c>
      <c r="U693" s="40" t="str">
        <f aca="false">IF($B693="","",IF(AND(OR(CARI!$C$5="",ISNUMBER(SEARCH(CARI!$C$5,$B693&amp;" "&amp;$C693&amp;" "&amp;$I693&amp;" "&amp;$J693&amp;" "&amp;$Q693))),OR(CARI!$C$6="",$E693=CARI!$C$6),OR(CARI!$C$7="",$F693=CARI!$C$7),OR(CARI!$C$8="",$O693=CARI!$C$8)),MAX($U$3:U692)+1,""))</f>
        <v/>
      </c>
      <c r="V693" s="40" t="str">
        <f aca="false">IF($T693="","",MAX($V$3:V692)+1)</f>
        <v/>
      </c>
      <c r="W693" s="40" t="str">
        <f aca="false">IF($E693="","",$E693&amp;"#"&amp;COUNTIF($E$4:$E693,$E693))</f>
        <v/>
      </c>
      <c r="X693" s="40" t="str">
        <f aca="false">IF($B693="","",IF(AND(OR(CETAK!$J$10="",$E693=CETAK!$J$10),OR(CETAK!$J$11="",$F693=CETAK!$J$11),OR(CETAK!$J$12="",$K693=CETAK!$J$12),OR(CETAK!$J$13="",$H693=CETAK!$J$13),OR(CETAK!$J$14="",$O693=CETAK!$J$14)),MAX($X$3:X692)+1,""))</f>
        <v/>
      </c>
      <c r="Y693" s="40" t="str">
        <f aca="false">IF($B693="","",IF(AND(OR(ABSENSI!$H$10="",$E693=ABSENSI!$H$10),OR(ABSENSI!$H$11="",$F693=ABSENSI!$H$11),OR(ABSENSI!$H$12="",$K693=ABSENSI!$H$12)),MAX($Y$3:Y692)+1,""))</f>
        <v/>
      </c>
      <c r="Z693" s="40" t="str">
        <f aca="false">IF($B693="","",IF(AND(OR(KARTU!$K$6="",$E693=KARTU!$K$6),OR(KARTU!$K$7="",$F693=KARTU!$K$7),OR(KARTU!$K$8="",$K693=KARTU!$K$8)),MAX($Z$3:Z692)+1,""))</f>
        <v/>
      </c>
    </row>
    <row r="694" customFormat="false" ht="15" hidden="false" customHeight="false" outlineLevel="0" collapsed="false">
      <c r="A694" s="36" t="str">
        <f aca="false">IF($B694="","",COUNTA($B$4:$B694))</f>
        <v/>
      </c>
      <c r="B694" s="37"/>
      <c r="C694" s="38"/>
      <c r="D694" s="39"/>
      <c r="E694" s="37"/>
      <c r="F694" s="39"/>
      <c r="G694" s="40" t="str">
        <f aca="false">IF(OR($E694="",$F694=""),"",$E694&amp;" - RT "&amp;$F694)</f>
        <v/>
      </c>
      <c r="H694" s="37"/>
      <c r="I694" s="38"/>
      <c r="J694" s="37"/>
      <c r="K694" s="39"/>
      <c r="L694" s="41"/>
      <c r="M694" s="36" t="str">
        <f aca="true">IF(OR($B694="",$L694=""),"",DATEDIF($L694,TODAY(),"Y"))</f>
        <v/>
      </c>
      <c r="N694" s="40" t="str">
        <f aca="false">IF($M694="","",INDEX(usia_label,MATCH($M694,usia_min,1)))</f>
        <v/>
      </c>
      <c r="O694" s="37"/>
      <c r="P694" s="41"/>
      <c r="Q694" s="37"/>
      <c r="R694" s="37"/>
      <c r="S694" s="40" t="str">
        <f aca="false">IF($G694="","",$G694&amp;"#"&amp;COUNTIF($G$4:$G694,$G694))</f>
        <v/>
      </c>
      <c r="T694" s="40" t="str">
        <f aca="false">IF($B694="","",IF($C694="","NIK kosong",IF(LEN($C694)&lt;&gt;16,"NIK bukan 16 digit",IF(COUNTIF($C$4:$C$2003,$C694&amp;"*")&gt;1,"NIK ganda",IF($E694="","Kadus kosong",IF($F694="","RT kosong",IF($H694="","Jabatan kosong",IF($I694="","No. HP kosong",IF($J694="","Alamat kosong",IF(AND($M694&lt;&gt;"",$M694&lt;17),"Usia di bawah 17",""))))))))))</f>
        <v/>
      </c>
      <c r="U694" s="40" t="str">
        <f aca="false">IF($B694="","",IF(AND(OR(CARI!$C$5="",ISNUMBER(SEARCH(CARI!$C$5,$B694&amp;" "&amp;$C694&amp;" "&amp;$I694&amp;" "&amp;$J694&amp;" "&amp;$Q694))),OR(CARI!$C$6="",$E694=CARI!$C$6),OR(CARI!$C$7="",$F694=CARI!$C$7),OR(CARI!$C$8="",$O694=CARI!$C$8)),MAX($U$3:U693)+1,""))</f>
        <v/>
      </c>
      <c r="V694" s="40" t="str">
        <f aca="false">IF($T694="","",MAX($V$3:V693)+1)</f>
        <v/>
      </c>
      <c r="W694" s="40" t="str">
        <f aca="false">IF($E694="","",$E694&amp;"#"&amp;COUNTIF($E$4:$E694,$E694))</f>
        <v/>
      </c>
      <c r="X694" s="40" t="str">
        <f aca="false">IF($B694="","",IF(AND(OR(CETAK!$J$10="",$E694=CETAK!$J$10),OR(CETAK!$J$11="",$F694=CETAK!$J$11),OR(CETAK!$J$12="",$K694=CETAK!$J$12),OR(CETAK!$J$13="",$H694=CETAK!$J$13),OR(CETAK!$J$14="",$O694=CETAK!$J$14)),MAX($X$3:X693)+1,""))</f>
        <v/>
      </c>
      <c r="Y694" s="40" t="str">
        <f aca="false">IF($B694="","",IF(AND(OR(ABSENSI!$H$10="",$E694=ABSENSI!$H$10),OR(ABSENSI!$H$11="",$F694=ABSENSI!$H$11),OR(ABSENSI!$H$12="",$K694=ABSENSI!$H$12)),MAX($Y$3:Y693)+1,""))</f>
        <v/>
      </c>
      <c r="Z694" s="40" t="str">
        <f aca="false">IF($B694="","",IF(AND(OR(KARTU!$K$6="",$E694=KARTU!$K$6),OR(KARTU!$K$7="",$F694=KARTU!$K$7),OR(KARTU!$K$8="",$K694=KARTU!$K$8)),MAX($Z$3:Z693)+1,""))</f>
        <v/>
      </c>
    </row>
    <row r="695" customFormat="false" ht="15" hidden="false" customHeight="false" outlineLevel="0" collapsed="false">
      <c r="A695" s="36" t="str">
        <f aca="false">IF($B695="","",COUNTA($B$4:$B695))</f>
        <v/>
      </c>
      <c r="B695" s="37"/>
      <c r="C695" s="38"/>
      <c r="D695" s="39"/>
      <c r="E695" s="37"/>
      <c r="F695" s="39"/>
      <c r="G695" s="40" t="str">
        <f aca="false">IF(OR($E695="",$F695=""),"",$E695&amp;" - RT "&amp;$F695)</f>
        <v/>
      </c>
      <c r="H695" s="37"/>
      <c r="I695" s="38"/>
      <c r="J695" s="37"/>
      <c r="K695" s="39"/>
      <c r="L695" s="41"/>
      <c r="M695" s="36" t="str">
        <f aca="true">IF(OR($B695="",$L695=""),"",DATEDIF($L695,TODAY(),"Y"))</f>
        <v/>
      </c>
      <c r="N695" s="40" t="str">
        <f aca="false">IF($M695="","",INDEX(usia_label,MATCH($M695,usia_min,1)))</f>
        <v/>
      </c>
      <c r="O695" s="37"/>
      <c r="P695" s="41"/>
      <c r="Q695" s="37"/>
      <c r="R695" s="37"/>
      <c r="S695" s="40" t="str">
        <f aca="false">IF($G695="","",$G695&amp;"#"&amp;COUNTIF($G$4:$G695,$G695))</f>
        <v/>
      </c>
      <c r="T695" s="40" t="str">
        <f aca="false">IF($B695="","",IF($C695="","NIK kosong",IF(LEN($C695)&lt;&gt;16,"NIK bukan 16 digit",IF(COUNTIF($C$4:$C$2003,$C695&amp;"*")&gt;1,"NIK ganda",IF($E695="","Kadus kosong",IF($F695="","RT kosong",IF($H695="","Jabatan kosong",IF($I695="","No. HP kosong",IF($J695="","Alamat kosong",IF(AND($M695&lt;&gt;"",$M695&lt;17),"Usia di bawah 17",""))))))))))</f>
        <v/>
      </c>
      <c r="U695" s="40" t="str">
        <f aca="false">IF($B695="","",IF(AND(OR(CARI!$C$5="",ISNUMBER(SEARCH(CARI!$C$5,$B695&amp;" "&amp;$C695&amp;" "&amp;$I695&amp;" "&amp;$J695&amp;" "&amp;$Q695))),OR(CARI!$C$6="",$E695=CARI!$C$6),OR(CARI!$C$7="",$F695=CARI!$C$7),OR(CARI!$C$8="",$O695=CARI!$C$8)),MAX($U$3:U694)+1,""))</f>
        <v/>
      </c>
      <c r="V695" s="40" t="str">
        <f aca="false">IF($T695="","",MAX($V$3:V694)+1)</f>
        <v/>
      </c>
      <c r="W695" s="40" t="str">
        <f aca="false">IF($E695="","",$E695&amp;"#"&amp;COUNTIF($E$4:$E695,$E695))</f>
        <v/>
      </c>
      <c r="X695" s="40" t="str">
        <f aca="false">IF($B695="","",IF(AND(OR(CETAK!$J$10="",$E695=CETAK!$J$10),OR(CETAK!$J$11="",$F695=CETAK!$J$11),OR(CETAK!$J$12="",$K695=CETAK!$J$12),OR(CETAK!$J$13="",$H695=CETAK!$J$13),OR(CETAK!$J$14="",$O695=CETAK!$J$14)),MAX($X$3:X694)+1,""))</f>
        <v/>
      </c>
      <c r="Y695" s="40" t="str">
        <f aca="false">IF($B695="","",IF(AND(OR(ABSENSI!$H$10="",$E695=ABSENSI!$H$10),OR(ABSENSI!$H$11="",$F695=ABSENSI!$H$11),OR(ABSENSI!$H$12="",$K695=ABSENSI!$H$12)),MAX($Y$3:Y694)+1,""))</f>
        <v/>
      </c>
      <c r="Z695" s="40" t="str">
        <f aca="false">IF($B695="","",IF(AND(OR(KARTU!$K$6="",$E695=KARTU!$K$6),OR(KARTU!$K$7="",$F695=KARTU!$K$7),OR(KARTU!$K$8="",$K695=KARTU!$K$8)),MAX($Z$3:Z694)+1,""))</f>
        <v/>
      </c>
    </row>
    <row r="696" customFormat="false" ht="15" hidden="false" customHeight="false" outlineLevel="0" collapsed="false">
      <c r="A696" s="36" t="str">
        <f aca="false">IF($B696="","",COUNTA($B$4:$B696))</f>
        <v/>
      </c>
      <c r="B696" s="37"/>
      <c r="C696" s="38"/>
      <c r="D696" s="39"/>
      <c r="E696" s="37"/>
      <c r="F696" s="39"/>
      <c r="G696" s="40" t="str">
        <f aca="false">IF(OR($E696="",$F696=""),"",$E696&amp;" - RT "&amp;$F696)</f>
        <v/>
      </c>
      <c r="H696" s="37"/>
      <c r="I696" s="38"/>
      <c r="J696" s="37"/>
      <c r="K696" s="39"/>
      <c r="L696" s="41"/>
      <c r="M696" s="36" t="str">
        <f aca="true">IF(OR($B696="",$L696=""),"",DATEDIF($L696,TODAY(),"Y"))</f>
        <v/>
      </c>
      <c r="N696" s="40" t="str">
        <f aca="false">IF($M696="","",INDEX(usia_label,MATCH($M696,usia_min,1)))</f>
        <v/>
      </c>
      <c r="O696" s="37"/>
      <c r="P696" s="41"/>
      <c r="Q696" s="37"/>
      <c r="R696" s="37"/>
      <c r="S696" s="40" t="str">
        <f aca="false">IF($G696="","",$G696&amp;"#"&amp;COUNTIF($G$4:$G696,$G696))</f>
        <v/>
      </c>
      <c r="T696" s="40" t="str">
        <f aca="false">IF($B696="","",IF($C696="","NIK kosong",IF(LEN($C696)&lt;&gt;16,"NIK bukan 16 digit",IF(COUNTIF($C$4:$C$2003,$C696&amp;"*")&gt;1,"NIK ganda",IF($E696="","Kadus kosong",IF($F696="","RT kosong",IF($H696="","Jabatan kosong",IF($I696="","No. HP kosong",IF($J696="","Alamat kosong",IF(AND($M696&lt;&gt;"",$M696&lt;17),"Usia di bawah 17",""))))))))))</f>
        <v/>
      </c>
      <c r="U696" s="40" t="str">
        <f aca="false">IF($B696="","",IF(AND(OR(CARI!$C$5="",ISNUMBER(SEARCH(CARI!$C$5,$B696&amp;" "&amp;$C696&amp;" "&amp;$I696&amp;" "&amp;$J696&amp;" "&amp;$Q696))),OR(CARI!$C$6="",$E696=CARI!$C$6),OR(CARI!$C$7="",$F696=CARI!$C$7),OR(CARI!$C$8="",$O696=CARI!$C$8)),MAX($U$3:U695)+1,""))</f>
        <v/>
      </c>
      <c r="V696" s="40" t="str">
        <f aca="false">IF($T696="","",MAX($V$3:V695)+1)</f>
        <v/>
      </c>
      <c r="W696" s="40" t="str">
        <f aca="false">IF($E696="","",$E696&amp;"#"&amp;COUNTIF($E$4:$E696,$E696))</f>
        <v/>
      </c>
      <c r="X696" s="40" t="str">
        <f aca="false">IF($B696="","",IF(AND(OR(CETAK!$J$10="",$E696=CETAK!$J$10),OR(CETAK!$J$11="",$F696=CETAK!$J$11),OR(CETAK!$J$12="",$K696=CETAK!$J$12),OR(CETAK!$J$13="",$H696=CETAK!$J$13),OR(CETAK!$J$14="",$O696=CETAK!$J$14)),MAX($X$3:X695)+1,""))</f>
        <v/>
      </c>
      <c r="Y696" s="40" t="str">
        <f aca="false">IF($B696="","",IF(AND(OR(ABSENSI!$H$10="",$E696=ABSENSI!$H$10),OR(ABSENSI!$H$11="",$F696=ABSENSI!$H$11),OR(ABSENSI!$H$12="",$K696=ABSENSI!$H$12)),MAX($Y$3:Y695)+1,""))</f>
        <v/>
      </c>
      <c r="Z696" s="40" t="str">
        <f aca="false">IF($B696="","",IF(AND(OR(KARTU!$K$6="",$E696=KARTU!$K$6),OR(KARTU!$K$7="",$F696=KARTU!$K$7),OR(KARTU!$K$8="",$K696=KARTU!$K$8)),MAX($Z$3:Z695)+1,""))</f>
        <v/>
      </c>
    </row>
    <row r="697" customFormat="false" ht="15" hidden="false" customHeight="false" outlineLevel="0" collapsed="false">
      <c r="A697" s="36" t="str">
        <f aca="false">IF($B697="","",COUNTA($B$4:$B697))</f>
        <v/>
      </c>
      <c r="B697" s="37"/>
      <c r="C697" s="38"/>
      <c r="D697" s="39"/>
      <c r="E697" s="37"/>
      <c r="F697" s="39"/>
      <c r="G697" s="40" t="str">
        <f aca="false">IF(OR($E697="",$F697=""),"",$E697&amp;" - RT "&amp;$F697)</f>
        <v/>
      </c>
      <c r="H697" s="37"/>
      <c r="I697" s="38"/>
      <c r="J697" s="37"/>
      <c r="K697" s="39"/>
      <c r="L697" s="41"/>
      <c r="M697" s="36" t="str">
        <f aca="true">IF(OR($B697="",$L697=""),"",DATEDIF($L697,TODAY(),"Y"))</f>
        <v/>
      </c>
      <c r="N697" s="40" t="str">
        <f aca="false">IF($M697="","",INDEX(usia_label,MATCH($M697,usia_min,1)))</f>
        <v/>
      </c>
      <c r="O697" s="37"/>
      <c r="P697" s="41"/>
      <c r="Q697" s="37"/>
      <c r="R697" s="37"/>
      <c r="S697" s="40" t="str">
        <f aca="false">IF($G697="","",$G697&amp;"#"&amp;COUNTIF($G$4:$G697,$G697))</f>
        <v/>
      </c>
      <c r="T697" s="40" t="str">
        <f aca="false">IF($B697="","",IF($C697="","NIK kosong",IF(LEN($C697)&lt;&gt;16,"NIK bukan 16 digit",IF(COUNTIF($C$4:$C$2003,$C697&amp;"*")&gt;1,"NIK ganda",IF($E697="","Kadus kosong",IF($F697="","RT kosong",IF($H697="","Jabatan kosong",IF($I697="","No. HP kosong",IF($J697="","Alamat kosong",IF(AND($M697&lt;&gt;"",$M697&lt;17),"Usia di bawah 17",""))))))))))</f>
        <v/>
      </c>
      <c r="U697" s="40" t="str">
        <f aca="false">IF($B697="","",IF(AND(OR(CARI!$C$5="",ISNUMBER(SEARCH(CARI!$C$5,$B697&amp;" "&amp;$C697&amp;" "&amp;$I697&amp;" "&amp;$J697&amp;" "&amp;$Q697))),OR(CARI!$C$6="",$E697=CARI!$C$6),OR(CARI!$C$7="",$F697=CARI!$C$7),OR(CARI!$C$8="",$O697=CARI!$C$8)),MAX($U$3:U696)+1,""))</f>
        <v/>
      </c>
      <c r="V697" s="40" t="str">
        <f aca="false">IF($T697="","",MAX($V$3:V696)+1)</f>
        <v/>
      </c>
      <c r="W697" s="40" t="str">
        <f aca="false">IF($E697="","",$E697&amp;"#"&amp;COUNTIF($E$4:$E697,$E697))</f>
        <v/>
      </c>
      <c r="X697" s="40" t="str">
        <f aca="false">IF($B697="","",IF(AND(OR(CETAK!$J$10="",$E697=CETAK!$J$10),OR(CETAK!$J$11="",$F697=CETAK!$J$11),OR(CETAK!$J$12="",$K697=CETAK!$J$12),OR(CETAK!$J$13="",$H697=CETAK!$J$13),OR(CETAK!$J$14="",$O697=CETAK!$J$14)),MAX($X$3:X696)+1,""))</f>
        <v/>
      </c>
      <c r="Y697" s="40" t="str">
        <f aca="false">IF($B697="","",IF(AND(OR(ABSENSI!$H$10="",$E697=ABSENSI!$H$10),OR(ABSENSI!$H$11="",$F697=ABSENSI!$H$11),OR(ABSENSI!$H$12="",$K697=ABSENSI!$H$12)),MAX($Y$3:Y696)+1,""))</f>
        <v/>
      </c>
      <c r="Z697" s="40" t="str">
        <f aca="false">IF($B697="","",IF(AND(OR(KARTU!$K$6="",$E697=KARTU!$K$6),OR(KARTU!$K$7="",$F697=KARTU!$K$7),OR(KARTU!$K$8="",$K697=KARTU!$K$8)),MAX($Z$3:Z696)+1,""))</f>
        <v/>
      </c>
    </row>
    <row r="698" customFormat="false" ht="15" hidden="false" customHeight="false" outlineLevel="0" collapsed="false">
      <c r="A698" s="36" t="str">
        <f aca="false">IF($B698="","",COUNTA($B$4:$B698))</f>
        <v/>
      </c>
      <c r="B698" s="37"/>
      <c r="C698" s="38"/>
      <c r="D698" s="39"/>
      <c r="E698" s="37"/>
      <c r="F698" s="39"/>
      <c r="G698" s="40" t="str">
        <f aca="false">IF(OR($E698="",$F698=""),"",$E698&amp;" - RT "&amp;$F698)</f>
        <v/>
      </c>
      <c r="H698" s="37"/>
      <c r="I698" s="38"/>
      <c r="J698" s="37"/>
      <c r="K698" s="39"/>
      <c r="L698" s="41"/>
      <c r="M698" s="36" t="str">
        <f aca="true">IF(OR($B698="",$L698=""),"",DATEDIF($L698,TODAY(),"Y"))</f>
        <v/>
      </c>
      <c r="N698" s="40" t="str">
        <f aca="false">IF($M698="","",INDEX(usia_label,MATCH($M698,usia_min,1)))</f>
        <v/>
      </c>
      <c r="O698" s="37"/>
      <c r="P698" s="41"/>
      <c r="Q698" s="37"/>
      <c r="R698" s="37"/>
      <c r="S698" s="40" t="str">
        <f aca="false">IF($G698="","",$G698&amp;"#"&amp;COUNTIF($G$4:$G698,$G698))</f>
        <v/>
      </c>
      <c r="T698" s="40" t="str">
        <f aca="false">IF($B698="","",IF($C698="","NIK kosong",IF(LEN($C698)&lt;&gt;16,"NIK bukan 16 digit",IF(COUNTIF($C$4:$C$2003,$C698&amp;"*")&gt;1,"NIK ganda",IF($E698="","Kadus kosong",IF($F698="","RT kosong",IF($H698="","Jabatan kosong",IF($I698="","No. HP kosong",IF($J698="","Alamat kosong",IF(AND($M698&lt;&gt;"",$M698&lt;17),"Usia di bawah 17",""))))))))))</f>
        <v/>
      </c>
      <c r="U698" s="40" t="str">
        <f aca="false">IF($B698="","",IF(AND(OR(CARI!$C$5="",ISNUMBER(SEARCH(CARI!$C$5,$B698&amp;" "&amp;$C698&amp;" "&amp;$I698&amp;" "&amp;$J698&amp;" "&amp;$Q698))),OR(CARI!$C$6="",$E698=CARI!$C$6),OR(CARI!$C$7="",$F698=CARI!$C$7),OR(CARI!$C$8="",$O698=CARI!$C$8)),MAX($U$3:U697)+1,""))</f>
        <v/>
      </c>
      <c r="V698" s="40" t="str">
        <f aca="false">IF($T698="","",MAX($V$3:V697)+1)</f>
        <v/>
      </c>
      <c r="W698" s="40" t="str">
        <f aca="false">IF($E698="","",$E698&amp;"#"&amp;COUNTIF($E$4:$E698,$E698))</f>
        <v/>
      </c>
      <c r="X698" s="40" t="str">
        <f aca="false">IF($B698="","",IF(AND(OR(CETAK!$J$10="",$E698=CETAK!$J$10),OR(CETAK!$J$11="",$F698=CETAK!$J$11),OR(CETAK!$J$12="",$K698=CETAK!$J$12),OR(CETAK!$J$13="",$H698=CETAK!$J$13),OR(CETAK!$J$14="",$O698=CETAK!$J$14)),MAX($X$3:X697)+1,""))</f>
        <v/>
      </c>
      <c r="Y698" s="40" t="str">
        <f aca="false">IF($B698="","",IF(AND(OR(ABSENSI!$H$10="",$E698=ABSENSI!$H$10),OR(ABSENSI!$H$11="",$F698=ABSENSI!$H$11),OR(ABSENSI!$H$12="",$K698=ABSENSI!$H$12)),MAX($Y$3:Y697)+1,""))</f>
        <v/>
      </c>
      <c r="Z698" s="40" t="str">
        <f aca="false">IF($B698="","",IF(AND(OR(KARTU!$K$6="",$E698=KARTU!$K$6),OR(KARTU!$K$7="",$F698=KARTU!$K$7),OR(KARTU!$K$8="",$K698=KARTU!$K$8)),MAX($Z$3:Z697)+1,""))</f>
        <v/>
      </c>
    </row>
    <row r="699" customFormat="false" ht="15" hidden="false" customHeight="false" outlineLevel="0" collapsed="false">
      <c r="A699" s="36" t="str">
        <f aca="false">IF($B699="","",COUNTA($B$4:$B699))</f>
        <v/>
      </c>
      <c r="B699" s="37"/>
      <c r="C699" s="38"/>
      <c r="D699" s="39"/>
      <c r="E699" s="37"/>
      <c r="F699" s="39"/>
      <c r="G699" s="40" t="str">
        <f aca="false">IF(OR($E699="",$F699=""),"",$E699&amp;" - RT "&amp;$F699)</f>
        <v/>
      </c>
      <c r="H699" s="37"/>
      <c r="I699" s="38"/>
      <c r="J699" s="37"/>
      <c r="K699" s="39"/>
      <c r="L699" s="41"/>
      <c r="M699" s="36" t="str">
        <f aca="true">IF(OR($B699="",$L699=""),"",DATEDIF($L699,TODAY(),"Y"))</f>
        <v/>
      </c>
      <c r="N699" s="40" t="str">
        <f aca="false">IF($M699="","",INDEX(usia_label,MATCH($M699,usia_min,1)))</f>
        <v/>
      </c>
      <c r="O699" s="37"/>
      <c r="P699" s="41"/>
      <c r="Q699" s="37"/>
      <c r="R699" s="37"/>
      <c r="S699" s="40" t="str">
        <f aca="false">IF($G699="","",$G699&amp;"#"&amp;COUNTIF($G$4:$G699,$G699))</f>
        <v/>
      </c>
      <c r="T699" s="40" t="str">
        <f aca="false">IF($B699="","",IF($C699="","NIK kosong",IF(LEN($C699)&lt;&gt;16,"NIK bukan 16 digit",IF(COUNTIF($C$4:$C$2003,$C699&amp;"*")&gt;1,"NIK ganda",IF($E699="","Kadus kosong",IF($F699="","RT kosong",IF($H699="","Jabatan kosong",IF($I699="","No. HP kosong",IF($J699="","Alamat kosong",IF(AND($M699&lt;&gt;"",$M699&lt;17),"Usia di bawah 17",""))))))))))</f>
        <v/>
      </c>
      <c r="U699" s="40" t="str">
        <f aca="false">IF($B699="","",IF(AND(OR(CARI!$C$5="",ISNUMBER(SEARCH(CARI!$C$5,$B699&amp;" "&amp;$C699&amp;" "&amp;$I699&amp;" "&amp;$J699&amp;" "&amp;$Q699))),OR(CARI!$C$6="",$E699=CARI!$C$6),OR(CARI!$C$7="",$F699=CARI!$C$7),OR(CARI!$C$8="",$O699=CARI!$C$8)),MAX($U$3:U698)+1,""))</f>
        <v/>
      </c>
      <c r="V699" s="40" t="str">
        <f aca="false">IF($T699="","",MAX($V$3:V698)+1)</f>
        <v/>
      </c>
      <c r="W699" s="40" t="str">
        <f aca="false">IF($E699="","",$E699&amp;"#"&amp;COUNTIF($E$4:$E699,$E699))</f>
        <v/>
      </c>
      <c r="X699" s="40" t="str">
        <f aca="false">IF($B699="","",IF(AND(OR(CETAK!$J$10="",$E699=CETAK!$J$10),OR(CETAK!$J$11="",$F699=CETAK!$J$11),OR(CETAK!$J$12="",$K699=CETAK!$J$12),OR(CETAK!$J$13="",$H699=CETAK!$J$13),OR(CETAK!$J$14="",$O699=CETAK!$J$14)),MAX($X$3:X698)+1,""))</f>
        <v/>
      </c>
      <c r="Y699" s="40" t="str">
        <f aca="false">IF($B699="","",IF(AND(OR(ABSENSI!$H$10="",$E699=ABSENSI!$H$10),OR(ABSENSI!$H$11="",$F699=ABSENSI!$H$11),OR(ABSENSI!$H$12="",$K699=ABSENSI!$H$12)),MAX($Y$3:Y698)+1,""))</f>
        <v/>
      </c>
      <c r="Z699" s="40" t="str">
        <f aca="false">IF($B699="","",IF(AND(OR(KARTU!$K$6="",$E699=KARTU!$K$6),OR(KARTU!$K$7="",$F699=KARTU!$K$7),OR(KARTU!$K$8="",$K699=KARTU!$K$8)),MAX($Z$3:Z698)+1,""))</f>
        <v/>
      </c>
    </row>
    <row r="700" customFormat="false" ht="15" hidden="false" customHeight="false" outlineLevel="0" collapsed="false">
      <c r="A700" s="36" t="str">
        <f aca="false">IF($B700="","",COUNTA($B$4:$B700))</f>
        <v/>
      </c>
      <c r="B700" s="37"/>
      <c r="C700" s="38"/>
      <c r="D700" s="39"/>
      <c r="E700" s="37"/>
      <c r="F700" s="39"/>
      <c r="G700" s="40" t="str">
        <f aca="false">IF(OR($E700="",$F700=""),"",$E700&amp;" - RT "&amp;$F700)</f>
        <v/>
      </c>
      <c r="H700" s="37"/>
      <c r="I700" s="38"/>
      <c r="J700" s="37"/>
      <c r="K700" s="39"/>
      <c r="L700" s="41"/>
      <c r="M700" s="36" t="str">
        <f aca="true">IF(OR($B700="",$L700=""),"",DATEDIF($L700,TODAY(),"Y"))</f>
        <v/>
      </c>
      <c r="N700" s="40" t="str">
        <f aca="false">IF($M700="","",INDEX(usia_label,MATCH($M700,usia_min,1)))</f>
        <v/>
      </c>
      <c r="O700" s="37"/>
      <c r="P700" s="41"/>
      <c r="Q700" s="37"/>
      <c r="R700" s="37"/>
      <c r="S700" s="40" t="str">
        <f aca="false">IF($G700="","",$G700&amp;"#"&amp;COUNTIF($G$4:$G700,$G700))</f>
        <v/>
      </c>
      <c r="T700" s="40" t="str">
        <f aca="false">IF($B700="","",IF($C700="","NIK kosong",IF(LEN($C700)&lt;&gt;16,"NIK bukan 16 digit",IF(COUNTIF($C$4:$C$2003,$C700&amp;"*")&gt;1,"NIK ganda",IF($E700="","Kadus kosong",IF($F700="","RT kosong",IF($H700="","Jabatan kosong",IF($I700="","No. HP kosong",IF($J700="","Alamat kosong",IF(AND($M700&lt;&gt;"",$M700&lt;17),"Usia di bawah 17",""))))))))))</f>
        <v/>
      </c>
      <c r="U700" s="40" t="str">
        <f aca="false">IF($B700="","",IF(AND(OR(CARI!$C$5="",ISNUMBER(SEARCH(CARI!$C$5,$B700&amp;" "&amp;$C700&amp;" "&amp;$I700&amp;" "&amp;$J700&amp;" "&amp;$Q700))),OR(CARI!$C$6="",$E700=CARI!$C$6),OR(CARI!$C$7="",$F700=CARI!$C$7),OR(CARI!$C$8="",$O700=CARI!$C$8)),MAX($U$3:U699)+1,""))</f>
        <v/>
      </c>
      <c r="V700" s="40" t="str">
        <f aca="false">IF($T700="","",MAX($V$3:V699)+1)</f>
        <v/>
      </c>
      <c r="W700" s="40" t="str">
        <f aca="false">IF($E700="","",$E700&amp;"#"&amp;COUNTIF($E$4:$E700,$E700))</f>
        <v/>
      </c>
      <c r="X700" s="40" t="str">
        <f aca="false">IF($B700="","",IF(AND(OR(CETAK!$J$10="",$E700=CETAK!$J$10),OR(CETAK!$J$11="",$F700=CETAK!$J$11),OR(CETAK!$J$12="",$K700=CETAK!$J$12),OR(CETAK!$J$13="",$H700=CETAK!$J$13),OR(CETAK!$J$14="",$O700=CETAK!$J$14)),MAX($X$3:X699)+1,""))</f>
        <v/>
      </c>
      <c r="Y700" s="40" t="str">
        <f aca="false">IF($B700="","",IF(AND(OR(ABSENSI!$H$10="",$E700=ABSENSI!$H$10),OR(ABSENSI!$H$11="",$F700=ABSENSI!$H$11),OR(ABSENSI!$H$12="",$K700=ABSENSI!$H$12)),MAX($Y$3:Y699)+1,""))</f>
        <v/>
      </c>
      <c r="Z700" s="40" t="str">
        <f aca="false">IF($B700="","",IF(AND(OR(KARTU!$K$6="",$E700=KARTU!$K$6),OR(KARTU!$K$7="",$F700=KARTU!$K$7),OR(KARTU!$K$8="",$K700=KARTU!$K$8)),MAX($Z$3:Z699)+1,""))</f>
        <v/>
      </c>
    </row>
    <row r="701" customFormat="false" ht="15" hidden="false" customHeight="false" outlineLevel="0" collapsed="false">
      <c r="A701" s="36" t="str">
        <f aca="false">IF($B701="","",COUNTA($B$4:$B701))</f>
        <v/>
      </c>
      <c r="B701" s="37"/>
      <c r="C701" s="38"/>
      <c r="D701" s="39"/>
      <c r="E701" s="37"/>
      <c r="F701" s="39"/>
      <c r="G701" s="40" t="str">
        <f aca="false">IF(OR($E701="",$F701=""),"",$E701&amp;" - RT "&amp;$F701)</f>
        <v/>
      </c>
      <c r="H701" s="37"/>
      <c r="I701" s="38"/>
      <c r="J701" s="37"/>
      <c r="K701" s="39"/>
      <c r="L701" s="41"/>
      <c r="M701" s="36" t="str">
        <f aca="true">IF(OR($B701="",$L701=""),"",DATEDIF($L701,TODAY(),"Y"))</f>
        <v/>
      </c>
      <c r="N701" s="40" t="str">
        <f aca="false">IF($M701="","",INDEX(usia_label,MATCH($M701,usia_min,1)))</f>
        <v/>
      </c>
      <c r="O701" s="37"/>
      <c r="P701" s="41"/>
      <c r="Q701" s="37"/>
      <c r="R701" s="37"/>
      <c r="S701" s="40" t="str">
        <f aca="false">IF($G701="","",$G701&amp;"#"&amp;COUNTIF($G$4:$G701,$G701))</f>
        <v/>
      </c>
      <c r="T701" s="40" t="str">
        <f aca="false">IF($B701="","",IF($C701="","NIK kosong",IF(LEN($C701)&lt;&gt;16,"NIK bukan 16 digit",IF(COUNTIF($C$4:$C$2003,$C701&amp;"*")&gt;1,"NIK ganda",IF($E701="","Kadus kosong",IF($F701="","RT kosong",IF($H701="","Jabatan kosong",IF($I701="","No. HP kosong",IF($J701="","Alamat kosong",IF(AND($M701&lt;&gt;"",$M701&lt;17),"Usia di bawah 17",""))))))))))</f>
        <v/>
      </c>
      <c r="U701" s="40" t="str">
        <f aca="false">IF($B701="","",IF(AND(OR(CARI!$C$5="",ISNUMBER(SEARCH(CARI!$C$5,$B701&amp;" "&amp;$C701&amp;" "&amp;$I701&amp;" "&amp;$J701&amp;" "&amp;$Q701))),OR(CARI!$C$6="",$E701=CARI!$C$6),OR(CARI!$C$7="",$F701=CARI!$C$7),OR(CARI!$C$8="",$O701=CARI!$C$8)),MAX($U$3:U700)+1,""))</f>
        <v/>
      </c>
      <c r="V701" s="40" t="str">
        <f aca="false">IF($T701="","",MAX($V$3:V700)+1)</f>
        <v/>
      </c>
      <c r="W701" s="40" t="str">
        <f aca="false">IF($E701="","",$E701&amp;"#"&amp;COUNTIF($E$4:$E701,$E701))</f>
        <v/>
      </c>
      <c r="X701" s="40" t="str">
        <f aca="false">IF($B701="","",IF(AND(OR(CETAK!$J$10="",$E701=CETAK!$J$10),OR(CETAK!$J$11="",$F701=CETAK!$J$11),OR(CETAK!$J$12="",$K701=CETAK!$J$12),OR(CETAK!$J$13="",$H701=CETAK!$J$13),OR(CETAK!$J$14="",$O701=CETAK!$J$14)),MAX($X$3:X700)+1,""))</f>
        <v/>
      </c>
      <c r="Y701" s="40" t="str">
        <f aca="false">IF($B701="","",IF(AND(OR(ABSENSI!$H$10="",$E701=ABSENSI!$H$10),OR(ABSENSI!$H$11="",$F701=ABSENSI!$H$11),OR(ABSENSI!$H$12="",$K701=ABSENSI!$H$12)),MAX($Y$3:Y700)+1,""))</f>
        <v/>
      </c>
      <c r="Z701" s="40" t="str">
        <f aca="false">IF($B701="","",IF(AND(OR(KARTU!$K$6="",$E701=KARTU!$K$6),OR(KARTU!$K$7="",$F701=KARTU!$K$7),OR(KARTU!$K$8="",$K701=KARTU!$K$8)),MAX($Z$3:Z700)+1,""))</f>
        <v/>
      </c>
    </row>
    <row r="702" customFormat="false" ht="15" hidden="false" customHeight="false" outlineLevel="0" collapsed="false">
      <c r="A702" s="36" t="str">
        <f aca="false">IF($B702="","",COUNTA($B$4:$B702))</f>
        <v/>
      </c>
      <c r="B702" s="37"/>
      <c r="C702" s="38"/>
      <c r="D702" s="39"/>
      <c r="E702" s="37"/>
      <c r="F702" s="39"/>
      <c r="G702" s="40" t="str">
        <f aca="false">IF(OR($E702="",$F702=""),"",$E702&amp;" - RT "&amp;$F702)</f>
        <v/>
      </c>
      <c r="H702" s="37"/>
      <c r="I702" s="38"/>
      <c r="J702" s="37"/>
      <c r="K702" s="39"/>
      <c r="L702" s="41"/>
      <c r="M702" s="36" t="str">
        <f aca="true">IF(OR($B702="",$L702=""),"",DATEDIF($L702,TODAY(),"Y"))</f>
        <v/>
      </c>
      <c r="N702" s="40" t="str">
        <f aca="false">IF($M702="","",INDEX(usia_label,MATCH($M702,usia_min,1)))</f>
        <v/>
      </c>
      <c r="O702" s="37"/>
      <c r="P702" s="41"/>
      <c r="Q702" s="37"/>
      <c r="R702" s="37"/>
      <c r="S702" s="40" t="str">
        <f aca="false">IF($G702="","",$G702&amp;"#"&amp;COUNTIF($G$4:$G702,$G702))</f>
        <v/>
      </c>
      <c r="T702" s="40" t="str">
        <f aca="false">IF($B702="","",IF($C702="","NIK kosong",IF(LEN($C702)&lt;&gt;16,"NIK bukan 16 digit",IF(COUNTIF($C$4:$C$2003,$C702&amp;"*")&gt;1,"NIK ganda",IF($E702="","Kadus kosong",IF($F702="","RT kosong",IF($H702="","Jabatan kosong",IF($I702="","No. HP kosong",IF($J702="","Alamat kosong",IF(AND($M702&lt;&gt;"",$M702&lt;17),"Usia di bawah 17",""))))))))))</f>
        <v/>
      </c>
      <c r="U702" s="40" t="str">
        <f aca="false">IF($B702="","",IF(AND(OR(CARI!$C$5="",ISNUMBER(SEARCH(CARI!$C$5,$B702&amp;" "&amp;$C702&amp;" "&amp;$I702&amp;" "&amp;$J702&amp;" "&amp;$Q702))),OR(CARI!$C$6="",$E702=CARI!$C$6),OR(CARI!$C$7="",$F702=CARI!$C$7),OR(CARI!$C$8="",$O702=CARI!$C$8)),MAX($U$3:U701)+1,""))</f>
        <v/>
      </c>
      <c r="V702" s="40" t="str">
        <f aca="false">IF($T702="","",MAX($V$3:V701)+1)</f>
        <v/>
      </c>
      <c r="W702" s="40" t="str">
        <f aca="false">IF($E702="","",$E702&amp;"#"&amp;COUNTIF($E$4:$E702,$E702))</f>
        <v/>
      </c>
      <c r="X702" s="40" t="str">
        <f aca="false">IF($B702="","",IF(AND(OR(CETAK!$J$10="",$E702=CETAK!$J$10),OR(CETAK!$J$11="",$F702=CETAK!$J$11),OR(CETAK!$J$12="",$K702=CETAK!$J$12),OR(CETAK!$J$13="",$H702=CETAK!$J$13),OR(CETAK!$J$14="",$O702=CETAK!$J$14)),MAX($X$3:X701)+1,""))</f>
        <v/>
      </c>
      <c r="Y702" s="40" t="str">
        <f aca="false">IF($B702="","",IF(AND(OR(ABSENSI!$H$10="",$E702=ABSENSI!$H$10),OR(ABSENSI!$H$11="",$F702=ABSENSI!$H$11),OR(ABSENSI!$H$12="",$K702=ABSENSI!$H$12)),MAX($Y$3:Y701)+1,""))</f>
        <v/>
      </c>
      <c r="Z702" s="40" t="str">
        <f aca="false">IF($B702="","",IF(AND(OR(KARTU!$K$6="",$E702=KARTU!$K$6),OR(KARTU!$K$7="",$F702=KARTU!$K$7),OR(KARTU!$K$8="",$K702=KARTU!$K$8)),MAX($Z$3:Z701)+1,""))</f>
        <v/>
      </c>
    </row>
    <row r="703" customFormat="false" ht="15" hidden="false" customHeight="false" outlineLevel="0" collapsed="false">
      <c r="A703" s="36" t="str">
        <f aca="false">IF($B703="","",COUNTA($B$4:$B703))</f>
        <v/>
      </c>
      <c r="B703" s="37"/>
      <c r="C703" s="38"/>
      <c r="D703" s="39"/>
      <c r="E703" s="37"/>
      <c r="F703" s="39"/>
      <c r="G703" s="40" t="str">
        <f aca="false">IF(OR($E703="",$F703=""),"",$E703&amp;" - RT "&amp;$F703)</f>
        <v/>
      </c>
      <c r="H703" s="37"/>
      <c r="I703" s="38"/>
      <c r="J703" s="37"/>
      <c r="K703" s="39"/>
      <c r="L703" s="41"/>
      <c r="M703" s="36" t="str">
        <f aca="true">IF(OR($B703="",$L703=""),"",DATEDIF($L703,TODAY(),"Y"))</f>
        <v/>
      </c>
      <c r="N703" s="40" t="str">
        <f aca="false">IF($M703="","",INDEX(usia_label,MATCH($M703,usia_min,1)))</f>
        <v/>
      </c>
      <c r="O703" s="37"/>
      <c r="P703" s="41"/>
      <c r="Q703" s="37"/>
      <c r="R703" s="37"/>
      <c r="S703" s="40" t="str">
        <f aca="false">IF($G703="","",$G703&amp;"#"&amp;COUNTIF($G$4:$G703,$G703))</f>
        <v/>
      </c>
      <c r="T703" s="40" t="str">
        <f aca="false">IF($B703="","",IF($C703="","NIK kosong",IF(LEN($C703)&lt;&gt;16,"NIK bukan 16 digit",IF(COUNTIF($C$4:$C$2003,$C703&amp;"*")&gt;1,"NIK ganda",IF($E703="","Kadus kosong",IF($F703="","RT kosong",IF($H703="","Jabatan kosong",IF($I703="","No. HP kosong",IF($J703="","Alamat kosong",IF(AND($M703&lt;&gt;"",$M703&lt;17),"Usia di bawah 17",""))))))))))</f>
        <v/>
      </c>
      <c r="U703" s="40" t="str">
        <f aca="false">IF($B703="","",IF(AND(OR(CARI!$C$5="",ISNUMBER(SEARCH(CARI!$C$5,$B703&amp;" "&amp;$C703&amp;" "&amp;$I703&amp;" "&amp;$J703&amp;" "&amp;$Q703))),OR(CARI!$C$6="",$E703=CARI!$C$6),OR(CARI!$C$7="",$F703=CARI!$C$7),OR(CARI!$C$8="",$O703=CARI!$C$8)),MAX($U$3:U702)+1,""))</f>
        <v/>
      </c>
      <c r="V703" s="40" t="str">
        <f aca="false">IF($T703="","",MAX($V$3:V702)+1)</f>
        <v/>
      </c>
      <c r="W703" s="40" t="str">
        <f aca="false">IF($E703="","",$E703&amp;"#"&amp;COUNTIF($E$4:$E703,$E703))</f>
        <v/>
      </c>
      <c r="X703" s="40" t="str">
        <f aca="false">IF($B703="","",IF(AND(OR(CETAK!$J$10="",$E703=CETAK!$J$10),OR(CETAK!$J$11="",$F703=CETAK!$J$11),OR(CETAK!$J$12="",$K703=CETAK!$J$12),OR(CETAK!$J$13="",$H703=CETAK!$J$13),OR(CETAK!$J$14="",$O703=CETAK!$J$14)),MAX($X$3:X702)+1,""))</f>
        <v/>
      </c>
      <c r="Y703" s="40" t="str">
        <f aca="false">IF($B703="","",IF(AND(OR(ABSENSI!$H$10="",$E703=ABSENSI!$H$10),OR(ABSENSI!$H$11="",$F703=ABSENSI!$H$11),OR(ABSENSI!$H$12="",$K703=ABSENSI!$H$12)),MAX($Y$3:Y702)+1,""))</f>
        <v/>
      </c>
      <c r="Z703" s="40" t="str">
        <f aca="false">IF($B703="","",IF(AND(OR(KARTU!$K$6="",$E703=KARTU!$K$6),OR(KARTU!$K$7="",$F703=KARTU!$K$7),OR(KARTU!$K$8="",$K703=KARTU!$K$8)),MAX($Z$3:Z702)+1,""))</f>
        <v/>
      </c>
    </row>
    <row r="704" customFormat="false" ht="15" hidden="false" customHeight="false" outlineLevel="0" collapsed="false">
      <c r="A704" s="36" t="str">
        <f aca="false">IF($B704="","",COUNTA($B$4:$B704))</f>
        <v/>
      </c>
      <c r="B704" s="37"/>
      <c r="C704" s="38"/>
      <c r="D704" s="39"/>
      <c r="E704" s="37"/>
      <c r="F704" s="39"/>
      <c r="G704" s="40" t="str">
        <f aca="false">IF(OR($E704="",$F704=""),"",$E704&amp;" - RT "&amp;$F704)</f>
        <v/>
      </c>
      <c r="H704" s="37"/>
      <c r="I704" s="38"/>
      <c r="J704" s="37"/>
      <c r="K704" s="39"/>
      <c r="L704" s="41"/>
      <c r="M704" s="36" t="str">
        <f aca="true">IF(OR($B704="",$L704=""),"",DATEDIF($L704,TODAY(),"Y"))</f>
        <v/>
      </c>
      <c r="N704" s="40" t="str">
        <f aca="false">IF($M704="","",INDEX(usia_label,MATCH($M704,usia_min,1)))</f>
        <v/>
      </c>
      <c r="O704" s="37"/>
      <c r="P704" s="41"/>
      <c r="Q704" s="37"/>
      <c r="R704" s="37"/>
      <c r="S704" s="40" t="str">
        <f aca="false">IF($G704="","",$G704&amp;"#"&amp;COUNTIF($G$4:$G704,$G704))</f>
        <v/>
      </c>
      <c r="T704" s="40" t="str">
        <f aca="false">IF($B704="","",IF($C704="","NIK kosong",IF(LEN($C704)&lt;&gt;16,"NIK bukan 16 digit",IF(COUNTIF($C$4:$C$2003,$C704&amp;"*")&gt;1,"NIK ganda",IF($E704="","Kadus kosong",IF($F704="","RT kosong",IF($H704="","Jabatan kosong",IF($I704="","No. HP kosong",IF($J704="","Alamat kosong",IF(AND($M704&lt;&gt;"",$M704&lt;17),"Usia di bawah 17",""))))))))))</f>
        <v/>
      </c>
      <c r="U704" s="40" t="str">
        <f aca="false">IF($B704="","",IF(AND(OR(CARI!$C$5="",ISNUMBER(SEARCH(CARI!$C$5,$B704&amp;" "&amp;$C704&amp;" "&amp;$I704&amp;" "&amp;$J704&amp;" "&amp;$Q704))),OR(CARI!$C$6="",$E704=CARI!$C$6),OR(CARI!$C$7="",$F704=CARI!$C$7),OR(CARI!$C$8="",$O704=CARI!$C$8)),MAX($U$3:U703)+1,""))</f>
        <v/>
      </c>
      <c r="V704" s="40" t="str">
        <f aca="false">IF($T704="","",MAX($V$3:V703)+1)</f>
        <v/>
      </c>
      <c r="W704" s="40" t="str">
        <f aca="false">IF($E704="","",$E704&amp;"#"&amp;COUNTIF($E$4:$E704,$E704))</f>
        <v/>
      </c>
      <c r="X704" s="40" t="str">
        <f aca="false">IF($B704="","",IF(AND(OR(CETAK!$J$10="",$E704=CETAK!$J$10),OR(CETAK!$J$11="",$F704=CETAK!$J$11),OR(CETAK!$J$12="",$K704=CETAK!$J$12),OR(CETAK!$J$13="",$H704=CETAK!$J$13),OR(CETAK!$J$14="",$O704=CETAK!$J$14)),MAX($X$3:X703)+1,""))</f>
        <v/>
      </c>
      <c r="Y704" s="40" t="str">
        <f aca="false">IF($B704="","",IF(AND(OR(ABSENSI!$H$10="",$E704=ABSENSI!$H$10),OR(ABSENSI!$H$11="",$F704=ABSENSI!$H$11),OR(ABSENSI!$H$12="",$K704=ABSENSI!$H$12)),MAX($Y$3:Y703)+1,""))</f>
        <v/>
      </c>
      <c r="Z704" s="40" t="str">
        <f aca="false">IF($B704="","",IF(AND(OR(KARTU!$K$6="",$E704=KARTU!$K$6),OR(KARTU!$K$7="",$F704=KARTU!$K$7),OR(KARTU!$K$8="",$K704=KARTU!$K$8)),MAX($Z$3:Z703)+1,""))</f>
        <v/>
      </c>
    </row>
    <row r="705" customFormat="false" ht="15" hidden="false" customHeight="false" outlineLevel="0" collapsed="false">
      <c r="A705" s="36" t="str">
        <f aca="false">IF($B705="","",COUNTA($B$4:$B705))</f>
        <v/>
      </c>
      <c r="B705" s="37"/>
      <c r="C705" s="38"/>
      <c r="D705" s="39"/>
      <c r="E705" s="37"/>
      <c r="F705" s="39"/>
      <c r="G705" s="40" t="str">
        <f aca="false">IF(OR($E705="",$F705=""),"",$E705&amp;" - RT "&amp;$F705)</f>
        <v/>
      </c>
      <c r="H705" s="37"/>
      <c r="I705" s="38"/>
      <c r="J705" s="37"/>
      <c r="K705" s="39"/>
      <c r="L705" s="41"/>
      <c r="M705" s="36" t="str">
        <f aca="true">IF(OR($B705="",$L705=""),"",DATEDIF($L705,TODAY(),"Y"))</f>
        <v/>
      </c>
      <c r="N705" s="40" t="str">
        <f aca="false">IF($M705="","",INDEX(usia_label,MATCH($M705,usia_min,1)))</f>
        <v/>
      </c>
      <c r="O705" s="37"/>
      <c r="P705" s="41"/>
      <c r="Q705" s="37"/>
      <c r="R705" s="37"/>
      <c r="S705" s="40" t="str">
        <f aca="false">IF($G705="","",$G705&amp;"#"&amp;COUNTIF($G$4:$G705,$G705))</f>
        <v/>
      </c>
      <c r="T705" s="40" t="str">
        <f aca="false">IF($B705="","",IF($C705="","NIK kosong",IF(LEN($C705)&lt;&gt;16,"NIK bukan 16 digit",IF(COUNTIF($C$4:$C$2003,$C705&amp;"*")&gt;1,"NIK ganda",IF($E705="","Kadus kosong",IF($F705="","RT kosong",IF($H705="","Jabatan kosong",IF($I705="","No. HP kosong",IF($J705="","Alamat kosong",IF(AND($M705&lt;&gt;"",$M705&lt;17),"Usia di bawah 17",""))))))))))</f>
        <v/>
      </c>
      <c r="U705" s="40" t="str">
        <f aca="false">IF($B705="","",IF(AND(OR(CARI!$C$5="",ISNUMBER(SEARCH(CARI!$C$5,$B705&amp;" "&amp;$C705&amp;" "&amp;$I705&amp;" "&amp;$J705&amp;" "&amp;$Q705))),OR(CARI!$C$6="",$E705=CARI!$C$6),OR(CARI!$C$7="",$F705=CARI!$C$7),OR(CARI!$C$8="",$O705=CARI!$C$8)),MAX($U$3:U704)+1,""))</f>
        <v/>
      </c>
      <c r="V705" s="40" t="str">
        <f aca="false">IF($T705="","",MAX($V$3:V704)+1)</f>
        <v/>
      </c>
      <c r="W705" s="40" t="str">
        <f aca="false">IF($E705="","",$E705&amp;"#"&amp;COUNTIF($E$4:$E705,$E705))</f>
        <v/>
      </c>
      <c r="X705" s="40" t="str">
        <f aca="false">IF($B705="","",IF(AND(OR(CETAK!$J$10="",$E705=CETAK!$J$10),OR(CETAK!$J$11="",$F705=CETAK!$J$11),OR(CETAK!$J$12="",$K705=CETAK!$J$12),OR(CETAK!$J$13="",$H705=CETAK!$J$13),OR(CETAK!$J$14="",$O705=CETAK!$J$14)),MAX($X$3:X704)+1,""))</f>
        <v/>
      </c>
      <c r="Y705" s="40" t="str">
        <f aca="false">IF($B705="","",IF(AND(OR(ABSENSI!$H$10="",$E705=ABSENSI!$H$10),OR(ABSENSI!$H$11="",$F705=ABSENSI!$H$11),OR(ABSENSI!$H$12="",$K705=ABSENSI!$H$12)),MAX($Y$3:Y704)+1,""))</f>
        <v/>
      </c>
      <c r="Z705" s="40" t="str">
        <f aca="false">IF($B705="","",IF(AND(OR(KARTU!$K$6="",$E705=KARTU!$K$6),OR(KARTU!$K$7="",$F705=KARTU!$K$7),OR(KARTU!$K$8="",$K705=KARTU!$K$8)),MAX($Z$3:Z704)+1,""))</f>
        <v/>
      </c>
    </row>
    <row r="706" customFormat="false" ht="15" hidden="false" customHeight="false" outlineLevel="0" collapsed="false">
      <c r="A706" s="36" t="str">
        <f aca="false">IF($B706="","",COUNTA($B$4:$B706))</f>
        <v/>
      </c>
      <c r="B706" s="37"/>
      <c r="C706" s="38"/>
      <c r="D706" s="39"/>
      <c r="E706" s="37"/>
      <c r="F706" s="39"/>
      <c r="G706" s="40" t="str">
        <f aca="false">IF(OR($E706="",$F706=""),"",$E706&amp;" - RT "&amp;$F706)</f>
        <v/>
      </c>
      <c r="H706" s="37"/>
      <c r="I706" s="38"/>
      <c r="J706" s="37"/>
      <c r="K706" s="39"/>
      <c r="L706" s="41"/>
      <c r="M706" s="36" t="str">
        <f aca="true">IF(OR($B706="",$L706=""),"",DATEDIF($L706,TODAY(),"Y"))</f>
        <v/>
      </c>
      <c r="N706" s="40" t="str">
        <f aca="false">IF($M706="","",INDEX(usia_label,MATCH($M706,usia_min,1)))</f>
        <v/>
      </c>
      <c r="O706" s="37"/>
      <c r="P706" s="41"/>
      <c r="Q706" s="37"/>
      <c r="R706" s="37"/>
      <c r="S706" s="40" t="str">
        <f aca="false">IF($G706="","",$G706&amp;"#"&amp;COUNTIF($G$4:$G706,$G706))</f>
        <v/>
      </c>
      <c r="T706" s="40" t="str">
        <f aca="false">IF($B706="","",IF($C706="","NIK kosong",IF(LEN($C706)&lt;&gt;16,"NIK bukan 16 digit",IF(COUNTIF($C$4:$C$2003,$C706&amp;"*")&gt;1,"NIK ganda",IF($E706="","Kadus kosong",IF($F706="","RT kosong",IF($H706="","Jabatan kosong",IF($I706="","No. HP kosong",IF($J706="","Alamat kosong",IF(AND($M706&lt;&gt;"",$M706&lt;17),"Usia di bawah 17",""))))))))))</f>
        <v/>
      </c>
      <c r="U706" s="40" t="str">
        <f aca="false">IF($B706="","",IF(AND(OR(CARI!$C$5="",ISNUMBER(SEARCH(CARI!$C$5,$B706&amp;" "&amp;$C706&amp;" "&amp;$I706&amp;" "&amp;$J706&amp;" "&amp;$Q706))),OR(CARI!$C$6="",$E706=CARI!$C$6),OR(CARI!$C$7="",$F706=CARI!$C$7),OR(CARI!$C$8="",$O706=CARI!$C$8)),MAX($U$3:U705)+1,""))</f>
        <v/>
      </c>
      <c r="V706" s="40" t="str">
        <f aca="false">IF($T706="","",MAX($V$3:V705)+1)</f>
        <v/>
      </c>
      <c r="W706" s="40" t="str">
        <f aca="false">IF($E706="","",$E706&amp;"#"&amp;COUNTIF($E$4:$E706,$E706))</f>
        <v/>
      </c>
      <c r="X706" s="40" t="str">
        <f aca="false">IF($B706="","",IF(AND(OR(CETAK!$J$10="",$E706=CETAK!$J$10),OR(CETAK!$J$11="",$F706=CETAK!$J$11),OR(CETAK!$J$12="",$K706=CETAK!$J$12),OR(CETAK!$J$13="",$H706=CETAK!$J$13),OR(CETAK!$J$14="",$O706=CETAK!$J$14)),MAX($X$3:X705)+1,""))</f>
        <v/>
      </c>
      <c r="Y706" s="40" t="str">
        <f aca="false">IF($B706="","",IF(AND(OR(ABSENSI!$H$10="",$E706=ABSENSI!$H$10),OR(ABSENSI!$H$11="",$F706=ABSENSI!$H$11),OR(ABSENSI!$H$12="",$K706=ABSENSI!$H$12)),MAX($Y$3:Y705)+1,""))</f>
        <v/>
      </c>
      <c r="Z706" s="40" t="str">
        <f aca="false">IF($B706="","",IF(AND(OR(KARTU!$K$6="",$E706=KARTU!$K$6),OR(KARTU!$K$7="",$F706=KARTU!$K$7),OR(KARTU!$K$8="",$K706=KARTU!$K$8)),MAX($Z$3:Z705)+1,""))</f>
        <v/>
      </c>
    </row>
    <row r="707" customFormat="false" ht="15" hidden="false" customHeight="false" outlineLevel="0" collapsed="false">
      <c r="A707" s="36" t="str">
        <f aca="false">IF($B707="","",COUNTA($B$4:$B707))</f>
        <v/>
      </c>
      <c r="B707" s="37"/>
      <c r="C707" s="38"/>
      <c r="D707" s="39"/>
      <c r="E707" s="37"/>
      <c r="F707" s="39"/>
      <c r="G707" s="40" t="str">
        <f aca="false">IF(OR($E707="",$F707=""),"",$E707&amp;" - RT "&amp;$F707)</f>
        <v/>
      </c>
      <c r="H707" s="37"/>
      <c r="I707" s="38"/>
      <c r="J707" s="37"/>
      <c r="K707" s="39"/>
      <c r="L707" s="41"/>
      <c r="M707" s="36" t="str">
        <f aca="true">IF(OR($B707="",$L707=""),"",DATEDIF($L707,TODAY(),"Y"))</f>
        <v/>
      </c>
      <c r="N707" s="40" t="str">
        <f aca="false">IF($M707="","",INDEX(usia_label,MATCH($M707,usia_min,1)))</f>
        <v/>
      </c>
      <c r="O707" s="37"/>
      <c r="P707" s="41"/>
      <c r="Q707" s="37"/>
      <c r="R707" s="37"/>
      <c r="S707" s="40" t="str">
        <f aca="false">IF($G707="","",$G707&amp;"#"&amp;COUNTIF($G$4:$G707,$G707))</f>
        <v/>
      </c>
      <c r="T707" s="40" t="str">
        <f aca="false">IF($B707="","",IF($C707="","NIK kosong",IF(LEN($C707)&lt;&gt;16,"NIK bukan 16 digit",IF(COUNTIF($C$4:$C$2003,$C707&amp;"*")&gt;1,"NIK ganda",IF($E707="","Kadus kosong",IF($F707="","RT kosong",IF($H707="","Jabatan kosong",IF($I707="","No. HP kosong",IF($J707="","Alamat kosong",IF(AND($M707&lt;&gt;"",$M707&lt;17),"Usia di bawah 17",""))))))))))</f>
        <v/>
      </c>
      <c r="U707" s="40" t="str">
        <f aca="false">IF($B707="","",IF(AND(OR(CARI!$C$5="",ISNUMBER(SEARCH(CARI!$C$5,$B707&amp;" "&amp;$C707&amp;" "&amp;$I707&amp;" "&amp;$J707&amp;" "&amp;$Q707))),OR(CARI!$C$6="",$E707=CARI!$C$6),OR(CARI!$C$7="",$F707=CARI!$C$7),OR(CARI!$C$8="",$O707=CARI!$C$8)),MAX($U$3:U706)+1,""))</f>
        <v/>
      </c>
      <c r="V707" s="40" t="str">
        <f aca="false">IF($T707="","",MAX($V$3:V706)+1)</f>
        <v/>
      </c>
      <c r="W707" s="40" t="str">
        <f aca="false">IF($E707="","",$E707&amp;"#"&amp;COUNTIF($E$4:$E707,$E707))</f>
        <v/>
      </c>
      <c r="X707" s="40" t="str">
        <f aca="false">IF($B707="","",IF(AND(OR(CETAK!$J$10="",$E707=CETAK!$J$10),OR(CETAK!$J$11="",$F707=CETAK!$J$11),OR(CETAK!$J$12="",$K707=CETAK!$J$12),OR(CETAK!$J$13="",$H707=CETAK!$J$13),OR(CETAK!$J$14="",$O707=CETAK!$J$14)),MAX($X$3:X706)+1,""))</f>
        <v/>
      </c>
      <c r="Y707" s="40" t="str">
        <f aca="false">IF($B707="","",IF(AND(OR(ABSENSI!$H$10="",$E707=ABSENSI!$H$10),OR(ABSENSI!$H$11="",$F707=ABSENSI!$H$11),OR(ABSENSI!$H$12="",$K707=ABSENSI!$H$12)),MAX($Y$3:Y706)+1,""))</f>
        <v/>
      </c>
      <c r="Z707" s="40" t="str">
        <f aca="false">IF($B707="","",IF(AND(OR(KARTU!$K$6="",$E707=KARTU!$K$6),OR(KARTU!$K$7="",$F707=KARTU!$K$7),OR(KARTU!$K$8="",$K707=KARTU!$K$8)),MAX($Z$3:Z706)+1,""))</f>
        <v/>
      </c>
    </row>
    <row r="708" customFormat="false" ht="15" hidden="false" customHeight="false" outlineLevel="0" collapsed="false">
      <c r="A708" s="36" t="str">
        <f aca="false">IF($B708="","",COUNTA($B$4:$B708))</f>
        <v/>
      </c>
      <c r="B708" s="37"/>
      <c r="C708" s="38"/>
      <c r="D708" s="39"/>
      <c r="E708" s="37"/>
      <c r="F708" s="39"/>
      <c r="G708" s="40" t="str">
        <f aca="false">IF(OR($E708="",$F708=""),"",$E708&amp;" - RT "&amp;$F708)</f>
        <v/>
      </c>
      <c r="H708" s="37"/>
      <c r="I708" s="38"/>
      <c r="J708" s="37"/>
      <c r="K708" s="39"/>
      <c r="L708" s="41"/>
      <c r="M708" s="36" t="str">
        <f aca="true">IF(OR($B708="",$L708=""),"",DATEDIF($L708,TODAY(),"Y"))</f>
        <v/>
      </c>
      <c r="N708" s="40" t="str">
        <f aca="false">IF($M708="","",INDEX(usia_label,MATCH($M708,usia_min,1)))</f>
        <v/>
      </c>
      <c r="O708" s="37"/>
      <c r="P708" s="41"/>
      <c r="Q708" s="37"/>
      <c r="R708" s="37"/>
      <c r="S708" s="40" t="str">
        <f aca="false">IF($G708="","",$G708&amp;"#"&amp;COUNTIF($G$4:$G708,$G708))</f>
        <v/>
      </c>
      <c r="T708" s="40" t="str">
        <f aca="false">IF($B708="","",IF($C708="","NIK kosong",IF(LEN($C708)&lt;&gt;16,"NIK bukan 16 digit",IF(COUNTIF($C$4:$C$2003,$C708&amp;"*")&gt;1,"NIK ganda",IF($E708="","Kadus kosong",IF($F708="","RT kosong",IF($H708="","Jabatan kosong",IF($I708="","No. HP kosong",IF($J708="","Alamat kosong",IF(AND($M708&lt;&gt;"",$M708&lt;17),"Usia di bawah 17",""))))))))))</f>
        <v/>
      </c>
      <c r="U708" s="40" t="str">
        <f aca="false">IF($B708="","",IF(AND(OR(CARI!$C$5="",ISNUMBER(SEARCH(CARI!$C$5,$B708&amp;" "&amp;$C708&amp;" "&amp;$I708&amp;" "&amp;$J708&amp;" "&amp;$Q708))),OR(CARI!$C$6="",$E708=CARI!$C$6),OR(CARI!$C$7="",$F708=CARI!$C$7),OR(CARI!$C$8="",$O708=CARI!$C$8)),MAX($U$3:U707)+1,""))</f>
        <v/>
      </c>
      <c r="V708" s="40" t="str">
        <f aca="false">IF($T708="","",MAX($V$3:V707)+1)</f>
        <v/>
      </c>
      <c r="W708" s="40" t="str">
        <f aca="false">IF($E708="","",$E708&amp;"#"&amp;COUNTIF($E$4:$E708,$E708))</f>
        <v/>
      </c>
      <c r="X708" s="40" t="str">
        <f aca="false">IF($B708="","",IF(AND(OR(CETAK!$J$10="",$E708=CETAK!$J$10),OR(CETAK!$J$11="",$F708=CETAK!$J$11),OR(CETAK!$J$12="",$K708=CETAK!$J$12),OR(CETAK!$J$13="",$H708=CETAK!$J$13),OR(CETAK!$J$14="",$O708=CETAK!$J$14)),MAX($X$3:X707)+1,""))</f>
        <v/>
      </c>
      <c r="Y708" s="40" t="str">
        <f aca="false">IF($B708="","",IF(AND(OR(ABSENSI!$H$10="",$E708=ABSENSI!$H$10),OR(ABSENSI!$H$11="",$F708=ABSENSI!$H$11),OR(ABSENSI!$H$12="",$K708=ABSENSI!$H$12)),MAX($Y$3:Y707)+1,""))</f>
        <v/>
      </c>
      <c r="Z708" s="40" t="str">
        <f aca="false">IF($B708="","",IF(AND(OR(KARTU!$K$6="",$E708=KARTU!$K$6),OR(KARTU!$K$7="",$F708=KARTU!$K$7),OR(KARTU!$K$8="",$K708=KARTU!$K$8)),MAX($Z$3:Z707)+1,""))</f>
        <v/>
      </c>
    </row>
    <row r="709" customFormat="false" ht="15" hidden="false" customHeight="false" outlineLevel="0" collapsed="false">
      <c r="A709" s="36" t="str">
        <f aca="false">IF($B709="","",COUNTA($B$4:$B709))</f>
        <v/>
      </c>
      <c r="B709" s="37"/>
      <c r="C709" s="38"/>
      <c r="D709" s="39"/>
      <c r="E709" s="37"/>
      <c r="F709" s="39"/>
      <c r="G709" s="40" t="str">
        <f aca="false">IF(OR($E709="",$F709=""),"",$E709&amp;" - RT "&amp;$F709)</f>
        <v/>
      </c>
      <c r="H709" s="37"/>
      <c r="I709" s="38"/>
      <c r="J709" s="37"/>
      <c r="K709" s="39"/>
      <c r="L709" s="41"/>
      <c r="M709" s="36" t="str">
        <f aca="true">IF(OR($B709="",$L709=""),"",DATEDIF($L709,TODAY(),"Y"))</f>
        <v/>
      </c>
      <c r="N709" s="40" t="str">
        <f aca="false">IF($M709="","",INDEX(usia_label,MATCH($M709,usia_min,1)))</f>
        <v/>
      </c>
      <c r="O709" s="37"/>
      <c r="P709" s="41"/>
      <c r="Q709" s="37"/>
      <c r="R709" s="37"/>
      <c r="S709" s="40" t="str">
        <f aca="false">IF($G709="","",$G709&amp;"#"&amp;COUNTIF($G$4:$G709,$G709))</f>
        <v/>
      </c>
      <c r="T709" s="40" t="str">
        <f aca="false">IF($B709="","",IF($C709="","NIK kosong",IF(LEN($C709)&lt;&gt;16,"NIK bukan 16 digit",IF(COUNTIF($C$4:$C$2003,$C709&amp;"*")&gt;1,"NIK ganda",IF($E709="","Kadus kosong",IF($F709="","RT kosong",IF($H709="","Jabatan kosong",IF($I709="","No. HP kosong",IF($J709="","Alamat kosong",IF(AND($M709&lt;&gt;"",$M709&lt;17),"Usia di bawah 17",""))))))))))</f>
        <v/>
      </c>
      <c r="U709" s="40" t="str">
        <f aca="false">IF($B709="","",IF(AND(OR(CARI!$C$5="",ISNUMBER(SEARCH(CARI!$C$5,$B709&amp;" "&amp;$C709&amp;" "&amp;$I709&amp;" "&amp;$J709&amp;" "&amp;$Q709))),OR(CARI!$C$6="",$E709=CARI!$C$6),OR(CARI!$C$7="",$F709=CARI!$C$7),OR(CARI!$C$8="",$O709=CARI!$C$8)),MAX($U$3:U708)+1,""))</f>
        <v/>
      </c>
      <c r="V709" s="40" t="str">
        <f aca="false">IF($T709="","",MAX($V$3:V708)+1)</f>
        <v/>
      </c>
      <c r="W709" s="40" t="str">
        <f aca="false">IF($E709="","",$E709&amp;"#"&amp;COUNTIF($E$4:$E709,$E709))</f>
        <v/>
      </c>
      <c r="X709" s="40" t="str">
        <f aca="false">IF($B709="","",IF(AND(OR(CETAK!$J$10="",$E709=CETAK!$J$10),OR(CETAK!$J$11="",$F709=CETAK!$J$11),OR(CETAK!$J$12="",$K709=CETAK!$J$12),OR(CETAK!$J$13="",$H709=CETAK!$J$13),OR(CETAK!$J$14="",$O709=CETAK!$J$14)),MAX($X$3:X708)+1,""))</f>
        <v/>
      </c>
      <c r="Y709" s="40" t="str">
        <f aca="false">IF($B709="","",IF(AND(OR(ABSENSI!$H$10="",$E709=ABSENSI!$H$10),OR(ABSENSI!$H$11="",$F709=ABSENSI!$H$11),OR(ABSENSI!$H$12="",$K709=ABSENSI!$H$12)),MAX($Y$3:Y708)+1,""))</f>
        <v/>
      </c>
      <c r="Z709" s="40" t="str">
        <f aca="false">IF($B709="","",IF(AND(OR(KARTU!$K$6="",$E709=KARTU!$K$6),OR(KARTU!$K$7="",$F709=KARTU!$K$7),OR(KARTU!$K$8="",$K709=KARTU!$K$8)),MAX($Z$3:Z708)+1,""))</f>
        <v/>
      </c>
    </row>
    <row r="710" customFormat="false" ht="15" hidden="false" customHeight="false" outlineLevel="0" collapsed="false">
      <c r="A710" s="36" t="str">
        <f aca="false">IF($B710="","",COUNTA($B$4:$B710))</f>
        <v/>
      </c>
      <c r="B710" s="37"/>
      <c r="C710" s="38"/>
      <c r="D710" s="39"/>
      <c r="E710" s="37"/>
      <c r="F710" s="39"/>
      <c r="G710" s="40" t="str">
        <f aca="false">IF(OR($E710="",$F710=""),"",$E710&amp;" - RT "&amp;$F710)</f>
        <v/>
      </c>
      <c r="H710" s="37"/>
      <c r="I710" s="38"/>
      <c r="J710" s="37"/>
      <c r="K710" s="39"/>
      <c r="L710" s="41"/>
      <c r="M710" s="36" t="str">
        <f aca="true">IF(OR($B710="",$L710=""),"",DATEDIF($L710,TODAY(),"Y"))</f>
        <v/>
      </c>
      <c r="N710" s="40" t="str">
        <f aca="false">IF($M710="","",INDEX(usia_label,MATCH($M710,usia_min,1)))</f>
        <v/>
      </c>
      <c r="O710" s="37"/>
      <c r="P710" s="41"/>
      <c r="Q710" s="37"/>
      <c r="R710" s="37"/>
      <c r="S710" s="40" t="str">
        <f aca="false">IF($G710="","",$G710&amp;"#"&amp;COUNTIF($G$4:$G710,$G710))</f>
        <v/>
      </c>
      <c r="T710" s="40" t="str">
        <f aca="false">IF($B710="","",IF($C710="","NIK kosong",IF(LEN($C710)&lt;&gt;16,"NIK bukan 16 digit",IF(COUNTIF($C$4:$C$2003,$C710&amp;"*")&gt;1,"NIK ganda",IF($E710="","Kadus kosong",IF($F710="","RT kosong",IF($H710="","Jabatan kosong",IF($I710="","No. HP kosong",IF($J710="","Alamat kosong",IF(AND($M710&lt;&gt;"",$M710&lt;17),"Usia di bawah 17",""))))))))))</f>
        <v/>
      </c>
      <c r="U710" s="40" t="str">
        <f aca="false">IF($B710="","",IF(AND(OR(CARI!$C$5="",ISNUMBER(SEARCH(CARI!$C$5,$B710&amp;" "&amp;$C710&amp;" "&amp;$I710&amp;" "&amp;$J710&amp;" "&amp;$Q710))),OR(CARI!$C$6="",$E710=CARI!$C$6),OR(CARI!$C$7="",$F710=CARI!$C$7),OR(CARI!$C$8="",$O710=CARI!$C$8)),MAX($U$3:U709)+1,""))</f>
        <v/>
      </c>
      <c r="V710" s="40" t="str">
        <f aca="false">IF($T710="","",MAX($V$3:V709)+1)</f>
        <v/>
      </c>
      <c r="W710" s="40" t="str">
        <f aca="false">IF($E710="","",$E710&amp;"#"&amp;COUNTIF($E$4:$E710,$E710))</f>
        <v/>
      </c>
      <c r="X710" s="40" t="str">
        <f aca="false">IF($B710="","",IF(AND(OR(CETAK!$J$10="",$E710=CETAK!$J$10),OR(CETAK!$J$11="",$F710=CETAK!$J$11),OR(CETAK!$J$12="",$K710=CETAK!$J$12),OR(CETAK!$J$13="",$H710=CETAK!$J$13),OR(CETAK!$J$14="",$O710=CETAK!$J$14)),MAX($X$3:X709)+1,""))</f>
        <v/>
      </c>
      <c r="Y710" s="40" t="str">
        <f aca="false">IF($B710="","",IF(AND(OR(ABSENSI!$H$10="",$E710=ABSENSI!$H$10),OR(ABSENSI!$H$11="",$F710=ABSENSI!$H$11),OR(ABSENSI!$H$12="",$K710=ABSENSI!$H$12)),MAX($Y$3:Y709)+1,""))</f>
        <v/>
      </c>
      <c r="Z710" s="40" t="str">
        <f aca="false">IF($B710="","",IF(AND(OR(KARTU!$K$6="",$E710=KARTU!$K$6),OR(KARTU!$K$7="",$F710=KARTU!$K$7),OR(KARTU!$K$8="",$K710=KARTU!$K$8)),MAX($Z$3:Z709)+1,""))</f>
        <v/>
      </c>
    </row>
    <row r="711" customFormat="false" ht="15" hidden="false" customHeight="false" outlineLevel="0" collapsed="false">
      <c r="A711" s="36" t="str">
        <f aca="false">IF($B711="","",COUNTA($B$4:$B711))</f>
        <v/>
      </c>
      <c r="B711" s="37"/>
      <c r="C711" s="38"/>
      <c r="D711" s="39"/>
      <c r="E711" s="37"/>
      <c r="F711" s="39"/>
      <c r="G711" s="40" t="str">
        <f aca="false">IF(OR($E711="",$F711=""),"",$E711&amp;" - RT "&amp;$F711)</f>
        <v/>
      </c>
      <c r="H711" s="37"/>
      <c r="I711" s="38"/>
      <c r="J711" s="37"/>
      <c r="K711" s="39"/>
      <c r="L711" s="41"/>
      <c r="M711" s="36" t="str">
        <f aca="true">IF(OR($B711="",$L711=""),"",DATEDIF($L711,TODAY(),"Y"))</f>
        <v/>
      </c>
      <c r="N711" s="40" t="str">
        <f aca="false">IF($M711="","",INDEX(usia_label,MATCH($M711,usia_min,1)))</f>
        <v/>
      </c>
      <c r="O711" s="37"/>
      <c r="P711" s="41"/>
      <c r="Q711" s="37"/>
      <c r="R711" s="37"/>
      <c r="S711" s="40" t="str">
        <f aca="false">IF($G711="","",$G711&amp;"#"&amp;COUNTIF($G$4:$G711,$G711))</f>
        <v/>
      </c>
      <c r="T711" s="40" t="str">
        <f aca="false">IF($B711="","",IF($C711="","NIK kosong",IF(LEN($C711)&lt;&gt;16,"NIK bukan 16 digit",IF(COUNTIF($C$4:$C$2003,$C711&amp;"*")&gt;1,"NIK ganda",IF($E711="","Kadus kosong",IF($F711="","RT kosong",IF($H711="","Jabatan kosong",IF($I711="","No. HP kosong",IF($J711="","Alamat kosong",IF(AND($M711&lt;&gt;"",$M711&lt;17),"Usia di bawah 17",""))))))))))</f>
        <v/>
      </c>
      <c r="U711" s="40" t="str">
        <f aca="false">IF($B711="","",IF(AND(OR(CARI!$C$5="",ISNUMBER(SEARCH(CARI!$C$5,$B711&amp;" "&amp;$C711&amp;" "&amp;$I711&amp;" "&amp;$J711&amp;" "&amp;$Q711))),OR(CARI!$C$6="",$E711=CARI!$C$6),OR(CARI!$C$7="",$F711=CARI!$C$7),OR(CARI!$C$8="",$O711=CARI!$C$8)),MAX($U$3:U710)+1,""))</f>
        <v/>
      </c>
      <c r="V711" s="40" t="str">
        <f aca="false">IF($T711="","",MAX($V$3:V710)+1)</f>
        <v/>
      </c>
      <c r="W711" s="40" t="str">
        <f aca="false">IF($E711="","",$E711&amp;"#"&amp;COUNTIF($E$4:$E711,$E711))</f>
        <v/>
      </c>
      <c r="X711" s="40" t="str">
        <f aca="false">IF($B711="","",IF(AND(OR(CETAK!$J$10="",$E711=CETAK!$J$10),OR(CETAK!$J$11="",$F711=CETAK!$J$11),OR(CETAK!$J$12="",$K711=CETAK!$J$12),OR(CETAK!$J$13="",$H711=CETAK!$J$13),OR(CETAK!$J$14="",$O711=CETAK!$J$14)),MAX($X$3:X710)+1,""))</f>
        <v/>
      </c>
      <c r="Y711" s="40" t="str">
        <f aca="false">IF($B711="","",IF(AND(OR(ABSENSI!$H$10="",$E711=ABSENSI!$H$10),OR(ABSENSI!$H$11="",$F711=ABSENSI!$H$11),OR(ABSENSI!$H$12="",$K711=ABSENSI!$H$12)),MAX($Y$3:Y710)+1,""))</f>
        <v/>
      </c>
      <c r="Z711" s="40" t="str">
        <f aca="false">IF($B711="","",IF(AND(OR(KARTU!$K$6="",$E711=KARTU!$K$6),OR(KARTU!$K$7="",$F711=KARTU!$K$7),OR(KARTU!$K$8="",$K711=KARTU!$K$8)),MAX($Z$3:Z710)+1,""))</f>
        <v/>
      </c>
    </row>
    <row r="712" customFormat="false" ht="15" hidden="false" customHeight="false" outlineLevel="0" collapsed="false">
      <c r="A712" s="36" t="str">
        <f aca="false">IF($B712="","",COUNTA($B$4:$B712))</f>
        <v/>
      </c>
      <c r="B712" s="37"/>
      <c r="C712" s="38"/>
      <c r="D712" s="39"/>
      <c r="E712" s="37"/>
      <c r="F712" s="39"/>
      <c r="G712" s="40" t="str">
        <f aca="false">IF(OR($E712="",$F712=""),"",$E712&amp;" - RT "&amp;$F712)</f>
        <v/>
      </c>
      <c r="H712" s="37"/>
      <c r="I712" s="38"/>
      <c r="J712" s="37"/>
      <c r="K712" s="39"/>
      <c r="L712" s="41"/>
      <c r="M712" s="36" t="str">
        <f aca="true">IF(OR($B712="",$L712=""),"",DATEDIF($L712,TODAY(),"Y"))</f>
        <v/>
      </c>
      <c r="N712" s="40" t="str">
        <f aca="false">IF($M712="","",INDEX(usia_label,MATCH($M712,usia_min,1)))</f>
        <v/>
      </c>
      <c r="O712" s="37"/>
      <c r="P712" s="41"/>
      <c r="Q712" s="37"/>
      <c r="R712" s="37"/>
      <c r="S712" s="40" t="str">
        <f aca="false">IF($G712="","",$G712&amp;"#"&amp;COUNTIF($G$4:$G712,$G712))</f>
        <v/>
      </c>
      <c r="T712" s="40" t="str">
        <f aca="false">IF($B712="","",IF($C712="","NIK kosong",IF(LEN($C712)&lt;&gt;16,"NIK bukan 16 digit",IF(COUNTIF($C$4:$C$2003,$C712&amp;"*")&gt;1,"NIK ganda",IF($E712="","Kadus kosong",IF($F712="","RT kosong",IF($H712="","Jabatan kosong",IF($I712="","No. HP kosong",IF($J712="","Alamat kosong",IF(AND($M712&lt;&gt;"",$M712&lt;17),"Usia di bawah 17",""))))))))))</f>
        <v/>
      </c>
      <c r="U712" s="40" t="str">
        <f aca="false">IF($B712="","",IF(AND(OR(CARI!$C$5="",ISNUMBER(SEARCH(CARI!$C$5,$B712&amp;" "&amp;$C712&amp;" "&amp;$I712&amp;" "&amp;$J712&amp;" "&amp;$Q712))),OR(CARI!$C$6="",$E712=CARI!$C$6),OR(CARI!$C$7="",$F712=CARI!$C$7),OR(CARI!$C$8="",$O712=CARI!$C$8)),MAX($U$3:U711)+1,""))</f>
        <v/>
      </c>
      <c r="V712" s="40" t="str">
        <f aca="false">IF($T712="","",MAX($V$3:V711)+1)</f>
        <v/>
      </c>
      <c r="W712" s="40" t="str">
        <f aca="false">IF($E712="","",$E712&amp;"#"&amp;COUNTIF($E$4:$E712,$E712))</f>
        <v/>
      </c>
      <c r="X712" s="40" t="str">
        <f aca="false">IF($B712="","",IF(AND(OR(CETAK!$J$10="",$E712=CETAK!$J$10),OR(CETAK!$J$11="",$F712=CETAK!$J$11),OR(CETAK!$J$12="",$K712=CETAK!$J$12),OR(CETAK!$J$13="",$H712=CETAK!$J$13),OR(CETAK!$J$14="",$O712=CETAK!$J$14)),MAX($X$3:X711)+1,""))</f>
        <v/>
      </c>
      <c r="Y712" s="40" t="str">
        <f aca="false">IF($B712="","",IF(AND(OR(ABSENSI!$H$10="",$E712=ABSENSI!$H$10),OR(ABSENSI!$H$11="",$F712=ABSENSI!$H$11),OR(ABSENSI!$H$12="",$K712=ABSENSI!$H$12)),MAX($Y$3:Y711)+1,""))</f>
        <v/>
      </c>
      <c r="Z712" s="40" t="str">
        <f aca="false">IF($B712="","",IF(AND(OR(KARTU!$K$6="",$E712=KARTU!$K$6),OR(KARTU!$K$7="",$F712=KARTU!$K$7),OR(KARTU!$K$8="",$K712=KARTU!$K$8)),MAX($Z$3:Z711)+1,""))</f>
        <v/>
      </c>
    </row>
    <row r="713" customFormat="false" ht="15" hidden="false" customHeight="false" outlineLevel="0" collapsed="false">
      <c r="A713" s="36" t="str">
        <f aca="false">IF($B713="","",COUNTA($B$4:$B713))</f>
        <v/>
      </c>
      <c r="B713" s="37"/>
      <c r="C713" s="38"/>
      <c r="D713" s="39"/>
      <c r="E713" s="37"/>
      <c r="F713" s="39"/>
      <c r="G713" s="40" t="str">
        <f aca="false">IF(OR($E713="",$F713=""),"",$E713&amp;" - RT "&amp;$F713)</f>
        <v/>
      </c>
      <c r="H713" s="37"/>
      <c r="I713" s="38"/>
      <c r="J713" s="37"/>
      <c r="K713" s="39"/>
      <c r="L713" s="41"/>
      <c r="M713" s="36" t="str">
        <f aca="true">IF(OR($B713="",$L713=""),"",DATEDIF($L713,TODAY(),"Y"))</f>
        <v/>
      </c>
      <c r="N713" s="40" t="str">
        <f aca="false">IF($M713="","",INDEX(usia_label,MATCH($M713,usia_min,1)))</f>
        <v/>
      </c>
      <c r="O713" s="37"/>
      <c r="P713" s="41"/>
      <c r="Q713" s="37"/>
      <c r="R713" s="37"/>
      <c r="S713" s="40" t="str">
        <f aca="false">IF($G713="","",$G713&amp;"#"&amp;COUNTIF($G$4:$G713,$G713))</f>
        <v/>
      </c>
      <c r="T713" s="40" t="str">
        <f aca="false">IF($B713="","",IF($C713="","NIK kosong",IF(LEN($C713)&lt;&gt;16,"NIK bukan 16 digit",IF(COUNTIF($C$4:$C$2003,$C713&amp;"*")&gt;1,"NIK ganda",IF($E713="","Kadus kosong",IF($F713="","RT kosong",IF($H713="","Jabatan kosong",IF($I713="","No. HP kosong",IF($J713="","Alamat kosong",IF(AND($M713&lt;&gt;"",$M713&lt;17),"Usia di bawah 17",""))))))))))</f>
        <v/>
      </c>
      <c r="U713" s="40" t="str">
        <f aca="false">IF($B713="","",IF(AND(OR(CARI!$C$5="",ISNUMBER(SEARCH(CARI!$C$5,$B713&amp;" "&amp;$C713&amp;" "&amp;$I713&amp;" "&amp;$J713&amp;" "&amp;$Q713))),OR(CARI!$C$6="",$E713=CARI!$C$6),OR(CARI!$C$7="",$F713=CARI!$C$7),OR(CARI!$C$8="",$O713=CARI!$C$8)),MAX($U$3:U712)+1,""))</f>
        <v/>
      </c>
      <c r="V713" s="40" t="str">
        <f aca="false">IF($T713="","",MAX($V$3:V712)+1)</f>
        <v/>
      </c>
      <c r="W713" s="40" t="str">
        <f aca="false">IF($E713="","",$E713&amp;"#"&amp;COUNTIF($E$4:$E713,$E713))</f>
        <v/>
      </c>
      <c r="X713" s="40" t="str">
        <f aca="false">IF($B713="","",IF(AND(OR(CETAK!$J$10="",$E713=CETAK!$J$10),OR(CETAK!$J$11="",$F713=CETAK!$J$11),OR(CETAK!$J$12="",$K713=CETAK!$J$12),OR(CETAK!$J$13="",$H713=CETAK!$J$13),OR(CETAK!$J$14="",$O713=CETAK!$J$14)),MAX($X$3:X712)+1,""))</f>
        <v/>
      </c>
      <c r="Y713" s="40" t="str">
        <f aca="false">IF($B713="","",IF(AND(OR(ABSENSI!$H$10="",$E713=ABSENSI!$H$10),OR(ABSENSI!$H$11="",$F713=ABSENSI!$H$11),OR(ABSENSI!$H$12="",$K713=ABSENSI!$H$12)),MAX($Y$3:Y712)+1,""))</f>
        <v/>
      </c>
      <c r="Z713" s="40" t="str">
        <f aca="false">IF($B713="","",IF(AND(OR(KARTU!$K$6="",$E713=KARTU!$K$6),OR(KARTU!$K$7="",$F713=KARTU!$K$7),OR(KARTU!$K$8="",$K713=KARTU!$K$8)),MAX($Z$3:Z712)+1,""))</f>
        <v/>
      </c>
    </row>
    <row r="714" customFormat="false" ht="15" hidden="false" customHeight="false" outlineLevel="0" collapsed="false">
      <c r="A714" s="36" t="str">
        <f aca="false">IF($B714="","",COUNTA($B$4:$B714))</f>
        <v/>
      </c>
      <c r="B714" s="37"/>
      <c r="C714" s="38"/>
      <c r="D714" s="39"/>
      <c r="E714" s="37"/>
      <c r="F714" s="39"/>
      <c r="G714" s="40" t="str">
        <f aca="false">IF(OR($E714="",$F714=""),"",$E714&amp;" - RT "&amp;$F714)</f>
        <v/>
      </c>
      <c r="H714" s="37"/>
      <c r="I714" s="38"/>
      <c r="J714" s="37"/>
      <c r="K714" s="39"/>
      <c r="L714" s="41"/>
      <c r="M714" s="36" t="str">
        <f aca="true">IF(OR($B714="",$L714=""),"",DATEDIF($L714,TODAY(),"Y"))</f>
        <v/>
      </c>
      <c r="N714" s="40" t="str">
        <f aca="false">IF($M714="","",INDEX(usia_label,MATCH($M714,usia_min,1)))</f>
        <v/>
      </c>
      <c r="O714" s="37"/>
      <c r="P714" s="41"/>
      <c r="Q714" s="37"/>
      <c r="R714" s="37"/>
      <c r="S714" s="40" t="str">
        <f aca="false">IF($G714="","",$G714&amp;"#"&amp;COUNTIF($G$4:$G714,$G714))</f>
        <v/>
      </c>
      <c r="T714" s="40" t="str">
        <f aca="false">IF($B714="","",IF($C714="","NIK kosong",IF(LEN($C714)&lt;&gt;16,"NIK bukan 16 digit",IF(COUNTIF($C$4:$C$2003,$C714&amp;"*")&gt;1,"NIK ganda",IF($E714="","Kadus kosong",IF($F714="","RT kosong",IF($H714="","Jabatan kosong",IF($I714="","No. HP kosong",IF($J714="","Alamat kosong",IF(AND($M714&lt;&gt;"",$M714&lt;17),"Usia di bawah 17",""))))))))))</f>
        <v/>
      </c>
      <c r="U714" s="40" t="str">
        <f aca="false">IF($B714="","",IF(AND(OR(CARI!$C$5="",ISNUMBER(SEARCH(CARI!$C$5,$B714&amp;" "&amp;$C714&amp;" "&amp;$I714&amp;" "&amp;$J714&amp;" "&amp;$Q714))),OR(CARI!$C$6="",$E714=CARI!$C$6),OR(CARI!$C$7="",$F714=CARI!$C$7),OR(CARI!$C$8="",$O714=CARI!$C$8)),MAX($U$3:U713)+1,""))</f>
        <v/>
      </c>
      <c r="V714" s="40" t="str">
        <f aca="false">IF($T714="","",MAX($V$3:V713)+1)</f>
        <v/>
      </c>
      <c r="W714" s="40" t="str">
        <f aca="false">IF($E714="","",$E714&amp;"#"&amp;COUNTIF($E$4:$E714,$E714))</f>
        <v/>
      </c>
      <c r="X714" s="40" t="str">
        <f aca="false">IF($B714="","",IF(AND(OR(CETAK!$J$10="",$E714=CETAK!$J$10),OR(CETAK!$J$11="",$F714=CETAK!$J$11),OR(CETAK!$J$12="",$K714=CETAK!$J$12),OR(CETAK!$J$13="",$H714=CETAK!$J$13),OR(CETAK!$J$14="",$O714=CETAK!$J$14)),MAX($X$3:X713)+1,""))</f>
        <v/>
      </c>
      <c r="Y714" s="40" t="str">
        <f aca="false">IF($B714="","",IF(AND(OR(ABSENSI!$H$10="",$E714=ABSENSI!$H$10),OR(ABSENSI!$H$11="",$F714=ABSENSI!$H$11),OR(ABSENSI!$H$12="",$K714=ABSENSI!$H$12)),MAX($Y$3:Y713)+1,""))</f>
        <v/>
      </c>
      <c r="Z714" s="40" t="str">
        <f aca="false">IF($B714="","",IF(AND(OR(KARTU!$K$6="",$E714=KARTU!$K$6),OR(KARTU!$K$7="",$F714=KARTU!$K$7),OR(KARTU!$K$8="",$K714=KARTU!$K$8)),MAX($Z$3:Z713)+1,""))</f>
        <v/>
      </c>
    </row>
    <row r="715" customFormat="false" ht="15" hidden="false" customHeight="false" outlineLevel="0" collapsed="false">
      <c r="A715" s="36" t="str">
        <f aca="false">IF($B715="","",COUNTA($B$4:$B715))</f>
        <v/>
      </c>
      <c r="B715" s="37"/>
      <c r="C715" s="38"/>
      <c r="D715" s="39"/>
      <c r="E715" s="37"/>
      <c r="F715" s="39"/>
      <c r="G715" s="40" t="str">
        <f aca="false">IF(OR($E715="",$F715=""),"",$E715&amp;" - RT "&amp;$F715)</f>
        <v/>
      </c>
      <c r="H715" s="37"/>
      <c r="I715" s="38"/>
      <c r="J715" s="37"/>
      <c r="K715" s="39"/>
      <c r="L715" s="41"/>
      <c r="M715" s="36" t="str">
        <f aca="true">IF(OR($B715="",$L715=""),"",DATEDIF($L715,TODAY(),"Y"))</f>
        <v/>
      </c>
      <c r="N715" s="40" t="str">
        <f aca="false">IF($M715="","",INDEX(usia_label,MATCH($M715,usia_min,1)))</f>
        <v/>
      </c>
      <c r="O715" s="37"/>
      <c r="P715" s="41"/>
      <c r="Q715" s="37"/>
      <c r="R715" s="37"/>
      <c r="S715" s="40" t="str">
        <f aca="false">IF($G715="","",$G715&amp;"#"&amp;COUNTIF($G$4:$G715,$G715))</f>
        <v/>
      </c>
      <c r="T715" s="40" t="str">
        <f aca="false">IF($B715="","",IF($C715="","NIK kosong",IF(LEN($C715)&lt;&gt;16,"NIK bukan 16 digit",IF(COUNTIF($C$4:$C$2003,$C715&amp;"*")&gt;1,"NIK ganda",IF($E715="","Kadus kosong",IF($F715="","RT kosong",IF($H715="","Jabatan kosong",IF($I715="","No. HP kosong",IF($J715="","Alamat kosong",IF(AND($M715&lt;&gt;"",$M715&lt;17),"Usia di bawah 17",""))))))))))</f>
        <v/>
      </c>
      <c r="U715" s="40" t="str">
        <f aca="false">IF($B715="","",IF(AND(OR(CARI!$C$5="",ISNUMBER(SEARCH(CARI!$C$5,$B715&amp;" "&amp;$C715&amp;" "&amp;$I715&amp;" "&amp;$J715&amp;" "&amp;$Q715))),OR(CARI!$C$6="",$E715=CARI!$C$6),OR(CARI!$C$7="",$F715=CARI!$C$7),OR(CARI!$C$8="",$O715=CARI!$C$8)),MAX($U$3:U714)+1,""))</f>
        <v/>
      </c>
      <c r="V715" s="40" t="str">
        <f aca="false">IF($T715="","",MAX($V$3:V714)+1)</f>
        <v/>
      </c>
      <c r="W715" s="40" t="str">
        <f aca="false">IF($E715="","",$E715&amp;"#"&amp;COUNTIF($E$4:$E715,$E715))</f>
        <v/>
      </c>
      <c r="X715" s="40" t="str">
        <f aca="false">IF($B715="","",IF(AND(OR(CETAK!$J$10="",$E715=CETAK!$J$10),OR(CETAK!$J$11="",$F715=CETAK!$J$11),OR(CETAK!$J$12="",$K715=CETAK!$J$12),OR(CETAK!$J$13="",$H715=CETAK!$J$13),OR(CETAK!$J$14="",$O715=CETAK!$J$14)),MAX($X$3:X714)+1,""))</f>
        <v/>
      </c>
      <c r="Y715" s="40" t="str">
        <f aca="false">IF($B715="","",IF(AND(OR(ABSENSI!$H$10="",$E715=ABSENSI!$H$10),OR(ABSENSI!$H$11="",$F715=ABSENSI!$H$11),OR(ABSENSI!$H$12="",$K715=ABSENSI!$H$12)),MAX($Y$3:Y714)+1,""))</f>
        <v/>
      </c>
      <c r="Z715" s="40" t="str">
        <f aca="false">IF($B715="","",IF(AND(OR(KARTU!$K$6="",$E715=KARTU!$K$6),OR(KARTU!$K$7="",$F715=KARTU!$K$7),OR(KARTU!$K$8="",$K715=KARTU!$K$8)),MAX($Z$3:Z714)+1,""))</f>
        <v/>
      </c>
    </row>
    <row r="716" customFormat="false" ht="15" hidden="false" customHeight="false" outlineLevel="0" collapsed="false">
      <c r="A716" s="36" t="str">
        <f aca="false">IF($B716="","",COUNTA($B$4:$B716))</f>
        <v/>
      </c>
      <c r="B716" s="37"/>
      <c r="C716" s="38"/>
      <c r="D716" s="39"/>
      <c r="E716" s="37"/>
      <c r="F716" s="39"/>
      <c r="G716" s="40" t="str">
        <f aca="false">IF(OR($E716="",$F716=""),"",$E716&amp;" - RT "&amp;$F716)</f>
        <v/>
      </c>
      <c r="H716" s="37"/>
      <c r="I716" s="38"/>
      <c r="J716" s="37"/>
      <c r="K716" s="39"/>
      <c r="L716" s="41"/>
      <c r="M716" s="36" t="str">
        <f aca="true">IF(OR($B716="",$L716=""),"",DATEDIF($L716,TODAY(),"Y"))</f>
        <v/>
      </c>
      <c r="N716" s="40" t="str">
        <f aca="false">IF($M716="","",INDEX(usia_label,MATCH($M716,usia_min,1)))</f>
        <v/>
      </c>
      <c r="O716" s="37"/>
      <c r="P716" s="41"/>
      <c r="Q716" s="37"/>
      <c r="R716" s="37"/>
      <c r="S716" s="40" t="str">
        <f aca="false">IF($G716="","",$G716&amp;"#"&amp;COUNTIF($G$4:$G716,$G716))</f>
        <v/>
      </c>
      <c r="T716" s="40" t="str">
        <f aca="false">IF($B716="","",IF($C716="","NIK kosong",IF(LEN($C716)&lt;&gt;16,"NIK bukan 16 digit",IF(COUNTIF($C$4:$C$2003,$C716&amp;"*")&gt;1,"NIK ganda",IF($E716="","Kadus kosong",IF($F716="","RT kosong",IF($H716="","Jabatan kosong",IF($I716="","No. HP kosong",IF($J716="","Alamat kosong",IF(AND($M716&lt;&gt;"",$M716&lt;17),"Usia di bawah 17",""))))))))))</f>
        <v/>
      </c>
      <c r="U716" s="40" t="str">
        <f aca="false">IF($B716="","",IF(AND(OR(CARI!$C$5="",ISNUMBER(SEARCH(CARI!$C$5,$B716&amp;" "&amp;$C716&amp;" "&amp;$I716&amp;" "&amp;$J716&amp;" "&amp;$Q716))),OR(CARI!$C$6="",$E716=CARI!$C$6),OR(CARI!$C$7="",$F716=CARI!$C$7),OR(CARI!$C$8="",$O716=CARI!$C$8)),MAX($U$3:U715)+1,""))</f>
        <v/>
      </c>
      <c r="V716" s="40" t="str">
        <f aca="false">IF($T716="","",MAX($V$3:V715)+1)</f>
        <v/>
      </c>
      <c r="W716" s="40" t="str">
        <f aca="false">IF($E716="","",$E716&amp;"#"&amp;COUNTIF($E$4:$E716,$E716))</f>
        <v/>
      </c>
      <c r="X716" s="40" t="str">
        <f aca="false">IF($B716="","",IF(AND(OR(CETAK!$J$10="",$E716=CETAK!$J$10),OR(CETAK!$J$11="",$F716=CETAK!$J$11),OR(CETAK!$J$12="",$K716=CETAK!$J$12),OR(CETAK!$J$13="",$H716=CETAK!$J$13),OR(CETAK!$J$14="",$O716=CETAK!$J$14)),MAX($X$3:X715)+1,""))</f>
        <v/>
      </c>
      <c r="Y716" s="40" t="str">
        <f aca="false">IF($B716="","",IF(AND(OR(ABSENSI!$H$10="",$E716=ABSENSI!$H$10),OR(ABSENSI!$H$11="",$F716=ABSENSI!$H$11),OR(ABSENSI!$H$12="",$K716=ABSENSI!$H$12)),MAX($Y$3:Y715)+1,""))</f>
        <v/>
      </c>
      <c r="Z716" s="40" t="str">
        <f aca="false">IF($B716="","",IF(AND(OR(KARTU!$K$6="",$E716=KARTU!$K$6),OR(KARTU!$K$7="",$F716=KARTU!$K$7),OR(KARTU!$K$8="",$K716=KARTU!$K$8)),MAX($Z$3:Z715)+1,""))</f>
        <v/>
      </c>
    </row>
    <row r="717" customFormat="false" ht="15" hidden="false" customHeight="false" outlineLevel="0" collapsed="false">
      <c r="A717" s="36" t="str">
        <f aca="false">IF($B717="","",COUNTA($B$4:$B717))</f>
        <v/>
      </c>
      <c r="B717" s="37"/>
      <c r="C717" s="38"/>
      <c r="D717" s="39"/>
      <c r="E717" s="37"/>
      <c r="F717" s="39"/>
      <c r="G717" s="40" t="str">
        <f aca="false">IF(OR($E717="",$F717=""),"",$E717&amp;" - RT "&amp;$F717)</f>
        <v/>
      </c>
      <c r="H717" s="37"/>
      <c r="I717" s="38"/>
      <c r="J717" s="37"/>
      <c r="K717" s="39"/>
      <c r="L717" s="41"/>
      <c r="M717" s="36" t="str">
        <f aca="true">IF(OR($B717="",$L717=""),"",DATEDIF($L717,TODAY(),"Y"))</f>
        <v/>
      </c>
      <c r="N717" s="40" t="str">
        <f aca="false">IF($M717="","",INDEX(usia_label,MATCH($M717,usia_min,1)))</f>
        <v/>
      </c>
      <c r="O717" s="37"/>
      <c r="P717" s="41"/>
      <c r="Q717" s="37"/>
      <c r="R717" s="37"/>
      <c r="S717" s="40" t="str">
        <f aca="false">IF($G717="","",$G717&amp;"#"&amp;COUNTIF($G$4:$G717,$G717))</f>
        <v/>
      </c>
      <c r="T717" s="40" t="str">
        <f aca="false">IF($B717="","",IF($C717="","NIK kosong",IF(LEN($C717)&lt;&gt;16,"NIK bukan 16 digit",IF(COUNTIF($C$4:$C$2003,$C717&amp;"*")&gt;1,"NIK ganda",IF($E717="","Kadus kosong",IF($F717="","RT kosong",IF($H717="","Jabatan kosong",IF($I717="","No. HP kosong",IF($J717="","Alamat kosong",IF(AND($M717&lt;&gt;"",$M717&lt;17),"Usia di bawah 17",""))))))))))</f>
        <v/>
      </c>
      <c r="U717" s="40" t="str">
        <f aca="false">IF($B717="","",IF(AND(OR(CARI!$C$5="",ISNUMBER(SEARCH(CARI!$C$5,$B717&amp;" "&amp;$C717&amp;" "&amp;$I717&amp;" "&amp;$J717&amp;" "&amp;$Q717))),OR(CARI!$C$6="",$E717=CARI!$C$6),OR(CARI!$C$7="",$F717=CARI!$C$7),OR(CARI!$C$8="",$O717=CARI!$C$8)),MAX($U$3:U716)+1,""))</f>
        <v/>
      </c>
      <c r="V717" s="40" t="str">
        <f aca="false">IF($T717="","",MAX($V$3:V716)+1)</f>
        <v/>
      </c>
      <c r="W717" s="40" t="str">
        <f aca="false">IF($E717="","",$E717&amp;"#"&amp;COUNTIF($E$4:$E717,$E717))</f>
        <v/>
      </c>
      <c r="X717" s="40" t="str">
        <f aca="false">IF($B717="","",IF(AND(OR(CETAK!$J$10="",$E717=CETAK!$J$10),OR(CETAK!$J$11="",$F717=CETAK!$J$11),OR(CETAK!$J$12="",$K717=CETAK!$J$12),OR(CETAK!$J$13="",$H717=CETAK!$J$13),OR(CETAK!$J$14="",$O717=CETAK!$J$14)),MAX($X$3:X716)+1,""))</f>
        <v/>
      </c>
      <c r="Y717" s="40" t="str">
        <f aca="false">IF($B717="","",IF(AND(OR(ABSENSI!$H$10="",$E717=ABSENSI!$H$10),OR(ABSENSI!$H$11="",$F717=ABSENSI!$H$11),OR(ABSENSI!$H$12="",$K717=ABSENSI!$H$12)),MAX($Y$3:Y716)+1,""))</f>
        <v/>
      </c>
      <c r="Z717" s="40" t="str">
        <f aca="false">IF($B717="","",IF(AND(OR(KARTU!$K$6="",$E717=KARTU!$K$6),OR(KARTU!$K$7="",$F717=KARTU!$K$7),OR(KARTU!$K$8="",$K717=KARTU!$K$8)),MAX($Z$3:Z716)+1,""))</f>
        <v/>
      </c>
    </row>
    <row r="718" customFormat="false" ht="15" hidden="false" customHeight="false" outlineLevel="0" collapsed="false">
      <c r="A718" s="36" t="str">
        <f aca="false">IF($B718="","",COUNTA($B$4:$B718))</f>
        <v/>
      </c>
      <c r="B718" s="37"/>
      <c r="C718" s="38"/>
      <c r="D718" s="39"/>
      <c r="E718" s="37"/>
      <c r="F718" s="39"/>
      <c r="G718" s="40" t="str">
        <f aca="false">IF(OR($E718="",$F718=""),"",$E718&amp;" - RT "&amp;$F718)</f>
        <v/>
      </c>
      <c r="H718" s="37"/>
      <c r="I718" s="38"/>
      <c r="J718" s="37"/>
      <c r="K718" s="39"/>
      <c r="L718" s="41"/>
      <c r="M718" s="36" t="str">
        <f aca="true">IF(OR($B718="",$L718=""),"",DATEDIF($L718,TODAY(),"Y"))</f>
        <v/>
      </c>
      <c r="N718" s="40" t="str">
        <f aca="false">IF($M718="","",INDEX(usia_label,MATCH($M718,usia_min,1)))</f>
        <v/>
      </c>
      <c r="O718" s="37"/>
      <c r="P718" s="41"/>
      <c r="Q718" s="37"/>
      <c r="R718" s="37"/>
      <c r="S718" s="40" t="str">
        <f aca="false">IF($G718="","",$G718&amp;"#"&amp;COUNTIF($G$4:$G718,$G718))</f>
        <v/>
      </c>
      <c r="T718" s="40" t="str">
        <f aca="false">IF($B718="","",IF($C718="","NIK kosong",IF(LEN($C718)&lt;&gt;16,"NIK bukan 16 digit",IF(COUNTIF($C$4:$C$2003,$C718&amp;"*")&gt;1,"NIK ganda",IF($E718="","Kadus kosong",IF($F718="","RT kosong",IF($H718="","Jabatan kosong",IF($I718="","No. HP kosong",IF($J718="","Alamat kosong",IF(AND($M718&lt;&gt;"",$M718&lt;17),"Usia di bawah 17",""))))))))))</f>
        <v/>
      </c>
      <c r="U718" s="40" t="str">
        <f aca="false">IF($B718="","",IF(AND(OR(CARI!$C$5="",ISNUMBER(SEARCH(CARI!$C$5,$B718&amp;" "&amp;$C718&amp;" "&amp;$I718&amp;" "&amp;$J718&amp;" "&amp;$Q718))),OR(CARI!$C$6="",$E718=CARI!$C$6),OR(CARI!$C$7="",$F718=CARI!$C$7),OR(CARI!$C$8="",$O718=CARI!$C$8)),MAX($U$3:U717)+1,""))</f>
        <v/>
      </c>
      <c r="V718" s="40" t="str">
        <f aca="false">IF($T718="","",MAX($V$3:V717)+1)</f>
        <v/>
      </c>
      <c r="W718" s="40" t="str">
        <f aca="false">IF($E718="","",$E718&amp;"#"&amp;COUNTIF($E$4:$E718,$E718))</f>
        <v/>
      </c>
      <c r="X718" s="40" t="str">
        <f aca="false">IF($B718="","",IF(AND(OR(CETAK!$J$10="",$E718=CETAK!$J$10),OR(CETAK!$J$11="",$F718=CETAK!$J$11),OR(CETAK!$J$12="",$K718=CETAK!$J$12),OR(CETAK!$J$13="",$H718=CETAK!$J$13),OR(CETAK!$J$14="",$O718=CETAK!$J$14)),MAX($X$3:X717)+1,""))</f>
        <v/>
      </c>
      <c r="Y718" s="40" t="str">
        <f aca="false">IF($B718="","",IF(AND(OR(ABSENSI!$H$10="",$E718=ABSENSI!$H$10),OR(ABSENSI!$H$11="",$F718=ABSENSI!$H$11),OR(ABSENSI!$H$12="",$K718=ABSENSI!$H$12)),MAX($Y$3:Y717)+1,""))</f>
        <v/>
      </c>
      <c r="Z718" s="40" t="str">
        <f aca="false">IF($B718="","",IF(AND(OR(KARTU!$K$6="",$E718=KARTU!$K$6),OR(KARTU!$K$7="",$F718=KARTU!$K$7),OR(KARTU!$K$8="",$K718=KARTU!$K$8)),MAX($Z$3:Z717)+1,""))</f>
        <v/>
      </c>
    </row>
    <row r="719" customFormat="false" ht="15" hidden="false" customHeight="false" outlineLevel="0" collapsed="false">
      <c r="A719" s="36" t="str">
        <f aca="false">IF($B719="","",COUNTA($B$4:$B719))</f>
        <v/>
      </c>
      <c r="B719" s="37"/>
      <c r="C719" s="38"/>
      <c r="D719" s="39"/>
      <c r="E719" s="37"/>
      <c r="F719" s="39"/>
      <c r="G719" s="40" t="str">
        <f aca="false">IF(OR($E719="",$F719=""),"",$E719&amp;" - RT "&amp;$F719)</f>
        <v/>
      </c>
      <c r="H719" s="37"/>
      <c r="I719" s="38"/>
      <c r="J719" s="37"/>
      <c r="K719" s="39"/>
      <c r="L719" s="41"/>
      <c r="M719" s="36" t="str">
        <f aca="true">IF(OR($B719="",$L719=""),"",DATEDIF($L719,TODAY(),"Y"))</f>
        <v/>
      </c>
      <c r="N719" s="40" t="str">
        <f aca="false">IF($M719="","",INDEX(usia_label,MATCH($M719,usia_min,1)))</f>
        <v/>
      </c>
      <c r="O719" s="37"/>
      <c r="P719" s="41"/>
      <c r="Q719" s="37"/>
      <c r="R719" s="37"/>
      <c r="S719" s="40" t="str">
        <f aca="false">IF($G719="","",$G719&amp;"#"&amp;COUNTIF($G$4:$G719,$G719))</f>
        <v/>
      </c>
      <c r="T719" s="40" t="str">
        <f aca="false">IF($B719="","",IF($C719="","NIK kosong",IF(LEN($C719)&lt;&gt;16,"NIK bukan 16 digit",IF(COUNTIF($C$4:$C$2003,$C719&amp;"*")&gt;1,"NIK ganda",IF($E719="","Kadus kosong",IF($F719="","RT kosong",IF($H719="","Jabatan kosong",IF($I719="","No. HP kosong",IF($J719="","Alamat kosong",IF(AND($M719&lt;&gt;"",$M719&lt;17),"Usia di bawah 17",""))))))))))</f>
        <v/>
      </c>
      <c r="U719" s="40" t="str">
        <f aca="false">IF($B719="","",IF(AND(OR(CARI!$C$5="",ISNUMBER(SEARCH(CARI!$C$5,$B719&amp;" "&amp;$C719&amp;" "&amp;$I719&amp;" "&amp;$J719&amp;" "&amp;$Q719))),OR(CARI!$C$6="",$E719=CARI!$C$6),OR(CARI!$C$7="",$F719=CARI!$C$7),OR(CARI!$C$8="",$O719=CARI!$C$8)),MAX($U$3:U718)+1,""))</f>
        <v/>
      </c>
      <c r="V719" s="40" t="str">
        <f aca="false">IF($T719="","",MAX($V$3:V718)+1)</f>
        <v/>
      </c>
      <c r="W719" s="40" t="str">
        <f aca="false">IF($E719="","",$E719&amp;"#"&amp;COUNTIF($E$4:$E719,$E719))</f>
        <v/>
      </c>
      <c r="X719" s="40" t="str">
        <f aca="false">IF($B719="","",IF(AND(OR(CETAK!$J$10="",$E719=CETAK!$J$10),OR(CETAK!$J$11="",$F719=CETAK!$J$11),OR(CETAK!$J$12="",$K719=CETAK!$J$12),OR(CETAK!$J$13="",$H719=CETAK!$J$13),OR(CETAK!$J$14="",$O719=CETAK!$J$14)),MAX($X$3:X718)+1,""))</f>
        <v/>
      </c>
      <c r="Y719" s="40" t="str">
        <f aca="false">IF($B719="","",IF(AND(OR(ABSENSI!$H$10="",$E719=ABSENSI!$H$10),OR(ABSENSI!$H$11="",$F719=ABSENSI!$H$11),OR(ABSENSI!$H$12="",$K719=ABSENSI!$H$12)),MAX($Y$3:Y718)+1,""))</f>
        <v/>
      </c>
      <c r="Z719" s="40" t="str">
        <f aca="false">IF($B719="","",IF(AND(OR(KARTU!$K$6="",$E719=KARTU!$K$6),OR(KARTU!$K$7="",$F719=KARTU!$K$7),OR(KARTU!$K$8="",$K719=KARTU!$K$8)),MAX($Z$3:Z718)+1,""))</f>
        <v/>
      </c>
    </row>
    <row r="720" customFormat="false" ht="15" hidden="false" customHeight="false" outlineLevel="0" collapsed="false">
      <c r="A720" s="36" t="str">
        <f aca="false">IF($B720="","",COUNTA($B$4:$B720))</f>
        <v/>
      </c>
      <c r="B720" s="37"/>
      <c r="C720" s="38"/>
      <c r="D720" s="39"/>
      <c r="E720" s="37"/>
      <c r="F720" s="39"/>
      <c r="G720" s="40" t="str">
        <f aca="false">IF(OR($E720="",$F720=""),"",$E720&amp;" - RT "&amp;$F720)</f>
        <v/>
      </c>
      <c r="H720" s="37"/>
      <c r="I720" s="38"/>
      <c r="J720" s="37"/>
      <c r="K720" s="39"/>
      <c r="L720" s="41"/>
      <c r="M720" s="36" t="str">
        <f aca="true">IF(OR($B720="",$L720=""),"",DATEDIF($L720,TODAY(),"Y"))</f>
        <v/>
      </c>
      <c r="N720" s="40" t="str">
        <f aca="false">IF($M720="","",INDEX(usia_label,MATCH($M720,usia_min,1)))</f>
        <v/>
      </c>
      <c r="O720" s="37"/>
      <c r="P720" s="41"/>
      <c r="Q720" s="37"/>
      <c r="R720" s="37"/>
      <c r="S720" s="40" t="str">
        <f aca="false">IF($G720="","",$G720&amp;"#"&amp;COUNTIF($G$4:$G720,$G720))</f>
        <v/>
      </c>
      <c r="T720" s="40" t="str">
        <f aca="false">IF($B720="","",IF($C720="","NIK kosong",IF(LEN($C720)&lt;&gt;16,"NIK bukan 16 digit",IF(COUNTIF($C$4:$C$2003,$C720&amp;"*")&gt;1,"NIK ganda",IF($E720="","Kadus kosong",IF($F720="","RT kosong",IF($H720="","Jabatan kosong",IF($I720="","No. HP kosong",IF($J720="","Alamat kosong",IF(AND($M720&lt;&gt;"",$M720&lt;17),"Usia di bawah 17",""))))))))))</f>
        <v/>
      </c>
      <c r="U720" s="40" t="str">
        <f aca="false">IF($B720="","",IF(AND(OR(CARI!$C$5="",ISNUMBER(SEARCH(CARI!$C$5,$B720&amp;" "&amp;$C720&amp;" "&amp;$I720&amp;" "&amp;$J720&amp;" "&amp;$Q720))),OR(CARI!$C$6="",$E720=CARI!$C$6),OR(CARI!$C$7="",$F720=CARI!$C$7),OR(CARI!$C$8="",$O720=CARI!$C$8)),MAX($U$3:U719)+1,""))</f>
        <v/>
      </c>
      <c r="V720" s="40" t="str">
        <f aca="false">IF($T720="","",MAX($V$3:V719)+1)</f>
        <v/>
      </c>
      <c r="W720" s="40" t="str">
        <f aca="false">IF($E720="","",$E720&amp;"#"&amp;COUNTIF($E$4:$E720,$E720))</f>
        <v/>
      </c>
      <c r="X720" s="40" t="str">
        <f aca="false">IF($B720="","",IF(AND(OR(CETAK!$J$10="",$E720=CETAK!$J$10),OR(CETAK!$J$11="",$F720=CETAK!$J$11),OR(CETAK!$J$12="",$K720=CETAK!$J$12),OR(CETAK!$J$13="",$H720=CETAK!$J$13),OR(CETAK!$J$14="",$O720=CETAK!$J$14)),MAX($X$3:X719)+1,""))</f>
        <v/>
      </c>
      <c r="Y720" s="40" t="str">
        <f aca="false">IF($B720="","",IF(AND(OR(ABSENSI!$H$10="",$E720=ABSENSI!$H$10),OR(ABSENSI!$H$11="",$F720=ABSENSI!$H$11),OR(ABSENSI!$H$12="",$K720=ABSENSI!$H$12)),MAX($Y$3:Y719)+1,""))</f>
        <v/>
      </c>
      <c r="Z720" s="40" t="str">
        <f aca="false">IF($B720="","",IF(AND(OR(KARTU!$K$6="",$E720=KARTU!$K$6),OR(KARTU!$K$7="",$F720=KARTU!$K$7),OR(KARTU!$K$8="",$K720=KARTU!$K$8)),MAX($Z$3:Z719)+1,""))</f>
        <v/>
      </c>
    </row>
    <row r="721" customFormat="false" ht="15" hidden="false" customHeight="false" outlineLevel="0" collapsed="false">
      <c r="A721" s="36" t="str">
        <f aca="false">IF($B721="","",COUNTA($B$4:$B721))</f>
        <v/>
      </c>
      <c r="B721" s="37"/>
      <c r="C721" s="38"/>
      <c r="D721" s="39"/>
      <c r="E721" s="37"/>
      <c r="F721" s="39"/>
      <c r="G721" s="40" t="str">
        <f aca="false">IF(OR($E721="",$F721=""),"",$E721&amp;" - RT "&amp;$F721)</f>
        <v/>
      </c>
      <c r="H721" s="37"/>
      <c r="I721" s="38"/>
      <c r="J721" s="37"/>
      <c r="K721" s="39"/>
      <c r="L721" s="41"/>
      <c r="M721" s="36" t="str">
        <f aca="true">IF(OR($B721="",$L721=""),"",DATEDIF($L721,TODAY(),"Y"))</f>
        <v/>
      </c>
      <c r="N721" s="40" t="str">
        <f aca="false">IF($M721="","",INDEX(usia_label,MATCH($M721,usia_min,1)))</f>
        <v/>
      </c>
      <c r="O721" s="37"/>
      <c r="P721" s="41"/>
      <c r="Q721" s="37"/>
      <c r="R721" s="37"/>
      <c r="S721" s="40" t="str">
        <f aca="false">IF($G721="","",$G721&amp;"#"&amp;COUNTIF($G$4:$G721,$G721))</f>
        <v/>
      </c>
      <c r="T721" s="40" t="str">
        <f aca="false">IF($B721="","",IF($C721="","NIK kosong",IF(LEN($C721)&lt;&gt;16,"NIK bukan 16 digit",IF(COUNTIF($C$4:$C$2003,$C721&amp;"*")&gt;1,"NIK ganda",IF($E721="","Kadus kosong",IF($F721="","RT kosong",IF($H721="","Jabatan kosong",IF($I721="","No. HP kosong",IF($J721="","Alamat kosong",IF(AND($M721&lt;&gt;"",$M721&lt;17),"Usia di bawah 17",""))))))))))</f>
        <v/>
      </c>
      <c r="U721" s="40" t="str">
        <f aca="false">IF($B721="","",IF(AND(OR(CARI!$C$5="",ISNUMBER(SEARCH(CARI!$C$5,$B721&amp;" "&amp;$C721&amp;" "&amp;$I721&amp;" "&amp;$J721&amp;" "&amp;$Q721))),OR(CARI!$C$6="",$E721=CARI!$C$6),OR(CARI!$C$7="",$F721=CARI!$C$7),OR(CARI!$C$8="",$O721=CARI!$C$8)),MAX($U$3:U720)+1,""))</f>
        <v/>
      </c>
      <c r="V721" s="40" t="str">
        <f aca="false">IF($T721="","",MAX($V$3:V720)+1)</f>
        <v/>
      </c>
      <c r="W721" s="40" t="str">
        <f aca="false">IF($E721="","",$E721&amp;"#"&amp;COUNTIF($E$4:$E721,$E721))</f>
        <v/>
      </c>
      <c r="X721" s="40" t="str">
        <f aca="false">IF($B721="","",IF(AND(OR(CETAK!$J$10="",$E721=CETAK!$J$10),OR(CETAK!$J$11="",$F721=CETAK!$J$11),OR(CETAK!$J$12="",$K721=CETAK!$J$12),OR(CETAK!$J$13="",$H721=CETAK!$J$13),OR(CETAK!$J$14="",$O721=CETAK!$J$14)),MAX($X$3:X720)+1,""))</f>
        <v/>
      </c>
      <c r="Y721" s="40" t="str">
        <f aca="false">IF($B721="","",IF(AND(OR(ABSENSI!$H$10="",$E721=ABSENSI!$H$10),OR(ABSENSI!$H$11="",$F721=ABSENSI!$H$11),OR(ABSENSI!$H$12="",$K721=ABSENSI!$H$12)),MAX($Y$3:Y720)+1,""))</f>
        <v/>
      </c>
      <c r="Z721" s="40" t="str">
        <f aca="false">IF($B721="","",IF(AND(OR(KARTU!$K$6="",$E721=KARTU!$K$6),OR(KARTU!$K$7="",$F721=KARTU!$K$7),OR(KARTU!$K$8="",$K721=KARTU!$K$8)),MAX($Z$3:Z720)+1,""))</f>
        <v/>
      </c>
    </row>
    <row r="722" customFormat="false" ht="15" hidden="false" customHeight="false" outlineLevel="0" collapsed="false">
      <c r="A722" s="36" t="str">
        <f aca="false">IF($B722="","",COUNTA($B$4:$B722))</f>
        <v/>
      </c>
      <c r="B722" s="37"/>
      <c r="C722" s="38"/>
      <c r="D722" s="39"/>
      <c r="E722" s="37"/>
      <c r="F722" s="39"/>
      <c r="G722" s="40" t="str">
        <f aca="false">IF(OR($E722="",$F722=""),"",$E722&amp;" - RT "&amp;$F722)</f>
        <v/>
      </c>
      <c r="H722" s="37"/>
      <c r="I722" s="38"/>
      <c r="J722" s="37"/>
      <c r="K722" s="39"/>
      <c r="L722" s="41"/>
      <c r="M722" s="36" t="str">
        <f aca="true">IF(OR($B722="",$L722=""),"",DATEDIF($L722,TODAY(),"Y"))</f>
        <v/>
      </c>
      <c r="N722" s="40" t="str">
        <f aca="false">IF($M722="","",INDEX(usia_label,MATCH($M722,usia_min,1)))</f>
        <v/>
      </c>
      <c r="O722" s="37"/>
      <c r="P722" s="41"/>
      <c r="Q722" s="37"/>
      <c r="R722" s="37"/>
      <c r="S722" s="40" t="str">
        <f aca="false">IF($G722="","",$G722&amp;"#"&amp;COUNTIF($G$4:$G722,$G722))</f>
        <v/>
      </c>
      <c r="T722" s="40" t="str">
        <f aca="false">IF($B722="","",IF($C722="","NIK kosong",IF(LEN($C722)&lt;&gt;16,"NIK bukan 16 digit",IF(COUNTIF($C$4:$C$2003,$C722&amp;"*")&gt;1,"NIK ganda",IF($E722="","Kadus kosong",IF($F722="","RT kosong",IF($H722="","Jabatan kosong",IF($I722="","No. HP kosong",IF($J722="","Alamat kosong",IF(AND($M722&lt;&gt;"",$M722&lt;17),"Usia di bawah 17",""))))))))))</f>
        <v/>
      </c>
      <c r="U722" s="40" t="str">
        <f aca="false">IF($B722="","",IF(AND(OR(CARI!$C$5="",ISNUMBER(SEARCH(CARI!$C$5,$B722&amp;" "&amp;$C722&amp;" "&amp;$I722&amp;" "&amp;$J722&amp;" "&amp;$Q722))),OR(CARI!$C$6="",$E722=CARI!$C$6),OR(CARI!$C$7="",$F722=CARI!$C$7),OR(CARI!$C$8="",$O722=CARI!$C$8)),MAX($U$3:U721)+1,""))</f>
        <v/>
      </c>
      <c r="V722" s="40" t="str">
        <f aca="false">IF($T722="","",MAX($V$3:V721)+1)</f>
        <v/>
      </c>
      <c r="W722" s="40" t="str">
        <f aca="false">IF($E722="","",$E722&amp;"#"&amp;COUNTIF($E$4:$E722,$E722))</f>
        <v/>
      </c>
      <c r="X722" s="40" t="str">
        <f aca="false">IF($B722="","",IF(AND(OR(CETAK!$J$10="",$E722=CETAK!$J$10),OR(CETAK!$J$11="",$F722=CETAK!$J$11),OR(CETAK!$J$12="",$K722=CETAK!$J$12),OR(CETAK!$J$13="",$H722=CETAK!$J$13),OR(CETAK!$J$14="",$O722=CETAK!$J$14)),MAX($X$3:X721)+1,""))</f>
        <v/>
      </c>
      <c r="Y722" s="40" t="str">
        <f aca="false">IF($B722="","",IF(AND(OR(ABSENSI!$H$10="",$E722=ABSENSI!$H$10),OR(ABSENSI!$H$11="",$F722=ABSENSI!$H$11),OR(ABSENSI!$H$12="",$K722=ABSENSI!$H$12)),MAX($Y$3:Y721)+1,""))</f>
        <v/>
      </c>
      <c r="Z722" s="40" t="str">
        <f aca="false">IF($B722="","",IF(AND(OR(KARTU!$K$6="",$E722=KARTU!$K$6),OR(KARTU!$K$7="",$F722=KARTU!$K$7),OR(KARTU!$K$8="",$K722=KARTU!$K$8)),MAX($Z$3:Z721)+1,""))</f>
        <v/>
      </c>
    </row>
    <row r="723" customFormat="false" ht="15" hidden="false" customHeight="false" outlineLevel="0" collapsed="false">
      <c r="A723" s="36" t="str">
        <f aca="false">IF($B723="","",COUNTA($B$4:$B723))</f>
        <v/>
      </c>
      <c r="B723" s="37"/>
      <c r="C723" s="38"/>
      <c r="D723" s="39"/>
      <c r="E723" s="37"/>
      <c r="F723" s="39"/>
      <c r="G723" s="40" t="str">
        <f aca="false">IF(OR($E723="",$F723=""),"",$E723&amp;" - RT "&amp;$F723)</f>
        <v/>
      </c>
      <c r="H723" s="37"/>
      <c r="I723" s="38"/>
      <c r="J723" s="37"/>
      <c r="K723" s="39"/>
      <c r="L723" s="41"/>
      <c r="M723" s="36" t="str">
        <f aca="true">IF(OR($B723="",$L723=""),"",DATEDIF($L723,TODAY(),"Y"))</f>
        <v/>
      </c>
      <c r="N723" s="40" t="str">
        <f aca="false">IF($M723="","",INDEX(usia_label,MATCH($M723,usia_min,1)))</f>
        <v/>
      </c>
      <c r="O723" s="37"/>
      <c r="P723" s="41"/>
      <c r="Q723" s="37"/>
      <c r="R723" s="37"/>
      <c r="S723" s="40" t="str">
        <f aca="false">IF($G723="","",$G723&amp;"#"&amp;COUNTIF($G$4:$G723,$G723))</f>
        <v/>
      </c>
      <c r="T723" s="40" t="str">
        <f aca="false">IF($B723="","",IF($C723="","NIK kosong",IF(LEN($C723)&lt;&gt;16,"NIK bukan 16 digit",IF(COUNTIF($C$4:$C$2003,$C723&amp;"*")&gt;1,"NIK ganda",IF($E723="","Kadus kosong",IF($F723="","RT kosong",IF($H723="","Jabatan kosong",IF($I723="","No. HP kosong",IF($J723="","Alamat kosong",IF(AND($M723&lt;&gt;"",$M723&lt;17),"Usia di bawah 17",""))))))))))</f>
        <v/>
      </c>
      <c r="U723" s="40" t="str">
        <f aca="false">IF($B723="","",IF(AND(OR(CARI!$C$5="",ISNUMBER(SEARCH(CARI!$C$5,$B723&amp;" "&amp;$C723&amp;" "&amp;$I723&amp;" "&amp;$J723&amp;" "&amp;$Q723))),OR(CARI!$C$6="",$E723=CARI!$C$6),OR(CARI!$C$7="",$F723=CARI!$C$7),OR(CARI!$C$8="",$O723=CARI!$C$8)),MAX($U$3:U722)+1,""))</f>
        <v/>
      </c>
      <c r="V723" s="40" t="str">
        <f aca="false">IF($T723="","",MAX($V$3:V722)+1)</f>
        <v/>
      </c>
      <c r="W723" s="40" t="str">
        <f aca="false">IF($E723="","",$E723&amp;"#"&amp;COUNTIF($E$4:$E723,$E723))</f>
        <v/>
      </c>
      <c r="X723" s="40" t="str">
        <f aca="false">IF($B723="","",IF(AND(OR(CETAK!$J$10="",$E723=CETAK!$J$10),OR(CETAK!$J$11="",$F723=CETAK!$J$11),OR(CETAK!$J$12="",$K723=CETAK!$J$12),OR(CETAK!$J$13="",$H723=CETAK!$J$13),OR(CETAK!$J$14="",$O723=CETAK!$J$14)),MAX($X$3:X722)+1,""))</f>
        <v/>
      </c>
      <c r="Y723" s="40" t="str">
        <f aca="false">IF($B723="","",IF(AND(OR(ABSENSI!$H$10="",$E723=ABSENSI!$H$10),OR(ABSENSI!$H$11="",$F723=ABSENSI!$H$11),OR(ABSENSI!$H$12="",$K723=ABSENSI!$H$12)),MAX($Y$3:Y722)+1,""))</f>
        <v/>
      </c>
      <c r="Z723" s="40" t="str">
        <f aca="false">IF($B723="","",IF(AND(OR(KARTU!$K$6="",$E723=KARTU!$K$6),OR(KARTU!$K$7="",$F723=KARTU!$K$7),OR(KARTU!$K$8="",$K723=KARTU!$K$8)),MAX($Z$3:Z722)+1,""))</f>
        <v/>
      </c>
    </row>
    <row r="724" customFormat="false" ht="15" hidden="false" customHeight="false" outlineLevel="0" collapsed="false">
      <c r="A724" s="36" t="str">
        <f aca="false">IF($B724="","",COUNTA($B$4:$B724))</f>
        <v/>
      </c>
      <c r="B724" s="37"/>
      <c r="C724" s="38"/>
      <c r="D724" s="39"/>
      <c r="E724" s="37"/>
      <c r="F724" s="39"/>
      <c r="G724" s="40" t="str">
        <f aca="false">IF(OR($E724="",$F724=""),"",$E724&amp;" - RT "&amp;$F724)</f>
        <v/>
      </c>
      <c r="H724" s="37"/>
      <c r="I724" s="38"/>
      <c r="J724" s="37"/>
      <c r="K724" s="39"/>
      <c r="L724" s="41"/>
      <c r="M724" s="36" t="str">
        <f aca="true">IF(OR($B724="",$L724=""),"",DATEDIF($L724,TODAY(),"Y"))</f>
        <v/>
      </c>
      <c r="N724" s="40" t="str">
        <f aca="false">IF($M724="","",INDEX(usia_label,MATCH($M724,usia_min,1)))</f>
        <v/>
      </c>
      <c r="O724" s="37"/>
      <c r="P724" s="41"/>
      <c r="Q724" s="37"/>
      <c r="R724" s="37"/>
      <c r="S724" s="40" t="str">
        <f aca="false">IF($G724="","",$G724&amp;"#"&amp;COUNTIF($G$4:$G724,$G724))</f>
        <v/>
      </c>
      <c r="T724" s="40" t="str">
        <f aca="false">IF($B724="","",IF($C724="","NIK kosong",IF(LEN($C724)&lt;&gt;16,"NIK bukan 16 digit",IF(COUNTIF($C$4:$C$2003,$C724&amp;"*")&gt;1,"NIK ganda",IF($E724="","Kadus kosong",IF($F724="","RT kosong",IF($H724="","Jabatan kosong",IF($I724="","No. HP kosong",IF($J724="","Alamat kosong",IF(AND($M724&lt;&gt;"",$M724&lt;17),"Usia di bawah 17",""))))))))))</f>
        <v/>
      </c>
      <c r="U724" s="40" t="str">
        <f aca="false">IF($B724="","",IF(AND(OR(CARI!$C$5="",ISNUMBER(SEARCH(CARI!$C$5,$B724&amp;" "&amp;$C724&amp;" "&amp;$I724&amp;" "&amp;$J724&amp;" "&amp;$Q724))),OR(CARI!$C$6="",$E724=CARI!$C$6),OR(CARI!$C$7="",$F724=CARI!$C$7),OR(CARI!$C$8="",$O724=CARI!$C$8)),MAX($U$3:U723)+1,""))</f>
        <v/>
      </c>
      <c r="V724" s="40" t="str">
        <f aca="false">IF($T724="","",MAX($V$3:V723)+1)</f>
        <v/>
      </c>
      <c r="W724" s="40" t="str">
        <f aca="false">IF($E724="","",$E724&amp;"#"&amp;COUNTIF($E$4:$E724,$E724))</f>
        <v/>
      </c>
      <c r="X724" s="40" t="str">
        <f aca="false">IF($B724="","",IF(AND(OR(CETAK!$J$10="",$E724=CETAK!$J$10),OR(CETAK!$J$11="",$F724=CETAK!$J$11),OR(CETAK!$J$12="",$K724=CETAK!$J$12),OR(CETAK!$J$13="",$H724=CETAK!$J$13),OR(CETAK!$J$14="",$O724=CETAK!$J$14)),MAX($X$3:X723)+1,""))</f>
        <v/>
      </c>
      <c r="Y724" s="40" t="str">
        <f aca="false">IF($B724="","",IF(AND(OR(ABSENSI!$H$10="",$E724=ABSENSI!$H$10),OR(ABSENSI!$H$11="",$F724=ABSENSI!$H$11),OR(ABSENSI!$H$12="",$K724=ABSENSI!$H$12)),MAX($Y$3:Y723)+1,""))</f>
        <v/>
      </c>
      <c r="Z724" s="40" t="str">
        <f aca="false">IF($B724="","",IF(AND(OR(KARTU!$K$6="",$E724=KARTU!$K$6),OR(KARTU!$K$7="",$F724=KARTU!$K$7),OR(KARTU!$K$8="",$K724=KARTU!$K$8)),MAX($Z$3:Z723)+1,""))</f>
        <v/>
      </c>
    </row>
    <row r="725" customFormat="false" ht="15" hidden="false" customHeight="false" outlineLevel="0" collapsed="false">
      <c r="A725" s="36" t="str">
        <f aca="false">IF($B725="","",COUNTA($B$4:$B725))</f>
        <v/>
      </c>
      <c r="B725" s="37"/>
      <c r="C725" s="38"/>
      <c r="D725" s="39"/>
      <c r="E725" s="37"/>
      <c r="F725" s="39"/>
      <c r="G725" s="40" t="str">
        <f aca="false">IF(OR($E725="",$F725=""),"",$E725&amp;" - RT "&amp;$F725)</f>
        <v/>
      </c>
      <c r="H725" s="37"/>
      <c r="I725" s="38"/>
      <c r="J725" s="37"/>
      <c r="K725" s="39"/>
      <c r="L725" s="41"/>
      <c r="M725" s="36" t="str">
        <f aca="true">IF(OR($B725="",$L725=""),"",DATEDIF($L725,TODAY(),"Y"))</f>
        <v/>
      </c>
      <c r="N725" s="40" t="str">
        <f aca="false">IF($M725="","",INDEX(usia_label,MATCH($M725,usia_min,1)))</f>
        <v/>
      </c>
      <c r="O725" s="37"/>
      <c r="P725" s="41"/>
      <c r="Q725" s="37"/>
      <c r="R725" s="37"/>
      <c r="S725" s="40" t="str">
        <f aca="false">IF($G725="","",$G725&amp;"#"&amp;COUNTIF($G$4:$G725,$G725))</f>
        <v/>
      </c>
      <c r="T725" s="40" t="str">
        <f aca="false">IF($B725="","",IF($C725="","NIK kosong",IF(LEN($C725)&lt;&gt;16,"NIK bukan 16 digit",IF(COUNTIF($C$4:$C$2003,$C725&amp;"*")&gt;1,"NIK ganda",IF($E725="","Kadus kosong",IF($F725="","RT kosong",IF($H725="","Jabatan kosong",IF($I725="","No. HP kosong",IF($J725="","Alamat kosong",IF(AND($M725&lt;&gt;"",$M725&lt;17),"Usia di bawah 17",""))))))))))</f>
        <v/>
      </c>
      <c r="U725" s="40" t="str">
        <f aca="false">IF($B725="","",IF(AND(OR(CARI!$C$5="",ISNUMBER(SEARCH(CARI!$C$5,$B725&amp;" "&amp;$C725&amp;" "&amp;$I725&amp;" "&amp;$J725&amp;" "&amp;$Q725))),OR(CARI!$C$6="",$E725=CARI!$C$6),OR(CARI!$C$7="",$F725=CARI!$C$7),OR(CARI!$C$8="",$O725=CARI!$C$8)),MAX($U$3:U724)+1,""))</f>
        <v/>
      </c>
      <c r="V725" s="40" t="str">
        <f aca="false">IF($T725="","",MAX($V$3:V724)+1)</f>
        <v/>
      </c>
      <c r="W725" s="40" t="str">
        <f aca="false">IF($E725="","",$E725&amp;"#"&amp;COUNTIF($E$4:$E725,$E725))</f>
        <v/>
      </c>
      <c r="X725" s="40" t="str">
        <f aca="false">IF($B725="","",IF(AND(OR(CETAK!$J$10="",$E725=CETAK!$J$10),OR(CETAK!$J$11="",$F725=CETAK!$J$11),OR(CETAK!$J$12="",$K725=CETAK!$J$12),OR(CETAK!$J$13="",$H725=CETAK!$J$13),OR(CETAK!$J$14="",$O725=CETAK!$J$14)),MAX($X$3:X724)+1,""))</f>
        <v/>
      </c>
      <c r="Y725" s="40" t="str">
        <f aca="false">IF($B725="","",IF(AND(OR(ABSENSI!$H$10="",$E725=ABSENSI!$H$10),OR(ABSENSI!$H$11="",$F725=ABSENSI!$H$11),OR(ABSENSI!$H$12="",$K725=ABSENSI!$H$12)),MAX($Y$3:Y724)+1,""))</f>
        <v/>
      </c>
      <c r="Z725" s="40" t="str">
        <f aca="false">IF($B725="","",IF(AND(OR(KARTU!$K$6="",$E725=KARTU!$K$6),OR(KARTU!$K$7="",$F725=KARTU!$K$7),OR(KARTU!$K$8="",$K725=KARTU!$K$8)),MAX($Z$3:Z724)+1,""))</f>
        <v/>
      </c>
    </row>
    <row r="726" customFormat="false" ht="15" hidden="false" customHeight="false" outlineLevel="0" collapsed="false">
      <c r="A726" s="36" t="str">
        <f aca="false">IF($B726="","",COUNTA($B$4:$B726))</f>
        <v/>
      </c>
      <c r="B726" s="37"/>
      <c r="C726" s="38"/>
      <c r="D726" s="39"/>
      <c r="E726" s="37"/>
      <c r="F726" s="39"/>
      <c r="G726" s="40" t="str">
        <f aca="false">IF(OR($E726="",$F726=""),"",$E726&amp;" - RT "&amp;$F726)</f>
        <v/>
      </c>
      <c r="H726" s="37"/>
      <c r="I726" s="38"/>
      <c r="J726" s="37"/>
      <c r="K726" s="39"/>
      <c r="L726" s="41"/>
      <c r="M726" s="36" t="str">
        <f aca="true">IF(OR($B726="",$L726=""),"",DATEDIF($L726,TODAY(),"Y"))</f>
        <v/>
      </c>
      <c r="N726" s="40" t="str">
        <f aca="false">IF($M726="","",INDEX(usia_label,MATCH($M726,usia_min,1)))</f>
        <v/>
      </c>
      <c r="O726" s="37"/>
      <c r="P726" s="41"/>
      <c r="Q726" s="37"/>
      <c r="R726" s="37"/>
      <c r="S726" s="40" t="str">
        <f aca="false">IF($G726="","",$G726&amp;"#"&amp;COUNTIF($G$4:$G726,$G726))</f>
        <v/>
      </c>
      <c r="T726" s="40" t="str">
        <f aca="false">IF($B726="","",IF($C726="","NIK kosong",IF(LEN($C726)&lt;&gt;16,"NIK bukan 16 digit",IF(COUNTIF($C$4:$C$2003,$C726&amp;"*")&gt;1,"NIK ganda",IF($E726="","Kadus kosong",IF($F726="","RT kosong",IF($H726="","Jabatan kosong",IF($I726="","No. HP kosong",IF($J726="","Alamat kosong",IF(AND($M726&lt;&gt;"",$M726&lt;17),"Usia di bawah 17",""))))))))))</f>
        <v/>
      </c>
      <c r="U726" s="40" t="str">
        <f aca="false">IF($B726="","",IF(AND(OR(CARI!$C$5="",ISNUMBER(SEARCH(CARI!$C$5,$B726&amp;" "&amp;$C726&amp;" "&amp;$I726&amp;" "&amp;$J726&amp;" "&amp;$Q726))),OR(CARI!$C$6="",$E726=CARI!$C$6),OR(CARI!$C$7="",$F726=CARI!$C$7),OR(CARI!$C$8="",$O726=CARI!$C$8)),MAX($U$3:U725)+1,""))</f>
        <v/>
      </c>
      <c r="V726" s="40" t="str">
        <f aca="false">IF($T726="","",MAX($V$3:V725)+1)</f>
        <v/>
      </c>
      <c r="W726" s="40" t="str">
        <f aca="false">IF($E726="","",$E726&amp;"#"&amp;COUNTIF($E$4:$E726,$E726))</f>
        <v/>
      </c>
      <c r="X726" s="40" t="str">
        <f aca="false">IF($B726="","",IF(AND(OR(CETAK!$J$10="",$E726=CETAK!$J$10),OR(CETAK!$J$11="",$F726=CETAK!$J$11),OR(CETAK!$J$12="",$K726=CETAK!$J$12),OR(CETAK!$J$13="",$H726=CETAK!$J$13),OR(CETAK!$J$14="",$O726=CETAK!$J$14)),MAX($X$3:X725)+1,""))</f>
        <v/>
      </c>
      <c r="Y726" s="40" t="str">
        <f aca="false">IF($B726="","",IF(AND(OR(ABSENSI!$H$10="",$E726=ABSENSI!$H$10),OR(ABSENSI!$H$11="",$F726=ABSENSI!$H$11),OR(ABSENSI!$H$12="",$K726=ABSENSI!$H$12)),MAX($Y$3:Y725)+1,""))</f>
        <v/>
      </c>
      <c r="Z726" s="40" t="str">
        <f aca="false">IF($B726="","",IF(AND(OR(KARTU!$K$6="",$E726=KARTU!$K$6),OR(KARTU!$K$7="",$F726=KARTU!$K$7),OR(KARTU!$K$8="",$K726=KARTU!$K$8)),MAX($Z$3:Z725)+1,""))</f>
        <v/>
      </c>
    </row>
    <row r="727" customFormat="false" ht="15" hidden="false" customHeight="false" outlineLevel="0" collapsed="false">
      <c r="A727" s="36" t="str">
        <f aca="false">IF($B727="","",COUNTA($B$4:$B727))</f>
        <v/>
      </c>
      <c r="B727" s="37"/>
      <c r="C727" s="38"/>
      <c r="D727" s="39"/>
      <c r="E727" s="37"/>
      <c r="F727" s="39"/>
      <c r="G727" s="40" t="str">
        <f aca="false">IF(OR($E727="",$F727=""),"",$E727&amp;" - RT "&amp;$F727)</f>
        <v/>
      </c>
      <c r="H727" s="37"/>
      <c r="I727" s="38"/>
      <c r="J727" s="37"/>
      <c r="K727" s="39"/>
      <c r="L727" s="41"/>
      <c r="M727" s="36" t="str">
        <f aca="true">IF(OR($B727="",$L727=""),"",DATEDIF($L727,TODAY(),"Y"))</f>
        <v/>
      </c>
      <c r="N727" s="40" t="str">
        <f aca="false">IF($M727="","",INDEX(usia_label,MATCH($M727,usia_min,1)))</f>
        <v/>
      </c>
      <c r="O727" s="37"/>
      <c r="P727" s="41"/>
      <c r="Q727" s="37"/>
      <c r="R727" s="37"/>
      <c r="S727" s="40" t="str">
        <f aca="false">IF($G727="","",$G727&amp;"#"&amp;COUNTIF($G$4:$G727,$G727))</f>
        <v/>
      </c>
      <c r="T727" s="40" t="str">
        <f aca="false">IF($B727="","",IF($C727="","NIK kosong",IF(LEN($C727)&lt;&gt;16,"NIK bukan 16 digit",IF(COUNTIF($C$4:$C$2003,$C727&amp;"*")&gt;1,"NIK ganda",IF($E727="","Kadus kosong",IF($F727="","RT kosong",IF($H727="","Jabatan kosong",IF($I727="","No. HP kosong",IF($J727="","Alamat kosong",IF(AND($M727&lt;&gt;"",$M727&lt;17),"Usia di bawah 17",""))))))))))</f>
        <v/>
      </c>
      <c r="U727" s="40" t="str">
        <f aca="false">IF($B727="","",IF(AND(OR(CARI!$C$5="",ISNUMBER(SEARCH(CARI!$C$5,$B727&amp;" "&amp;$C727&amp;" "&amp;$I727&amp;" "&amp;$J727&amp;" "&amp;$Q727))),OR(CARI!$C$6="",$E727=CARI!$C$6),OR(CARI!$C$7="",$F727=CARI!$C$7),OR(CARI!$C$8="",$O727=CARI!$C$8)),MAX($U$3:U726)+1,""))</f>
        <v/>
      </c>
      <c r="V727" s="40" t="str">
        <f aca="false">IF($T727="","",MAX($V$3:V726)+1)</f>
        <v/>
      </c>
      <c r="W727" s="40" t="str">
        <f aca="false">IF($E727="","",$E727&amp;"#"&amp;COUNTIF($E$4:$E727,$E727))</f>
        <v/>
      </c>
      <c r="X727" s="40" t="str">
        <f aca="false">IF($B727="","",IF(AND(OR(CETAK!$J$10="",$E727=CETAK!$J$10),OR(CETAK!$J$11="",$F727=CETAK!$J$11),OR(CETAK!$J$12="",$K727=CETAK!$J$12),OR(CETAK!$J$13="",$H727=CETAK!$J$13),OR(CETAK!$J$14="",$O727=CETAK!$J$14)),MAX($X$3:X726)+1,""))</f>
        <v/>
      </c>
      <c r="Y727" s="40" t="str">
        <f aca="false">IF($B727="","",IF(AND(OR(ABSENSI!$H$10="",$E727=ABSENSI!$H$10),OR(ABSENSI!$H$11="",$F727=ABSENSI!$H$11),OR(ABSENSI!$H$12="",$K727=ABSENSI!$H$12)),MAX($Y$3:Y726)+1,""))</f>
        <v/>
      </c>
      <c r="Z727" s="40" t="str">
        <f aca="false">IF($B727="","",IF(AND(OR(KARTU!$K$6="",$E727=KARTU!$K$6),OR(KARTU!$K$7="",$F727=KARTU!$K$7),OR(KARTU!$K$8="",$K727=KARTU!$K$8)),MAX($Z$3:Z726)+1,""))</f>
        <v/>
      </c>
    </row>
    <row r="728" customFormat="false" ht="15" hidden="false" customHeight="false" outlineLevel="0" collapsed="false">
      <c r="A728" s="36" t="str">
        <f aca="false">IF($B728="","",COUNTA($B$4:$B728))</f>
        <v/>
      </c>
      <c r="B728" s="37"/>
      <c r="C728" s="38"/>
      <c r="D728" s="39"/>
      <c r="E728" s="37"/>
      <c r="F728" s="39"/>
      <c r="G728" s="40" t="str">
        <f aca="false">IF(OR($E728="",$F728=""),"",$E728&amp;" - RT "&amp;$F728)</f>
        <v/>
      </c>
      <c r="H728" s="37"/>
      <c r="I728" s="38"/>
      <c r="J728" s="37"/>
      <c r="K728" s="39"/>
      <c r="L728" s="41"/>
      <c r="M728" s="36" t="str">
        <f aca="true">IF(OR($B728="",$L728=""),"",DATEDIF($L728,TODAY(),"Y"))</f>
        <v/>
      </c>
      <c r="N728" s="40" t="str">
        <f aca="false">IF($M728="","",INDEX(usia_label,MATCH($M728,usia_min,1)))</f>
        <v/>
      </c>
      <c r="O728" s="37"/>
      <c r="P728" s="41"/>
      <c r="Q728" s="37"/>
      <c r="R728" s="37"/>
      <c r="S728" s="40" t="str">
        <f aca="false">IF($G728="","",$G728&amp;"#"&amp;COUNTIF($G$4:$G728,$G728))</f>
        <v/>
      </c>
      <c r="T728" s="40" t="str">
        <f aca="false">IF($B728="","",IF($C728="","NIK kosong",IF(LEN($C728)&lt;&gt;16,"NIK bukan 16 digit",IF(COUNTIF($C$4:$C$2003,$C728&amp;"*")&gt;1,"NIK ganda",IF($E728="","Kadus kosong",IF($F728="","RT kosong",IF($H728="","Jabatan kosong",IF($I728="","No. HP kosong",IF($J728="","Alamat kosong",IF(AND($M728&lt;&gt;"",$M728&lt;17),"Usia di bawah 17",""))))))))))</f>
        <v/>
      </c>
      <c r="U728" s="40" t="str">
        <f aca="false">IF($B728="","",IF(AND(OR(CARI!$C$5="",ISNUMBER(SEARCH(CARI!$C$5,$B728&amp;" "&amp;$C728&amp;" "&amp;$I728&amp;" "&amp;$J728&amp;" "&amp;$Q728))),OR(CARI!$C$6="",$E728=CARI!$C$6),OR(CARI!$C$7="",$F728=CARI!$C$7),OR(CARI!$C$8="",$O728=CARI!$C$8)),MAX($U$3:U727)+1,""))</f>
        <v/>
      </c>
      <c r="V728" s="40" t="str">
        <f aca="false">IF($T728="","",MAX($V$3:V727)+1)</f>
        <v/>
      </c>
      <c r="W728" s="40" t="str">
        <f aca="false">IF($E728="","",$E728&amp;"#"&amp;COUNTIF($E$4:$E728,$E728))</f>
        <v/>
      </c>
      <c r="X728" s="40" t="str">
        <f aca="false">IF($B728="","",IF(AND(OR(CETAK!$J$10="",$E728=CETAK!$J$10),OR(CETAK!$J$11="",$F728=CETAK!$J$11),OR(CETAK!$J$12="",$K728=CETAK!$J$12),OR(CETAK!$J$13="",$H728=CETAK!$J$13),OR(CETAK!$J$14="",$O728=CETAK!$J$14)),MAX($X$3:X727)+1,""))</f>
        <v/>
      </c>
      <c r="Y728" s="40" t="str">
        <f aca="false">IF($B728="","",IF(AND(OR(ABSENSI!$H$10="",$E728=ABSENSI!$H$10),OR(ABSENSI!$H$11="",$F728=ABSENSI!$H$11),OR(ABSENSI!$H$12="",$K728=ABSENSI!$H$12)),MAX($Y$3:Y727)+1,""))</f>
        <v/>
      </c>
      <c r="Z728" s="40" t="str">
        <f aca="false">IF($B728="","",IF(AND(OR(KARTU!$K$6="",$E728=KARTU!$K$6),OR(KARTU!$K$7="",$F728=KARTU!$K$7),OR(KARTU!$K$8="",$K728=KARTU!$K$8)),MAX($Z$3:Z727)+1,""))</f>
        <v/>
      </c>
    </row>
    <row r="729" customFormat="false" ht="15" hidden="false" customHeight="false" outlineLevel="0" collapsed="false">
      <c r="A729" s="36" t="str">
        <f aca="false">IF($B729="","",COUNTA($B$4:$B729))</f>
        <v/>
      </c>
      <c r="B729" s="37"/>
      <c r="C729" s="38"/>
      <c r="D729" s="39"/>
      <c r="E729" s="37"/>
      <c r="F729" s="39"/>
      <c r="G729" s="40" t="str">
        <f aca="false">IF(OR($E729="",$F729=""),"",$E729&amp;" - RT "&amp;$F729)</f>
        <v/>
      </c>
      <c r="H729" s="37"/>
      <c r="I729" s="38"/>
      <c r="J729" s="37"/>
      <c r="K729" s="39"/>
      <c r="L729" s="41"/>
      <c r="M729" s="36" t="str">
        <f aca="true">IF(OR($B729="",$L729=""),"",DATEDIF($L729,TODAY(),"Y"))</f>
        <v/>
      </c>
      <c r="N729" s="40" t="str">
        <f aca="false">IF($M729="","",INDEX(usia_label,MATCH($M729,usia_min,1)))</f>
        <v/>
      </c>
      <c r="O729" s="37"/>
      <c r="P729" s="41"/>
      <c r="Q729" s="37"/>
      <c r="R729" s="37"/>
      <c r="S729" s="40" t="str">
        <f aca="false">IF($G729="","",$G729&amp;"#"&amp;COUNTIF($G$4:$G729,$G729))</f>
        <v/>
      </c>
      <c r="T729" s="40" t="str">
        <f aca="false">IF($B729="","",IF($C729="","NIK kosong",IF(LEN($C729)&lt;&gt;16,"NIK bukan 16 digit",IF(COUNTIF($C$4:$C$2003,$C729&amp;"*")&gt;1,"NIK ganda",IF($E729="","Kadus kosong",IF($F729="","RT kosong",IF($H729="","Jabatan kosong",IF($I729="","No. HP kosong",IF($J729="","Alamat kosong",IF(AND($M729&lt;&gt;"",$M729&lt;17),"Usia di bawah 17",""))))))))))</f>
        <v/>
      </c>
      <c r="U729" s="40" t="str">
        <f aca="false">IF($B729="","",IF(AND(OR(CARI!$C$5="",ISNUMBER(SEARCH(CARI!$C$5,$B729&amp;" "&amp;$C729&amp;" "&amp;$I729&amp;" "&amp;$J729&amp;" "&amp;$Q729))),OR(CARI!$C$6="",$E729=CARI!$C$6),OR(CARI!$C$7="",$F729=CARI!$C$7),OR(CARI!$C$8="",$O729=CARI!$C$8)),MAX($U$3:U728)+1,""))</f>
        <v/>
      </c>
      <c r="V729" s="40" t="str">
        <f aca="false">IF($T729="","",MAX($V$3:V728)+1)</f>
        <v/>
      </c>
      <c r="W729" s="40" t="str">
        <f aca="false">IF($E729="","",$E729&amp;"#"&amp;COUNTIF($E$4:$E729,$E729))</f>
        <v/>
      </c>
      <c r="X729" s="40" t="str">
        <f aca="false">IF($B729="","",IF(AND(OR(CETAK!$J$10="",$E729=CETAK!$J$10),OR(CETAK!$J$11="",$F729=CETAK!$J$11),OR(CETAK!$J$12="",$K729=CETAK!$J$12),OR(CETAK!$J$13="",$H729=CETAK!$J$13),OR(CETAK!$J$14="",$O729=CETAK!$J$14)),MAX($X$3:X728)+1,""))</f>
        <v/>
      </c>
      <c r="Y729" s="40" t="str">
        <f aca="false">IF($B729="","",IF(AND(OR(ABSENSI!$H$10="",$E729=ABSENSI!$H$10),OR(ABSENSI!$H$11="",$F729=ABSENSI!$H$11),OR(ABSENSI!$H$12="",$K729=ABSENSI!$H$12)),MAX($Y$3:Y728)+1,""))</f>
        <v/>
      </c>
      <c r="Z729" s="40" t="str">
        <f aca="false">IF($B729="","",IF(AND(OR(KARTU!$K$6="",$E729=KARTU!$K$6),OR(KARTU!$K$7="",$F729=KARTU!$K$7),OR(KARTU!$K$8="",$K729=KARTU!$K$8)),MAX($Z$3:Z728)+1,""))</f>
        <v/>
      </c>
    </row>
    <row r="730" customFormat="false" ht="15" hidden="false" customHeight="false" outlineLevel="0" collapsed="false">
      <c r="A730" s="36" t="str">
        <f aca="false">IF($B730="","",COUNTA($B$4:$B730))</f>
        <v/>
      </c>
      <c r="B730" s="37"/>
      <c r="C730" s="38"/>
      <c r="D730" s="39"/>
      <c r="E730" s="37"/>
      <c r="F730" s="39"/>
      <c r="G730" s="40" t="str">
        <f aca="false">IF(OR($E730="",$F730=""),"",$E730&amp;" - RT "&amp;$F730)</f>
        <v/>
      </c>
      <c r="H730" s="37"/>
      <c r="I730" s="38"/>
      <c r="J730" s="37"/>
      <c r="K730" s="39"/>
      <c r="L730" s="41"/>
      <c r="M730" s="36" t="str">
        <f aca="true">IF(OR($B730="",$L730=""),"",DATEDIF($L730,TODAY(),"Y"))</f>
        <v/>
      </c>
      <c r="N730" s="40" t="str">
        <f aca="false">IF($M730="","",INDEX(usia_label,MATCH($M730,usia_min,1)))</f>
        <v/>
      </c>
      <c r="O730" s="37"/>
      <c r="P730" s="41"/>
      <c r="Q730" s="37"/>
      <c r="R730" s="37"/>
      <c r="S730" s="40" t="str">
        <f aca="false">IF($G730="","",$G730&amp;"#"&amp;COUNTIF($G$4:$G730,$G730))</f>
        <v/>
      </c>
      <c r="T730" s="40" t="str">
        <f aca="false">IF($B730="","",IF($C730="","NIK kosong",IF(LEN($C730)&lt;&gt;16,"NIK bukan 16 digit",IF(COUNTIF($C$4:$C$2003,$C730&amp;"*")&gt;1,"NIK ganda",IF($E730="","Kadus kosong",IF($F730="","RT kosong",IF($H730="","Jabatan kosong",IF($I730="","No. HP kosong",IF($J730="","Alamat kosong",IF(AND($M730&lt;&gt;"",$M730&lt;17),"Usia di bawah 17",""))))))))))</f>
        <v/>
      </c>
      <c r="U730" s="40" t="str">
        <f aca="false">IF($B730="","",IF(AND(OR(CARI!$C$5="",ISNUMBER(SEARCH(CARI!$C$5,$B730&amp;" "&amp;$C730&amp;" "&amp;$I730&amp;" "&amp;$J730&amp;" "&amp;$Q730))),OR(CARI!$C$6="",$E730=CARI!$C$6),OR(CARI!$C$7="",$F730=CARI!$C$7),OR(CARI!$C$8="",$O730=CARI!$C$8)),MAX($U$3:U729)+1,""))</f>
        <v/>
      </c>
      <c r="V730" s="40" t="str">
        <f aca="false">IF($T730="","",MAX($V$3:V729)+1)</f>
        <v/>
      </c>
      <c r="W730" s="40" t="str">
        <f aca="false">IF($E730="","",$E730&amp;"#"&amp;COUNTIF($E$4:$E730,$E730))</f>
        <v/>
      </c>
      <c r="X730" s="40" t="str">
        <f aca="false">IF($B730="","",IF(AND(OR(CETAK!$J$10="",$E730=CETAK!$J$10),OR(CETAK!$J$11="",$F730=CETAK!$J$11),OR(CETAK!$J$12="",$K730=CETAK!$J$12),OR(CETAK!$J$13="",$H730=CETAK!$J$13),OR(CETAK!$J$14="",$O730=CETAK!$J$14)),MAX($X$3:X729)+1,""))</f>
        <v/>
      </c>
      <c r="Y730" s="40" t="str">
        <f aca="false">IF($B730="","",IF(AND(OR(ABSENSI!$H$10="",$E730=ABSENSI!$H$10),OR(ABSENSI!$H$11="",$F730=ABSENSI!$H$11),OR(ABSENSI!$H$12="",$K730=ABSENSI!$H$12)),MAX($Y$3:Y729)+1,""))</f>
        <v/>
      </c>
      <c r="Z730" s="40" t="str">
        <f aca="false">IF($B730="","",IF(AND(OR(KARTU!$K$6="",$E730=KARTU!$K$6),OR(KARTU!$K$7="",$F730=KARTU!$K$7),OR(KARTU!$K$8="",$K730=KARTU!$K$8)),MAX($Z$3:Z729)+1,""))</f>
        <v/>
      </c>
    </row>
    <row r="731" customFormat="false" ht="15" hidden="false" customHeight="false" outlineLevel="0" collapsed="false">
      <c r="A731" s="36" t="str">
        <f aca="false">IF($B731="","",COUNTA($B$4:$B731))</f>
        <v/>
      </c>
      <c r="B731" s="37"/>
      <c r="C731" s="38"/>
      <c r="D731" s="39"/>
      <c r="E731" s="37"/>
      <c r="F731" s="39"/>
      <c r="G731" s="40" t="str">
        <f aca="false">IF(OR($E731="",$F731=""),"",$E731&amp;" - RT "&amp;$F731)</f>
        <v/>
      </c>
      <c r="H731" s="37"/>
      <c r="I731" s="38"/>
      <c r="J731" s="37"/>
      <c r="K731" s="39"/>
      <c r="L731" s="41"/>
      <c r="M731" s="36" t="str">
        <f aca="true">IF(OR($B731="",$L731=""),"",DATEDIF($L731,TODAY(),"Y"))</f>
        <v/>
      </c>
      <c r="N731" s="40" t="str">
        <f aca="false">IF($M731="","",INDEX(usia_label,MATCH($M731,usia_min,1)))</f>
        <v/>
      </c>
      <c r="O731" s="37"/>
      <c r="P731" s="41"/>
      <c r="Q731" s="37"/>
      <c r="R731" s="37"/>
      <c r="S731" s="40" t="str">
        <f aca="false">IF($G731="","",$G731&amp;"#"&amp;COUNTIF($G$4:$G731,$G731))</f>
        <v/>
      </c>
      <c r="T731" s="40" t="str">
        <f aca="false">IF($B731="","",IF($C731="","NIK kosong",IF(LEN($C731)&lt;&gt;16,"NIK bukan 16 digit",IF(COUNTIF($C$4:$C$2003,$C731&amp;"*")&gt;1,"NIK ganda",IF($E731="","Kadus kosong",IF($F731="","RT kosong",IF($H731="","Jabatan kosong",IF($I731="","No. HP kosong",IF($J731="","Alamat kosong",IF(AND($M731&lt;&gt;"",$M731&lt;17),"Usia di bawah 17",""))))))))))</f>
        <v/>
      </c>
      <c r="U731" s="40" t="str">
        <f aca="false">IF($B731="","",IF(AND(OR(CARI!$C$5="",ISNUMBER(SEARCH(CARI!$C$5,$B731&amp;" "&amp;$C731&amp;" "&amp;$I731&amp;" "&amp;$J731&amp;" "&amp;$Q731))),OR(CARI!$C$6="",$E731=CARI!$C$6),OR(CARI!$C$7="",$F731=CARI!$C$7),OR(CARI!$C$8="",$O731=CARI!$C$8)),MAX($U$3:U730)+1,""))</f>
        <v/>
      </c>
      <c r="V731" s="40" t="str">
        <f aca="false">IF($T731="","",MAX($V$3:V730)+1)</f>
        <v/>
      </c>
      <c r="W731" s="40" t="str">
        <f aca="false">IF($E731="","",$E731&amp;"#"&amp;COUNTIF($E$4:$E731,$E731))</f>
        <v/>
      </c>
      <c r="X731" s="40" t="str">
        <f aca="false">IF($B731="","",IF(AND(OR(CETAK!$J$10="",$E731=CETAK!$J$10),OR(CETAK!$J$11="",$F731=CETAK!$J$11),OR(CETAK!$J$12="",$K731=CETAK!$J$12),OR(CETAK!$J$13="",$H731=CETAK!$J$13),OR(CETAK!$J$14="",$O731=CETAK!$J$14)),MAX($X$3:X730)+1,""))</f>
        <v/>
      </c>
      <c r="Y731" s="40" t="str">
        <f aca="false">IF($B731="","",IF(AND(OR(ABSENSI!$H$10="",$E731=ABSENSI!$H$10),OR(ABSENSI!$H$11="",$F731=ABSENSI!$H$11),OR(ABSENSI!$H$12="",$K731=ABSENSI!$H$12)),MAX($Y$3:Y730)+1,""))</f>
        <v/>
      </c>
      <c r="Z731" s="40" t="str">
        <f aca="false">IF($B731="","",IF(AND(OR(KARTU!$K$6="",$E731=KARTU!$K$6),OR(KARTU!$K$7="",$F731=KARTU!$K$7),OR(KARTU!$K$8="",$K731=KARTU!$K$8)),MAX($Z$3:Z730)+1,""))</f>
        <v/>
      </c>
    </row>
    <row r="732" customFormat="false" ht="15" hidden="false" customHeight="false" outlineLevel="0" collapsed="false">
      <c r="A732" s="36" t="str">
        <f aca="false">IF($B732="","",COUNTA($B$4:$B732))</f>
        <v/>
      </c>
      <c r="B732" s="37"/>
      <c r="C732" s="38"/>
      <c r="D732" s="39"/>
      <c r="E732" s="37"/>
      <c r="F732" s="39"/>
      <c r="G732" s="40" t="str">
        <f aca="false">IF(OR($E732="",$F732=""),"",$E732&amp;" - RT "&amp;$F732)</f>
        <v/>
      </c>
      <c r="H732" s="37"/>
      <c r="I732" s="38"/>
      <c r="J732" s="37"/>
      <c r="K732" s="39"/>
      <c r="L732" s="41"/>
      <c r="M732" s="36" t="str">
        <f aca="true">IF(OR($B732="",$L732=""),"",DATEDIF($L732,TODAY(),"Y"))</f>
        <v/>
      </c>
      <c r="N732" s="40" t="str">
        <f aca="false">IF($M732="","",INDEX(usia_label,MATCH($M732,usia_min,1)))</f>
        <v/>
      </c>
      <c r="O732" s="37"/>
      <c r="P732" s="41"/>
      <c r="Q732" s="37"/>
      <c r="R732" s="37"/>
      <c r="S732" s="40" t="str">
        <f aca="false">IF($G732="","",$G732&amp;"#"&amp;COUNTIF($G$4:$G732,$G732))</f>
        <v/>
      </c>
      <c r="T732" s="40" t="str">
        <f aca="false">IF($B732="","",IF($C732="","NIK kosong",IF(LEN($C732)&lt;&gt;16,"NIK bukan 16 digit",IF(COUNTIF($C$4:$C$2003,$C732&amp;"*")&gt;1,"NIK ganda",IF($E732="","Kadus kosong",IF($F732="","RT kosong",IF($H732="","Jabatan kosong",IF($I732="","No. HP kosong",IF($J732="","Alamat kosong",IF(AND($M732&lt;&gt;"",$M732&lt;17),"Usia di bawah 17",""))))))))))</f>
        <v/>
      </c>
      <c r="U732" s="40" t="str">
        <f aca="false">IF($B732="","",IF(AND(OR(CARI!$C$5="",ISNUMBER(SEARCH(CARI!$C$5,$B732&amp;" "&amp;$C732&amp;" "&amp;$I732&amp;" "&amp;$J732&amp;" "&amp;$Q732))),OR(CARI!$C$6="",$E732=CARI!$C$6),OR(CARI!$C$7="",$F732=CARI!$C$7),OR(CARI!$C$8="",$O732=CARI!$C$8)),MAX($U$3:U731)+1,""))</f>
        <v/>
      </c>
      <c r="V732" s="40" t="str">
        <f aca="false">IF($T732="","",MAX($V$3:V731)+1)</f>
        <v/>
      </c>
      <c r="W732" s="40" t="str">
        <f aca="false">IF($E732="","",$E732&amp;"#"&amp;COUNTIF($E$4:$E732,$E732))</f>
        <v/>
      </c>
      <c r="X732" s="40" t="str">
        <f aca="false">IF($B732="","",IF(AND(OR(CETAK!$J$10="",$E732=CETAK!$J$10),OR(CETAK!$J$11="",$F732=CETAK!$J$11),OR(CETAK!$J$12="",$K732=CETAK!$J$12),OR(CETAK!$J$13="",$H732=CETAK!$J$13),OR(CETAK!$J$14="",$O732=CETAK!$J$14)),MAX($X$3:X731)+1,""))</f>
        <v/>
      </c>
      <c r="Y732" s="40" t="str">
        <f aca="false">IF($B732="","",IF(AND(OR(ABSENSI!$H$10="",$E732=ABSENSI!$H$10),OR(ABSENSI!$H$11="",$F732=ABSENSI!$H$11),OR(ABSENSI!$H$12="",$K732=ABSENSI!$H$12)),MAX($Y$3:Y731)+1,""))</f>
        <v/>
      </c>
      <c r="Z732" s="40" t="str">
        <f aca="false">IF($B732="","",IF(AND(OR(KARTU!$K$6="",$E732=KARTU!$K$6),OR(KARTU!$K$7="",$F732=KARTU!$K$7),OR(KARTU!$K$8="",$K732=KARTU!$K$8)),MAX($Z$3:Z731)+1,""))</f>
        <v/>
      </c>
    </row>
    <row r="733" customFormat="false" ht="15" hidden="false" customHeight="false" outlineLevel="0" collapsed="false">
      <c r="A733" s="36" t="str">
        <f aca="false">IF($B733="","",COUNTA($B$4:$B733))</f>
        <v/>
      </c>
      <c r="B733" s="37"/>
      <c r="C733" s="38"/>
      <c r="D733" s="39"/>
      <c r="E733" s="37"/>
      <c r="F733" s="39"/>
      <c r="G733" s="40" t="str">
        <f aca="false">IF(OR($E733="",$F733=""),"",$E733&amp;" - RT "&amp;$F733)</f>
        <v/>
      </c>
      <c r="H733" s="37"/>
      <c r="I733" s="38"/>
      <c r="J733" s="37"/>
      <c r="K733" s="39"/>
      <c r="L733" s="41"/>
      <c r="M733" s="36" t="str">
        <f aca="true">IF(OR($B733="",$L733=""),"",DATEDIF($L733,TODAY(),"Y"))</f>
        <v/>
      </c>
      <c r="N733" s="40" t="str">
        <f aca="false">IF($M733="","",INDEX(usia_label,MATCH($M733,usia_min,1)))</f>
        <v/>
      </c>
      <c r="O733" s="37"/>
      <c r="P733" s="41"/>
      <c r="Q733" s="37"/>
      <c r="R733" s="37"/>
      <c r="S733" s="40" t="str">
        <f aca="false">IF($G733="","",$G733&amp;"#"&amp;COUNTIF($G$4:$G733,$G733))</f>
        <v/>
      </c>
      <c r="T733" s="40" t="str">
        <f aca="false">IF($B733="","",IF($C733="","NIK kosong",IF(LEN($C733)&lt;&gt;16,"NIK bukan 16 digit",IF(COUNTIF($C$4:$C$2003,$C733&amp;"*")&gt;1,"NIK ganda",IF($E733="","Kadus kosong",IF($F733="","RT kosong",IF($H733="","Jabatan kosong",IF($I733="","No. HP kosong",IF($J733="","Alamat kosong",IF(AND($M733&lt;&gt;"",$M733&lt;17),"Usia di bawah 17",""))))))))))</f>
        <v/>
      </c>
      <c r="U733" s="40" t="str">
        <f aca="false">IF($B733="","",IF(AND(OR(CARI!$C$5="",ISNUMBER(SEARCH(CARI!$C$5,$B733&amp;" "&amp;$C733&amp;" "&amp;$I733&amp;" "&amp;$J733&amp;" "&amp;$Q733))),OR(CARI!$C$6="",$E733=CARI!$C$6),OR(CARI!$C$7="",$F733=CARI!$C$7),OR(CARI!$C$8="",$O733=CARI!$C$8)),MAX($U$3:U732)+1,""))</f>
        <v/>
      </c>
      <c r="V733" s="40" t="str">
        <f aca="false">IF($T733="","",MAX($V$3:V732)+1)</f>
        <v/>
      </c>
      <c r="W733" s="40" t="str">
        <f aca="false">IF($E733="","",$E733&amp;"#"&amp;COUNTIF($E$4:$E733,$E733))</f>
        <v/>
      </c>
      <c r="X733" s="40" t="str">
        <f aca="false">IF($B733="","",IF(AND(OR(CETAK!$J$10="",$E733=CETAK!$J$10),OR(CETAK!$J$11="",$F733=CETAK!$J$11),OR(CETAK!$J$12="",$K733=CETAK!$J$12),OR(CETAK!$J$13="",$H733=CETAK!$J$13),OR(CETAK!$J$14="",$O733=CETAK!$J$14)),MAX($X$3:X732)+1,""))</f>
        <v/>
      </c>
      <c r="Y733" s="40" t="str">
        <f aca="false">IF($B733="","",IF(AND(OR(ABSENSI!$H$10="",$E733=ABSENSI!$H$10),OR(ABSENSI!$H$11="",$F733=ABSENSI!$H$11),OR(ABSENSI!$H$12="",$K733=ABSENSI!$H$12)),MAX($Y$3:Y732)+1,""))</f>
        <v/>
      </c>
      <c r="Z733" s="40" t="str">
        <f aca="false">IF($B733="","",IF(AND(OR(KARTU!$K$6="",$E733=KARTU!$K$6),OR(KARTU!$K$7="",$F733=KARTU!$K$7),OR(KARTU!$K$8="",$K733=KARTU!$K$8)),MAX($Z$3:Z732)+1,""))</f>
        <v/>
      </c>
    </row>
    <row r="734" customFormat="false" ht="15" hidden="false" customHeight="false" outlineLevel="0" collapsed="false">
      <c r="A734" s="36" t="str">
        <f aca="false">IF($B734="","",COUNTA($B$4:$B734))</f>
        <v/>
      </c>
      <c r="B734" s="37"/>
      <c r="C734" s="38"/>
      <c r="D734" s="39"/>
      <c r="E734" s="37"/>
      <c r="F734" s="39"/>
      <c r="G734" s="40" t="str">
        <f aca="false">IF(OR($E734="",$F734=""),"",$E734&amp;" - RT "&amp;$F734)</f>
        <v/>
      </c>
      <c r="H734" s="37"/>
      <c r="I734" s="38"/>
      <c r="J734" s="37"/>
      <c r="K734" s="39"/>
      <c r="L734" s="41"/>
      <c r="M734" s="36" t="str">
        <f aca="true">IF(OR($B734="",$L734=""),"",DATEDIF($L734,TODAY(),"Y"))</f>
        <v/>
      </c>
      <c r="N734" s="40" t="str">
        <f aca="false">IF($M734="","",INDEX(usia_label,MATCH($M734,usia_min,1)))</f>
        <v/>
      </c>
      <c r="O734" s="37"/>
      <c r="P734" s="41"/>
      <c r="Q734" s="37"/>
      <c r="R734" s="37"/>
      <c r="S734" s="40" t="str">
        <f aca="false">IF($G734="","",$G734&amp;"#"&amp;COUNTIF($G$4:$G734,$G734))</f>
        <v/>
      </c>
      <c r="T734" s="40" t="str">
        <f aca="false">IF($B734="","",IF($C734="","NIK kosong",IF(LEN($C734)&lt;&gt;16,"NIK bukan 16 digit",IF(COUNTIF($C$4:$C$2003,$C734&amp;"*")&gt;1,"NIK ganda",IF($E734="","Kadus kosong",IF($F734="","RT kosong",IF($H734="","Jabatan kosong",IF($I734="","No. HP kosong",IF($J734="","Alamat kosong",IF(AND($M734&lt;&gt;"",$M734&lt;17),"Usia di bawah 17",""))))))))))</f>
        <v/>
      </c>
      <c r="U734" s="40" t="str">
        <f aca="false">IF($B734="","",IF(AND(OR(CARI!$C$5="",ISNUMBER(SEARCH(CARI!$C$5,$B734&amp;" "&amp;$C734&amp;" "&amp;$I734&amp;" "&amp;$J734&amp;" "&amp;$Q734))),OR(CARI!$C$6="",$E734=CARI!$C$6),OR(CARI!$C$7="",$F734=CARI!$C$7),OR(CARI!$C$8="",$O734=CARI!$C$8)),MAX($U$3:U733)+1,""))</f>
        <v/>
      </c>
      <c r="V734" s="40" t="str">
        <f aca="false">IF($T734="","",MAX($V$3:V733)+1)</f>
        <v/>
      </c>
      <c r="W734" s="40" t="str">
        <f aca="false">IF($E734="","",$E734&amp;"#"&amp;COUNTIF($E$4:$E734,$E734))</f>
        <v/>
      </c>
      <c r="X734" s="40" t="str">
        <f aca="false">IF($B734="","",IF(AND(OR(CETAK!$J$10="",$E734=CETAK!$J$10),OR(CETAK!$J$11="",$F734=CETAK!$J$11),OR(CETAK!$J$12="",$K734=CETAK!$J$12),OR(CETAK!$J$13="",$H734=CETAK!$J$13),OR(CETAK!$J$14="",$O734=CETAK!$J$14)),MAX($X$3:X733)+1,""))</f>
        <v/>
      </c>
      <c r="Y734" s="40" t="str">
        <f aca="false">IF($B734="","",IF(AND(OR(ABSENSI!$H$10="",$E734=ABSENSI!$H$10),OR(ABSENSI!$H$11="",$F734=ABSENSI!$H$11),OR(ABSENSI!$H$12="",$K734=ABSENSI!$H$12)),MAX($Y$3:Y733)+1,""))</f>
        <v/>
      </c>
      <c r="Z734" s="40" t="str">
        <f aca="false">IF($B734="","",IF(AND(OR(KARTU!$K$6="",$E734=KARTU!$K$6),OR(KARTU!$K$7="",$F734=KARTU!$K$7),OR(KARTU!$K$8="",$K734=KARTU!$K$8)),MAX($Z$3:Z733)+1,""))</f>
        <v/>
      </c>
    </row>
    <row r="735" customFormat="false" ht="15" hidden="false" customHeight="false" outlineLevel="0" collapsed="false">
      <c r="A735" s="36" t="str">
        <f aca="false">IF($B735="","",COUNTA($B$4:$B735))</f>
        <v/>
      </c>
      <c r="B735" s="37"/>
      <c r="C735" s="38"/>
      <c r="D735" s="39"/>
      <c r="E735" s="37"/>
      <c r="F735" s="39"/>
      <c r="G735" s="40" t="str">
        <f aca="false">IF(OR($E735="",$F735=""),"",$E735&amp;" - RT "&amp;$F735)</f>
        <v/>
      </c>
      <c r="H735" s="37"/>
      <c r="I735" s="38"/>
      <c r="J735" s="37"/>
      <c r="K735" s="39"/>
      <c r="L735" s="41"/>
      <c r="M735" s="36" t="str">
        <f aca="true">IF(OR($B735="",$L735=""),"",DATEDIF($L735,TODAY(),"Y"))</f>
        <v/>
      </c>
      <c r="N735" s="40" t="str">
        <f aca="false">IF($M735="","",INDEX(usia_label,MATCH($M735,usia_min,1)))</f>
        <v/>
      </c>
      <c r="O735" s="37"/>
      <c r="P735" s="41"/>
      <c r="Q735" s="37"/>
      <c r="R735" s="37"/>
      <c r="S735" s="40" t="str">
        <f aca="false">IF($G735="","",$G735&amp;"#"&amp;COUNTIF($G$4:$G735,$G735))</f>
        <v/>
      </c>
      <c r="T735" s="40" t="str">
        <f aca="false">IF($B735="","",IF($C735="","NIK kosong",IF(LEN($C735)&lt;&gt;16,"NIK bukan 16 digit",IF(COUNTIF($C$4:$C$2003,$C735&amp;"*")&gt;1,"NIK ganda",IF($E735="","Kadus kosong",IF($F735="","RT kosong",IF($H735="","Jabatan kosong",IF($I735="","No. HP kosong",IF($J735="","Alamat kosong",IF(AND($M735&lt;&gt;"",$M735&lt;17),"Usia di bawah 17",""))))))))))</f>
        <v/>
      </c>
      <c r="U735" s="40" t="str">
        <f aca="false">IF($B735="","",IF(AND(OR(CARI!$C$5="",ISNUMBER(SEARCH(CARI!$C$5,$B735&amp;" "&amp;$C735&amp;" "&amp;$I735&amp;" "&amp;$J735&amp;" "&amp;$Q735))),OR(CARI!$C$6="",$E735=CARI!$C$6),OR(CARI!$C$7="",$F735=CARI!$C$7),OR(CARI!$C$8="",$O735=CARI!$C$8)),MAX($U$3:U734)+1,""))</f>
        <v/>
      </c>
      <c r="V735" s="40" t="str">
        <f aca="false">IF($T735="","",MAX($V$3:V734)+1)</f>
        <v/>
      </c>
      <c r="W735" s="40" t="str">
        <f aca="false">IF($E735="","",$E735&amp;"#"&amp;COUNTIF($E$4:$E735,$E735))</f>
        <v/>
      </c>
      <c r="X735" s="40" t="str">
        <f aca="false">IF($B735="","",IF(AND(OR(CETAK!$J$10="",$E735=CETAK!$J$10),OR(CETAK!$J$11="",$F735=CETAK!$J$11),OR(CETAK!$J$12="",$K735=CETAK!$J$12),OR(CETAK!$J$13="",$H735=CETAK!$J$13),OR(CETAK!$J$14="",$O735=CETAK!$J$14)),MAX($X$3:X734)+1,""))</f>
        <v/>
      </c>
      <c r="Y735" s="40" t="str">
        <f aca="false">IF($B735="","",IF(AND(OR(ABSENSI!$H$10="",$E735=ABSENSI!$H$10),OR(ABSENSI!$H$11="",$F735=ABSENSI!$H$11),OR(ABSENSI!$H$12="",$K735=ABSENSI!$H$12)),MAX($Y$3:Y734)+1,""))</f>
        <v/>
      </c>
      <c r="Z735" s="40" t="str">
        <f aca="false">IF($B735="","",IF(AND(OR(KARTU!$K$6="",$E735=KARTU!$K$6),OR(KARTU!$K$7="",$F735=KARTU!$K$7),OR(KARTU!$K$8="",$K735=KARTU!$K$8)),MAX($Z$3:Z734)+1,""))</f>
        <v/>
      </c>
    </row>
    <row r="736" customFormat="false" ht="15" hidden="false" customHeight="false" outlineLevel="0" collapsed="false">
      <c r="A736" s="36" t="str">
        <f aca="false">IF($B736="","",COUNTA($B$4:$B736))</f>
        <v/>
      </c>
      <c r="B736" s="37"/>
      <c r="C736" s="38"/>
      <c r="D736" s="39"/>
      <c r="E736" s="37"/>
      <c r="F736" s="39"/>
      <c r="G736" s="40" t="str">
        <f aca="false">IF(OR($E736="",$F736=""),"",$E736&amp;" - RT "&amp;$F736)</f>
        <v/>
      </c>
      <c r="H736" s="37"/>
      <c r="I736" s="38"/>
      <c r="J736" s="37"/>
      <c r="K736" s="39"/>
      <c r="L736" s="41"/>
      <c r="M736" s="36" t="str">
        <f aca="true">IF(OR($B736="",$L736=""),"",DATEDIF($L736,TODAY(),"Y"))</f>
        <v/>
      </c>
      <c r="N736" s="40" t="str">
        <f aca="false">IF($M736="","",INDEX(usia_label,MATCH($M736,usia_min,1)))</f>
        <v/>
      </c>
      <c r="O736" s="37"/>
      <c r="P736" s="41"/>
      <c r="Q736" s="37"/>
      <c r="R736" s="37"/>
      <c r="S736" s="40" t="str">
        <f aca="false">IF($G736="","",$G736&amp;"#"&amp;COUNTIF($G$4:$G736,$G736))</f>
        <v/>
      </c>
      <c r="T736" s="40" t="str">
        <f aca="false">IF($B736="","",IF($C736="","NIK kosong",IF(LEN($C736)&lt;&gt;16,"NIK bukan 16 digit",IF(COUNTIF($C$4:$C$2003,$C736&amp;"*")&gt;1,"NIK ganda",IF($E736="","Kadus kosong",IF($F736="","RT kosong",IF($H736="","Jabatan kosong",IF($I736="","No. HP kosong",IF($J736="","Alamat kosong",IF(AND($M736&lt;&gt;"",$M736&lt;17),"Usia di bawah 17",""))))))))))</f>
        <v/>
      </c>
      <c r="U736" s="40" t="str">
        <f aca="false">IF($B736="","",IF(AND(OR(CARI!$C$5="",ISNUMBER(SEARCH(CARI!$C$5,$B736&amp;" "&amp;$C736&amp;" "&amp;$I736&amp;" "&amp;$J736&amp;" "&amp;$Q736))),OR(CARI!$C$6="",$E736=CARI!$C$6),OR(CARI!$C$7="",$F736=CARI!$C$7),OR(CARI!$C$8="",$O736=CARI!$C$8)),MAX($U$3:U735)+1,""))</f>
        <v/>
      </c>
      <c r="V736" s="40" t="str">
        <f aca="false">IF($T736="","",MAX($V$3:V735)+1)</f>
        <v/>
      </c>
      <c r="W736" s="40" t="str">
        <f aca="false">IF($E736="","",$E736&amp;"#"&amp;COUNTIF($E$4:$E736,$E736))</f>
        <v/>
      </c>
      <c r="X736" s="40" t="str">
        <f aca="false">IF($B736="","",IF(AND(OR(CETAK!$J$10="",$E736=CETAK!$J$10),OR(CETAK!$J$11="",$F736=CETAK!$J$11),OR(CETAK!$J$12="",$K736=CETAK!$J$12),OR(CETAK!$J$13="",$H736=CETAK!$J$13),OR(CETAK!$J$14="",$O736=CETAK!$J$14)),MAX($X$3:X735)+1,""))</f>
        <v/>
      </c>
      <c r="Y736" s="40" t="str">
        <f aca="false">IF($B736="","",IF(AND(OR(ABSENSI!$H$10="",$E736=ABSENSI!$H$10),OR(ABSENSI!$H$11="",$F736=ABSENSI!$H$11),OR(ABSENSI!$H$12="",$K736=ABSENSI!$H$12)),MAX($Y$3:Y735)+1,""))</f>
        <v/>
      </c>
      <c r="Z736" s="40" t="str">
        <f aca="false">IF($B736="","",IF(AND(OR(KARTU!$K$6="",$E736=KARTU!$K$6),OR(KARTU!$K$7="",$F736=KARTU!$K$7),OR(KARTU!$K$8="",$K736=KARTU!$K$8)),MAX($Z$3:Z735)+1,""))</f>
        <v/>
      </c>
    </row>
    <row r="737" customFormat="false" ht="15" hidden="false" customHeight="false" outlineLevel="0" collapsed="false">
      <c r="A737" s="36" t="str">
        <f aca="false">IF($B737="","",COUNTA($B$4:$B737))</f>
        <v/>
      </c>
      <c r="B737" s="37"/>
      <c r="C737" s="38"/>
      <c r="D737" s="39"/>
      <c r="E737" s="37"/>
      <c r="F737" s="39"/>
      <c r="G737" s="40" t="str">
        <f aca="false">IF(OR($E737="",$F737=""),"",$E737&amp;" - RT "&amp;$F737)</f>
        <v/>
      </c>
      <c r="H737" s="37"/>
      <c r="I737" s="38"/>
      <c r="J737" s="37"/>
      <c r="K737" s="39"/>
      <c r="L737" s="41"/>
      <c r="M737" s="36" t="str">
        <f aca="true">IF(OR($B737="",$L737=""),"",DATEDIF($L737,TODAY(),"Y"))</f>
        <v/>
      </c>
      <c r="N737" s="40" t="str">
        <f aca="false">IF($M737="","",INDEX(usia_label,MATCH($M737,usia_min,1)))</f>
        <v/>
      </c>
      <c r="O737" s="37"/>
      <c r="P737" s="41"/>
      <c r="Q737" s="37"/>
      <c r="R737" s="37"/>
      <c r="S737" s="40" t="str">
        <f aca="false">IF($G737="","",$G737&amp;"#"&amp;COUNTIF($G$4:$G737,$G737))</f>
        <v/>
      </c>
      <c r="T737" s="40" t="str">
        <f aca="false">IF($B737="","",IF($C737="","NIK kosong",IF(LEN($C737)&lt;&gt;16,"NIK bukan 16 digit",IF(COUNTIF($C$4:$C$2003,$C737&amp;"*")&gt;1,"NIK ganda",IF($E737="","Kadus kosong",IF($F737="","RT kosong",IF($H737="","Jabatan kosong",IF($I737="","No. HP kosong",IF($J737="","Alamat kosong",IF(AND($M737&lt;&gt;"",$M737&lt;17),"Usia di bawah 17",""))))))))))</f>
        <v/>
      </c>
      <c r="U737" s="40" t="str">
        <f aca="false">IF($B737="","",IF(AND(OR(CARI!$C$5="",ISNUMBER(SEARCH(CARI!$C$5,$B737&amp;" "&amp;$C737&amp;" "&amp;$I737&amp;" "&amp;$J737&amp;" "&amp;$Q737))),OR(CARI!$C$6="",$E737=CARI!$C$6),OR(CARI!$C$7="",$F737=CARI!$C$7),OR(CARI!$C$8="",$O737=CARI!$C$8)),MAX($U$3:U736)+1,""))</f>
        <v/>
      </c>
      <c r="V737" s="40" t="str">
        <f aca="false">IF($T737="","",MAX($V$3:V736)+1)</f>
        <v/>
      </c>
      <c r="W737" s="40" t="str">
        <f aca="false">IF($E737="","",$E737&amp;"#"&amp;COUNTIF($E$4:$E737,$E737))</f>
        <v/>
      </c>
      <c r="X737" s="40" t="str">
        <f aca="false">IF($B737="","",IF(AND(OR(CETAK!$J$10="",$E737=CETAK!$J$10),OR(CETAK!$J$11="",$F737=CETAK!$J$11),OR(CETAK!$J$12="",$K737=CETAK!$J$12),OR(CETAK!$J$13="",$H737=CETAK!$J$13),OR(CETAK!$J$14="",$O737=CETAK!$J$14)),MAX($X$3:X736)+1,""))</f>
        <v/>
      </c>
      <c r="Y737" s="40" t="str">
        <f aca="false">IF($B737="","",IF(AND(OR(ABSENSI!$H$10="",$E737=ABSENSI!$H$10),OR(ABSENSI!$H$11="",$F737=ABSENSI!$H$11),OR(ABSENSI!$H$12="",$K737=ABSENSI!$H$12)),MAX($Y$3:Y736)+1,""))</f>
        <v/>
      </c>
      <c r="Z737" s="40" t="str">
        <f aca="false">IF($B737="","",IF(AND(OR(KARTU!$K$6="",$E737=KARTU!$K$6),OR(KARTU!$K$7="",$F737=KARTU!$K$7),OR(KARTU!$K$8="",$K737=KARTU!$K$8)),MAX($Z$3:Z736)+1,""))</f>
        <v/>
      </c>
    </row>
    <row r="738" customFormat="false" ht="15" hidden="false" customHeight="false" outlineLevel="0" collapsed="false">
      <c r="A738" s="36" t="str">
        <f aca="false">IF($B738="","",COUNTA($B$4:$B738))</f>
        <v/>
      </c>
      <c r="B738" s="37"/>
      <c r="C738" s="38"/>
      <c r="D738" s="39"/>
      <c r="E738" s="37"/>
      <c r="F738" s="39"/>
      <c r="G738" s="40" t="str">
        <f aca="false">IF(OR($E738="",$F738=""),"",$E738&amp;" - RT "&amp;$F738)</f>
        <v/>
      </c>
      <c r="H738" s="37"/>
      <c r="I738" s="38"/>
      <c r="J738" s="37"/>
      <c r="K738" s="39"/>
      <c r="L738" s="41"/>
      <c r="M738" s="36" t="str">
        <f aca="true">IF(OR($B738="",$L738=""),"",DATEDIF($L738,TODAY(),"Y"))</f>
        <v/>
      </c>
      <c r="N738" s="40" t="str">
        <f aca="false">IF($M738="","",INDEX(usia_label,MATCH($M738,usia_min,1)))</f>
        <v/>
      </c>
      <c r="O738" s="37"/>
      <c r="P738" s="41"/>
      <c r="Q738" s="37"/>
      <c r="R738" s="37"/>
      <c r="S738" s="40" t="str">
        <f aca="false">IF($G738="","",$G738&amp;"#"&amp;COUNTIF($G$4:$G738,$G738))</f>
        <v/>
      </c>
      <c r="T738" s="40" t="str">
        <f aca="false">IF($B738="","",IF($C738="","NIK kosong",IF(LEN($C738)&lt;&gt;16,"NIK bukan 16 digit",IF(COUNTIF($C$4:$C$2003,$C738&amp;"*")&gt;1,"NIK ganda",IF($E738="","Kadus kosong",IF($F738="","RT kosong",IF($H738="","Jabatan kosong",IF($I738="","No. HP kosong",IF($J738="","Alamat kosong",IF(AND($M738&lt;&gt;"",$M738&lt;17),"Usia di bawah 17",""))))))))))</f>
        <v/>
      </c>
      <c r="U738" s="40" t="str">
        <f aca="false">IF($B738="","",IF(AND(OR(CARI!$C$5="",ISNUMBER(SEARCH(CARI!$C$5,$B738&amp;" "&amp;$C738&amp;" "&amp;$I738&amp;" "&amp;$J738&amp;" "&amp;$Q738))),OR(CARI!$C$6="",$E738=CARI!$C$6),OR(CARI!$C$7="",$F738=CARI!$C$7),OR(CARI!$C$8="",$O738=CARI!$C$8)),MAX($U$3:U737)+1,""))</f>
        <v/>
      </c>
      <c r="V738" s="40" t="str">
        <f aca="false">IF($T738="","",MAX($V$3:V737)+1)</f>
        <v/>
      </c>
      <c r="W738" s="40" t="str">
        <f aca="false">IF($E738="","",$E738&amp;"#"&amp;COUNTIF($E$4:$E738,$E738))</f>
        <v/>
      </c>
      <c r="X738" s="40" t="str">
        <f aca="false">IF($B738="","",IF(AND(OR(CETAK!$J$10="",$E738=CETAK!$J$10),OR(CETAK!$J$11="",$F738=CETAK!$J$11),OR(CETAK!$J$12="",$K738=CETAK!$J$12),OR(CETAK!$J$13="",$H738=CETAK!$J$13),OR(CETAK!$J$14="",$O738=CETAK!$J$14)),MAX($X$3:X737)+1,""))</f>
        <v/>
      </c>
      <c r="Y738" s="40" t="str">
        <f aca="false">IF($B738="","",IF(AND(OR(ABSENSI!$H$10="",$E738=ABSENSI!$H$10),OR(ABSENSI!$H$11="",$F738=ABSENSI!$H$11),OR(ABSENSI!$H$12="",$K738=ABSENSI!$H$12)),MAX($Y$3:Y737)+1,""))</f>
        <v/>
      </c>
      <c r="Z738" s="40" t="str">
        <f aca="false">IF($B738="","",IF(AND(OR(KARTU!$K$6="",$E738=KARTU!$K$6),OR(KARTU!$K$7="",$F738=KARTU!$K$7),OR(KARTU!$K$8="",$K738=KARTU!$K$8)),MAX($Z$3:Z737)+1,""))</f>
        <v/>
      </c>
    </row>
    <row r="739" customFormat="false" ht="15" hidden="false" customHeight="false" outlineLevel="0" collapsed="false">
      <c r="A739" s="36" t="str">
        <f aca="false">IF($B739="","",COUNTA($B$4:$B739))</f>
        <v/>
      </c>
      <c r="B739" s="37"/>
      <c r="C739" s="38"/>
      <c r="D739" s="39"/>
      <c r="E739" s="37"/>
      <c r="F739" s="39"/>
      <c r="G739" s="40" t="str">
        <f aca="false">IF(OR($E739="",$F739=""),"",$E739&amp;" - RT "&amp;$F739)</f>
        <v/>
      </c>
      <c r="H739" s="37"/>
      <c r="I739" s="38"/>
      <c r="J739" s="37"/>
      <c r="K739" s="39"/>
      <c r="L739" s="41"/>
      <c r="M739" s="36" t="str">
        <f aca="true">IF(OR($B739="",$L739=""),"",DATEDIF($L739,TODAY(),"Y"))</f>
        <v/>
      </c>
      <c r="N739" s="40" t="str">
        <f aca="false">IF($M739="","",INDEX(usia_label,MATCH($M739,usia_min,1)))</f>
        <v/>
      </c>
      <c r="O739" s="37"/>
      <c r="P739" s="41"/>
      <c r="Q739" s="37"/>
      <c r="R739" s="37"/>
      <c r="S739" s="40" t="str">
        <f aca="false">IF($G739="","",$G739&amp;"#"&amp;COUNTIF($G$4:$G739,$G739))</f>
        <v/>
      </c>
      <c r="T739" s="40" t="str">
        <f aca="false">IF($B739="","",IF($C739="","NIK kosong",IF(LEN($C739)&lt;&gt;16,"NIK bukan 16 digit",IF(COUNTIF($C$4:$C$2003,$C739&amp;"*")&gt;1,"NIK ganda",IF($E739="","Kadus kosong",IF($F739="","RT kosong",IF($H739="","Jabatan kosong",IF($I739="","No. HP kosong",IF($J739="","Alamat kosong",IF(AND($M739&lt;&gt;"",$M739&lt;17),"Usia di bawah 17",""))))))))))</f>
        <v/>
      </c>
      <c r="U739" s="40" t="str">
        <f aca="false">IF($B739="","",IF(AND(OR(CARI!$C$5="",ISNUMBER(SEARCH(CARI!$C$5,$B739&amp;" "&amp;$C739&amp;" "&amp;$I739&amp;" "&amp;$J739&amp;" "&amp;$Q739))),OR(CARI!$C$6="",$E739=CARI!$C$6),OR(CARI!$C$7="",$F739=CARI!$C$7),OR(CARI!$C$8="",$O739=CARI!$C$8)),MAX($U$3:U738)+1,""))</f>
        <v/>
      </c>
      <c r="V739" s="40" t="str">
        <f aca="false">IF($T739="","",MAX($V$3:V738)+1)</f>
        <v/>
      </c>
      <c r="W739" s="40" t="str">
        <f aca="false">IF($E739="","",$E739&amp;"#"&amp;COUNTIF($E$4:$E739,$E739))</f>
        <v/>
      </c>
      <c r="X739" s="40" t="str">
        <f aca="false">IF($B739="","",IF(AND(OR(CETAK!$J$10="",$E739=CETAK!$J$10),OR(CETAK!$J$11="",$F739=CETAK!$J$11),OR(CETAK!$J$12="",$K739=CETAK!$J$12),OR(CETAK!$J$13="",$H739=CETAK!$J$13),OR(CETAK!$J$14="",$O739=CETAK!$J$14)),MAX($X$3:X738)+1,""))</f>
        <v/>
      </c>
      <c r="Y739" s="40" t="str">
        <f aca="false">IF($B739="","",IF(AND(OR(ABSENSI!$H$10="",$E739=ABSENSI!$H$10),OR(ABSENSI!$H$11="",$F739=ABSENSI!$H$11),OR(ABSENSI!$H$12="",$K739=ABSENSI!$H$12)),MAX($Y$3:Y738)+1,""))</f>
        <v/>
      </c>
      <c r="Z739" s="40" t="str">
        <f aca="false">IF($B739="","",IF(AND(OR(KARTU!$K$6="",$E739=KARTU!$K$6),OR(KARTU!$K$7="",$F739=KARTU!$K$7),OR(KARTU!$K$8="",$K739=KARTU!$K$8)),MAX($Z$3:Z738)+1,""))</f>
        <v/>
      </c>
    </row>
    <row r="740" customFormat="false" ht="15" hidden="false" customHeight="false" outlineLevel="0" collapsed="false">
      <c r="A740" s="36" t="str">
        <f aca="false">IF($B740="","",COUNTA($B$4:$B740))</f>
        <v/>
      </c>
      <c r="B740" s="37"/>
      <c r="C740" s="38"/>
      <c r="D740" s="39"/>
      <c r="E740" s="37"/>
      <c r="F740" s="39"/>
      <c r="G740" s="40" t="str">
        <f aca="false">IF(OR($E740="",$F740=""),"",$E740&amp;" - RT "&amp;$F740)</f>
        <v/>
      </c>
      <c r="H740" s="37"/>
      <c r="I740" s="38"/>
      <c r="J740" s="37"/>
      <c r="K740" s="39"/>
      <c r="L740" s="41"/>
      <c r="M740" s="36" t="str">
        <f aca="true">IF(OR($B740="",$L740=""),"",DATEDIF($L740,TODAY(),"Y"))</f>
        <v/>
      </c>
      <c r="N740" s="40" t="str">
        <f aca="false">IF($M740="","",INDEX(usia_label,MATCH($M740,usia_min,1)))</f>
        <v/>
      </c>
      <c r="O740" s="37"/>
      <c r="P740" s="41"/>
      <c r="Q740" s="37"/>
      <c r="R740" s="37"/>
      <c r="S740" s="40" t="str">
        <f aca="false">IF($G740="","",$G740&amp;"#"&amp;COUNTIF($G$4:$G740,$G740))</f>
        <v/>
      </c>
      <c r="T740" s="40" t="str">
        <f aca="false">IF($B740="","",IF($C740="","NIK kosong",IF(LEN($C740)&lt;&gt;16,"NIK bukan 16 digit",IF(COUNTIF($C$4:$C$2003,$C740&amp;"*")&gt;1,"NIK ganda",IF($E740="","Kadus kosong",IF($F740="","RT kosong",IF($H740="","Jabatan kosong",IF($I740="","No. HP kosong",IF($J740="","Alamat kosong",IF(AND($M740&lt;&gt;"",$M740&lt;17),"Usia di bawah 17",""))))))))))</f>
        <v/>
      </c>
      <c r="U740" s="40" t="str">
        <f aca="false">IF($B740="","",IF(AND(OR(CARI!$C$5="",ISNUMBER(SEARCH(CARI!$C$5,$B740&amp;" "&amp;$C740&amp;" "&amp;$I740&amp;" "&amp;$J740&amp;" "&amp;$Q740))),OR(CARI!$C$6="",$E740=CARI!$C$6),OR(CARI!$C$7="",$F740=CARI!$C$7),OR(CARI!$C$8="",$O740=CARI!$C$8)),MAX($U$3:U739)+1,""))</f>
        <v/>
      </c>
      <c r="V740" s="40" t="str">
        <f aca="false">IF($T740="","",MAX($V$3:V739)+1)</f>
        <v/>
      </c>
      <c r="W740" s="40" t="str">
        <f aca="false">IF($E740="","",$E740&amp;"#"&amp;COUNTIF($E$4:$E740,$E740))</f>
        <v/>
      </c>
      <c r="X740" s="40" t="str">
        <f aca="false">IF($B740="","",IF(AND(OR(CETAK!$J$10="",$E740=CETAK!$J$10),OR(CETAK!$J$11="",$F740=CETAK!$J$11),OR(CETAK!$J$12="",$K740=CETAK!$J$12),OR(CETAK!$J$13="",$H740=CETAK!$J$13),OR(CETAK!$J$14="",$O740=CETAK!$J$14)),MAX($X$3:X739)+1,""))</f>
        <v/>
      </c>
      <c r="Y740" s="40" t="str">
        <f aca="false">IF($B740="","",IF(AND(OR(ABSENSI!$H$10="",$E740=ABSENSI!$H$10),OR(ABSENSI!$H$11="",$F740=ABSENSI!$H$11),OR(ABSENSI!$H$12="",$K740=ABSENSI!$H$12)),MAX($Y$3:Y739)+1,""))</f>
        <v/>
      </c>
      <c r="Z740" s="40" t="str">
        <f aca="false">IF($B740="","",IF(AND(OR(KARTU!$K$6="",$E740=KARTU!$K$6),OR(KARTU!$K$7="",$F740=KARTU!$K$7),OR(KARTU!$K$8="",$K740=KARTU!$K$8)),MAX($Z$3:Z739)+1,""))</f>
        <v/>
      </c>
    </row>
    <row r="741" customFormat="false" ht="15" hidden="false" customHeight="false" outlineLevel="0" collapsed="false">
      <c r="A741" s="36" t="str">
        <f aca="false">IF($B741="","",COUNTA($B$4:$B741))</f>
        <v/>
      </c>
      <c r="B741" s="37"/>
      <c r="C741" s="38"/>
      <c r="D741" s="39"/>
      <c r="E741" s="37"/>
      <c r="F741" s="39"/>
      <c r="G741" s="40" t="str">
        <f aca="false">IF(OR($E741="",$F741=""),"",$E741&amp;" - RT "&amp;$F741)</f>
        <v/>
      </c>
      <c r="H741" s="37"/>
      <c r="I741" s="38"/>
      <c r="J741" s="37"/>
      <c r="K741" s="39"/>
      <c r="L741" s="41"/>
      <c r="M741" s="36" t="str">
        <f aca="true">IF(OR($B741="",$L741=""),"",DATEDIF($L741,TODAY(),"Y"))</f>
        <v/>
      </c>
      <c r="N741" s="40" t="str">
        <f aca="false">IF($M741="","",INDEX(usia_label,MATCH($M741,usia_min,1)))</f>
        <v/>
      </c>
      <c r="O741" s="37"/>
      <c r="P741" s="41"/>
      <c r="Q741" s="37"/>
      <c r="R741" s="37"/>
      <c r="S741" s="40" t="str">
        <f aca="false">IF($G741="","",$G741&amp;"#"&amp;COUNTIF($G$4:$G741,$G741))</f>
        <v/>
      </c>
      <c r="T741" s="40" t="str">
        <f aca="false">IF($B741="","",IF($C741="","NIK kosong",IF(LEN($C741)&lt;&gt;16,"NIK bukan 16 digit",IF(COUNTIF($C$4:$C$2003,$C741&amp;"*")&gt;1,"NIK ganda",IF($E741="","Kadus kosong",IF($F741="","RT kosong",IF($H741="","Jabatan kosong",IF($I741="","No. HP kosong",IF($J741="","Alamat kosong",IF(AND($M741&lt;&gt;"",$M741&lt;17),"Usia di bawah 17",""))))))))))</f>
        <v/>
      </c>
      <c r="U741" s="40" t="str">
        <f aca="false">IF($B741="","",IF(AND(OR(CARI!$C$5="",ISNUMBER(SEARCH(CARI!$C$5,$B741&amp;" "&amp;$C741&amp;" "&amp;$I741&amp;" "&amp;$J741&amp;" "&amp;$Q741))),OR(CARI!$C$6="",$E741=CARI!$C$6),OR(CARI!$C$7="",$F741=CARI!$C$7),OR(CARI!$C$8="",$O741=CARI!$C$8)),MAX($U$3:U740)+1,""))</f>
        <v/>
      </c>
      <c r="V741" s="40" t="str">
        <f aca="false">IF($T741="","",MAX($V$3:V740)+1)</f>
        <v/>
      </c>
      <c r="W741" s="40" t="str">
        <f aca="false">IF($E741="","",$E741&amp;"#"&amp;COUNTIF($E$4:$E741,$E741))</f>
        <v/>
      </c>
      <c r="X741" s="40" t="str">
        <f aca="false">IF($B741="","",IF(AND(OR(CETAK!$J$10="",$E741=CETAK!$J$10),OR(CETAK!$J$11="",$F741=CETAK!$J$11),OR(CETAK!$J$12="",$K741=CETAK!$J$12),OR(CETAK!$J$13="",$H741=CETAK!$J$13),OR(CETAK!$J$14="",$O741=CETAK!$J$14)),MAX($X$3:X740)+1,""))</f>
        <v/>
      </c>
      <c r="Y741" s="40" t="str">
        <f aca="false">IF($B741="","",IF(AND(OR(ABSENSI!$H$10="",$E741=ABSENSI!$H$10),OR(ABSENSI!$H$11="",$F741=ABSENSI!$H$11),OR(ABSENSI!$H$12="",$K741=ABSENSI!$H$12)),MAX($Y$3:Y740)+1,""))</f>
        <v/>
      </c>
      <c r="Z741" s="40" t="str">
        <f aca="false">IF($B741="","",IF(AND(OR(KARTU!$K$6="",$E741=KARTU!$K$6),OR(KARTU!$K$7="",$F741=KARTU!$K$7),OR(KARTU!$K$8="",$K741=KARTU!$K$8)),MAX($Z$3:Z740)+1,""))</f>
        <v/>
      </c>
    </row>
    <row r="742" customFormat="false" ht="15" hidden="false" customHeight="false" outlineLevel="0" collapsed="false">
      <c r="A742" s="36" t="str">
        <f aca="false">IF($B742="","",COUNTA($B$4:$B742))</f>
        <v/>
      </c>
      <c r="B742" s="37"/>
      <c r="C742" s="38"/>
      <c r="D742" s="39"/>
      <c r="E742" s="37"/>
      <c r="F742" s="39"/>
      <c r="G742" s="40" t="str">
        <f aca="false">IF(OR($E742="",$F742=""),"",$E742&amp;" - RT "&amp;$F742)</f>
        <v/>
      </c>
      <c r="H742" s="37"/>
      <c r="I742" s="38"/>
      <c r="J742" s="37"/>
      <c r="K742" s="39"/>
      <c r="L742" s="41"/>
      <c r="M742" s="36" t="str">
        <f aca="true">IF(OR($B742="",$L742=""),"",DATEDIF($L742,TODAY(),"Y"))</f>
        <v/>
      </c>
      <c r="N742" s="40" t="str">
        <f aca="false">IF($M742="","",INDEX(usia_label,MATCH($M742,usia_min,1)))</f>
        <v/>
      </c>
      <c r="O742" s="37"/>
      <c r="P742" s="41"/>
      <c r="Q742" s="37"/>
      <c r="R742" s="37"/>
      <c r="S742" s="40" t="str">
        <f aca="false">IF($G742="","",$G742&amp;"#"&amp;COUNTIF($G$4:$G742,$G742))</f>
        <v/>
      </c>
      <c r="T742" s="40" t="str">
        <f aca="false">IF($B742="","",IF($C742="","NIK kosong",IF(LEN($C742)&lt;&gt;16,"NIK bukan 16 digit",IF(COUNTIF($C$4:$C$2003,$C742&amp;"*")&gt;1,"NIK ganda",IF($E742="","Kadus kosong",IF($F742="","RT kosong",IF($H742="","Jabatan kosong",IF($I742="","No. HP kosong",IF($J742="","Alamat kosong",IF(AND($M742&lt;&gt;"",$M742&lt;17),"Usia di bawah 17",""))))))))))</f>
        <v/>
      </c>
      <c r="U742" s="40" t="str">
        <f aca="false">IF($B742="","",IF(AND(OR(CARI!$C$5="",ISNUMBER(SEARCH(CARI!$C$5,$B742&amp;" "&amp;$C742&amp;" "&amp;$I742&amp;" "&amp;$J742&amp;" "&amp;$Q742))),OR(CARI!$C$6="",$E742=CARI!$C$6),OR(CARI!$C$7="",$F742=CARI!$C$7),OR(CARI!$C$8="",$O742=CARI!$C$8)),MAX($U$3:U741)+1,""))</f>
        <v/>
      </c>
      <c r="V742" s="40" t="str">
        <f aca="false">IF($T742="","",MAX($V$3:V741)+1)</f>
        <v/>
      </c>
      <c r="W742" s="40" t="str">
        <f aca="false">IF($E742="","",$E742&amp;"#"&amp;COUNTIF($E$4:$E742,$E742))</f>
        <v/>
      </c>
      <c r="X742" s="40" t="str">
        <f aca="false">IF($B742="","",IF(AND(OR(CETAK!$J$10="",$E742=CETAK!$J$10),OR(CETAK!$J$11="",$F742=CETAK!$J$11),OR(CETAK!$J$12="",$K742=CETAK!$J$12),OR(CETAK!$J$13="",$H742=CETAK!$J$13),OR(CETAK!$J$14="",$O742=CETAK!$J$14)),MAX($X$3:X741)+1,""))</f>
        <v/>
      </c>
      <c r="Y742" s="40" t="str">
        <f aca="false">IF($B742="","",IF(AND(OR(ABSENSI!$H$10="",$E742=ABSENSI!$H$10),OR(ABSENSI!$H$11="",$F742=ABSENSI!$H$11),OR(ABSENSI!$H$12="",$K742=ABSENSI!$H$12)),MAX($Y$3:Y741)+1,""))</f>
        <v/>
      </c>
      <c r="Z742" s="40" t="str">
        <f aca="false">IF($B742="","",IF(AND(OR(KARTU!$K$6="",$E742=KARTU!$K$6),OR(KARTU!$K$7="",$F742=KARTU!$K$7),OR(KARTU!$K$8="",$K742=KARTU!$K$8)),MAX($Z$3:Z741)+1,""))</f>
        <v/>
      </c>
    </row>
    <row r="743" customFormat="false" ht="15" hidden="false" customHeight="false" outlineLevel="0" collapsed="false">
      <c r="A743" s="36" t="str">
        <f aca="false">IF($B743="","",COUNTA($B$4:$B743))</f>
        <v/>
      </c>
      <c r="B743" s="37"/>
      <c r="C743" s="38"/>
      <c r="D743" s="39"/>
      <c r="E743" s="37"/>
      <c r="F743" s="39"/>
      <c r="G743" s="40" t="str">
        <f aca="false">IF(OR($E743="",$F743=""),"",$E743&amp;" - RT "&amp;$F743)</f>
        <v/>
      </c>
      <c r="H743" s="37"/>
      <c r="I743" s="38"/>
      <c r="J743" s="37"/>
      <c r="K743" s="39"/>
      <c r="L743" s="41"/>
      <c r="M743" s="36" t="str">
        <f aca="true">IF(OR($B743="",$L743=""),"",DATEDIF($L743,TODAY(),"Y"))</f>
        <v/>
      </c>
      <c r="N743" s="40" t="str">
        <f aca="false">IF($M743="","",INDEX(usia_label,MATCH($M743,usia_min,1)))</f>
        <v/>
      </c>
      <c r="O743" s="37"/>
      <c r="P743" s="41"/>
      <c r="Q743" s="37"/>
      <c r="R743" s="37"/>
      <c r="S743" s="40" t="str">
        <f aca="false">IF($G743="","",$G743&amp;"#"&amp;COUNTIF($G$4:$G743,$G743))</f>
        <v/>
      </c>
      <c r="T743" s="40" t="str">
        <f aca="false">IF($B743="","",IF($C743="","NIK kosong",IF(LEN($C743)&lt;&gt;16,"NIK bukan 16 digit",IF(COUNTIF($C$4:$C$2003,$C743&amp;"*")&gt;1,"NIK ganda",IF($E743="","Kadus kosong",IF($F743="","RT kosong",IF($H743="","Jabatan kosong",IF($I743="","No. HP kosong",IF($J743="","Alamat kosong",IF(AND($M743&lt;&gt;"",$M743&lt;17),"Usia di bawah 17",""))))))))))</f>
        <v/>
      </c>
      <c r="U743" s="40" t="str">
        <f aca="false">IF($B743="","",IF(AND(OR(CARI!$C$5="",ISNUMBER(SEARCH(CARI!$C$5,$B743&amp;" "&amp;$C743&amp;" "&amp;$I743&amp;" "&amp;$J743&amp;" "&amp;$Q743))),OR(CARI!$C$6="",$E743=CARI!$C$6),OR(CARI!$C$7="",$F743=CARI!$C$7),OR(CARI!$C$8="",$O743=CARI!$C$8)),MAX($U$3:U742)+1,""))</f>
        <v/>
      </c>
      <c r="V743" s="40" t="str">
        <f aca="false">IF($T743="","",MAX($V$3:V742)+1)</f>
        <v/>
      </c>
      <c r="W743" s="40" t="str">
        <f aca="false">IF($E743="","",$E743&amp;"#"&amp;COUNTIF($E$4:$E743,$E743))</f>
        <v/>
      </c>
      <c r="X743" s="40" t="str">
        <f aca="false">IF($B743="","",IF(AND(OR(CETAK!$J$10="",$E743=CETAK!$J$10),OR(CETAK!$J$11="",$F743=CETAK!$J$11),OR(CETAK!$J$12="",$K743=CETAK!$J$12),OR(CETAK!$J$13="",$H743=CETAK!$J$13),OR(CETAK!$J$14="",$O743=CETAK!$J$14)),MAX($X$3:X742)+1,""))</f>
        <v/>
      </c>
      <c r="Y743" s="40" t="str">
        <f aca="false">IF($B743="","",IF(AND(OR(ABSENSI!$H$10="",$E743=ABSENSI!$H$10),OR(ABSENSI!$H$11="",$F743=ABSENSI!$H$11),OR(ABSENSI!$H$12="",$K743=ABSENSI!$H$12)),MAX($Y$3:Y742)+1,""))</f>
        <v/>
      </c>
      <c r="Z743" s="40" t="str">
        <f aca="false">IF($B743="","",IF(AND(OR(KARTU!$K$6="",$E743=KARTU!$K$6),OR(KARTU!$K$7="",$F743=KARTU!$K$7),OR(KARTU!$K$8="",$K743=KARTU!$K$8)),MAX($Z$3:Z742)+1,""))</f>
        <v/>
      </c>
    </row>
    <row r="744" customFormat="false" ht="15" hidden="false" customHeight="false" outlineLevel="0" collapsed="false">
      <c r="A744" s="36" t="str">
        <f aca="false">IF($B744="","",COUNTA($B$4:$B744))</f>
        <v/>
      </c>
      <c r="B744" s="37"/>
      <c r="C744" s="38"/>
      <c r="D744" s="39"/>
      <c r="E744" s="37"/>
      <c r="F744" s="39"/>
      <c r="G744" s="40" t="str">
        <f aca="false">IF(OR($E744="",$F744=""),"",$E744&amp;" - RT "&amp;$F744)</f>
        <v/>
      </c>
      <c r="H744" s="37"/>
      <c r="I744" s="38"/>
      <c r="J744" s="37"/>
      <c r="K744" s="39"/>
      <c r="L744" s="41"/>
      <c r="M744" s="36" t="str">
        <f aca="true">IF(OR($B744="",$L744=""),"",DATEDIF($L744,TODAY(),"Y"))</f>
        <v/>
      </c>
      <c r="N744" s="40" t="str">
        <f aca="false">IF($M744="","",INDEX(usia_label,MATCH($M744,usia_min,1)))</f>
        <v/>
      </c>
      <c r="O744" s="37"/>
      <c r="P744" s="41"/>
      <c r="Q744" s="37"/>
      <c r="R744" s="37"/>
      <c r="S744" s="40" t="str">
        <f aca="false">IF($G744="","",$G744&amp;"#"&amp;COUNTIF($G$4:$G744,$G744))</f>
        <v/>
      </c>
      <c r="T744" s="40" t="str">
        <f aca="false">IF($B744="","",IF($C744="","NIK kosong",IF(LEN($C744)&lt;&gt;16,"NIK bukan 16 digit",IF(COUNTIF($C$4:$C$2003,$C744&amp;"*")&gt;1,"NIK ganda",IF($E744="","Kadus kosong",IF($F744="","RT kosong",IF($H744="","Jabatan kosong",IF($I744="","No. HP kosong",IF($J744="","Alamat kosong",IF(AND($M744&lt;&gt;"",$M744&lt;17),"Usia di bawah 17",""))))))))))</f>
        <v/>
      </c>
      <c r="U744" s="40" t="str">
        <f aca="false">IF($B744="","",IF(AND(OR(CARI!$C$5="",ISNUMBER(SEARCH(CARI!$C$5,$B744&amp;" "&amp;$C744&amp;" "&amp;$I744&amp;" "&amp;$J744&amp;" "&amp;$Q744))),OR(CARI!$C$6="",$E744=CARI!$C$6),OR(CARI!$C$7="",$F744=CARI!$C$7),OR(CARI!$C$8="",$O744=CARI!$C$8)),MAX($U$3:U743)+1,""))</f>
        <v/>
      </c>
      <c r="V744" s="40" t="str">
        <f aca="false">IF($T744="","",MAX($V$3:V743)+1)</f>
        <v/>
      </c>
      <c r="W744" s="40" t="str">
        <f aca="false">IF($E744="","",$E744&amp;"#"&amp;COUNTIF($E$4:$E744,$E744))</f>
        <v/>
      </c>
      <c r="X744" s="40" t="str">
        <f aca="false">IF($B744="","",IF(AND(OR(CETAK!$J$10="",$E744=CETAK!$J$10),OR(CETAK!$J$11="",$F744=CETAK!$J$11),OR(CETAK!$J$12="",$K744=CETAK!$J$12),OR(CETAK!$J$13="",$H744=CETAK!$J$13),OR(CETAK!$J$14="",$O744=CETAK!$J$14)),MAX($X$3:X743)+1,""))</f>
        <v/>
      </c>
      <c r="Y744" s="40" t="str">
        <f aca="false">IF($B744="","",IF(AND(OR(ABSENSI!$H$10="",$E744=ABSENSI!$H$10),OR(ABSENSI!$H$11="",$F744=ABSENSI!$H$11),OR(ABSENSI!$H$12="",$K744=ABSENSI!$H$12)),MAX($Y$3:Y743)+1,""))</f>
        <v/>
      </c>
      <c r="Z744" s="40" t="str">
        <f aca="false">IF($B744="","",IF(AND(OR(KARTU!$K$6="",$E744=KARTU!$K$6),OR(KARTU!$K$7="",$F744=KARTU!$K$7),OR(KARTU!$K$8="",$K744=KARTU!$K$8)),MAX($Z$3:Z743)+1,""))</f>
        <v/>
      </c>
    </row>
    <row r="745" customFormat="false" ht="15" hidden="false" customHeight="false" outlineLevel="0" collapsed="false">
      <c r="A745" s="36" t="str">
        <f aca="false">IF($B745="","",COUNTA($B$4:$B745))</f>
        <v/>
      </c>
      <c r="B745" s="37"/>
      <c r="C745" s="38"/>
      <c r="D745" s="39"/>
      <c r="E745" s="37"/>
      <c r="F745" s="39"/>
      <c r="G745" s="40" t="str">
        <f aca="false">IF(OR($E745="",$F745=""),"",$E745&amp;" - RT "&amp;$F745)</f>
        <v/>
      </c>
      <c r="H745" s="37"/>
      <c r="I745" s="38"/>
      <c r="J745" s="37"/>
      <c r="K745" s="39"/>
      <c r="L745" s="41"/>
      <c r="M745" s="36" t="str">
        <f aca="true">IF(OR($B745="",$L745=""),"",DATEDIF($L745,TODAY(),"Y"))</f>
        <v/>
      </c>
      <c r="N745" s="40" t="str">
        <f aca="false">IF($M745="","",INDEX(usia_label,MATCH($M745,usia_min,1)))</f>
        <v/>
      </c>
      <c r="O745" s="37"/>
      <c r="P745" s="41"/>
      <c r="Q745" s="37"/>
      <c r="R745" s="37"/>
      <c r="S745" s="40" t="str">
        <f aca="false">IF($G745="","",$G745&amp;"#"&amp;COUNTIF($G$4:$G745,$G745))</f>
        <v/>
      </c>
      <c r="T745" s="40" t="str">
        <f aca="false">IF($B745="","",IF($C745="","NIK kosong",IF(LEN($C745)&lt;&gt;16,"NIK bukan 16 digit",IF(COUNTIF($C$4:$C$2003,$C745&amp;"*")&gt;1,"NIK ganda",IF($E745="","Kadus kosong",IF($F745="","RT kosong",IF($H745="","Jabatan kosong",IF($I745="","No. HP kosong",IF($J745="","Alamat kosong",IF(AND($M745&lt;&gt;"",$M745&lt;17),"Usia di bawah 17",""))))))))))</f>
        <v/>
      </c>
      <c r="U745" s="40" t="str">
        <f aca="false">IF($B745="","",IF(AND(OR(CARI!$C$5="",ISNUMBER(SEARCH(CARI!$C$5,$B745&amp;" "&amp;$C745&amp;" "&amp;$I745&amp;" "&amp;$J745&amp;" "&amp;$Q745))),OR(CARI!$C$6="",$E745=CARI!$C$6),OR(CARI!$C$7="",$F745=CARI!$C$7),OR(CARI!$C$8="",$O745=CARI!$C$8)),MAX($U$3:U744)+1,""))</f>
        <v/>
      </c>
      <c r="V745" s="40" t="str">
        <f aca="false">IF($T745="","",MAX($V$3:V744)+1)</f>
        <v/>
      </c>
      <c r="W745" s="40" t="str">
        <f aca="false">IF($E745="","",$E745&amp;"#"&amp;COUNTIF($E$4:$E745,$E745))</f>
        <v/>
      </c>
      <c r="X745" s="40" t="str">
        <f aca="false">IF($B745="","",IF(AND(OR(CETAK!$J$10="",$E745=CETAK!$J$10),OR(CETAK!$J$11="",$F745=CETAK!$J$11),OR(CETAK!$J$12="",$K745=CETAK!$J$12),OR(CETAK!$J$13="",$H745=CETAK!$J$13),OR(CETAK!$J$14="",$O745=CETAK!$J$14)),MAX($X$3:X744)+1,""))</f>
        <v/>
      </c>
      <c r="Y745" s="40" t="str">
        <f aca="false">IF($B745="","",IF(AND(OR(ABSENSI!$H$10="",$E745=ABSENSI!$H$10),OR(ABSENSI!$H$11="",$F745=ABSENSI!$H$11),OR(ABSENSI!$H$12="",$K745=ABSENSI!$H$12)),MAX($Y$3:Y744)+1,""))</f>
        <v/>
      </c>
      <c r="Z745" s="40" t="str">
        <f aca="false">IF($B745="","",IF(AND(OR(KARTU!$K$6="",$E745=KARTU!$K$6),OR(KARTU!$K$7="",$F745=KARTU!$K$7),OR(KARTU!$K$8="",$K745=KARTU!$K$8)),MAX($Z$3:Z744)+1,""))</f>
        <v/>
      </c>
    </row>
    <row r="746" customFormat="false" ht="15" hidden="false" customHeight="false" outlineLevel="0" collapsed="false">
      <c r="A746" s="36" t="str">
        <f aca="false">IF($B746="","",COUNTA($B$4:$B746))</f>
        <v/>
      </c>
      <c r="B746" s="37"/>
      <c r="C746" s="38"/>
      <c r="D746" s="39"/>
      <c r="E746" s="37"/>
      <c r="F746" s="39"/>
      <c r="G746" s="40" t="str">
        <f aca="false">IF(OR($E746="",$F746=""),"",$E746&amp;" - RT "&amp;$F746)</f>
        <v/>
      </c>
      <c r="H746" s="37"/>
      <c r="I746" s="38"/>
      <c r="J746" s="37"/>
      <c r="K746" s="39"/>
      <c r="L746" s="41"/>
      <c r="M746" s="36" t="str">
        <f aca="true">IF(OR($B746="",$L746=""),"",DATEDIF($L746,TODAY(),"Y"))</f>
        <v/>
      </c>
      <c r="N746" s="40" t="str">
        <f aca="false">IF($M746="","",INDEX(usia_label,MATCH($M746,usia_min,1)))</f>
        <v/>
      </c>
      <c r="O746" s="37"/>
      <c r="P746" s="41"/>
      <c r="Q746" s="37"/>
      <c r="R746" s="37"/>
      <c r="S746" s="40" t="str">
        <f aca="false">IF($G746="","",$G746&amp;"#"&amp;COUNTIF($G$4:$G746,$G746))</f>
        <v/>
      </c>
      <c r="T746" s="40" t="str">
        <f aca="false">IF($B746="","",IF($C746="","NIK kosong",IF(LEN($C746)&lt;&gt;16,"NIK bukan 16 digit",IF(COUNTIF($C$4:$C$2003,$C746&amp;"*")&gt;1,"NIK ganda",IF($E746="","Kadus kosong",IF($F746="","RT kosong",IF($H746="","Jabatan kosong",IF($I746="","No. HP kosong",IF($J746="","Alamat kosong",IF(AND($M746&lt;&gt;"",$M746&lt;17),"Usia di bawah 17",""))))))))))</f>
        <v/>
      </c>
      <c r="U746" s="40" t="str">
        <f aca="false">IF($B746="","",IF(AND(OR(CARI!$C$5="",ISNUMBER(SEARCH(CARI!$C$5,$B746&amp;" "&amp;$C746&amp;" "&amp;$I746&amp;" "&amp;$J746&amp;" "&amp;$Q746))),OR(CARI!$C$6="",$E746=CARI!$C$6),OR(CARI!$C$7="",$F746=CARI!$C$7),OR(CARI!$C$8="",$O746=CARI!$C$8)),MAX($U$3:U745)+1,""))</f>
        <v/>
      </c>
      <c r="V746" s="40" t="str">
        <f aca="false">IF($T746="","",MAX($V$3:V745)+1)</f>
        <v/>
      </c>
      <c r="W746" s="40" t="str">
        <f aca="false">IF($E746="","",$E746&amp;"#"&amp;COUNTIF($E$4:$E746,$E746))</f>
        <v/>
      </c>
      <c r="X746" s="40" t="str">
        <f aca="false">IF($B746="","",IF(AND(OR(CETAK!$J$10="",$E746=CETAK!$J$10),OR(CETAK!$J$11="",$F746=CETAK!$J$11),OR(CETAK!$J$12="",$K746=CETAK!$J$12),OR(CETAK!$J$13="",$H746=CETAK!$J$13),OR(CETAK!$J$14="",$O746=CETAK!$J$14)),MAX($X$3:X745)+1,""))</f>
        <v/>
      </c>
      <c r="Y746" s="40" t="str">
        <f aca="false">IF($B746="","",IF(AND(OR(ABSENSI!$H$10="",$E746=ABSENSI!$H$10),OR(ABSENSI!$H$11="",$F746=ABSENSI!$H$11),OR(ABSENSI!$H$12="",$K746=ABSENSI!$H$12)),MAX($Y$3:Y745)+1,""))</f>
        <v/>
      </c>
      <c r="Z746" s="40" t="str">
        <f aca="false">IF($B746="","",IF(AND(OR(KARTU!$K$6="",$E746=KARTU!$K$6),OR(KARTU!$K$7="",$F746=KARTU!$K$7),OR(KARTU!$K$8="",$K746=KARTU!$K$8)),MAX($Z$3:Z745)+1,""))</f>
        <v/>
      </c>
    </row>
    <row r="747" customFormat="false" ht="15" hidden="false" customHeight="false" outlineLevel="0" collapsed="false">
      <c r="A747" s="36" t="str">
        <f aca="false">IF($B747="","",COUNTA($B$4:$B747))</f>
        <v/>
      </c>
      <c r="B747" s="37"/>
      <c r="C747" s="38"/>
      <c r="D747" s="39"/>
      <c r="E747" s="37"/>
      <c r="F747" s="39"/>
      <c r="G747" s="40" t="str">
        <f aca="false">IF(OR($E747="",$F747=""),"",$E747&amp;" - RT "&amp;$F747)</f>
        <v/>
      </c>
      <c r="H747" s="37"/>
      <c r="I747" s="38"/>
      <c r="J747" s="37"/>
      <c r="K747" s="39"/>
      <c r="L747" s="41"/>
      <c r="M747" s="36" t="str">
        <f aca="true">IF(OR($B747="",$L747=""),"",DATEDIF($L747,TODAY(),"Y"))</f>
        <v/>
      </c>
      <c r="N747" s="40" t="str">
        <f aca="false">IF($M747="","",INDEX(usia_label,MATCH($M747,usia_min,1)))</f>
        <v/>
      </c>
      <c r="O747" s="37"/>
      <c r="P747" s="41"/>
      <c r="Q747" s="37"/>
      <c r="R747" s="37"/>
      <c r="S747" s="40" t="str">
        <f aca="false">IF($G747="","",$G747&amp;"#"&amp;COUNTIF($G$4:$G747,$G747))</f>
        <v/>
      </c>
      <c r="T747" s="40" t="str">
        <f aca="false">IF($B747="","",IF($C747="","NIK kosong",IF(LEN($C747)&lt;&gt;16,"NIK bukan 16 digit",IF(COUNTIF($C$4:$C$2003,$C747&amp;"*")&gt;1,"NIK ganda",IF($E747="","Kadus kosong",IF($F747="","RT kosong",IF($H747="","Jabatan kosong",IF($I747="","No. HP kosong",IF($J747="","Alamat kosong",IF(AND($M747&lt;&gt;"",$M747&lt;17),"Usia di bawah 17",""))))))))))</f>
        <v/>
      </c>
      <c r="U747" s="40" t="str">
        <f aca="false">IF($B747="","",IF(AND(OR(CARI!$C$5="",ISNUMBER(SEARCH(CARI!$C$5,$B747&amp;" "&amp;$C747&amp;" "&amp;$I747&amp;" "&amp;$J747&amp;" "&amp;$Q747))),OR(CARI!$C$6="",$E747=CARI!$C$6),OR(CARI!$C$7="",$F747=CARI!$C$7),OR(CARI!$C$8="",$O747=CARI!$C$8)),MAX($U$3:U746)+1,""))</f>
        <v/>
      </c>
      <c r="V747" s="40" t="str">
        <f aca="false">IF($T747="","",MAX($V$3:V746)+1)</f>
        <v/>
      </c>
      <c r="W747" s="40" t="str">
        <f aca="false">IF($E747="","",$E747&amp;"#"&amp;COUNTIF($E$4:$E747,$E747))</f>
        <v/>
      </c>
      <c r="X747" s="40" t="str">
        <f aca="false">IF($B747="","",IF(AND(OR(CETAK!$J$10="",$E747=CETAK!$J$10),OR(CETAK!$J$11="",$F747=CETAK!$J$11),OR(CETAK!$J$12="",$K747=CETAK!$J$12),OR(CETAK!$J$13="",$H747=CETAK!$J$13),OR(CETAK!$J$14="",$O747=CETAK!$J$14)),MAX($X$3:X746)+1,""))</f>
        <v/>
      </c>
      <c r="Y747" s="40" t="str">
        <f aca="false">IF($B747="","",IF(AND(OR(ABSENSI!$H$10="",$E747=ABSENSI!$H$10),OR(ABSENSI!$H$11="",$F747=ABSENSI!$H$11),OR(ABSENSI!$H$12="",$K747=ABSENSI!$H$12)),MAX($Y$3:Y746)+1,""))</f>
        <v/>
      </c>
      <c r="Z747" s="40" t="str">
        <f aca="false">IF($B747="","",IF(AND(OR(KARTU!$K$6="",$E747=KARTU!$K$6),OR(KARTU!$K$7="",$F747=KARTU!$K$7),OR(KARTU!$K$8="",$K747=KARTU!$K$8)),MAX($Z$3:Z746)+1,""))</f>
        <v/>
      </c>
    </row>
    <row r="748" customFormat="false" ht="15" hidden="false" customHeight="false" outlineLevel="0" collapsed="false">
      <c r="A748" s="36" t="str">
        <f aca="false">IF($B748="","",COUNTA($B$4:$B748))</f>
        <v/>
      </c>
      <c r="B748" s="37"/>
      <c r="C748" s="38"/>
      <c r="D748" s="39"/>
      <c r="E748" s="37"/>
      <c r="F748" s="39"/>
      <c r="G748" s="40" t="str">
        <f aca="false">IF(OR($E748="",$F748=""),"",$E748&amp;" - RT "&amp;$F748)</f>
        <v/>
      </c>
      <c r="H748" s="37"/>
      <c r="I748" s="38"/>
      <c r="J748" s="37"/>
      <c r="K748" s="39"/>
      <c r="L748" s="41"/>
      <c r="M748" s="36" t="str">
        <f aca="true">IF(OR($B748="",$L748=""),"",DATEDIF($L748,TODAY(),"Y"))</f>
        <v/>
      </c>
      <c r="N748" s="40" t="str">
        <f aca="false">IF($M748="","",INDEX(usia_label,MATCH($M748,usia_min,1)))</f>
        <v/>
      </c>
      <c r="O748" s="37"/>
      <c r="P748" s="41"/>
      <c r="Q748" s="37"/>
      <c r="R748" s="37"/>
      <c r="S748" s="40" t="str">
        <f aca="false">IF($G748="","",$G748&amp;"#"&amp;COUNTIF($G$4:$G748,$G748))</f>
        <v/>
      </c>
      <c r="T748" s="40" t="str">
        <f aca="false">IF($B748="","",IF($C748="","NIK kosong",IF(LEN($C748)&lt;&gt;16,"NIK bukan 16 digit",IF(COUNTIF($C$4:$C$2003,$C748&amp;"*")&gt;1,"NIK ganda",IF($E748="","Kadus kosong",IF($F748="","RT kosong",IF($H748="","Jabatan kosong",IF($I748="","No. HP kosong",IF($J748="","Alamat kosong",IF(AND($M748&lt;&gt;"",$M748&lt;17),"Usia di bawah 17",""))))))))))</f>
        <v/>
      </c>
      <c r="U748" s="40" t="str">
        <f aca="false">IF($B748="","",IF(AND(OR(CARI!$C$5="",ISNUMBER(SEARCH(CARI!$C$5,$B748&amp;" "&amp;$C748&amp;" "&amp;$I748&amp;" "&amp;$J748&amp;" "&amp;$Q748))),OR(CARI!$C$6="",$E748=CARI!$C$6),OR(CARI!$C$7="",$F748=CARI!$C$7),OR(CARI!$C$8="",$O748=CARI!$C$8)),MAX($U$3:U747)+1,""))</f>
        <v/>
      </c>
      <c r="V748" s="40" t="str">
        <f aca="false">IF($T748="","",MAX($V$3:V747)+1)</f>
        <v/>
      </c>
      <c r="W748" s="40" t="str">
        <f aca="false">IF($E748="","",$E748&amp;"#"&amp;COUNTIF($E$4:$E748,$E748))</f>
        <v/>
      </c>
      <c r="X748" s="40" t="str">
        <f aca="false">IF($B748="","",IF(AND(OR(CETAK!$J$10="",$E748=CETAK!$J$10),OR(CETAK!$J$11="",$F748=CETAK!$J$11),OR(CETAK!$J$12="",$K748=CETAK!$J$12),OR(CETAK!$J$13="",$H748=CETAK!$J$13),OR(CETAK!$J$14="",$O748=CETAK!$J$14)),MAX($X$3:X747)+1,""))</f>
        <v/>
      </c>
      <c r="Y748" s="40" t="str">
        <f aca="false">IF($B748="","",IF(AND(OR(ABSENSI!$H$10="",$E748=ABSENSI!$H$10),OR(ABSENSI!$H$11="",$F748=ABSENSI!$H$11),OR(ABSENSI!$H$12="",$K748=ABSENSI!$H$12)),MAX($Y$3:Y747)+1,""))</f>
        <v/>
      </c>
      <c r="Z748" s="40" t="str">
        <f aca="false">IF($B748="","",IF(AND(OR(KARTU!$K$6="",$E748=KARTU!$K$6),OR(KARTU!$K$7="",$F748=KARTU!$K$7),OR(KARTU!$K$8="",$K748=KARTU!$K$8)),MAX($Z$3:Z747)+1,""))</f>
        <v/>
      </c>
    </row>
    <row r="749" customFormat="false" ht="15" hidden="false" customHeight="false" outlineLevel="0" collapsed="false">
      <c r="A749" s="36" t="str">
        <f aca="false">IF($B749="","",COUNTA($B$4:$B749))</f>
        <v/>
      </c>
      <c r="B749" s="37"/>
      <c r="C749" s="38"/>
      <c r="D749" s="39"/>
      <c r="E749" s="37"/>
      <c r="F749" s="39"/>
      <c r="G749" s="40" t="str">
        <f aca="false">IF(OR($E749="",$F749=""),"",$E749&amp;" - RT "&amp;$F749)</f>
        <v/>
      </c>
      <c r="H749" s="37"/>
      <c r="I749" s="38"/>
      <c r="J749" s="37"/>
      <c r="K749" s="39"/>
      <c r="L749" s="41"/>
      <c r="M749" s="36" t="str">
        <f aca="true">IF(OR($B749="",$L749=""),"",DATEDIF($L749,TODAY(),"Y"))</f>
        <v/>
      </c>
      <c r="N749" s="40" t="str">
        <f aca="false">IF($M749="","",INDEX(usia_label,MATCH($M749,usia_min,1)))</f>
        <v/>
      </c>
      <c r="O749" s="37"/>
      <c r="P749" s="41"/>
      <c r="Q749" s="37"/>
      <c r="R749" s="37"/>
      <c r="S749" s="40" t="str">
        <f aca="false">IF($G749="","",$G749&amp;"#"&amp;COUNTIF($G$4:$G749,$G749))</f>
        <v/>
      </c>
      <c r="T749" s="40" t="str">
        <f aca="false">IF($B749="","",IF($C749="","NIK kosong",IF(LEN($C749)&lt;&gt;16,"NIK bukan 16 digit",IF(COUNTIF($C$4:$C$2003,$C749&amp;"*")&gt;1,"NIK ganda",IF($E749="","Kadus kosong",IF($F749="","RT kosong",IF($H749="","Jabatan kosong",IF($I749="","No. HP kosong",IF($J749="","Alamat kosong",IF(AND($M749&lt;&gt;"",$M749&lt;17),"Usia di bawah 17",""))))))))))</f>
        <v/>
      </c>
      <c r="U749" s="40" t="str">
        <f aca="false">IF($B749="","",IF(AND(OR(CARI!$C$5="",ISNUMBER(SEARCH(CARI!$C$5,$B749&amp;" "&amp;$C749&amp;" "&amp;$I749&amp;" "&amp;$J749&amp;" "&amp;$Q749))),OR(CARI!$C$6="",$E749=CARI!$C$6),OR(CARI!$C$7="",$F749=CARI!$C$7),OR(CARI!$C$8="",$O749=CARI!$C$8)),MAX($U$3:U748)+1,""))</f>
        <v/>
      </c>
      <c r="V749" s="40" t="str">
        <f aca="false">IF($T749="","",MAX($V$3:V748)+1)</f>
        <v/>
      </c>
      <c r="W749" s="40" t="str">
        <f aca="false">IF($E749="","",$E749&amp;"#"&amp;COUNTIF($E$4:$E749,$E749))</f>
        <v/>
      </c>
      <c r="X749" s="40" t="str">
        <f aca="false">IF($B749="","",IF(AND(OR(CETAK!$J$10="",$E749=CETAK!$J$10),OR(CETAK!$J$11="",$F749=CETAK!$J$11),OR(CETAK!$J$12="",$K749=CETAK!$J$12),OR(CETAK!$J$13="",$H749=CETAK!$J$13),OR(CETAK!$J$14="",$O749=CETAK!$J$14)),MAX($X$3:X748)+1,""))</f>
        <v/>
      </c>
      <c r="Y749" s="40" t="str">
        <f aca="false">IF($B749="","",IF(AND(OR(ABSENSI!$H$10="",$E749=ABSENSI!$H$10),OR(ABSENSI!$H$11="",$F749=ABSENSI!$H$11),OR(ABSENSI!$H$12="",$K749=ABSENSI!$H$12)),MAX($Y$3:Y748)+1,""))</f>
        <v/>
      </c>
      <c r="Z749" s="40" t="str">
        <f aca="false">IF($B749="","",IF(AND(OR(KARTU!$K$6="",$E749=KARTU!$K$6),OR(KARTU!$K$7="",$F749=KARTU!$K$7),OR(KARTU!$K$8="",$K749=KARTU!$K$8)),MAX($Z$3:Z748)+1,""))</f>
        <v/>
      </c>
    </row>
    <row r="750" customFormat="false" ht="15" hidden="false" customHeight="false" outlineLevel="0" collapsed="false">
      <c r="A750" s="36" t="str">
        <f aca="false">IF($B750="","",COUNTA($B$4:$B750))</f>
        <v/>
      </c>
      <c r="B750" s="37"/>
      <c r="C750" s="38"/>
      <c r="D750" s="39"/>
      <c r="E750" s="37"/>
      <c r="F750" s="39"/>
      <c r="G750" s="40" t="str">
        <f aca="false">IF(OR($E750="",$F750=""),"",$E750&amp;" - RT "&amp;$F750)</f>
        <v/>
      </c>
      <c r="H750" s="37"/>
      <c r="I750" s="38"/>
      <c r="J750" s="37"/>
      <c r="K750" s="39"/>
      <c r="L750" s="41"/>
      <c r="M750" s="36" t="str">
        <f aca="true">IF(OR($B750="",$L750=""),"",DATEDIF($L750,TODAY(),"Y"))</f>
        <v/>
      </c>
      <c r="N750" s="40" t="str">
        <f aca="false">IF($M750="","",INDEX(usia_label,MATCH($M750,usia_min,1)))</f>
        <v/>
      </c>
      <c r="O750" s="37"/>
      <c r="P750" s="41"/>
      <c r="Q750" s="37"/>
      <c r="R750" s="37"/>
      <c r="S750" s="40" t="str">
        <f aca="false">IF($G750="","",$G750&amp;"#"&amp;COUNTIF($G$4:$G750,$G750))</f>
        <v/>
      </c>
      <c r="T750" s="40" t="str">
        <f aca="false">IF($B750="","",IF($C750="","NIK kosong",IF(LEN($C750)&lt;&gt;16,"NIK bukan 16 digit",IF(COUNTIF($C$4:$C$2003,$C750&amp;"*")&gt;1,"NIK ganda",IF($E750="","Kadus kosong",IF($F750="","RT kosong",IF($H750="","Jabatan kosong",IF($I750="","No. HP kosong",IF($J750="","Alamat kosong",IF(AND($M750&lt;&gt;"",$M750&lt;17),"Usia di bawah 17",""))))))))))</f>
        <v/>
      </c>
      <c r="U750" s="40" t="str">
        <f aca="false">IF($B750="","",IF(AND(OR(CARI!$C$5="",ISNUMBER(SEARCH(CARI!$C$5,$B750&amp;" "&amp;$C750&amp;" "&amp;$I750&amp;" "&amp;$J750&amp;" "&amp;$Q750))),OR(CARI!$C$6="",$E750=CARI!$C$6),OR(CARI!$C$7="",$F750=CARI!$C$7),OR(CARI!$C$8="",$O750=CARI!$C$8)),MAX($U$3:U749)+1,""))</f>
        <v/>
      </c>
      <c r="V750" s="40" t="str">
        <f aca="false">IF($T750="","",MAX($V$3:V749)+1)</f>
        <v/>
      </c>
      <c r="W750" s="40" t="str">
        <f aca="false">IF($E750="","",$E750&amp;"#"&amp;COUNTIF($E$4:$E750,$E750))</f>
        <v/>
      </c>
      <c r="X750" s="40" t="str">
        <f aca="false">IF($B750="","",IF(AND(OR(CETAK!$J$10="",$E750=CETAK!$J$10),OR(CETAK!$J$11="",$F750=CETAK!$J$11),OR(CETAK!$J$12="",$K750=CETAK!$J$12),OR(CETAK!$J$13="",$H750=CETAK!$J$13),OR(CETAK!$J$14="",$O750=CETAK!$J$14)),MAX($X$3:X749)+1,""))</f>
        <v/>
      </c>
      <c r="Y750" s="40" t="str">
        <f aca="false">IF($B750="","",IF(AND(OR(ABSENSI!$H$10="",$E750=ABSENSI!$H$10),OR(ABSENSI!$H$11="",$F750=ABSENSI!$H$11),OR(ABSENSI!$H$12="",$K750=ABSENSI!$H$12)),MAX($Y$3:Y749)+1,""))</f>
        <v/>
      </c>
      <c r="Z750" s="40" t="str">
        <f aca="false">IF($B750="","",IF(AND(OR(KARTU!$K$6="",$E750=KARTU!$K$6),OR(KARTU!$K$7="",$F750=KARTU!$K$7),OR(KARTU!$K$8="",$K750=KARTU!$K$8)),MAX($Z$3:Z749)+1,""))</f>
        <v/>
      </c>
    </row>
    <row r="751" customFormat="false" ht="15" hidden="false" customHeight="false" outlineLevel="0" collapsed="false">
      <c r="A751" s="36" t="str">
        <f aca="false">IF($B751="","",COUNTA($B$4:$B751))</f>
        <v/>
      </c>
      <c r="B751" s="37"/>
      <c r="C751" s="38"/>
      <c r="D751" s="39"/>
      <c r="E751" s="37"/>
      <c r="F751" s="39"/>
      <c r="G751" s="40" t="str">
        <f aca="false">IF(OR($E751="",$F751=""),"",$E751&amp;" - RT "&amp;$F751)</f>
        <v/>
      </c>
      <c r="H751" s="37"/>
      <c r="I751" s="38"/>
      <c r="J751" s="37"/>
      <c r="K751" s="39"/>
      <c r="L751" s="41"/>
      <c r="M751" s="36" t="str">
        <f aca="true">IF(OR($B751="",$L751=""),"",DATEDIF($L751,TODAY(),"Y"))</f>
        <v/>
      </c>
      <c r="N751" s="40" t="str">
        <f aca="false">IF($M751="","",INDEX(usia_label,MATCH($M751,usia_min,1)))</f>
        <v/>
      </c>
      <c r="O751" s="37"/>
      <c r="P751" s="41"/>
      <c r="Q751" s="37"/>
      <c r="R751" s="37"/>
      <c r="S751" s="40" t="str">
        <f aca="false">IF($G751="","",$G751&amp;"#"&amp;COUNTIF($G$4:$G751,$G751))</f>
        <v/>
      </c>
      <c r="T751" s="40" t="str">
        <f aca="false">IF($B751="","",IF($C751="","NIK kosong",IF(LEN($C751)&lt;&gt;16,"NIK bukan 16 digit",IF(COUNTIF($C$4:$C$2003,$C751&amp;"*")&gt;1,"NIK ganda",IF($E751="","Kadus kosong",IF($F751="","RT kosong",IF($H751="","Jabatan kosong",IF($I751="","No. HP kosong",IF($J751="","Alamat kosong",IF(AND($M751&lt;&gt;"",$M751&lt;17),"Usia di bawah 17",""))))))))))</f>
        <v/>
      </c>
      <c r="U751" s="40" t="str">
        <f aca="false">IF($B751="","",IF(AND(OR(CARI!$C$5="",ISNUMBER(SEARCH(CARI!$C$5,$B751&amp;" "&amp;$C751&amp;" "&amp;$I751&amp;" "&amp;$J751&amp;" "&amp;$Q751))),OR(CARI!$C$6="",$E751=CARI!$C$6),OR(CARI!$C$7="",$F751=CARI!$C$7),OR(CARI!$C$8="",$O751=CARI!$C$8)),MAX($U$3:U750)+1,""))</f>
        <v/>
      </c>
      <c r="V751" s="40" t="str">
        <f aca="false">IF($T751="","",MAX($V$3:V750)+1)</f>
        <v/>
      </c>
      <c r="W751" s="40" t="str">
        <f aca="false">IF($E751="","",$E751&amp;"#"&amp;COUNTIF($E$4:$E751,$E751))</f>
        <v/>
      </c>
      <c r="X751" s="40" t="str">
        <f aca="false">IF($B751="","",IF(AND(OR(CETAK!$J$10="",$E751=CETAK!$J$10),OR(CETAK!$J$11="",$F751=CETAK!$J$11),OR(CETAK!$J$12="",$K751=CETAK!$J$12),OR(CETAK!$J$13="",$H751=CETAK!$J$13),OR(CETAK!$J$14="",$O751=CETAK!$J$14)),MAX($X$3:X750)+1,""))</f>
        <v/>
      </c>
      <c r="Y751" s="40" t="str">
        <f aca="false">IF($B751="","",IF(AND(OR(ABSENSI!$H$10="",$E751=ABSENSI!$H$10),OR(ABSENSI!$H$11="",$F751=ABSENSI!$H$11),OR(ABSENSI!$H$12="",$K751=ABSENSI!$H$12)),MAX($Y$3:Y750)+1,""))</f>
        <v/>
      </c>
      <c r="Z751" s="40" t="str">
        <f aca="false">IF($B751="","",IF(AND(OR(KARTU!$K$6="",$E751=KARTU!$K$6),OR(KARTU!$K$7="",$F751=KARTU!$K$7),OR(KARTU!$K$8="",$K751=KARTU!$K$8)),MAX($Z$3:Z750)+1,""))</f>
        <v/>
      </c>
    </row>
    <row r="752" customFormat="false" ht="15" hidden="false" customHeight="false" outlineLevel="0" collapsed="false">
      <c r="A752" s="36" t="str">
        <f aca="false">IF($B752="","",COUNTA($B$4:$B752))</f>
        <v/>
      </c>
      <c r="B752" s="37"/>
      <c r="C752" s="38"/>
      <c r="D752" s="39"/>
      <c r="E752" s="37"/>
      <c r="F752" s="39"/>
      <c r="G752" s="40" t="str">
        <f aca="false">IF(OR($E752="",$F752=""),"",$E752&amp;" - RT "&amp;$F752)</f>
        <v/>
      </c>
      <c r="H752" s="37"/>
      <c r="I752" s="38"/>
      <c r="J752" s="37"/>
      <c r="K752" s="39"/>
      <c r="L752" s="41"/>
      <c r="M752" s="36" t="str">
        <f aca="true">IF(OR($B752="",$L752=""),"",DATEDIF($L752,TODAY(),"Y"))</f>
        <v/>
      </c>
      <c r="N752" s="40" t="str">
        <f aca="false">IF($M752="","",INDEX(usia_label,MATCH($M752,usia_min,1)))</f>
        <v/>
      </c>
      <c r="O752" s="37"/>
      <c r="P752" s="41"/>
      <c r="Q752" s="37"/>
      <c r="R752" s="37"/>
      <c r="S752" s="40" t="str">
        <f aca="false">IF($G752="","",$G752&amp;"#"&amp;COUNTIF($G$4:$G752,$G752))</f>
        <v/>
      </c>
      <c r="T752" s="40" t="str">
        <f aca="false">IF($B752="","",IF($C752="","NIK kosong",IF(LEN($C752)&lt;&gt;16,"NIK bukan 16 digit",IF(COUNTIF($C$4:$C$2003,$C752&amp;"*")&gt;1,"NIK ganda",IF($E752="","Kadus kosong",IF($F752="","RT kosong",IF($H752="","Jabatan kosong",IF($I752="","No. HP kosong",IF($J752="","Alamat kosong",IF(AND($M752&lt;&gt;"",$M752&lt;17),"Usia di bawah 17",""))))))))))</f>
        <v/>
      </c>
      <c r="U752" s="40" t="str">
        <f aca="false">IF($B752="","",IF(AND(OR(CARI!$C$5="",ISNUMBER(SEARCH(CARI!$C$5,$B752&amp;" "&amp;$C752&amp;" "&amp;$I752&amp;" "&amp;$J752&amp;" "&amp;$Q752))),OR(CARI!$C$6="",$E752=CARI!$C$6),OR(CARI!$C$7="",$F752=CARI!$C$7),OR(CARI!$C$8="",$O752=CARI!$C$8)),MAX($U$3:U751)+1,""))</f>
        <v/>
      </c>
      <c r="V752" s="40" t="str">
        <f aca="false">IF($T752="","",MAX($V$3:V751)+1)</f>
        <v/>
      </c>
      <c r="W752" s="40" t="str">
        <f aca="false">IF($E752="","",$E752&amp;"#"&amp;COUNTIF($E$4:$E752,$E752))</f>
        <v/>
      </c>
      <c r="X752" s="40" t="str">
        <f aca="false">IF($B752="","",IF(AND(OR(CETAK!$J$10="",$E752=CETAK!$J$10),OR(CETAK!$J$11="",$F752=CETAK!$J$11),OR(CETAK!$J$12="",$K752=CETAK!$J$12),OR(CETAK!$J$13="",$H752=CETAK!$J$13),OR(CETAK!$J$14="",$O752=CETAK!$J$14)),MAX($X$3:X751)+1,""))</f>
        <v/>
      </c>
      <c r="Y752" s="40" t="str">
        <f aca="false">IF($B752="","",IF(AND(OR(ABSENSI!$H$10="",$E752=ABSENSI!$H$10),OR(ABSENSI!$H$11="",$F752=ABSENSI!$H$11),OR(ABSENSI!$H$12="",$K752=ABSENSI!$H$12)),MAX($Y$3:Y751)+1,""))</f>
        <v/>
      </c>
      <c r="Z752" s="40" t="str">
        <f aca="false">IF($B752="","",IF(AND(OR(KARTU!$K$6="",$E752=KARTU!$K$6),OR(KARTU!$K$7="",$F752=KARTU!$K$7),OR(KARTU!$K$8="",$K752=KARTU!$K$8)),MAX($Z$3:Z751)+1,""))</f>
        <v/>
      </c>
    </row>
    <row r="753" customFormat="false" ht="15" hidden="false" customHeight="false" outlineLevel="0" collapsed="false">
      <c r="A753" s="36" t="str">
        <f aca="false">IF($B753="","",COUNTA($B$4:$B753))</f>
        <v/>
      </c>
      <c r="B753" s="37"/>
      <c r="C753" s="38"/>
      <c r="D753" s="39"/>
      <c r="E753" s="37"/>
      <c r="F753" s="39"/>
      <c r="G753" s="40" t="str">
        <f aca="false">IF(OR($E753="",$F753=""),"",$E753&amp;" - RT "&amp;$F753)</f>
        <v/>
      </c>
      <c r="H753" s="37"/>
      <c r="I753" s="38"/>
      <c r="J753" s="37"/>
      <c r="K753" s="39"/>
      <c r="L753" s="41"/>
      <c r="M753" s="36" t="str">
        <f aca="true">IF(OR($B753="",$L753=""),"",DATEDIF($L753,TODAY(),"Y"))</f>
        <v/>
      </c>
      <c r="N753" s="40" t="str">
        <f aca="false">IF($M753="","",INDEX(usia_label,MATCH($M753,usia_min,1)))</f>
        <v/>
      </c>
      <c r="O753" s="37"/>
      <c r="P753" s="41"/>
      <c r="Q753" s="37"/>
      <c r="R753" s="37"/>
      <c r="S753" s="40" t="str">
        <f aca="false">IF($G753="","",$G753&amp;"#"&amp;COUNTIF($G$4:$G753,$G753))</f>
        <v/>
      </c>
      <c r="T753" s="40" t="str">
        <f aca="false">IF($B753="","",IF($C753="","NIK kosong",IF(LEN($C753)&lt;&gt;16,"NIK bukan 16 digit",IF(COUNTIF($C$4:$C$2003,$C753&amp;"*")&gt;1,"NIK ganda",IF($E753="","Kadus kosong",IF($F753="","RT kosong",IF($H753="","Jabatan kosong",IF($I753="","No. HP kosong",IF($J753="","Alamat kosong",IF(AND($M753&lt;&gt;"",$M753&lt;17),"Usia di bawah 17",""))))))))))</f>
        <v/>
      </c>
      <c r="U753" s="40" t="str">
        <f aca="false">IF($B753="","",IF(AND(OR(CARI!$C$5="",ISNUMBER(SEARCH(CARI!$C$5,$B753&amp;" "&amp;$C753&amp;" "&amp;$I753&amp;" "&amp;$J753&amp;" "&amp;$Q753))),OR(CARI!$C$6="",$E753=CARI!$C$6),OR(CARI!$C$7="",$F753=CARI!$C$7),OR(CARI!$C$8="",$O753=CARI!$C$8)),MAX($U$3:U752)+1,""))</f>
        <v/>
      </c>
      <c r="V753" s="40" t="str">
        <f aca="false">IF($T753="","",MAX($V$3:V752)+1)</f>
        <v/>
      </c>
      <c r="W753" s="40" t="str">
        <f aca="false">IF($E753="","",$E753&amp;"#"&amp;COUNTIF($E$4:$E753,$E753))</f>
        <v/>
      </c>
      <c r="X753" s="40" t="str">
        <f aca="false">IF($B753="","",IF(AND(OR(CETAK!$J$10="",$E753=CETAK!$J$10),OR(CETAK!$J$11="",$F753=CETAK!$J$11),OR(CETAK!$J$12="",$K753=CETAK!$J$12),OR(CETAK!$J$13="",$H753=CETAK!$J$13),OR(CETAK!$J$14="",$O753=CETAK!$J$14)),MAX($X$3:X752)+1,""))</f>
        <v/>
      </c>
      <c r="Y753" s="40" t="str">
        <f aca="false">IF($B753="","",IF(AND(OR(ABSENSI!$H$10="",$E753=ABSENSI!$H$10),OR(ABSENSI!$H$11="",$F753=ABSENSI!$H$11),OR(ABSENSI!$H$12="",$K753=ABSENSI!$H$12)),MAX($Y$3:Y752)+1,""))</f>
        <v/>
      </c>
      <c r="Z753" s="40" t="str">
        <f aca="false">IF($B753="","",IF(AND(OR(KARTU!$K$6="",$E753=KARTU!$K$6),OR(KARTU!$K$7="",$F753=KARTU!$K$7),OR(KARTU!$K$8="",$K753=KARTU!$K$8)),MAX($Z$3:Z752)+1,""))</f>
        <v/>
      </c>
    </row>
    <row r="754" customFormat="false" ht="15" hidden="false" customHeight="false" outlineLevel="0" collapsed="false">
      <c r="A754" s="36" t="str">
        <f aca="false">IF($B754="","",COUNTA($B$4:$B754))</f>
        <v/>
      </c>
      <c r="B754" s="37"/>
      <c r="C754" s="38"/>
      <c r="D754" s="39"/>
      <c r="E754" s="37"/>
      <c r="F754" s="39"/>
      <c r="G754" s="40" t="str">
        <f aca="false">IF(OR($E754="",$F754=""),"",$E754&amp;" - RT "&amp;$F754)</f>
        <v/>
      </c>
      <c r="H754" s="37"/>
      <c r="I754" s="38"/>
      <c r="J754" s="37"/>
      <c r="K754" s="39"/>
      <c r="L754" s="41"/>
      <c r="M754" s="36" t="str">
        <f aca="true">IF(OR($B754="",$L754=""),"",DATEDIF($L754,TODAY(),"Y"))</f>
        <v/>
      </c>
      <c r="N754" s="40" t="str">
        <f aca="false">IF($M754="","",INDEX(usia_label,MATCH($M754,usia_min,1)))</f>
        <v/>
      </c>
      <c r="O754" s="37"/>
      <c r="P754" s="41"/>
      <c r="Q754" s="37"/>
      <c r="R754" s="37"/>
      <c r="S754" s="40" t="str">
        <f aca="false">IF($G754="","",$G754&amp;"#"&amp;COUNTIF($G$4:$G754,$G754))</f>
        <v/>
      </c>
      <c r="T754" s="40" t="str">
        <f aca="false">IF($B754="","",IF($C754="","NIK kosong",IF(LEN($C754)&lt;&gt;16,"NIK bukan 16 digit",IF(COUNTIF($C$4:$C$2003,$C754&amp;"*")&gt;1,"NIK ganda",IF($E754="","Kadus kosong",IF($F754="","RT kosong",IF($H754="","Jabatan kosong",IF($I754="","No. HP kosong",IF($J754="","Alamat kosong",IF(AND($M754&lt;&gt;"",$M754&lt;17),"Usia di bawah 17",""))))))))))</f>
        <v/>
      </c>
      <c r="U754" s="40" t="str">
        <f aca="false">IF($B754="","",IF(AND(OR(CARI!$C$5="",ISNUMBER(SEARCH(CARI!$C$5,$B754&amp;" "&amp;$C754&amp;" "&amp;$I754&amp;" "&amp;$J754&amp;" "&amp;$Q754))),OR(CARI!$C$6="",$E754=CARI!$C$6),OR(CARI!$C$7="",$F754=CARI!$C$7),OR(CARI!$C$8="",$O754=CARI!$C$8)),MAX($U$3:U753)+1,""))</f>
        <v/>
      </c>
      <c r="V754" s="40" t="str">
        <f aca="false">IF($T754="","",MAX($V$3:V753)+1)</f>
        <v/>
      </c>
      <c r="W754" s="40" t="str">
        <f aca="false">IF($E754="","",$E754&amp;"#"&amp;COUNTIF($E$4:$E754,$E754))</f>
        <v/>
      </c>
      <c r="X754" s="40" t="str">
        <f aca="false">IF($B754="","",IF(AND(OR(CETAK!$J$10="",$E754=CETAK!$J$10),OR(CETAK!$J$11="",$F754=CETAK!$J$11),OR(CETAK!$J$12="",$K754=CETAK!$J$12),OR(CETAK!$J$13="",$H754=CETAK!$J$13),OR(CETAK!$J$14="",$O754=CETAK!$J$14)),MAX($X$3:X753)+1,""))</f>
        <v/>
      </c>
      <c r="Y754" s="40" t="str">
        <f aca="false">IF($B754="","",IF(AND(OR(ABSENSI!$H$10="",$E754=ABSENSI!$H$10),OR(ABSENSI!$H$11="",$F754=ABSENSI!$H$11),OR(ABSENSI!$H$12="",$K754=ABSENSI!$H$12)),MAX($Y$3:Y753)+1,""))</f>
        <v/>
      </c>
      <c r="Z754" s="40" t="str">
        <f aca="false">IF($B754="","",IF(AND(OR(KARTU!$K$6="",$E754=KARTU!$K$6),OR(KARTU!$K$7="",$F754=KARTU!$K$7),OR(KARTU!$K$8="",$K754=KARTU!$K$8)),MAX($Z$3:Z753)+1,""))</f>
        <v/>
      </c>
    </row>
    <row r="755" customFormat="false" ht="15" hidden="false" customHeight="false" outlineLevel="0" collapsed="false">
      <c r="A755" s="36" t="str">
        <f aca="false">IF($B755="","",COUNTA($B$4:$B755))</f>
        <v/>
      </c>
      <c r="B755" s="37"/>
      <c r="C755" s="38"/>
      <c r="D755" s="39"/>
      <c r="E755" s="37"/>
      <c r="F755" s="39"/>
      <c r="G755" s="40" t="str">
        <f aca="false">IF(OR($E755="",$F755=""),"",$E755&amp;" - RT "&amp;$F755)</f>
        <v/>
      </c>
      <c r="H755" s="37"/>
      <c r="I755" s="38"/>
      <c r="J755" s="37"/>
      <c r="K755" s="39"/>
      <c r="L755" s="41"/>
      <c r="M755" s="36" t="str">
        <f aca="true">IF(OR($B755="",$L755=""),"",DATEDIF($L755,TODAY(),"Y"))</f>
        <v/>
      </c>
      <c r="N755" s="40" t="str">
        <f aca="false">IF($M755="","",INDEX(usia_label,MATCH($M755,usia_min,1)))</f>
        <v/>
      </c>
      <c r="O755" s="37"/>
      <c r="P755" s="41"/>
      <c r="Q755" s="37"/>
      <c r="R755" s="37"/>
      <c r="S755" s="40" t="str">
        <f aca="false">IF($G755="","",$G755&amp;"#"&amp;COUNTIF($G$4:$G755,$G755))</f>
        <v/>
      </c>
      <c r="T755" s="40" t="str">
        <f aca="false">IF($B755="","",IF($C755="","NIK kosong",IF(LEN($C755)&lt;&gt;16,"NIK bukan 16 digit",IF(COUNTIF($C$4:$C$2003,$C755&amp;"*")&gt;1,"NIK ganda",IF($E755="","Kadus kosong",IF($F755="","RT kosong",IF($H755="","Jabatan kosong",IF($I755="","No. HP kosong",IF($J755="","Alamat kosong",IF(AND($M755&lt;&gt;"",$M755&lt;17),"Usia di bawah 17",""))))))))))</f>
        <v/>
      </c>
      <c r="U755" s="40" t="str">
        <f aca="false">IF($B755="","",IF(AND(OR(CARI!$C$5="",ISNUMBER(SEARCH(CARI!$C$5,$B755&amp;" "&amp;$C755&amp;" "&amp;$I755&amp;" "&amp;$J755&amp;" "&amp;$Q755))),OR(CARI!$C$6="",$E755=CARI!$C$6),OR(CARI!$C$7="",$F755=CARI!$C$7),OR(CARI!$C$8="",$O755=CARI!$C$8)),MAX($U$3:U754)+1,""))</f>
        <v/>
      </c>
      <c r="V755" s="40" t="str">
        <f aca="false">IF($T755="","",MAX($V$3:V754)+1)</f>
        <v/>
      </c>
      <c r="W755" s="40" t="str">
        <f aca="false">IF($E755="","",$E755&amp;"#"&amp;COUNTIF($E$4:$E755,$E755))</f>
        <v/>
      </c>
      <c r="X755" s="40" t="str">
        <f aca="false">IF($B755="","",IF(AND(OR(CETAK!$J$10="",$E755=CETAK!$J$10),OR(CETAK!$J$11="",$F755=CETAK!$J$11),OR(CETAK!$J$12="",$K755=CETAK!$J$12),OR(CETAK!$J$13="",$H755=CETAK!$J$13),OR(CETAK!$J$14="",$O755=CETAK!$J$14)),MAX($X$3:X754)+1,""))</f>
        <v/>
      </c>
      <c r="Y755" s="40" t="str">
        <f aca="false">IF($B755="","",IF(AND(OR(ABSENSI!$H$10="",$E755=ABSENSI!$H$10),OR(ABSENSI!$H$11="",$F755=ABSENSI!$H$11),OR(ABSENSI!$H$12="",$K755=ABSENSI!$H$12)),MAX($Y$3:Y754)+1,""))</f>
        <v/>
      </c>
      <c r="Z755" s="40" t="str">
        <f aca="false">IF($B755="","",IF(AND(OR(KARTU!$K$6="",$E755=KARTU!$K$6),OR(KARTU!$K$7="",$F755=KARTU!$K$7),OR(KARTU!$K$8="",$K755=KARTU!$K$8)),MAX($Z$3:Z754)+1,""))</f>
        <v/>
      </c>
    </row>
    <row r="756" customFormat="false" ht="15" hidden="false" customHeight="false" outlineLevel="0" collapsed="false">
      <c r="A756" s="36" t="str">
        <f aca="false">IF($B756="","",COUNTA($B$4:$B756))</f>
        <v/>
      </c>
      <c r="B756" s="37"/>
      <c r="C756" s="38"/>
      <c r="D756" s="39"/>
      <c r="E756" s="37"/>
      <c r="F756" s="39"/>
      <c r="G756" s="40" t="str">
        <f aca="false">IF(OR($E756="",$F756=""),"",$E756&amp;" - RT "&amp;$F756)</f>
        <v/>
      </c>
      <c r="H756" s="37"/>
      <c r="I756" s="38"/>
      <c r="J756" s="37"/>
      <c r="K756" s="39"/>
      <c r="L756" s="41"/>
      <c r="M756" s="36" t="str">
        <f aca="true">IF(OR($B756="",$L756=""),"",DATEDIF($L756,TODAY(),"Y"))</f>
        <v/>
      </c>
      <c r="N756" s="40" t="str">
        <f aca="false">IF($M756="","",INDEX(usia_label,MATCH($M756,usia_min,1)))</f>
        <v/>
      </c>
      <c r="O756" s="37"/>
      <c r="P756" s="41"/>
      <c r="Q756" s="37"/>
      <c r="R756" s="37"/>
      <c r="S756" s="40" t="str">
        <f aca="false">IF($G756="","",$G756&amp;"#"&amp;COUNTIF($G$4:$G756,$G756))</f>
        <v/>
      </c>
      <c r="T756" s="40" t="str">
        <f aca="false">IF($B756="","",IF($C756="","NIK kosong",IF(LEN($C756)&lt;&gt;16,"NIK bukan 16 digit",IF(COUNTIF($C$4:$C$2003,$C756&amp;"*")&gt;1,"NIK ganda",IF($E756="","Kadus kosong",IF($F756="","RT kosong",IF($H756="","Jabatan kosong",IF($I756="","No. HP kosong",IF($J756="","Alamat kosong",IF(AND($M756&lt;&gt;"",$M756&lt;17),"Usia di bawah 17",""))))))))))</f>
        <v/>
      </c>
      <c r="U756" s="40" t="str">
        <f aca="false">IF($B756="","",IF(AND(OR(CARI!$C$5="",ISNUMBER(SEARCH(CARI!$C$5,$B756&amp;" "&amp;$C756&amp;" "&amp;$I756&amp;" "&amp;$J756&amp;" "&amp;$Q756))),OR(CARI!$C$6="",$E756=CARI!$C$6),OR(CARI!$C$7="",$F756=CARI!$C$7),OR(CARI!$C$8="",$O756=CARI!$C$8)),MAX($U$3:U755)+1,""))</f>
        <v/>
      </c>
      <c r="V756" s="40" t="str">
        <f aca="false">IF($T756="","",MAX($V$3:V755)+1)</f>
        <v/>
      </c>
      <c r="W756" s="40" t="str">
        <f aca="false">IF($E756="","",$E756&amp;"#"&amp;COUNTIF($E$4:$E756,$E756))</f>
        <v/>
      </c>
      <c r="X756" s="40" t="str">
        <f aca="false">IF($B756="","",IF(AND(OR(CETAK!$J$10="",$E756=CETAK!$J$10),OR(CETAK!$J$11="",$F756=CETAK!$J$11),OR(CETAK!$J$12="",$K756=CETAK!$J$12),OR(CETAK!$J$13="",$H756=CETAK!$J$13),OR(CETAK!$J$14="",$O756=CETAK!$J$14)),MAX($X$3:X755)+1,""))</f>
        <v/>
      </c>
      <c r="Y756" s="40" t="str">
        <f aca="false">IF($B756="","",IF(AND(OR(ABSENSI!$H$10="",$E756=ABSENSI!$H$10),OR(ABSENSI!$H$11="",$F756=ABSENSI!$H$11),OR(ABSENSI!$H$12="",$K756=ABSENSI!$H$12)),MAX($Y$3:Y755)+1,""))</f>
        <v/>
      </c>
      <c r="Z756" s="40" t="str">
        <f aca="false">IF($B756="","",IF(AND(OR(KARTU!$K$6="",$E756=KARTU!$K$6),OR(KARTU!$K$7="",$F756=KARTU!$K$7),OR(KARTU!$K$8="",$K756=KARTU!$K$8)),MAX($Z$3:Z755)+1,""))</f>
        <v/>
      </c>
    </row>
    <row r="757" customFormat="false" ht="15" hidden="false" customHeight="false" outlineLevel="0" collapsed="false">
      <c r="A757" s="36" t="str">
        <f aca="false">IF($B757="","",COUNTA($B$4:$B757))</f>
        <v/>
      </c>
      <c r="B757" s="37"/>
      <c r="C757" s="38"/>
      <c r="D757" s="39"/>
      <c r="E757" s="37"/>
      <c r="F757" s="39"/>
      <c r="G757" s="40" t="str">
        <f aca="false">IF(OR($E757="",$F757=""),"",$E757&amp;" - RT "&amp;$F757)</f>
        <v/>
      </c>
      <c r="H757" s="37"/>
      <c r="I757" s="38"/>
      <c r="J757" s="37"/>
      <c r="K757" s="39"/>
      <c r="L757" s="41"/>
      <c r="M757" s="36" t="str">
        <f aca="true">IF(OR($B757="",$L757=""),"",DATEDIF($L757,TODAY(),"Y"))</f>
        <v/>
      </c>
      <c r="N757" s="40" t="str">
        <f aca="false">IF($M757="","",INDEX(usia_label,MATCH($M757,usia_min,1)))</f>
        <v/>
      </c>
      <c r="O757" s="37"/>
      <c r="P757" s="41"/>
      <c r="Q757" s="37"/>
      <c r="R757" s="37"/>
      <c r="S757" s="40" t="str">
        <f aca="false">IF($G757="","",$G757&amp;"#"&amp;COUNTIF($G$4:$G757,$G757))</f>
        <v/>
      </c>
      <c r="T757" s="40" t="str">
        <f aca="false">IF($B757="","",IF($C757="","NIK kosong",IF(LEN($C757)&lt;&gt;16,"NIK bukan 16 digit",IF(COUNTIF($C$4:$C$2003,$C757&amp;"*")&gt;1,"NIK ganda",IF($E757="","Kadus kosong",IF($F757="","RT kosong",IF($H757="","Jabatan kosong",IF($I757="","No. HP kosong",IF($J757="","Alamat kosong",IF(AND($M757&lt;&gt;"",$M757&lt;17),"Usia di bawah 17",""))))))))))</f>
        <v/>
      </c>
      <c r="U757" s="40" t="str">
        <f aca="false">IF($B757="","",IF(AND(OR(CARI!$C$5="",ISNUMBER(SEARCH(CARI!$C$5,$B757&amp;" "&amp;$C757&amp;" "&amp;$I757&amp;" "&amp;$J757&amp;" "&amp;$Q757))),OR(CARI!$C$6="",$E757=CARI!$C$6),OR(CARI!$C$7="",$F757=CARI!$C$7),OR(CARI!$C$8="",$O757=CARI!$C$8)),MAX($U$3:U756)+1,""))</f>
        <v/>
      </c>
      <c r="V757" s="40" t="str">
        <f aca="false">IF($T757="","",MAX($V$3:V756)+1)</f>
        <v/>
      </c>
      <c r="W757" s="40" t="str">
        <f aca="false">IF($E757="","",$E757&amp;"#"&amp;COUNTIF($E$4:$E757,$E757))</f>
        <v/>
      </c>
      <c r="X757" s="40" t="str">
        <f aca="false">IF($B757="","",IF(AND(OR(CETAK!$J$10="",$E757=CETAK!$J$10),OR(CETAK!$J$11="",$F757=CETAK!$J$11),OR(CETAK!$J$12="",$K757=CETAK!$J$12),OR(CETAK!$J$13="",$H757=CETAK!$J$13),OR(CETAK!$J$14="",$O757=CETAK!$J$14)),MAX($X$3:X756)+1,""))</f>
        <v/>
      </c>
      <c r="Y757" s="40" t="str">
        <f aca="false">IF($B757="","",IF(AND(OR(ABSENSI!$H$10="",$E757=ABSENSI!$H$10),OR(ABSENSI!$H$11="",$F757=ABSENSI!$H$11),OR(ABSENSI!$H$12="",$K757=ABSENSI!$H$12)),MAX($Y$3:Y756)+1,""))</f>
        <v/>
      </c>
      <c r="Z757" s="40" t="str">
        <f aca="false">IF($B757="","",IF(AND(OR(KARTU!$K$6="",$E757=KARTU!$K$6),OR(KARTU!$K$7="",$F757=KARTU!$K$7),OR(KARTU!$K$8="",$K757=KARTU!$K$8)),MAX($Z$3:Z756)+1,""))</f>
        <v/>
      </c>
    </row>
    <row r="758" customFormat="false" ht="15" hidden="false" customHeight="false" outlineLevel="0" collapsed="false">
      <c r="A758" s="36" t="str">
        <f aca="false">IF($B758="","",COUNTA($B$4:$B758))</f>
        <v/>
      </c>
      <c r="B758" s="37"/>
      <c r="C758" s="38"/>
      <c r="D758" s="39"/>
      <c r="E758" s="37"/>
      <c r="F758" s="39"/>
      <c r="G758" s="40" t="str">
        <f aca="false">IF(OR($E758="",$F758=""),"",$E758&amp;" - RT "&amp;$F758)</f>
        <v/>
      </c>
      <c r="H758" s="37"/>
      <c r="I758" s="38"/>
      <c r="J758" s="37"/>
      <c r="K758" s="39"/>
      <c r="L758" s="41"/>
      <c r="M758" s="36" t="str">
        <f aca="true">IF(OR($B758="",$L758=""),"",DATEDIF($L758,TODAY(),"Y"))</f>
        <v/>
      </c>
      <c r="N758" s="40" t="str">
        <f aca="false">IF($M758="","",INDEX(usia_label,MATCH($M758,usia_min,1)))</f>
        <v/>
      </c>
      <c r="O758" s="37"/>
      <c r="P758" s="41"/>
      <c r="Q758" s="37"/>
      <c r="R758" s="37"/>
      <c r="S758" s="40" t="str">
        <f aca="false">IF($G758="","",$G758&amp;"#"&amp;COUNTIF($G$4:$G758,$G758))</f>
        <v/>
      </c>
      <c r="T758" s="40" t="str">
        <f aca="false">IF($B758="","",IF($C758="","NIK kosong",IF(LEN($C758)&lt;&gt;16,"NIK bukan 16 digit",IF(COUNTIF($C$4:$C$2003,$C758&amp;"*")&gt;1,"NIK ganda",IF($E758="","Kadus kosong",IF($F758="","RT kosong",IF($H758="","Jabatan kosong",IF($I758="","No. HP kosong",IF($J758="","Alamat kosong",IF(AND($M758&lt;&gt;"",$M758&lt;17),"Usia di bawah 17",""))))))))))</f>
        <v/>
      </c>
      <c r="U758" s="40" t="str">
        <f aca="false">IF($B758="","",IF(AND(OR(CARI!$C$5="",ISNUMBER(SEARCH(CARI!$C$5,$B758&amp;" "&amp;$C758&amp;" "&amp;$I758&amp;" "&amp;$J758&amp;" "&amp;$Q758))),OR(CARI!$C$6="",$E758=CARI!$C$6),OR(CARI!$C$7="",$F758=CARI!$C$7),OR(CARI!$C$8="",$O758=CARI!$C$8)),MAX($U$3:U757)+1,""))</f>
        <v/>
      </c>
      <c r="V758" s="40" t="str">
        <f aca="false">IF($T758="","",MAX($V$3:V757)+1)</f>
        <v/>
      </c>
      <c r="W758" s="40" t="str">
        <f aca="false">IF($E758="","",$E758&amp;"#"&amp;COUNTIF($E$4:$E758,$E758))</f>
        <v/>
      </c>
      <c r="X758" s="40" t="str">
        <f aca="false">IF($B758="","",IF(AND(OR(CETAK!$J$10="",$E758=CETAK!$J$10),OR(CETAK!$J$11="",$F758=CETAK!$J$11),OR(CETAK!$J$12="",$K758=CETAK!$J$12),OR(CETAK!$J$13="",$H758=CETAK!$J$13),OR(CETAK!$J$14="",$O758=CETAK!$J$14)),MAX($X$3:X757)+1,""))</f>
        <v/>
      </c>
      <c r="Y758" s="40" t="str">
        <f aca="false">IF($B758="","",IF(AND(OR(ABSENSI!$H$10="",$E758=ABSENSI!$H$10),OR(ABSENSI!$H$11="",$F758=ABSENSI!$H$11),OR(ABSENSI!$H$12="",$K758=ABSENSI!$H$12)),MAX($Y$3:Y757)+1,""))</f>
        <v/>
      </c>
      <c r="Z758" s="40" t="str">
        <f aca="false">IF($B758="","",IF(AND(OR(KARTU!$K$6="",$E758=KARTU!$K$6),OR(KARTU!$K$7="",$F758=KARTU!$K$7),OR(KARTU!$K$8="",$K758=KARTU!$K$8)),MAX($Z$3:Z757)+1,""))</f>
        <v/>
      </c>
    </row>
    <row r="759" customFormat="false" ht="15" hidden="false" customHeight="false" outlineLevel="0" collapsed="false">
      <c r="A759" s="36" t="str">
        <f aca="false">IF($B759="","",COUNTA($B$4:$B759))</f>
        <v/>
      </c>
      <c r="B759" s="37"/>
      <c r="C759" s="38"/>
      <c r="D759" s="39"/>
      <c r="E759" s="37"/>
      <c r="F759" s="39"/>
      <c r="G759" s="40" t="str">
        <f aca="false">IF(OR($E759="",$F759=""),"",$E759&amp;" - RT "&amp;$F759)</f>
        <v/>
      </c>
      <c r="H759" s="37"/>
      <c r="I759" s="38"/>
      <c r="J759" s="37"/>
      <c r="K759" s="39"/>
      <c r="L759" s="41"/>
      <c r="M759" s="36" t="str">
        <f aca="true">IF(OR($B759="",$L759=""),"",DATEDIF($L759,TODAY(),"Y"))</f>
        <v/>
      </c>
      <c r="N759" s="40" t="str">
        <f aca="false">IF($M759="","",INDEX(usia_label,MATCH($M759,usia_min,1)))</f>
        <v/>
      </c>
      <c r="O759" s="37"/>
      <c r="P759" s="41"/>
      <c r="Q759" s="37"/>
      <c r="R759" s="37"/>
      <c r="S759" s="40" t="str">
        <f aca="false">IF($G759="","",$G759&amp;"#"&amp;COUNTIF($G$4:$G759,$G759))</f>
        <v/>
      </c>
      <c r="T759" s="40" t="str">
        <f aca="false">IF($B759="","",IF($C759="","NIK kosong",IF(LEN($C759)&lt;&gt;16,"NIK bukan 16 digit",IF(COUNTIF($C$4:$C$2003,$C759&amp;"*")&gt;1,"NIK ganda",IF($E759="","Kadus kosong",IF($F759="","RT kosong",IF($H759="","Jabatan kosong",IF($I759="","No. HP kosong",IF($J759="","Alamat kosong",IF(AND($M759&lt;&gt;"",$M759&lt;17),"Usia di bawah 17",""))))))))))</f>
        <v/>
      </c>
      <c r="U759" s="40" t="str">
        <f aca="false">IF($B759="","",IF(AND(OR(CARI!$C$5="",ISNUMBER(SEARCH(CARI!$C$5,$B759&amp;" "&amp;$C759&amp;" "&amp;$I759&amp;" "&amp;$J759&amp;" "&amp;$Q759))),OR(CARI!$C$6="",$E759=CARI!$C$6),OR(CARI!$C$7="",$F759=CARI!$C$7),OR(CARI!$C$8="",$O759=CARI!$C$8)),MAX($U$3:U758)+1,""))</f>
        <v/>
      </c>
      <c r="V759" s="40" t="str">
        <f aca="false">IF($T759="","",MAX($V$3:V758)+1)</f>
        <v/>
      </c>
      <c r="W759" s="40" t="str">
        <f aca="false">IF($E759="","",$E759&amp;"#"&amp;COUNTIF($E$4:$E759,$E759))</f>
        <v/>
      </c>
      <c r="X759" s="40" t="str">
        <f aca="false">IF($B759="","",IF(AND(OR(CETAK!$J$10="",$E759=CETAK!$J$10),OR(CETAK!$J$11="",$F759=CETAK!$J$11),OR(CETAK!$J$12="",$K759=CETAK!$J$12),OR(CETAK!$J$13="",$H759=CETAK!$J$13),OR(CETAK!$J$14="",$O759=CETAK!$J$14)),MAX($X$3:X758)+1,""))</f>
        <v/>
      </c>
      <c r="Y759" s="40" t="str">
        <f aca="false">IF($B759="","",IF(AND(OR(ABSENSI!$H$10="",$E759=ABSENSI!$H$10),OR(ABSENSI!$H$11="",$F759=ABSENSI!$H$11),OR(ABSENSI!$H$12="",$K759=ABSENSI!$H$12)),MAX($Y$3:Y758)+1,""))</f>
        <v/>
      </c>
      <c r="Z759" s="40" t="str">
        <f aca="false">IF($B759="","",IF(AND(OR(KARTU!$K$6="",$E759=KARTU!$K$6),OR(KARTU!$K$7="",$F759=KARTU!$K$7),OR(KARTU!$K$8="",$K759=KARTU!$K$8)),MAX($Z$3:Z758)+1,""))</f>
        <v/>
      </c>
    </row>
    <row r="760" customFormat="false" ht="15" hidden="false" customHeight="false" outlineLevel="0" collapsed="false">
      <c r="A760" s="36" t="str">
        <f aca="false">IF($B760="","",COUNTA($B$4:$B760))</f>
        <v/>
      </c>
      <c r="B760" s="37"/>
      <c r="C760" s="38"/>
      <c r="D760" s="39"/>
      <c r="E760" s="37"/>
      <c r="F760" s="39"/>
      <c r="G760" s="40" t="str">
        <f aca="false">IF(OR($E760="",$F760=""),"",$E760&amp;" - RT "&amp;$F760)</f>
        <v/>
      </c>
      <c r="H760" s="37"/>
      <c r="I760" s="38"/>
      <c r="J760" s="37"/>
      <c r="K760" s="39"/>
      <c r="L760" s="41"/>
      <c r="M760" s="36" t="str">
        <f aca="true">IF(OR($B760="",$L760=""),"",DATEDIF($L760,TODAY(),"Y"))</f>
        <v/>
      </c>
      <c r="N760" s="40" t="str">
        <f aca="false">IF($M760="","",INDEX(usia_label,MATCH($M760,usia_min,1)))</f>
        <v/>
      </c>
      <c r="O760" s="37"/>
      <c r="P760" s="41"/>
      <c r="Q760" s="37"/>
      <c r="R760" s="37"/>
      <c r="S760" s="40" t="str">
        <f aca="false">IF($G760="","",$G760&amp;"#"&amp;COUNTIF($G$4:$G760,$G760))</f>
        <v/>
      </c>
      <c r="T760" s="40" t="str">
        <f aca="false">IF($B760="","",IF($C760="","NIK kosong",IF(LEN($C760)&lt;&gt;16,"NIK bukan 16 digit",IF(COUNTIF($C$4:$C$2003,$C760&amp;"*")&gt;1,"NIK ganda",IF($E760="","Kadus kosong",IF($F760="","RT kosong",IF($H760="","Jabatan kosong",IF($I760="","No. HP kosong",IF($J760="","Alamat kosong",IF(AND($M760&lt;&gt;"",$M760&lt;17),"Usia di bawah 17",""))))))))))</f>
        <v/>
      </c>
      <c r="U760" s="40" t="str">
        <f aca="false">IF($B760="","",IF(AND(OR(CARI!$C$5="",ISNUMBER(SEARCH(CARI!$C$5,$B760&amp;" "&amp;$C760&amp;" "&amp;$I760&amp;" "&amp;$J760&amp;" "&amp;$Q760))),OR(CARI!$C$6="",$E760=CARI!$C$6),OR(CARI!$C$7="",$F760=CARI!$C$7),OR(CARI!$C$8="",$O760=CARI!$C$8)),MAX($U$3:U759)+1,""))</f>
        <v/>
      </c>
      <c r="V760" s="40" t="str">
        <f aca="false">IF($T760="","",MAX($V$3:V759)+1)</f>
        <v/>
      </c>
      <c r="W760" s="40" t="str">
        <f aca="false">IF($E760="","",$E760&amp;"#"&amp;COUNTIF($E$4:$E760,$E760))</f>
        <v/>
      </c>
      <c r="X760" s="40" t="str">
        <f aca="false">IF($B760="","",IF(AND(OR(CETAK!$J$10="",$E760=CETAK!$J$10),OR(CETAK!$J$11="",$F760=CETAK!$J$11),OR(CETAK!$J$12="",$K760=CETAK!$J$12),OR(CETAK!$J$13="",$H760=CETAK!$J$13),OR(CETAK!$J$14="",$O760=CETAK!$J$14)),MAX($X$3:X759)+1,""))</f>
        <v/>
      </c>
      <c r="Y760" s="40" t="str">
        <f aca="false">IF($B760="","",IF(AND(OR(ABSENSI!$H$10="",$E760=ABSENSI!$H$10),OR(ABSENSI!$H$11="",$F760=ABSENSI!$H$11),OR(ABSENSI!$H$12="",$K760=ABSENSI!$H$12)),MAX($Y$3:Y759)+1,""))</f>
        <v/>
      </c>
      <c r="Z760" s="40" t="str">
        <f aca="false">IF($B760="","",IF(AND(OR(KARTU!$K$6="",$E760=KARTU!$K$6),OR(KARTU!$K$7="",$F760=KARTU!$K$7),OR(KARTU!$K$8="",$K760=KARTU!$K$8)),MAX($Z$3:Z759)+1,""))</f>
        <v/>
      </c>
    </row>
    <row r="761" customFormat="false" ht="15" hidden="false" customHeight="false" outlineLevel="0" collapsed="false">
      <c r="A761" s="36" t="str">
        <f aca="false">IF($B761="","",COUNTA($B$4:$B761))</f>
        <v/>
      </c>
      <c r="B761" s="37"/>
      <c r="C761" s="38"/>
      <c r="D761" s="39"/>
      <c r="E761" s="37"/>
      <c r="F761" s="39"/>
      <c r="G761" s="40" t="str">
        <f aca="false">IF(OR($E761="",$F761=""),"",$E761&amp;" - RT "&amp;$F761)</f>
        <v/>
      </c>
      <c r="H761" s="37"/>
      <c r="I761" s="38"/>
      <c r="J761" s="37"/>
      <c r="K761" s="39"/>
      <c r="L761" s="41"/>
      <c r="M761" s="36" t="str">
        <f aca="true">IF(OR($B761="",$L761=""),"",DATEDIF($L761,TODAY(),"Y"))</f>
        <v/>
      </c>
      <c r="N761" s="40" t="str">
        <f aca="false">IF($M761="","",INDEX(usia_label,MATCH($M761,usia_min,1)))</f>
        <v/>
      </c>
      <c r="O761" s="37"/>
      <c r="P761" s="41"/>
      <c r="Q761" s="37"/>
      <c r="R761" s="37"/>
      <c r="S761" s="40" t="str">
        <f aca="false">IF($G761="","",$G761&amp;"#"&amp;COUNTIF($G$4:$G761,$G761))</f>
        <v/>
      </c>
      <c r="T761" s="40" t="str">
        <f aca="false">IF($B761="","",IF($C761="","NIK kosong",IF(LEN($C761)&lt;&gt;16,"NIK bukan 16 digit",IF(COUNTIF($C$4:$C$2003,$C761&amp;"*")&gt;1,"NIK ganda",IF($E761="","Kadus kosong",IF($F761="","RT kosong",IF($H761="","Jabatan kosong",IF($I761="","No. HP kosong",IF($J761="","Alamat kosong",IF(AND($M761&lt;&gt;"",$M761&lt;17),"Usia di bawah 17",""))))))))))</f>
        <v/>
      </c>
      <c r="U761" s="40" t="str">
        <f aca="false">IF($B761="","",IF(AND(OR(CARI!$C$5="",ISNUMBER(SEARCH(CARI!$C$5,$B761&amp;" "&amp;$C761&amp;" "&amp;$I761&amp;" "&amp;$J761&amp;" "&amp;$Q761))),OR(CARI!$C$6="",$E761=CARI!$C$6),OR(CARI!$C$7="",$F761=CARI!$C$7),OR(CARI!$C$8="",$O761=CARI!$C$8)),MAX($U$3:U760)+1,""))</f>
        <v/>
      </c>
      <c r="V761" s="40" t="str">
        <f aca="false">IF($T761="","",MAX($V$3:V760)+1)</f>
        <v/>
      </c>
      <c r="W761" s="40" t="str">
        <f aca="false">IF($E761="","",$E761&amp;"#"&amp;COUNTIF($E$4:$E761,$E761))</f>
        <v/>
      </c>
      <c r="X761" s="40" t="str">
        <f aca="false">IF($B761="","",IF(AND(OR(CETAK!$J$10="",$E761=CETAK!$J$10),OR(CETAK!$J$11="",$F761=CETAK!$J$11),OR(CETAK!$J$12="",$K761=CETAK!$J$12),OR(CETAK!$J$13="",$H761=CETAK!$J$13),OR(CETAK!$J$14="",$O761=CETAK!$J$14)),MAX($X$3:X760)+1,""))</f>
        <v/>
      </c>
      <c r="Y761" s="40" t="str">
        <f aca="false">IF($B761="","",IF(AND(OR(ABSENSI!$H$10="",$E761=ABSENSI!$H$10),OR(ABSENSI!$H$11="",$F761=ABSENSI!$H$11),OR(ABSENSI!$H$12="",$K761=ABSENSI!$H$12)),MAX($Y$3:Y760)+1,""))</f>
        <v/>
      </c>
      <c r="Z761" s="40" t="str">
        <f aca="false">IF($B761="","",IF(AND(OR(KARTU!$K$6="",$E761=KARTU!$K$6),OR(KARTU!$K$7="",$F761=KARTU!$K$7),OR(KARTU!$K$8="",$K761=KARTU!$K$8)),MAX($Z$3:Z760)+1,""))</f>
        <v/>
      </c>
    </row>
    <row r="762" customFormat="false" ht="15" hidden="false" customHeight="false" outlineLevel="0" collapsed="false">
      <c r="A762" s="36" t="str">
        <f aca="false">IF($B762="","",COUNTA($B$4:$B762))</f>
        <v/>
      </c>
      <c r="B762" s="37"/>
      <c r="C762" s="38"/>
      <c r="D762" s="39"/>
      <c r="E762" s="37"/>
      <c r="F762" s="39"/>
      <c r="G762" s="40" t="str">
        <f aca="false">IF(OR($E762="",$F762=""),"",$E762&amp;" - RT "&amp;$F762)</f>
        <v/>
      </c>
      <c r="H762" s="37"/>
      <c r="I762" s="38"/>
      <c r="J762" s="37"/>
      <c r="K762" s="39"/>
      <c r="L762" s="41"/>
      <c r="M762" s="36" t="str">
        <f aca="true">IF(OR($B762="",$L762=""),"",DATEDIF($L762,TODAY(),"Y"))</f>
        <v/>
      </c>
      <c r="N762" s="40" t="str">
        <f aca="false">IF($M762="","",INDEX(usia_label,MATCH($M762,usia_min,1)))</f>
        <v/>
      </c>
      <c r="O762" s="37"/>
      <c r="P762" s="41"/>
      <c r="Q762" s="37"/>
      <c r="R762" s="37"/>
      <c r="S762" s="40" t="str">
        <f aca="false">IF($G762="","",$G762&amp;"#"&amp;COUNTIF($G$4:$G762,$G762))</f>
        <v/>
      </c>
      <c r="T762" s="40" t="str">
        <f aca="false">IF($B762="","",IF($C762="","NIK kosong",IF(LEN($C762)&lt;&gt;16,"NIK bukan 16 digit",IF(COUNTIF($C$4:$C$2003,$C762&amp;"*")&gt;1,"NIK ganda",IF($E762="","Kadus kosong",IF($F762="","RT kosong",IF($H762="","Jabatan kosong",IF($I762="","No. HP kosong",IF($J762="","Alamat kosong",IF(AND($M762&lt;&gt;"",$M762&lt;17),"Usia di bawah 17",""))))))))))</f>
        <v/>
      </c>
      <c r="U762" s="40" t="str">
        <f aca="false">IF($B762="","",IF(AND(OR(CARI!$C$5="",ISNUMBER(SEARCH(CARI!$C$5,$B762&amp;" "&amp;$C762&amp;" "&amp;$I762&amp;" "&amp;$J762&amp;" "&amp;$Q762))),OR(CARI!$C$6="",$E762=CARI!$C$6),OR(CARI!$C$7="",$F762=CARI!$C$7),OR(CARI!$C$8="",$O762=CARI!$C$8)),MAX($U$3:U761)+1,""))</f>
        <v/>
      </c>
      <c r="V762" s="40" t="str">
        <f aca="false">IF($T762="","",MAX($V$3:V761)+1)</f>
        <v/>
      </c>
      <c r="W762" s="40" t="str">
        <f aca="false">IF($E762="","",$E762&amp;"#"&amp;COUNTIF($E$4:$E762,$E762))</f>
        <v/>
      </c>
      <c r="X762" s="40" t="str">
        <f aca="false">IF($B762="","",IF(AND(OR(CETAK!$J$10="",$E762=CETAK!$J$10),OR(CETAK!$J$11="",$F762=CETAK!$J$11),OR(CETAK!$J$12="",$K762=CETAK!$J$12),OR(CETAK!$J$13="",$H762=CETAK!$J$13),OR(CETAK!$J$14="",$O762=CETAK!$J$14)),MAX($X$3:X761)+1,""))</f>
        <v/>
      </c>
      <c r="Y762" s="40" t="str">
        <f aca="false">IF($B762="","",IF(AND(OR(ABSENSI!$H$10="",$E762=ABSENSI!$H$10),OR(ABSENSI!$H$11="",$F762=ABSENSI!$H$11),OR(ABSENSI!$H$12="",$K762=ABSENSI!$H$12)),MAX($Y$3:Y761)+1,""))</f>
        <v/>
      </c>
      <c r="Z762" s="40" t="str">
        <f aca="false">IF($B762="","",IF(AND(OR(KARTU!$K$6="",$E762=KARTU!$K$6),OR(KARTU!$K$7="",$F762=KARTU!$K$7),OR(KARTU!$K$8="",$K762=KARTU!$K$8)),MAX($Z$3:Z761)+1,""))</f>
        <v/>
      </c>
    </row>
    <row r="763" customFormat="false" ht="15" hidden="false" customHeight="false" outlineLevel="0" collapsed="false">
      <c r="A763" s="36" t="str">
        <f aca="false">IF($B763="","",COUNTA($B$4:$B763))</f>
        <v/>
      </c>
      <c r="B763" s="37"/>
      <c r="C763" s="38"/>
      <c r="D763" s="39"/>
      <c r="E763" s="37"/>
      <c r="F763" s="39"/>
      <c r="G763" s="40" t="str">
        <f aca="false">IF(OR($E763="",$F763=""),"",$E763&amp;" - RT "&amp;$F763)</f>
        <v/>
      </c>
      <c r="H763" s="37"/>
      <c r="I763" s="38"/>
      <c r="J763" s="37"/>
      <c r="K763" s="39"/>
      <c r="L763" s="41"/>
      <c r="M763" s="36" t="str">
        <f aca="true">IF(OR($B763="",$L763=""),"",DATEDIF($L763,TODAY(),"Y"))</f>
        <v/>
      </c>
      <c r="N763" s="40" t="str">
        <f aca="false">IF($M763="","",INDEX(usia_label,MATCH($M763,usia_min,1)))</f>
        <v/>
      </c>
      <c r="O763" s="37"/>
      <c r="P763" s="41"/>
      <c r="Q763" s="37"/>
      <c r="R763" s="37"/>
      <c r="S763" s="40" t="str">
        <f aca="false">IF($G763="","",$G763&amp;"#"&amp;COUNTIF($G$4:$G763,$G763))</f>
        <v/>
      </c>
      <c r="T763" s="40" t="str">
        <f aca="false">IF($B763="","",IF($C763="","NIK kosong",IF(LEN($C763)&lt;&gt;16,"NIK bukan 16 digit",IF(COUNTIF($C$4:$C$2003,$C763&amp;"*")&gt;1,"NIK ganda",IF($E763="","Kadus kosong",IF($F763="","RT kosong",IF($H763="","Jabatan kosong",IF($I763="","No. HP kosong",IF($J763="","Alamat kosong",IF(AND($M763&lt;&gt;"",$M763&lt;17),"Usia di bawah 17",""))))))))))</f>
        <v/>
      </c>
      <c r="U763" s="40" t="str">
        <f aca="false">IF($B763="","",IF(AND(OR(CARI!$C$5="",ISNUMBER(SEARCH(CARI!$C$5,$B763&amp;" "&amp;$C763&amp;" "&amp;$I763&amp;" "&amp;$J763&amp;" "&amp;$Q763))),OR(CARI!$C$6="",$E763=CARI!$C$6),OR(CARI!$C$7="",$F763=CARI!$C$7),OR(CARI!$C$8="",$O763=CARI!$C$8)),MAX($U$3:U762)+1,""))</f>
        <v/>
      </c>
      <c r="V763" s="40" t="str">
        <f aca="false">IF($T763="","",MAX($V$3:V762)+1)</f>
        <v/>
      </c>
      <c r="W763" s="40" t="str">
        <f aca="false">IF($E763="","",$E763&amp;"#"&amp;COUNTIF($E$4:$E763,$E763))</f>
        <v/>
      </c>
      <c r="X763" s="40" t="str">
        <f aca="false">IF($B763="","",IF(AND(OR(CETAK!$J$10="",$E763=CETAK!$J$10),OR(CETAK!$J$11="",$F763=CETAK!$J$11),OR(CETAK!$J$12="",$K763=CETAK!$J$12),OR(CETAK!$J$13="",$H763=CETAK!$J$13),OR(CETAK!$J$14="",$O763=CETAK!$J$14)),MAX($X$3:X762)+1,""))</f>
        <v/>
      </c>
      <c r="Y763" s="40" t="str">
        <f aca="false">IF($B763="","",IF(AND(OR(ABSENSI!$H$10="",$E763=ABSENSI!$H$10),OR(ABSENSI!$H$11="",$F763=ABSENSI!$H$11),OR(ABSENSI!$H$12="",$K763=ABSENSI!$H$12)),MAX($Y$3:Y762)+1,""))</f>
        <v/>
      </c>
      <c r="Z763" s="40" t="str">
        <f aca="false">IF($B763="","",IF(AND(OR(KARTU!$K$6="",$E763=KARTU!$K$6),OR(KARTU!$K$7="",$F763=KARTU!$K$7),OR(KARTU!$K$8="",$K763=KARTU!$K$8)),MAX($Z$3:Z762)+1,""))</f>
        <v/>
      </c>
    </row>
    <row r="764" customFormat="false" ht="15" hidden="false" customHeight="false" outlineLevel="0" collapsed="false">
      <c r="A764" s="36" t="str">
        <f aca="false">IF($B764="","",COUNTA($B$4:$B764))</f>
        <v/>
      </c>
      <c r="B764" s="37"/>
      <c r="C764" s="38"/>
      <c r="D764" s="39"/>
      <c r="E764" s="37"/>
      <c r="F764" s="39"/>
      <c r="G764" s="40" t="str">
        <f aca="false">IF(OR($E764="",$F764=""),"",$E764&amp;" - RT "&amp;$F764)</f>
        <v/>
      </c>
      <c r="H764" s="37"/>
      <c r="I764" s="38"/>
      <c r="J764" s="37"/>
      <c r="K764" s="39"/>
      <c r="L764" s="41"/>
      <c r="M764" s="36" t="str">
        <f aca="true">IF(OR($B764="",$L764=""),"",DATEDIF($L764,TODAY(),"Y"))</f>
        <v/>
      </c>
      <c r="N764" s="40" t="str">
        <f aca="false">IF($M764="","",INDEX(usia_label,MATCH($M764,usia_min,1)))</f>
        <v/>
      </c>
      <c r="O764" s="37"/>
      <c r="P764" s="41"/>
      <c r="Q764" s="37"/>
      <c r="R764" s="37"/>
      <c r="S764" s="40" t="str">
        <f aca="false">IF($G764="","",$G764&amp;"#"&amp;COUNTIF($G$4:$G764,$G764))</f>
        <v/>
      </c>
      <c r="T764" s="40" t="str">
        <f aca="false">IF($B764="","",IF($C764="","NIK kosong",IF(LEN($C764)&lt;&gt;16,"NIK bukan 16 digit",IF(COUNTIF($C$4:$C$2003,$C764&amp;"*")&gt;1,"NIK ganda",IF($E764="","Kadus kosong",IF($F764="","RT kosong",IF($H764="","Jabatan kosong",IF($I764="","No. HP kosong",IF($J764="","Alamat kosong",IF(AND($M764&lt;&gt;"",$M764&lt;17),"Usia di bawah 17",""))))))))))</f>
        <v/>
      </c>
      <c r="U764" s="40" t="str">
        <f aca="false">IF($B764="","",IF(AND(OR(CARI!$C$5="",ISNUMBER(SEARCH(CARI!$C$5,$B764&amp;" "&amp;$C764&amp;" "&amp;$I764&amp;" "&amp;$J764&amp;" "&amp;$Q764))),OR(CARI!$C$6="",$E764=CARI!$C$6),OR(CARI!$C$7="",$F764=CARI!$C$7),OR(CARI!$C$8="",$O764=CARI!$C$8)),MAX($U$3:U763)+1,""))</f>
        <v/>
      </c>
      <c r="V764" s="40" t="str">
        <f aca="false">IF($T764="","",MAX($V$3:V763)+1)</f>
        <v/>
      </c>
      <c r="W764" s="40" t="str">
        <f aca="false">IF($E764="","",$E764&amp;"#"&amp;COUNTIF($E$4:$E764,$E764))</f>
        <v/>
      </c>
      <c r="X764" s="40" t="str">
        <f aca="false">IF($B764="","",IF(AND(OR(CETAK!$J$10="",$E764=CETAK!$J$10),OR(CETAK!$J$11="",$F764=CETAK!$J$11),OR(CETAK!$J$12="",$K764=CETAK!$J$12),OR(CETAK!$J$13="",$H764=CETAK!$J$13),OR(CETAK!$J$14="",$O764=CETAK!$J$14)),MAX($X$3:X763)+1,""))</f>
        <v/>
      </c>
      <c r="Y764" s="40" t="str">
        <f aca="false">IF($B764="","",IF(AND(OR(ABSENSI!$H$10="",$E764=ABSENSI!$H$10),OR(ABSENSI!$H$11="",$F764=ABSENSI!$H$11),OR(ABSENSI!$H$12="",$K764=ABSENSI!$H$12)),MAX($Y$3:Y763)+1,""))</f>
        <v/>
      </c>
      <c r="Z764" s="40" t="str">
        <f aca="false">IF($B764="","",IF(AND(OR(KARTU!$K$6="",$E764=KARTU!$K$6),OR(KARTU!$K$7="",$F764=KARTU!$K$7),OR(KARTU!$K$8="",$K764=KARTU!$K$8)),MAX($Z$3:Z763)+1,""))</f>
        <v/>
      </c>
    </row>
    <row r="765" customFormat="false" ht="15" hidden="false" customHeight="false" outlineLevel="0" collapsed="false">
      <c r="A765" s="36" t="str">
        <f aca="false">IF($B765="","",COUNTA($B$4:$B765))</f>
        <v/>
      </c>
      <c r="B765" s="37"/>
      <c r="C765" s="38"/>
      <c r="D765" s="39"/>
      <c r="E765" s="37"/>
      <c r="F765" s="39"/>
      <c r="G765" s="40" t="str">
        <f aca="false">IF(OR($E765="",$F765=""),"",$E765&amp;" - RT "&amp;$F765)</f>
        <v/>
      </c>
      <c r="H765" s="37"/>
      <c r="I765" s="38"/>
      <c r="J765" s="37"/>
      <c r="K765" s="39"/>
      <c r="L765" s="41"/>
      <c r="M765" s="36" t="str">
        <f aca="true">IF(OR($B765="",$L765=""),"",DATEDIF($L765,TODAY(),"Y"))</f>
        <v/>
      </c>
      <c r="N765" s="40" t="str">
        <f aca="false">IF($M765="","",INDEX(usia_label,MATCH($M765,usia_min,1)))</f>
        <v/>
      </c>
      <c r="O765" s="37"/>
      <c r="P765" s="41"/>
      <c r="Q765" s="37"/>
      <c r="R765" s="37"/>
      <c r="S765" s="40" t="str">
        <f aca="false">IF($G765="","",$G765&amp;"#"&amp;COUNTIF($G$4:$G765,$G765))</f>
        <v/>
      </c>
      <c r="T765" s="40" t="str">
        <f aca="false">IF($B765="","",IF($C765="","NIK kosong",IF(LEN($C765)&lt;&gt;16,"NIK bukan 16 digit",IF(COUNTIF($C$4:$C$2003,$C765&amp;"*")&gt;1,"NIK ganda",IF($E765="","Kadus kosong",IF($F765="","RT kosong",IF($H765="","Jabatan kosong",IF($I765="","No. HP kosong",IF($J765="","Alamat kosong",IF(AND($M765&lt;&gt;"",$M765&lt;17),"Usia di bawah 17",""))))))))))</f>
        <v/>
      </c>
      <c r="U765" s="40" t="str">
        <f aca="false">IF($B765="","",IF(AND(OR(CARI!$C$5="",ISNUMBER(SEARCH(CARI!$C$5,$B765&amp;" "&amp;$C765&amp;" "&amp;$I765&amp;" "&amp;$J765&amp;" "&amp;$Q765))),OR(CARI!$C$6="",$E765=CARI!$C$6),OR(CARI!$C$7="",$F765=CARI!$C$7),OR(CARI!$C$8="",$O765=CARI!$C$8)),MAX($U$3:U764)+1,""))</f>
        <v/>
      </c>
      <c r="V765" s="40" t="str">
        <f aca="false">IF($T765="","",MAX($V$3:V764)+1)</f>
        <v/>
      </c>
      <c r="W765" s="40" t="str">
        <f aca="false">IF($E765="","",$E765&amp;"#"&amp;COUNTIF($E$4:$E765,$E765))</f>
        <v/>
      </c>
      <c r="X765" s="40" t="str">
        <f aca="false">IF($B765="","",IF(AND(OR(CETAK!$J$10="",$E765=CETAK!$J$10),OR(CETAK!$J$11="",$F765=CETAK!$J$11),OR(CETAK!$J$12="",$K765=CETAK!$J$12),OR(CETAK!$J$13="",$H765=CETAK!$J$13),OR(CETAK!$J$14="",$O765=CETAK!$J$14)),MAX($X$3:X764)+1,""))</f>
        <v/>
      </c>
      <c r="Y765" s="40" t="str">
        <f aca="false">IF($B765="","",IF(AND(OR(ABSENSI!$H$10="",$E765=ABSENSI!$H$10),OR(ABSENSI!$H$11="",$F765=ABSENSI!$H$11),OR(ABSENSI!$H$12="",$K765=ABSENSI!$H$12)),MAX($Y$3:Y764)+1,""))</f>
        <v/>
      </c>
      <c r="Z765" s="40" t="str">
        <f aca="false">IF($B765="","",IF(AND(OR(KARTU!$K$6="",$E765=KARTU!$K$6),OR(KARTU!$K$7="",$F765=KARTU!$K$7),OR(KARTU!$K$8="",$K765=KARTU!$K$8)),MAX($Z$3:Z764)+1,""))</f>
        <v/>
      </c>
    </row>
    <row r="766" customFormat="false" ht="15" hidden="false" customHeight="false" outlineLevel="0" collapsed="false">
      <c r="A766" s="36" t="str">
        <f aca="false">IF($B766="","",COUNTA($B$4:$B766))</f>
        <v/>
      </c>
      <c r="B766" s="37"/>
      <c r="C766" s="38"/>
      <c r="D766" s="39"/>
      <c r="E766" s="37"/>
      <c r="F766" s="39"/>
      <c r="G766" s="40" t="str">
        <f aca="false">IF(OR($E766="",$F766=""),"",$E766&amp;" - RT "&amp;$F766)</f>
        <v/>
      </c>
      <c r="H766" s="37"/>
      <c r="I766" s="38"/>
      <c r="J766" s="37"/>
      <c r="K766" s="39"/>
      <c r="L766" s="41"/>
      <c r="M766" s="36" t="str">
        <f aca="true">IF(OR($B766="",$L766=""),"",DATEDIF($L766,TODAY(),"Y"))</f>
        <v/>
      </c>
      <c r="N766" s="40" t="str">
        <f aca="false">IF($M766="","",INDEX(usia_label,MATCH($M766,usia_min,1)))</f>
        <v/>
      </c>
      <c r="O766" s="37"/>
      <c r="P766" s="41"/>
      <c r="Q766" s="37"/>
      <c r="R766" s="37"/>
      <c r="S766" s="40" t="str">
        <f aca="false">IF($G766="","",$G766&amp;"#"&amp;COUNTIF($G$4:$G766,$G766))</f>
        <v/>
      </c>
      <c r="T766" s="40" t="str">
        <f aca="false">IF($B766="","",IF($C766="","NIK kosong",IF(LEN($C766)&lt;&gt;16,"NIK bukan 16 digit",IF(COUNTIF($C$4:$C$2003,$C766&amp;"*")&gt;1,"NIK ganda",IF($E766="","Kadus kosong",IF($F766="","RT kosong",IF($H766="","Jabatan kosong",IF($I766="","No. HP kosong",IF($J766="","Alamat kosong",IF(AND($M766&lt;&gt;"",$M766&lt;17),"Usia di bawah 17",""))))))))))</f>
        <v/>
      </c>
      <c r="U766" s="40" t="str">
        <f aca="false">IF($B766="","",IF(AND(OR(CARI!$C$5="",ISNUMBER(SEARCH(CARI!$C$5,$B766&amp;" "&amp;$C766&amp;" "&amp;$I766&amp;" "&amp;$J766&amp;" "&amp;$Q766))),OR(CARI!$C$6="",$E766=CARI!$C$6),OR(CARI!$C$7="",$F766=CARI!$C$7),OR(CARI!$C$8="",$O766=CARI!$C$8)),MAX($U$3:U765)+1,""))</f>
        <v/>
      </c>
      <c r="V766" s="40" t="str">
        <f aca="false">IF($T766="","",MAX($V$3:V765)+1)</f>
        <v/>
      </c>
      <c r="W766" s="40" t="str">
        <f aca="false">IF($E766="","",$E766&amp;"#"&amp;COUNTIF($E$4:$E766,$E766))</f>
        <v/>
      </c>
      <c r="X766" s="40" t="str">
        <f aca="false">IF($B766="","",IF(AND(OR(CETAK!$J$10="",$E766=CETAK!$J$10),OR(CETAK!$J$11="",$F766=CETAK!$J$11),OR(CETAK!$J$12="",$K766=CETAK!$J$12),OR(CETAK!$J$13="",$H766=CETAK!$J$13),OR(CETAK!$J$14="",$O766=CETAK!$J$14)),MAX($X$3:X765)+1,""))</f>
        <v/>
      </c>
      <c r="Y766" s="40" t="str">
        <f aca="false">IF($B766="","",IF(AND(OR(ABSENSI!$H$10="",$E766=ABSENSI!$H$10),OR(ABSENSI!$H$11="",$F766=ABSENSI!$H$11),OR(ABSENSI!$H$12="",$K766=ABSENSI!$H$12)),MAX($Y$3:Y765)+1,""))</f>
        <v/>
      </c>
      <c r="Z766" s="40" t="str">
        <f aca="false">IF($B766="","",IF(AND(OR(KARTU!$K$6="",$E766=KARTU!$K$6),OR(KARTU!$K$7="",$F766=KARTU!$K$7),OR(KARTU!$K$8="",$K766=KARTU!$K$8)),MAX($Z$3:Z765)+1,""))</f>
        <v/>
      </c>
    </row>
    <row r="767" customFormat="false" ht="15" hidden="false" customHeight="false" outlineLevel="0" collapsed="false">
      <c r="A767" s="36" t="str">
        <f aca="false">IF($B767="","",COUNTA($B$4:$B767))</f>
        <v/>
      </c>
      <c r="B767" s="37"/>
      <c r="C767" s="38"/>
      <c r="D767" s="39"/>
      <c r="E767" s="37"/>
      <c r="F767" s="39"/>
      <c r="G767" s="40" t="str">
        <f aca="false">IF(OR($E767="",$F767=""),"",$E767&amp;" - RT "&amp;$F767)</f>
        <v/>
      </c>
      <c r="H767" s="37"/>
      <c r="I767" s="38"/>
      <c r="J767" s="37"/>
      <c r="K767" s="39"/>
      <c r="L767" s="41"/>
      <c r="M767" s="36" t="str">
        <f aca="true">IF(OR($B767="",$L767=""),"",DATEDIF($L767,TODAY(),"Y"))</f>
        <v/>
      </c>
      <c r="N767" s="40" t="str">
        <f aca="false">IF($M767="","",INDEX(usia_label,MATCH($M767,usia_min,1)))</f>
        <v/>
      </c>
      <c r="O767" s="37"/>
      <c r="P767" s="41"/>
      <c r="Q767" s="37"/>
      <c r="R767" s="37"/>
      <c r="S767" s="40" t="str">
        <f aca="false">IF($G767="","",$G767&amp;"#"&amp;COUNTIF($G$4:$G767,$G767))</f>
        <v/>
      </c>
      <c r="T767" s="40" t="str">
        <f aca="false">IF($B767="","",IF($C767="","NIK kosong",IF(LEN($C767)&lt;&gt;16,"NIK bukan 16 digit",IF(COUNTIF($C$4:$C$2003,$C767&amp;"*")&gt;1,"NIK ganda",IF($E767="","Kadus kosong",IF($F767="","RT kosong",IF($H767="","Jabatan kosong",IF($I767="","No. HP kosong",IF($J767="","Alamat kosong",IF(AND($M767&lt;&gt;"",$M767&lt;17),"Usia di bawah 17",""))))))))))</f>
        <v/>
      </c>
      <c r="U767" s="40" t="str">
        <f aca="false">IF($B767="","",IF(AND(OR(CARI!$C$5="",ISNUMBER(SEARCH(CARI!$C$5,$B767&amp;" "&amp;$C767&amp;" "&amp;$I767&amp;" "&amp;$J767&amp;" "&amp;$Q767))),OR(CARI!$C$6="",$E767=CARI!$C$6),OR(CARI!$C$7="",$F767=CARI!$C$7),OR(CARI!$C$8="",$O767=CARI!$C$8)),MAX($U$3:U766)+1,""))</f>
        <v/>
      </c>
      <c r="V767" s="40" t="str">
        <f aca="false">IF($T767="","",MAX($V$3:V766)+1)</f>
        <v/>
      </c>
      <c r="W767" s="40" t="str">
        <f aca="false">IF($E767="","",$E767&amp;"#"&amp;COUNTIF($E$4:$E767,$E767))</f>
        <v/>
      </c>
      <c r="X767" s="40" t="str">
        <f aca="false">IF($B767="","",IF(AND(OR(CETAK!$J$10="",$E767=CETAK!$J$10),OR(CETAK!$J$11="",$F767=CETAK!$J$11),OR(CETAK!$J$12="",$K767=CETAK!$J$12),OR(CETAK!$J$13="",$H767=CETAK!$J$13),OR(CETAK!$J$14="",$O767=CETAK!$J$14)),MAX($X$3:X766)+1,""))</f>
        <v/>
      </c>
      <c r="Y767" s="40" t="str">
        <f aca="false">IF($B767="","",IF(AND(OR(ABSENSI!$H$10="",$E767=ABSENSI!$H$10),OR(ABSENSI!$H$11="",$F767=ABSENSI!$H$11),OR(ABSENSI!$H$12="",$K767=ABSENSI!$H$12)),MAX($Y$3:Y766)+1,""))</f>
        <v/>
      </c>
      <c r="Z767" s="40" t="str">
        <f aca="false">IF($B767="","",IF(AND(OR(KARTU!$K$6="",$E767=KARTU!$K$6),OR(KARTU!$K$7="",$F767=KARTU!$K$7),OR(KARTU!$K$8="",$K767=KARTU!$K$8)),MAX($Z$3:Z766)+1,""))</f>
        <v/>
      </c>
    </row>
    <row r="768" customFormat="false" ht="15" hidden="false" customHeight="false" outlineLevel="0" collapsed="false">
      <c r="A768" s="36" t="str">
        <f aca="false">IF($B768="","",COUNTA($B$4:$B768))</f>
        <v/>
      </c>
      <c r="B768" s="37"/>
      <c r="C768" s="38"/>
      <c r="D768" s="39"/>
      <c r="E768" s="37"/>
      <c r="F768" s="39"/>
      <c r="G768" s="40" t="str">
        <f aca="false">IF(OR($E768="",$F768=""),"",$E768&amp;" - RT "&amp;$F768)</f>
        <v/>
      </c>
      <c r="H768" s="37"/>
      <c r="I768" s="38"/>
      <c r="J768" s="37"/>
      <c r="K768" s="39"/>
      <c r="L768" s="41"/>
      <c r="M768" s="36" t="str">
        <f aca="true">IF(OR($B768="",$L768=""),"",DATEDIF($L768,TODAY(),"Y"))</f>
        <v/>
      </c>
      <c r="N768" s="40" t="str">
        <f aca="false">IF($M768="","",INDEX(usia_label,MATCH($M768,usia_min,1)))</f>
        <v/>
      </c>
      <c r="O768" s="37"/>
      <c r="P768" s="41"/>
      <c r="Q768" s="37"/>
      <c r="R768" s="37"/>
      <c r="S768" s="40" t="str">
        <f aca="false">IF($G768="","",$G768&amp;"#"&amp;COUNTIF($G$4:$G768,$G768))</f>
        <v/>
      </c>
      <c r="T768" s="40" t="str">
        <f aca="false">IF($B768="","",IF($C768="","NIK kosong",IF(LEN($C768)&lt;&gt;16,"NIK bukan 16 digit",IF(COUNTIF($C$4:$C$2003,$C768&amp;"*")&gt;1,"NIK ganda",IF($E768="","Kadus kosong",IF($F768="","RT kosong",IF($H768="","Jabatan kosong",IF($I768="","No. HP kosong",IF($J768="","Alamat kosong",IF(AND($M768&lt;&gt;"",$M768&lt;17),"Usia di bawah 17",""))))))))))</f>
        <v/>
      </c>
      <c r="U768" s="40" t="str">
        <f aca="false">IF($B768="","",IF(AND(OR(CARI!$C$5="",ISNUMBER(SEARCH(CARI!$C$5,$B768&amp;" "&amp;$C768&amp;" "&amp;$I768&amp;" "&amp;$J768&amp;" "&amp;$Q768))),OR(CARI!$C$6="",$E768=CARI!$C$6),OR(CARI!$C$7="",$F768=CARI!$C$7),OR(CARI!$C$8="",$O768=CARI!$C$8)),MAX($U$3:U767)+1,""))</f>
        <v/>
      </c>
      <c r="V768" s="40" t="str">
        <f aca="false">IF($T768="","",MAX($V$3:V767)+1)</f>
        <v/>
      </c>
      <c r="W768" s="40" t="str">
        <f aca="false">IF($E768="","",$E768&amp;"#"&amp;COUNTIF($E$4:$E768,$E768))</f>
        <v/>
      </c>
      <c r="X768" s="40" t="str">
        <f aca="false">IF($B768="","",IF(AND(OR(CETAK!$J$10="",$E768=CETAK!$J$10),OR(CETAK!$J$11="",$F768=CETAK!$J$11),OR(CETAK!$J$12="",$K768=CETAK!$J$12),OR(CETAK!$J$13="",$H768=CETAK!$J$13),OR(CETAK!$J$14="",$O768=CETAK!$J$14)),MAX($X$3:X767)+1,""))</f>
        <v/>
      </c>
      <c r="Y768" s="40" t="str">
        <f aca="false">IF($B768="","",IF(AND(OR(ABSENSI!$H$10="",$E768=ABSENSI!$H$10),OR(ABSENSI!$H$11="",$F768=ABSENSI!$H$11),OR(ABSENSI!$H$12="",$K768=ABSENSI!$H$12)),MAX($Y$3:Y767)+1,""))</f>
        <v/>
      </c>
      <c r="Z768" s="40" t="str">
        <f aca="false">IF($B768="","",IF(AND(OR(KARTU!$K$6="",$E768=KARTU!$K$6),OR(KARTU!$K$7="",$F768=KARTU!$K$7),OR(KARTU!$K$8="",$K768=KARTU!$K$8)),MAX($Z$3:Z767)+1,""))</f>
        <v/>
      </c>
    </row>
    <row r="769" customFormat="false" ht="15" hidden="false" customHeight="false" outlineLevel="0" collapsed="false">
      <c r="A769" s="36" t="str">
        <f aca="false">IF($B769="","",COUNTA($B$4:$B769))</f>
        <v/>
      </c>
      <c r="B769" s="37"/>
      <c r="C769" s="38"/>
      <c r="D769" s="39"/>
      <c r="E769" s="37"/>
      <c r="F769" s="39"/>
      <c r="G769" s="40" t="str">
        <f aca="false">IF(OR($E769="",$F769=""),"",$E769&amp;" - RT "&amp;$F769)</f>
        <v/>
      </c>
      <c r="H769" s="37"/>
      <c r="I769" s="38"/>
      <c r="J769" s="37"/>
      <c r="K769" s="39"/>
      <c r="L769" s="41"/>
      <c r="M769" s="36" t="str">
        <f aca="true">IF(OR($B769="",$L769=""),"",DATEDIF($L769,TODAY(),"Y"))</f>
        <v/>
      </c>
      <c r="N769" s="40" t="str">
        <f aca="false">IF($M769="","",INDEX(usia_label,MATCH($M769,usia_min,1)))</f>
        <v/>
      </c>
      <c r="O769" s="37"/>
      <c r="P769" s="41"/>
      <c r="Q769" s="37"/>
      <c r="R769" s="37"/>
      <c r="S769" s="40" t="str">
        <f aca="false">IF($G769="","",$G769&amp;"#"&amp;COUNTIF($G$4:$G769,$G769))</f>
        <v/>
      </c>
      <c r="T769" s="40" t="str">
        <f aca="false">IF($B769="","",IF($C769="","NIK kosong",IF(LEN($C769)&lt;&gt;16,"NIK bukan 16 digit",IF(COUNTIF($C$4:$C$2003,$C769&amp;"*")&gt;1,"NIK ganda",IF($E769="","Kadus kosong",IF($F769="","RT kosong",IF($H769="","Jabatan kosong",IF($I769="","No. HP kosong",IF($J769="","Alamat kosong",IF(AND($M769&lt;&gt;"",$M769&lt;17),"Usia di bawah 17",""))))))))))</f>
        <v/>
      </c>
      <c r="U769" s="40" t="str">
        <f aca="false">IF($B769="","",IF(AND(OR(CARI!$C$5="",ISNUMBER(SEARCH(CARI!$C$5,$B769&amp;" "&amp;$C769&amp;" "&amp;$I769&amp;" "&amp;$J769&amp;" "&amp;$Q769))),OR(CARI!$C$6="",$E769=CARI!$C$6),OR(CARI!$C$7="",$F769=CARI!$C$7),OR(CARI!$C$8="",$O769=CARI!$C$8)),MAX($U$3:U768)+1,""))</f>
        <v/>
      </c>
      <c r="V769" s="40" t="str">
        <f aca="false">IF($T769="","",MAX($V$3:V768)+1)</f>
        <v/>
      </c>
      <c r="W769" s="40" t="str">
        <f aca="false">IF($E769="","",$E769&amp;"#"&amp;COUNTIF($E$4:$E769,$E769))</f>
        <v/>
      </c>
      <c r="X769" s="40" t="str">
        <f aca="false">IF($B769="","",IF(AND(OR(CETAK!$J$10="",$E769=CETAK!$J$10),OR(CETAK!$J$11="",$F769=CETAK!$J$11),OR(CETAK!$J$12="",$K769=CETAK!$J$12),OR(CETAK!$J$13="",$H769=CETAK!$J$13),OR(CETAK!$J$14="",$O769=CETAK!$J$14)),MAX($X$3:X768)+1,""))</f>
        <v/>
      </c>
      <c r="Y769" s="40" t="str">
        <f aca="false">IF($B769="","",IF(AND(OR(ABSENSI!$H$10="",$E769=ABSENSI!$H$10),OR(ABSENSI!$H$11="",$F769=ABSENSI!$H$11),OR(ABSENSI!$H$12="",$K769=ABSENSI!$H$12)),MAX($Y$3:Y768)+1,""))</f>
        <v/>
      </c>
      <c r="Z769" s="40" t="str">
        <f aca="false">IF($B769="","",IF(AND(OR(KARTU!$K$6="",$E769=KARTU!$K$6),OR(KARTU!$K$7="",$F769=KARTU!$K$7),OR(KARTU!$K$8="",$K769=KARTU!$K$8)),MAX($Z$3:Z768)+1,""))</f>
        <v/>
      </c>
    </row>
    <row r="770" customFormat="false" ht="15" hidden="false" customHeight="false" outlineLevel="0" collapsed="false">
      <c r="A770" s="36" t="str">
        <f aca="false">IF($B770="","",COUNTA($B$4:$B770))</f>
        <v/>
      </c>
      <c r="B770" s="37"/>
      <c r="C770" s="38"/>
      <c r="D770" s="39"/>
      <c r="E770" s="37"/>
      <c r="F770" s="39"/>
      <c r="G770" s="40" t="str">
        <f aca="false">IF(OR($E770="",$F770=""),"",$E770&amp;" - RT "&amp;$F770)</f>
        <v/>
      </c>
      <c r="H770" s="37"/>
      <c r="I770" s="38"/>
      <c r="J770" s="37"/>
      <c r="K770" s="39"/>
      <c r="L770" s="41"/>
      <c r="M770" s="36" t="str">
        <f aca="true">IF(OR($B770="",$L770=""),"",DATEDIF($L770,TODAY(),"Y"))</f>
        <v/>
      </c>
      <c r="N770" s="40" t="str">
        <f aca="false">IF($M770="","",INDEX(usia_label,MATCH($M770,usia_min,1)))</f>
        <v/>
      </c>
      <c r="O770" s="37"/>
      <c r="P770" s="41"/>
      <c r="Q770" s="37"/>
      <c r="R770" s="37"/>
      <c r="S770" s="40" t="str">
        <f aca="false">IF($G770="","",$G770&amp;"#"&amp;COUNTIF($G$4:$G770,$G770))</f>
        <v/>
      </c>
      <c r="T770" s="40" t="str">
        <f aca="false">IF($B770="","",IF($C770="","NIK kosong",IF(LEN($C770)&lt;&gt;16,"NIK bukan 16 digit",IF(COUNTIF($C$4:$C$2003,$C770&amp;"*")&gt;1,"NIK ganda",IF($E770="","Kadus kosong",IF($F770="","RT kosong",IF($H770="","Jabatan kosong",IF($I770="","No. HP kosong",IF($J770="","Alamat kosong",IF(AND($M770&lt;&gt;"",$M770&lt;17),"Usia di bawah 17",""))))))))))</f>
        <v/>
      </c>
      <c r="U770" s="40" t="str">
        <f aca="false">IF($B770="","",IF(AND(OR(CARI!$C$5="",ISNUMBER(SEARCH(CARI!$C$5,$B770&amp;" "&amp;$C770&amp;" "&amp;$I770&amp;" "&amp;$J770&amp;" "&amp;$Q770))),OR(CARI!$C$6="",$E770=CARI!$C$6),OR(CARI!$C$7="",$F770=CARI!$C$7),OR(CARI!$C$8="",$O770=CARI!$C$8)),MAX($U$3:U769)+1,""))</f>
        <v/>
      </c>
      <c r="V770" s="40" t="str">
        <f aca="false">IF($T770="","",MAX($V$3:V769)+1)</f>
        <v/>
      </c>
      <c r="W770" s="40" t="str">
        <f aca="false">IF($E770="","",$E770&amp;"#"&amp;COUNTIF($E$4:$E770,$E770))</f>
        <v/>
      </c>
      <c r="X770" s="40" t="str">
        <f aca="false">IF($B770="","",IF(AND(OR(CETAK!$J$10="",$E770=CETAK!$J$10),OR(CETAK!$J$11="",$F770=CETAK!$J$11),OR(CETAK!$J$12="",$K770=CETAK!$J$12),OR(CETAK!$J$13="",$H770=CETAK!$J$13),OR(CETAK!$J$14="",$O770=CETAK!$J$14)),MAX($X$3:X769)+1,""))</f>
        <v/>
      </c>
      <c r="Y770" s="40" t="str">
        <f aca="false">IF($B770="","",IF(AND(OR(ABSENSI!$H$10="",$E770=ABSENSI!$H$10),OR(ABSENSI!$H$11="",$F770=ABSENSI!$H$11),OR(ABSENSI!$H$12="",$K770=ABSENSI!$H$12)),MAX($Y$3:Y769)+1,""))</f>
        <v/>
      </c>
      <c r="Z770" s="40" t="str">
        <f aca="false">IF($B770="","",IF(AND(OR(KARTU!$K$6="",$E770=KARTU!$K$6),OR(KARTU!$K$7="",$F770=KARTU!$K$7),OR(KARTU!$K$8="",$K770=KARTU!$K$8)),MAX($Z$3:Z769)+1,""))</f>
        <v/>
      </c>
    </row>
    <row r="771" customFormat="false" ht="15" hidden="false" customHeight="false" outlineLevel="0" collapsed="false">
      <c r="A771" s="36" t="str">
        <f aca="false">IF($B771="","",COUNTA($B$4:$B771))</f>
        <v/>
      </c>
      <c r="B771" s="37"/>
      <c r="C771" s="38"/>
      <c r="D771" s="39"/>
      <c r="E771" s="37"/>
      <c r="F771" s="39"/>
      <c r="G771" s="40" t="str">
        <f aca="false">IF(OR($E771="",$F771=""),"",$E771&amp;" - RT "&amp;$F771)</f>
        <v/>
      </c>
      <c r="H771" s="37"/>
      <c r="I771" s="38"/>
      <c r="J771" s="37"/>
      <c r="K771" s="39"/>
      <c r="L771" s="41"/>
      <c r="M771" s="36" t="str">
        <f aca="true">IF(OR($B771="",$L771=""),"",DATEDIF($L771,TODAY(),"Y"))</f>
        <v/>
      </c>
      <c r="N771" s="40" t="str">
        <f aca="false">IF($M771="","",INDEX(usia_label,MATCH($M771,usia_min,1)))</f>
        <v/>
      </c>
      <c r="O771" s="37"/>
      <c r="P771" s="41"/>
      <c r="Q771" s="37"/>
      <c r="R771" s="37"/>
      <c r="S771" s="40" t="str">
        <f aca="false">IF($G771="","",$G771&amp;"#"&amp;COUNTIF($G$4:$G771,$G771))</f>
        <v/>
      </c>
      <c r="T771" s="40" t="str">
        <f aca="false">IF($B771="","",IF($C771="","NIK kosong",IF(LEN($C771)&lt;&gt;16,"NIK bukan 16 digit",IF(COUNTIF($C$4:$C$2003,$C771&amp;"*")&gt;1,"NIK ganda",IF($E771="","Kadus kosong",IF($F771="","RT kosong",IF($H771="","Jabatan kosong",IF($I771="","No. HP kosong",IF($J771="","Alamat kosong",IF(AND($M771&lt;&gt;"",$M771&lt;17),"Usia di bawah 17",""))))))))))</f>
        <v/>
      </c>
      <c r="U771" s="40" t="str">
        <f aca="false">IF($B771="","",IF(AND(OR(CARI!$C$5="",ISNUMBER(SEARCH(CARI!$C$5,$B771&amp;" "&amp;$C771&amp;" "&amp;$I771&amp;" "&amp;$J771&amp;" "&amp;$Q771))),OR(CARI!$C$6="",$E771=CARI!$C$6),OR(CARI!$C$7="",$F771=CARI!$C$7),OR(CARI!$C$8="",$O771=CARI!$C$8)),MAX($U$3:U770)+1,""))</f>
        <v/>
      </c>
      <c r="V771" s="40" t="str">
        <f aca="false">IF($T771="","",MAX($V$3:V770)+1)</f>
        <v/>
      </c>
      <c r="W771" s="40" t="str">
        <f aca="false">IF($E771="","",$E771&amp;"#"&amp;COUNTIF($E$4:$E771,$E771))</f>
        <v/>
      </c>
      <c r="X771" s="40" t="str">
        <f aca="false">IF($B771="","",IF(AND(OR(CETAK!$J$10="",$E771=CETAK!$J$10),OR(CETAK!$J$11="",$F771=CETAK!$J$11),OR(CETAK!$J$12="",$K771=CETAK!$J$12),OR(CETAK!$J$13="",$H771=CETAK!$J$13),OR(CETAK!$J$14="",$O771=CETAK!$J$14)),MAX($X$3:X770)+1,""))</f>
        <v/>
      </c>
      <c r="Y771" s="40" t="str">
        <f aca="false">IF($B771="","",IF(AND(OR(ABSENSI!$H$10="",$E771=ABSENSI!$H$10),OR(ABSENSI!$H$11="",$F771=ABSENSI!$H$11),OR(ABSENSI!$H$12="",$K771=ABSENSI!$H$12)),MAX($Y$3:Y770)+1,""))</f>
        <v/>
      </c>
      <c r="Z771" s="40" t="str">
        <f aca="false">IF($B771="","",IF(AND(OR(KARTU!$K$6="",$E771=KARTU!$K$6),OR(KARTU!$K$7="",$F771=KARTU!$K$7),OR(KARTU!$K$8="",$K771=KARTU!$K$8)),MAX($Z$3:Z770)+1,""))</f>
        <v/>
      </c>
    </row>
    <row r="772" customFormat="false" ht="15" hidden="false" customHeight="false" outlineLevel="0" collapsed="false">
      <c r="A772" s="36" t="str">
        <f aca="false">IF($B772="","",COUNTA($B$4:$B772))</f>
        <v/>
      </c>
      <c r="B772" s="37"/>
      <c r="C772" s="38"/>
      <c r="D772" s="39"/>
      <c r="E772" s="37"/>
      <c r="F772" s="39"/>
      <c r="G772" s="40" t="str">
        <f aca="false">IF(OR($E772="",$F772=""),"",$E772&amp;" - RT "&amp;$F772)</f>
        <v/>
      </c>
      <c r="H772" s="37"/>
      <c r="I772" s="38"/>
      <c r="J772" s="37"/>
      <c r="K772" s="39"/>
      <c r="L772" s="41"/>
      <c r="M772" s="36" t="str">
        <f aca="true">IF(OR($B772="",$L772=""),"",DATEDIF($L772,TODAY(),"Y"))</f>
        <v/>
      </c>
      <c r="N772" s="40" t="str">
        <f aca="false">IF($M772="","",INDEX(usia_label,MATCH($M772,usia_min,1)))</f>
        <v/>
      </c>
      <c r="O772" s="37"/>
      <c r="P772" s="41"/>
      <c r="Q772" s="37"/>
      <c r="R772" s="37"/>
      <c r="S772" s="40" t="str">
        <f aca="false">IF($G772="","",$G772&amp;"#"&amp;COUNTIF($G$4:$G772,$G772))</f>
        <v/>
      </c>
      <c r="T772" s="40" t="str">
        <f aca="false">IF($B772="","",IF($C772="","NIK kosong",IF(LEN($C772)&lt;&gt;16,"NIK bukan 16 digit",IF(COUNTIF($C$4:$C$2003,$C772&amp;"*")&gt;1,"NIK ganda",IF($E772="","Kadus kosong",IF($F772="","RT kosong",IF($H772="","Jabatan kosong",IF($I772="","No. HP kosong",IF($J772="","Alamat kosong",IF(AND($M772&lt;&gt;"",$M772&lt;17),"Usia di bawah 17",""))))))))))</f>
        <v/>
      </c>
      <c r="U772" s="40" t="str">
        <f aca="false">IF($B772="","",IF(AND(OR(CARI!$C$5="",ISNUMBER(SEARCH(CARI!$C$5,$B772&amp;" "&amp;$C772&amp;" "&amp;$I772&amp;" "&amp;$J772&amp;" "&amp;$Q772))),OR(CARI!$C$6="",$E772=CARI!$C$6),OR(CARI!$C$7="",$F772=CARI!$C$7),OR(CARI!$C$8="",$O772=CARI!$C$8)),MAX($U$3:U771)+1,""))</f>
        <v/>
      </c>
      <c r="V772" s="40" t="str">
        <f aca="false">IF($T772="","",MAX($V$3:V771)+1)</f>
        <v/>
      </c>
      <c r="W772" s="40" t="str">
        <f aca="false">IF($E772="","",$E772&amp;"#"&amp;COUNTIF($E$4:$E772,$E772))</f>
        <v/>
      </c>
      <c r="X772" s="40" t="str">
        <f aca="false">IF($B772="","",IF(AND(OR(CETAK!$J$10="",$E772=CETAK!$J$10),OR(CETAK!$J$11="",$F772=CETAK!$J$11),OR(CETAK!$J$12="",$K772=CETAK!$J$12),OR(CETAK!$J$13="",$H772=CETAK!$J$13),OR(CETAK!$J$14="",$O772=CETAK!$J$14)),MAX($X$3:X771)+1,""))</f>
        <v/>
      </c>
      <c r="Y772" s="40" t="str">
        <f aca="false">IF($B772="","",IF(AND(OR(ABSENSI!$H$10="",$E772=ABSENSI!$H$10),OR(ABSENSI!$H$11="",$F772=ABSENSI!$H$11),OR(ABSENSI!$H$12="",$K772=ABSENSI!$H$12)),MAX($Y$3:Y771)+1,""))</f>
        <v/>
      </c>
      <c r="Z772" s="40" t="str">
        <f aca="false">IF($B772="","",IF(AND(OR(KARTU!$K$6="",$E772=KARTU!$K$6),OR(KARTU!$K$7="",$F772=KARTU!$K$7),OR(KARTU!$K$8="",$K772=KARTU!$K$8)),MAX($Z$3:Z771)+1,""))</f>
        <v/>
      </c>
    </row>
    <row r="773" customFormat="false" ht="15" hidden="false" customHeight="false" outlineLevel="0" collapsed="false">
      <c r="A773" s="36" t="str">
        <f aca="false">IF($B773="","",COUNTA($B$4:$B773))</f>
        <v/>
      </c>
      <c r="B773" s="37"/>
      <c r="C773" s="38"/>
      <c r="D773" s="39"/>
      <c r="E773" s="37"/>
      <c r="F773" s="39"/>
      <c r="G773" s="40" t="str">
        <f aca="false">IF(OR($E773="",$F773=""),"",$E773&amp;" - RT "&amp;$F773)</f>
        <v/>
      </c>
      <c r="H773" s="37"/>
      <c r="I773" s="38"/>
      <c r="J773" s="37"/>
      <c r="K773" s="39"/>
      <c r="L773" s="41"/>
      <c r="M773" s="36" t="str">
        <f aca="true">IF(OR($B773="",$L773=""),"",DATEDIF($L773,TODAY(),"Y"))</f>
        <v/>
      </c>
      <c r="N773" s="40" t="str">
        <f aca="false">IF($M773="","",INDEX(usia_label,MATCH($M773,usia_min,1)))</f>
        <v/>
      </c>
      <c r="O773" s="37"/>
      <c r="P773" s="41"/>
      <c r="Q773" s="37"/>
      <c r="R773" s="37"/>
      <c r="S773" s="40" t="str">
        <f aca="false">IF($G773="","",$G773&amp;"#"&amp;COUNTIF($G$4:$G773,$G773))</f>
        <v/>
      </c>
      <c r="T773" s="40" t="str">
        <f aca="false">IF($B773="","",IF($C773="","NIK kosong",IF(LEN($C773)&lt;&gt;16,"NIK bukan 16 digit",IF(COUNTIF($C$4:$C$2003,$C773&amp;"*")&gt;1,"NIK ganda",IF($E773="","Kadus kosong",IF($F773="","RT kosong",IF($H773="","Jabatan kosong",IF($I773="","No. HP kosong",IF($J773="","Alamat kosong",IF(AND($M773&lt;&gt;"",$M773&lt;17),"Usia di bawah 17",""))))))))))</f>
        <v/>
      </c>
      <c r="U773" s="40" t="str">
        <f aca="false">IF($B773="","",IF(AND(OR(CARI!$C$5="",ISNUMBER(SEARCH(CARI!$C$5,$B773&amp;" "&amp;$C773&amp;" "&amp;$I773&amp;" "&amp;$J773&amp;" "&amp;$Q773))),OR(CARI!$C$6="",$E773=CARI!$C$6),OR(CARI!$C$7="",$F773=CARI!$C$7),OR(CARI!$C$8="",$O773=CARI!$C$8)),MAX($U$3:U772)+1,""))</f>
        <v/>
      </c>
      <c r="V773" s="40" t="str">
        <f aca="false">IF($T773="","",MAX($V$3:V772)+1)</f>
        <v/>
      </c>
      <c r="W773" s="40" t="str">
        <f aca="false">IF($E773="","",$E773&amp;"#"&amp;COUNTIF($E$4:$E773,$E773))</f>
        <v/>
      </c>
      <c r="X773" s="40" t="str">
        <f aca="false">IF($B773="","",IF(AND(OR(CETAK!$J$10="",$E773=CETAK!$J$10),OR(CETAK!$J$11="",$F773=CETAK!$J$11),OR(CETAK!$J$12="",$K773=CETAK!$J$12),OR(CETAK!$J$13="",$H773=CETAK!$J$13),OR(CETAK!$J$14="",$O773=CETAK!$J$14)),MAX($X$3:X772)+1,""))</f>
        <v/>
      </c>
      <c r="Y773" s="40" t="str">
        <f aca="false">IF($B773="","",IF(AND(OR(ABSENSI!$H$10="",$E773=ABSENSI!$H$10),OR(ABSENSI!$H$11="",$F773=ABSENSI!$H$11),OR(ABSENSI!$H$12="",$K773=ABSENSI!$H$12)),MAX($Y$3:Y772)+1,""))</f>
        <v/>
      </c>
      <c r="Z773" s="40" t="str">
        <f aca="false">IF($B773="","",IF(AND(OR(KARTU!$K$6="",$E773=KARTU!$K$6),OR(KARTU!$K$7="",$F773=KARTU!$K$7),OR(KARTU!$K$8="",$K773=KARTU!$K$8)),MAX($Z$3:Z772)+1,""))</f>
        <v/>
      </c>
    </row>
    <row r="774" customFormat="false" ht="15" hidden="false" customHeight="false" outlineLevel="0" collapsed="false">
      <c r="A774" s="36" t="str">
        <f aca="false">IF($B774="","",COUNTA($B$4:$B774))</f>
        <v/>
      </c>
      <c r="B774" s="37"/>
      <c r="C774" s="38"/>
      <c r="D774" s="39"/>
      <c r="E774" s="37"/>
      <c r="F774" s="39"/>
      <c r="G774" s="40" t="str">
        <f aca="false">IF(OR($E774="",$F774=""),"",$E774&amp;" - RT "&amp;$F774)</f>
        <v/>
      </c>
      <c r="H774" s="37"/>
      <c r="I774" s="38"/>
      <c r="J774" s="37"/>
      <c r="K774" s="39"/>
      <c r="L774" s="41"/>
      <c r="M774" s="36" t="str">
        <f aca="true">IF(OR($B774="",$L774=""),"",DATEDIF($L774,TODAY(),"Y"))</f>
        <v/>
      </c>
      <c r="N774" s="40" t="str">
        <f aca="false">IF($M774="","",INDEX(usia_label,MATCH($M774,usia_min,1)))</f>
        <v/>
      </c>
      <c r="O774" s="37"/>
      <c r="P774" s="41"/>
      <c r="Q774" s="37"/>
      <c r="R774" s="37"/>
      <c r="S774" s="40" t="str">
        <f aca="false">IF($G774="","",$G774&amp;"#"&amp;COUNTIF($G$4:$G774,$G774))</f>
        <v/>
      </c>
      <c r="T774" s="40" t="str">
        <f aca="false">IF($B774="","",IF($C774="","NIK kosong",IF(LEN($C774)&lt;&gt;16,"NIK bukan 16 digit",IF(COUNTIF($C$4:$C$2003,$C774&amp;"*")&gt;1,"NIK ganda",IF($E774="","Kadus kosong",IF($F774="","RT kosong",IF($H774="","Jabatan kosong",IF($I774="","No. HP kosong",IF($J774="","Alamat kosong",IF(AND($M774&lt;&gt;"",$M774&lt;17),"Usia di bawah 17",""))))))))))</f>
        <v/>
      </c>
      <c r="U774" s="40" t="str">
        <f aca="false">IF($B774="","",IF(AND(OR(CARI!$C$5="",ISNUMBER(SEARCH(CARI!$C$5,$B774&amp;" "&amp;$C774&amp;" "&amp;$I774&amp;" "&amp;$J774&amp;" "&amp;$Q774))),OR(CARI!$C$6="",$E774=CARI!$C$6),OR(CARI!$C$7="",$F774=CARI!$C$7),OR(CARI!$C$8="",$O774=CARI!$C$8)),MAX($U$3:U773)+1,""))</f>
        <v/>
      </c>
      <c r="V774" s="40" t="str">
        <f aca="false">IF($T774="","",MAX($V$3:V773)+1)</f>
        <v/>
      </c>
      <c r="W774" s="40" t="str">
        <f aca="false">IF($E774="","",$E774&amp;"#"&amp;COUNTIF($E$4:$E774,$E774))</f>
        <v/>
      </c>
      <c r="X774" s="40" t="str">
        <f aca="false">IF($B774="","",IF(AND(OR(CETAK!$J$10="",$E774=CETAK!$J$10),OR(CETAK!$J$11="",$F774=CETAK!$J$11),OR(CETAK!$J$12="",$K774=CETAK!$J$12),OR(CETAK!$J$13="",$H774=CETAK!$J$13),OR(CETAK!$J$14="",$O774=CETAK!$J$14)),MAX($X$3:X773)+1,""))</f>
        <v/>
      </c>
      <c r="Y774" s="40" t="str">
        <f aca="false">IF($B774="","",IF(AND(OR(ABSENSI!$H$10="",$E774=ABSENSI!$H$10),OR(ABSENSI!$H$11="",$F774=ABSENSI!$H$11),OR(ABSENSI!$H$12="",$K774=ABSENSI!$H$12)),MAX($Y$3:Y773)+1,""))</f>
        <v/>
      </c>
      <c r="Z774" s="40" t="str">
        <f aca="false">IF($B774="","",IF(AND(OR(KARTU!$K$6="",$E774=KARTU!$K$6),OR(KARTU!$K$7="",$F774=KARTU!$K$7),OR(KARTU!$K$8="",$K774=KARTU!$K$8)),MAX($Z$3:Z773)+1,""))</f>
        <v/>
      </c>
    </row>
    <row r="775" customFormat="false" ht="15" hidden="false" customHeight="false" outlineLevel="0" collapsed="false">
      <c r="A775" s="36" t="str">
        <f aca="false">IF($B775="","",COUNTA($B$4:$B775))</f>
        <v/>
      </c>
      <c r="B775" s="37"/>
      <c r="C775" s="38"/>
      <c r="D775" s="39"/>
      <c r="E775" s="37"/>
      <c r="F775" s="39"/>
      <c r="G775" s="40" t="str">
        <f aca="false">IF(OR($E775="",$F775=""),"",$E775&amp;" - RT "&amp;$F775)</f>
        <v/>
      </c>
      <c r="H775" s="37"/>
      <c r="I775" s="38"/>
      <c r="J775" s="37"/>
      <c r="K775" s="39"/>
      <c r="L775" s="41"/>
      <c r="M775" s="36" t="str">
        <f aca="true">IF(OR($B775="",$L775=""),"",DATEDIF($L775,TODAY(),"Y"))</f>
        <v/>
      </c>
      <c r="N775" s="40" t="str">
        <f aca="false">IF($M775="","",INDEX(usia_label,MATCH($M775,usia_min,1)))</f>
        <v/>
      </c>
      <c r="O775" s="37"/>
      <c r="P775" s="41"/>
      <c r="Q775" s="37"/>
      <c r="R775" s="37"/>
      <c r="S775" s="40" t="str">
        <f aca="false">IF($G775="","",$G775&amp;"#"&amp;COUNTIF($G$4:$G775,$G775))</f>
        <v/>
      </c>
      <c r="T775" s="40" t="str">
        <f aca="false">IF($B775="","",IF($C775="","NIK kosong",IF(LEN($C775)&lt;&gt;16,"NIK bukan 16 digit",IF(COUNTIF($C$4:$C$2003,$C775&amp;"*")&gt;1,"NIK ganda",IF($E775="","Kadus kosong",IF($F775="","RT kosong",IF($H775="","Jabatan kosong",IF($I775="","No. HP kosong",IF($J775="","Alamat kosong",IF(AND($M775&lt;&gt;"",$M775&lt;17),"Usia di bawah 17",""))))))))))</f>
        <v/>
      </c>
      <c r="U775" s="40" t="str">
        <f aca="false">IF($B775="","",IF(AND(OR(CARI!$C$5="",ISNUMBER(SEARCH(CARI!$C$5,$B775&amp;" "&amp;$C775&amp;" "&amp;$I775&amp;" "&amp;$J775&amp;" "&amp;$Q775))),OR(CARI!$C$6="",$E775=CARI!$C$6),OR(CARI!$C$7="",$F775=CARI!$C$7),OR(CARI!$C$8="",$O775=CARI!$C$8)),MAX($U$3:U774)+1,""))</f>
        <v/>
      </c>
      <c r="V775" s="40" t="str">
        <f aca="false">IF($T775="","",MAX($V$3:V774)+1)</f>
        <v/>
      </c>
      <c r="W775" s="40" t="str">
        <f aca="false">IF($E775="","",$E775&amp;"#"&amp;COUNTIF($E$4:$E775,$E775))</f>
        <v/>
      </c>
      <c r="X775" s="40" t="str">
        <f aca="false">IF($B775="","",IF(AND(OR(CETAK!$J$10="",$E775=CETAK!$J$10),OR(CETAK!$J$11="",$F775=CETAK!$J$11),OR(CETAK!$J$12="",$K775=CETAK!$J$12),OR(CETAK!$J$13="",$H775=CETAK!$J$13),OR(CETAK!$J$14="",$O775=CETAK!$J$14)),MAX($X$3:X774)+1,""))</f>
        <v/>
      </c>
      <c r="Y775" s="40" t="str">
        <f aca="false">IF($B775="","",IF(AND(OR(ABSENSI!$H$10="",$E775=ABSENSI!$H$10),OR(ABSENSI!$H$11="",$F775=ABSENSI!$H$11),OR(ABSENSI!$H$12="",$K775=ABSENSI!$H$12)),MAX($Y$3:Y774)+1,""))</f>
        <v/>
      </c>
      <c r="Z775" s="40" t="str">
        <f aca="false">IF($B775="","",IF(AND(OR(KARTU!$K$6="",$E775=KARTU!$K$6),OR(KARTU!$K$7="",$F775=KARTU!$K$7),OR(KARTU!$K$8="",$K775=KARTU!$K$8)),MAX($Z$3:Z774)+1,""))</f>
        <v/>
      </c>
    </row>
    <row r="776" customFormat="false" ht="15" hidden="false" customHeight="false" outlineLevel="0" collapsed="false">
      <c r="A776" s="36" t="str">
        <f aca="false">IF($B776="","",COUNTA($B$4:$B776))</f>
        <v/>
      </c>
      <c r="B776" s="37"/>
      <c r="C776" s="38"/>
      <c r="D776" s="39"/>
      <c r="E776" s="37"/>
      <c r="F776" s="39"/>
      <c r="G776" s="40" t="str">
        <f aca="false">IF(OR($E776="",$F776=""),"",$E776&amp;" - RT "&amp;$F776)</f>
        <v/>
      </c>
      <c r="H776" s="37"/>
      <c r="I776" s="38"/>
      <c r="J776" s="37"/>
      <c r="K776" s="39"/>
      <c r="L776" s="41"/>
      <c r="M776" s="36" t="str">
        <f aca="true">IF(OR($B776="",$L776=""),"",DATEDIF($L776,TODAY(),"Y"))</f>
        <v/>
      </c>
      <c r="N776" s="40" t="str">
        <f aca="false">IF($M776="","",INDEX(usia_label,MATCH($M776,usia_min,1)))</f>
        <v/>
      </c>
      <c r="O776" s="37"/>
      <c r="P776" s="41"/>
      <c r="Q776" s="37"/>
      <c r="R776" s="37"/>
      <c r="S776" s="40" t="str">
        <f aca="false">IF($G776="","",$G776&amp;"#"&amp;COUNTIF($G$4:$G776,$G776))</f>
        <v/>
      </c>
      <c r="T776" s="40" t="str">
        <f aca="false">IF($B776="","",IF($C776="","NIK kosong",IF(LEN($C776)&lt;&gt;16,"NIK bukan 16 digit",IF(COUNTIF($C$4:$C$2003,$C776&amp;"*")&gt;1,"NIK ganda",IF($E776="","Kadus kosong",IF($F776="","RT kosong",IF($H776="","Jabatan kosong",IF($I776="","No. HP kosong",IF($J776="","Alamat kosong",IF(AND($M776&lt;&gt;"",$M776&lt;17),"Usia di bawah 17",""))))))))))</f>
        <v/>
      </c>
      <c r="U776" s="40" t="str">
        <f aca="false">IF($B776="","",IF(AND(OR(CARI!$C$5="",ISNUMBER(SEARCH(CARI!$C$5,$B776&amp;" "&amp;$C776&amp;" "&amp;$I776&amp;" "&amp;$J776&amp;" "&amp;$Q776))),OR(CARI!$C$6="",$E776=CARI!$C$6),OR(CARI!$C$7="",$F776=CARI!$C$7),OR(CARI!$C$8="",$O776=CARI!$C$8)),MAX($U$3:U775)+1,""))</f>
        <v/>
      </c>
      <c r="V776" s="40" t="str">
        <f aca="false">IF($T776="","",MAX($V$3:V775)+1)</f>
        <v/>
      </c>
      <c r="W776" s="40" t="str">
        <f aca="false">IF($E776="","",$E776&amp;"#"&amp;COUNTIF($E$4:$E776,$E776))</f>
        <v/>
      </c>
      <c r="X776" s="40" t="str">
        <f aca="false">IF($B776="","",IF(AND(OR(CETAK!$J$10="",$E776=CETAK!$J$10),OR(CETAK!$J$11="",$F776=CETAK!$J$11),OR(CETAK!$J$12="",$K776=CETAK!$J$12),OR(CETAK!$J$13="",$H776=CETAK!$J$13),OR(CETAK!$J$14="",$O776=CETAK!$J$14)),MAX($X$3:X775)+1,""))</f>
        <v/>
      </c>
      <c r="Y776" s="40" t="str">
        <f aca="false">IF($B776="","",IF(AND(OR(ABSENSI!$H$10="",$E776=ABSENSI!$H$10),OR(ABSENSI!$H$11="",$F776=ABSENSI!$H$11),OR(ABSENSI!$H$12="",$K776=ABSENSI!$H$12)),MAX($Y$3:Y775)+1,""))</f>
        <v/>
      </c>
      <c r="Z776" s="40" t="str">
        <f aca="false">IF($B776="","",IF(AND(OR(KARTU!$K$6="",$E776=KARTU!$K$6),OR(KARTU!$K$7="",$F776=KARTU!$K$7),OR(KARTU!$K$8="",$K776=KARTU!$K$8)),MAX($Z$3:Z775)+1,""))</f>
        <v/>
      </c>
    </row>
    <row r="777" customFormat="false" ht="15" hidden="false" customHeight="false" outlineLevel="0" collapsed="false">
      <c r="A777" s="36" t="str">
        <f aca="false">IF($B777="","",COUNTA($B$4:$B777))</f>
        <v/>
      </c>
      <c r="B777" s="37"/>
      <c r="C777" s="38"/>
      <c r="D777" s="39"/>
      <c r="E777" s="37"/>
      <c r="F777" s="39"/>
      <c r="G777" s="40" t="str">
        <f aca="false">IF(OR($E777="",$F777=""),"",$E777&amp;" - RT "&amp;$F777)</f>
        <v/>
      </c>
      <c r="H777" s="37"/>
      <c r="I777" s="38"/>
      <c r="J777" s="37"/>
      <c r="K777" s="39"/>
      <c r="L777" s="41"/>
      <c r="M777" s="36" t="str">
        <f aca="true">IF(OR($B777="",$L777=""),"",DATEDIF($L777,TODAY(),"Y"))</f>
        <v/>
      </c>
      <c r="N777" s="40" t="str">
        <f aca="false">IF($M777="","",INDEX(usia_label,MATCH($M777,usia_min,1)))</f>
        <v/>
      </c>
      <c r="O777" s="37"/>
      <c r="P777" s="41"/>
      <c r="Q777" s="37"/>
      <c r="R777" s="37"/>
      <c r="S777" s="40" t="str">
        <f aca="false">IF($G777="","",$G777&amp;"#"&amp;COUNTIF($G$4:$G777,$G777))</f>
        <v/>
      </c>
      <c r="T777" s="40" t="str">
        <f aca="false">IF($B777="","",IF($C777="","NIK kosong",IF(LEN($C777)&lt;&gt;16,"NIK bukan 16 digit",IF(COUNTIF($C$4:$C$2003,$C777&amp;"*")&gt;1,"NIK ganda",IF($E777="","Kadus kosong",IF($F777="","RT kosong",IF($H777="","Jabatan kosong",IF($I777="","No. HP kosong",IF($J777="","Alamat kosong",IF(AND($M777&lt;&gt;"",$M777&lt;17),"Usia di bawah 17",""))))))))))</f>
        <v/>
      </c>
      <c r="U777" s="40" t="str">
        <f aca="false">IF($B777="","",IF(AND(OR(CARI!$C$5="",ISNUMBER(SEARCH(CARI!$C$5,$B777&amp;" "&amp;$C777&amp;" "&amp;$I777&amp;" "&amp;$J777&amp;" "&amp;$Q777))),OR(CARI!$C$6="",$E777=CARI!$C$6),OR(CARI!$C$7="",$F777=CARI!$C$7),OR(CARI!$C$8="",$O777=CARI!$C$8)),MAX($U$3:U776)+1,""))</f>
        <v/>
      </c>
      <c r="V777" s="40" t="str">
        <f aca="false">IF($T777="","",MAX($V$3:V776)+1)</f>
        <v/>
      </c>
      <c r="W777" s="40" t="str">
        <f aca="false">IF($E777="","",$E777&amp;"#"&amp;COUNTIF($E$4:$E777,$E777))</f>
        <v/>
      </c>
      <c r="X777" s="40" t="str">
        <f aca="false">IF($B777="","",IF(AND(OR(CETAK!$J$10="",$E777=CETAK!$J$10),OR(CETAK!$J$11="",$F777=CETAK!$J$11),OR(CETAK!$J$12="",$K777=CETAK!$J$12),OR(CETAK!$J$13="",$H777=CETAK!$J$13),OR(CETAK!$J$14="",$O777=CETAK!$J$14)),MAX($X$3:X776)+1,""))</f>
        <v/>
      </c>
      <c r="Y777" s="40" t="str">
        <f aca="false">IF($B777="","",IF(AND(OR(ABSENSI!$H$10="",$E777=ABSENSI!$H$10),OR(ABSENSI!$H$11="",$F777=ABSENSI!$H$11),OR(ABSENSI!$H$12="",$K777=ABSENSI!$H$12)),MAX($Y$3:Y776)+1,""))</f>
        <v/>
      </c>
      <c r="Z777" s="40" t="str">
        <f aca="false">IF($B777="","",IF(AND(OR(KARTU!$K$6="",$E777=KARTU!$K$6),OR(KARTU!$K$7="",$F777=KARTU!$K$7),OR(KARTU!$K$8="",$K777=KARTU!$K$8)),MAX($Z$3:Z776)+1,""))</f>
        <v/>
      </c>
    </row>
    <row r="778" customFormat="false" ht="15" hidden="false" customHeight="false" outlineLevel="0" collapsed="false">
      <c r="A778" s="36" t="str">
        <f aca="false">IF($B778="","",COUNTA($B$4:$B778))</f>
        <v/>
      </c>
      <c r="B778" s="37"/>
      <c r="C778" s="38"/>
      <c r="D778" s="39"/>
      <c r="E778" s="37"/>
      <c r="F778" s="39"/>
      <c r="G778" s="40" t="str">
        <f aca="false">IF(OR($E778="",$F778=""),"",$E778&amp;" - RT "&amp;$F778)</f>
        <v/>
      </c>
      <c r="H778" s="37"/>
      <c r="I778" s="38"/>
      <c r="J778" s="37"/>
      <c r="K778" s="39"/>
      <c r="L778" s="41"/>
      <c r="M778" s="36" t="str">
        <f aca="true">IF(OR($B778="",$L778=""),"",DATEDIF($L778,TODAY(),"Y"))</f>
        <v/>
      </c>
      <c r="N778" s="40" t="str">
        <f aca="false">IF($M778="","",INDEX(usia_label,MATCH($M778,usia_min,1)))</f>
        <v/>
      </c>
      <c r="O778" s="37"/>
      <c r="P778" s="41"/>
      <c r="Q778" s="37"/>
      <c r="R778" s="37"/>
      <c r="S778" s="40" t="str">
        <f aca="false">IF($G778="","",$G778&amp;"#"&amp;COUNTIF($G$4:$G778,$G778))</f>
        <v/>
      </c>
      <c r="T778" s="40" t="str">
        <f aca="false">IF($B778="","",IF($C778="","NIK kosong",IF(LEN($C778)&lt;&gt;16,"NIK bukan 16 digit",IF(COUNTIF($C$4:$C$2003,$C778&amp;"*")&gt;1,"NIK ganda",IF($E778="","Kadus kosong",IF($F778="","RT kosong",IF($H778="","Jabatan kosong",IF($I778="","No. HP kosong",IF($J778="","Alamat kosong",IF(AND($M778&lt;&gt;"",$M778&lt;17),"Usia di bawah 17",""))))))))))</f>
        <v/>
      </c>
      <c r="U778" s="40" t="str">
        <f aca="false">IF($B778="","",IF(AND(OR(CARI!$C$5="",ISNUMBER(SEARCH(CARI!$C$5,$B778&amp;" "&amp;$C778&amp;" "&amp;$I778&amp;" "&amp;$J778&amp;" "&amp;$Q778))),OR(CARI!$C$6="",$E778=CARI!$C$6),OR(CARI!$C$7="",$F778=CARI!$C$7),OR(CARI!$C$8="",$O778=CARI!$C$8)),MAX($U$3:U777)+1,""))</f>
        <v/>
      </c>
      <c r="V778" s="40" t="str">
        <f aca="false">IF($T778="","",MAX($V$3:V777)+1)</f>
        <v/>
      </c>
      <c r="W778" s="40" t="str">
        <f aca="false">IF($E778="","",$E778&amp;"#"&amp;COUNTIF($E$4:$E778,$E778))</f>
        <v/>
      </c>
      <c r="X778" s="40" t="str">
        <f aca="false">IF($B778="","",IF(AND(OR(CETAK!$J$10="",$E778=CETAK!$J$10),OR(CETAK!$J$11="",$F778=CETAK!$J$11),OR(CETAK!$J$12="",$K778=CETAK!$J$12),OR(CETAK!$J$13="",$H778=CETAK!$J$13),OR(CETAK!$J$14="",$O778=CETAK!$J$14)),MAX($X$3:X777)+1,""))</f>
        <v/>
      </c>
      <c r="Y778" s="40" t="str">
        <f aca="false">IF($B778="","",IF(AND(OR(ABSENSI!$H$10="",$E778=ABSENSI!$H$10),OR(ABSENSI!$H$11="",$F778=ABSENSI!$H$11),OR(ABSENSI!$H$12="",$K778=ABSENSI!$H$12)),MAX($Y$3:Y777)+1,""))</f>
        <v/>
      </c>
      <c r="Z778" s="40" t="str">
        <f aca="false">IF($B778="","",IF(AND(OR(KARTU!$K$6="",$E778=KARTU!$K$6),OR(KARTU!$K$7="",$F778=KARTU!$K$7),OR(KARTU!$K$8="",$K778=KARTU!$K$8)),MAX($Z$3:Z777)+1,""))</f>
        <v/>
      </c>
    </row>
    <row r="779" customFormat="false" ht="15" hidden="false" customHeight="false" outlineLevel="0" collapsed="false">
      <c r="A779" s="36" t="str">
        <f aca="false">IF($B779="","",COUNTA($B$4:$B779))</f>
        <v/>
      </c>
      <c r="B779" s="37"/>
      <c r="C779" s="38"/>
      <c r="D779" s="39"/>
      <c r="E779" s="37"/>
      <c r="F779" s="39"/>
      <c r="G779" s="40" t="str">
        <f aca="false">IF(OR($E779="",$F779=""),"",$E779&amp;" - RT "&amp;$F779)</f>
        <v/>
      </c>
      <c r="H779" s="37"/>
      <c r="I779" s="38"/>
      <c r="J779" s="37"/>
      <c r="K779" s="39"/>
      <c r="L779" s="41"/>
      <c r="M779" s="36" t="str">
        <f aca="true">IF(OR($B779="",$L779=""),"",DATEDIF($L779,TODAY(),"Y"))</f>
        <v/>
      </c>
      <c r="N779" s="40" t="str">
        <f aca="false">IF($M779="","",INDEX(usia_label,MATCH($M779,usia_min,1)))</f>
        <v/>
      </c>
      <c r="O779" s="37"/>
      <c r="P779" s="41"/>
      <c r="Q779" s="37"/>
      <c r="R779" s="37"/>
      <c r="S779" s="40" t="str">
        <f aca="false">IF($G779="","",$G779&amp;"#"&amp;COUNTIF($G$4:$G779,$G779))</f>
        <v/>
      </c>
      <c r="T779" s="40" t="str">
        <f aca="false">IF($B779="","",IF($C779="","NIK kosong",IF(LEN($C779)&lt;&gt;16,"NIK bukan 16 digit",IF(COUNTIF($C$4:$C$2003,$C779&amp;"*")&gt;1,"NIK ganda",IF($E779="","Kadus kosong",IF($F779="","RT kosong",IF($H779="","Jabatan kosong",IF($I779="","No. HP kosong",IF($J779="","Alamat kosong",IF(AND($M779&lt;&gt;"",$M779&lt;17),"Usia di bawah 17",""))))))))))</f>
        <v/>
      </c>
      <c r="U779" s="40" t="str">
        <f aca="false">IF($B779="","",IF(AND(OR(CARI!$C$5="",ISNUMBER(SEARCH(CARI!$C$5,$B779&amp;" "&amp;$C779&amp;" "&amp;$I779&amp;" "&amp;$J779&amp;" "&amp;$Q779))),OR(CARI!$C$6="",$E779=CARI!$C$6),OR(CARI!$C$7="",$F779=CARI!$C$7),OR(CARI!$C$8="",$O779=CARI!$C$8)),MAX($U$3:U778)+1,""))</f>
        <v/>
      </c>
      <c r="V779" s="40" t="str">
        <f aca="false">IF($T779="","",MAX($V$3:V778)+1)</f>
        <v/>
      </c>
      <c r="W779" s="40" t="str">
        <f aca="false">IF($E779="","",$E779&amp;"#"&amp;COUNTIF($E$4:$E779,$E779))</f>
        <v/>
      </c>
      <c r="X779" s="40" t="str">
        <f aca="false">IF($B779="","",IF(AND(OR(CETAK!$J$10="",$E779=CETAK!$J$10),OR(CETAK!$J$11="",$F779=CETAK!$J$11),OR(CETAK!$J$12="",$K779=CETAK!$J$12),OR(CETAK!$J$13="",$H779=CETAK!$J$13),OR(CETAK!$J$14="",$O779=CETAK!$J$14)),MAX($X$3:X778)+1,""))</f>
        <v/>
      </c>
      <c r="Y779" s="40" t="str">
        <f aca="false">IF($B779="","",IF(AND(OR(ABSENSI!$H$10="",$E779=ABSENSI!$H$10),OR(ABSENSI!$H$11="",$F779=ABSENSI!$H$11),OR(ABSENSI!$H$12="",$K779=ABSENSI!$H$12)),MAX($Y$3:Y778)+1,""))</f>
        <v/>
      </c>
      <c r="Z779" s="40" t="str">
        <f aca="false">IF($B779="","",IF(AND(OR(KARTU!$K$6="",$E779=KARTU!$K$6),OR(KARTU!$K$7="",$F779=KARTU!$K$7),OR(KARTU!$K$8="",$K779=KARTU!$K$8)),MAX($Z$3:Z778)+1,""))</f>
        <v/>
      </c>
    </row>
    <row r="780" customFormat="false" ht="15" hidden="false" customHeight="false" outlineLevel="0" collapsed="false">
      <c r="A780" s="36" t="str">
        <f aca="false">IF($B780="","",COUNTA($B$4:$B780))</f>
        <v/>
      </c>
      <c r="B780" s="37"/>
      <c r="C780" s="38"/>
      <c r="D780" s="39"/>
      <c r="E780" s="37"/>
      <c r="F780" s="39"/>
      <c r="G780" s="40" t="str">
        <f aca="false">IF(OR($E780="",$F780=""),"",$E780&amp;" - RT "&amp;$F780)</f>
        <v/>
      </c>
      <c r="H780" s="37"/>
      <c r="I780" s="38"/>
      <c r="J780" s="37"/>
      <c r="K780" s="39"/>
      <c r="L780" s="41"/>
      <c r="M780" s="36" t="str">
        <f aca="true">IF(OR($B780="",$L780=""),"",DATEDIF($L780,TODAY(),"Y"))</f>
        <v/>
      </c>
      <c r="N780" s="40" t="str">
        <f aca="false">IF($M780="","",INDEX(usia_label,MATCH($M780,usia_min,1)))</f>
        <v/>
      </c>
      <c r="O780" s="37"/>
      <c r="P780" s="41"/>
      <c r="Q780" s="37"/>
      <c r="R780" s="37"/>
      <c r="S780" s="40" t="str">
        <f aca="false">IF($G780="","",$G780&amp;"#"&amp;COUNTIF($G$4:$G780,$G780))</f>
        <v/>
      </c>
      <c r="T780" s="40" t="str">
        <f aca="false">IF($B780="","",IF($C780="","NIK kosong",IF(LEN($C780)&lt;&gt;16,"NIK bukan 16 digit",IF(COUNTIF($C$4:$C$2003,$C780&amp;"*")&gt;1,"NIK ganda",IF($E780="","Kadus kosong",IF($F780="","RT kosong",IF($H780="","Jabatan kosong",IF($I780="","No. HP kosong",IF($J780="","Alamat kosong",IF(AND($M780&lt;&gt;"",$M780&lt;17),"Usia di bawah 17",""))))))))))</f>
        <v/>
      </c>
      <c r="U780" s="40" t="str">
        <f aca="false">IF($B780="","",IF(AND(OR(CARI!$C$5="",ISNUMBER(SEARCH(CARI!$C$5,$B780&amp;" "&amp;$C780&amp;" "&amp;$I780&amp;" "&amp;$J780&amp;" "&amp;$Q780))),OR(CARI!$C$6="",$E780=CARI!$C$6),OR(CARI!$C$7="",$F780=CARI!$C$7),OR(CARI!$C$8="",$O780=CARI!$C$8)),MAX($U$3:U779)+1,""))</f>
        <v/>
      </c>
      <c r="V780" s="40" t="str">
        <f aca="false">IF($T780="","",MAX($V$3:V779)+1)</f>
        <v/>
      </c>
      <c r="W780" s="40" t="str">
        <f aca="false">IF($E780="","",$E780&amp;"#"&amp;COUNTIF($E$4:$E780,$E780))</f>
        <v/>
      </c>
      <c r="X780" s="40" t="str">
        <f aca="false">IF($B780="","",IF(AND(OR(CETAK!$J$10="",$E780=CETAK!$J$10),OR(CETAK!$J$11="",$F780=CETAK!$J$11),OR(CETAK!$J$12="",$K780=CETAK!$J$12),OR(CETAK!$J$13="",$H780=CETAK!$J$13),OR(CETAK!$J$14="",$O780=CETAK!$J$14)),MAX($X$3:X779)+1,""))</f>
        <v/>
      </c>
      <c r="Y780" s="40" t="str">
        <f aca="false">IF($B780="","",IF(AND(OR(ABSENSI!$H$10="",$E780=ABSENSI!$H$10),OR(ABSENSI!$H$11="",$F780=ABSENSI!$H$11),OR(ABSENSI!$H$12="",$K780=ABSENSI!$H$12)),MAX($Y$3:Y779)+1,""))</f>
        <v/>
      </c>
      <c r="Z780" s="40" t="str">
        <f aca="false">IF($B780="","",IF(AND(OR(KARTU!$K$6="",$E780=KARTU!$K$6),OR(KARTU!$K$7="",$F780=KARTU!$K$7),OR(KARTU!$K$8="",$K780=KARTU!$K$8)),MAX($Z$3:Z779)+1,""))</f>
        <v/>
      </c>
    </row>
    <row r="781" customFormat="false" ht="15" hidden="false" customHeight="false" outlineLevel="0" collapsed="false">
      <c r="A781" s="36" t="str">
        <f aca="false">IF($B781="","",COUNTA($B$4:$B781))</f>
        <v/>
      </c>
      <c r="B781" s="37"/>
      <c r="C781" s="38"/>
      <c r="D781" s="39"/>
      <c r="E781" s="37"/>
      <c r="F781" s="39"/>
      <c r="G781" s="40" t="str">
        <f aca="false">IF(OR($E781="",$F781=""),"",$E781&amp;" - RT "&amp;$F781)</f>
        <v/>
      </c>
      <c r="H781" s="37"/>
      <c r="I781" s="38"/>
      <c r="J781" s="37"/>
      <c r="K781" s="39"/>
      <c r="L781" s="41"/>
      <c r="M781" s="36" t="str">
        <f aca="true">IF(OR($B781="",$L781=""),"",DATEDIF($L781,TODAY(),"Y"))</f>
        <v/>
      </c>
      <c r="N781" s="40" t="str">
        <f aca="false">IF($M781="","",INDEX(usia_label,MATCH($M781,usia_min,1)))</f>
        <v/>
      </c>
      <c r="O781" s="37"/>
      <c r="P781" s="41"/>
      <c r="Q781" s="37"/>
      <c r="R781" s="37"/>
      <c r="S781" s="40" t="str">
        <f aca="false">IF($G781="","",$G781&amp;"#"&amp;COUNTIF($G$4:$G781,$G781))</f>
        <v/>
      </c>
      <c r="T781" s="40" t="str">
        <f aca="false">IF($B781="","",IF($C781="","NIK kosong",IF(LEN($C781)&lt;&gt;16,"NIK bukan 16 digit",IF(COUNTIF($C$4:$C$2003,$C781&amp;"*")&gt;1,"NIK ganda",IF($E781="","Kadus kosong",IF($F781="","RT kosong",IF($H781="","Jabatan kosong",IF($I781="","No. HP kosong",IF($J781="","Alamat kosong",IF(AND($M781&lt;&gt;"",$M781&lt;17),"Usia di bawah 17",""))))))))))</f>
        <v/>
      </c>
      <c r="U781" s="40" t="str">
        <f aca="false">IF($B781="","",IF(AND(OR(CARI!$C$5="",ISNUMBER(SEARCH(CARI!$C$5,$B781&amp;" "&amp;$C781&amp;" "&amp;$I781&amp;" "&amp;$J781&amp;" "&amp;$Q781))),OR(CARI!$C$6="",$E781=CARI!$C$6),OR(CARI!$C$7="",$F781=CARI!$C$7),OR(CARI!$C$8="",$O781=CARI!$C$8)),MAX($U$3:U780)+1,""))</f>
        <v/>
      </c>
      <c r="V781" s="40" t="str">
        <f aca="false">IF($T781="","",MAX($V$3:V780)+1)</f>
        <v/>
      </c>
      <c r="W781" s="40" t="str">
        <f aca="false">IF($E781="","",$E781&amp;"#"&amp;COUNTIF($E$4:$E781,$E781))</f>
        <v/>
      </c>
      <c r="X781" s="40" t="str">
        <f aca="false">IF($B781="","",IF(AND(OR(CETAK!$J$10="",$E781=CETAK!$J$10),OR(CETAK!$J$11="",$F781=CETAK!$J$11),OR(CETAK!$J$12="",$K781=CETAK!$J$12),OR(CETAK!$J$13="",$H781=CETAK!$J$13),OR(CETAK!$J$14="",$O781=CETAK!$J$14)),MAX($X$3:X780)+1,""))</f>
        <v/>
      </c>
      <c r="Y781" s="40" t="str">
        <f aca="false">IF($B781="","",IF(AND(OR(ABSENSI!$H$10="",$E781=ABSENSI!$H$10),OR(ABSENSI!$H$11="",$F781=ABSENSI!$H$11),OR(ABSENSI!$H$12="",$K781=ABSENSI!$H$12)),MAX($Y$3:Y780)+1,""))</f>
        <v/>
      </c>
      <c r="Z781" s="40" t="str">
        <f aca="false">IF($B781="","",IF(AND(OR(KARTU!$K$6="",$E781=KARTU!$K$6),OR(KARTU!$K$7="",$F781=KARTU!$K$7),OR(KARTU!$K$8="",$K781=KARTU!$K$8)),MAX($Z$3:Z780)+1,""))</f>
        <v/>
      </c>
    </row>
    <row r="782" customFormat="false" ht="15" hidden="false" customHeight="false" outlineLevel="0" collapsed="false">
      <c r="A782" s="36" t="str">
        <f aca="false">IF($B782="","",COUNTA($B$4:$B782))</f>
        <v/>
      </c>
      <c r="B782" s="37"/>
      <c r="C782" s="38"/>
      <c r="D782" s="39"/>
      <c r="E782" s="37"/>
      <c r="F782" s="39"/>
      <c r="G782" s="40" t="str">
        <f aca="false">IF(OR($E782="",$F782=""),"",$E782&amp;" - RT "&amp;$F782)</f>
        <v/>
      </c>
      <c r="H782" s="37"/>
      <c r="I782" s="38"/>
      <c r="J782" s="37"/>
      <c r="K782" s="39"/>
      <c r="L782" s="41"/>
      <c r="M782" s="36" t="str">
        <f aca="true">IF(OR($B782="",$L782=""),"",DATEDIF($L782,TODAY(),"Y"))</f>
        <v/>
      </c>
      <c r="N782" s="40" t="str">
        <f aca="false">IF($M782="","",INDEX(usia_label,MATCH($M782,usia_min,1)))</f>
        <v/>
      </c>
      <c r="O782" s="37"/>
      <c r="P782" s="41"/>
      <c r="Q782" s="37"/>
      <c r="R782" s="37"/>
      <c r="S782" s="40" t="str">
        <f aca="false">IF($G782="","",$G782&amp;"#"&amp;COUNTIF($G$4:$G782,$G782))</f>
        <v/>
      </c>
      <c r="T782" s="40" t="str">
        <f aca="false">IF($B782="","",IF($C782="","NIK kosong",IF(LEN($C782)&lt;&gt;16,"NIK bukan 16 digit",IF(COUNTIF($C$4:$C$2003,$C782&amp;"*")&gt;1,"NIK ganda",IF($E782="","Kadus kosong",IF($F782="","RT kosong",IF($H782="","Jabatan kosong",IF($I782="","No. HP kosong",IF($J782="","Alamat kosong",IF(AND($M782&lt;&gt;"",$M782&lt;17),"Usia di bawah 17",""))))))))))</f>
        <v/>
      </c>
      <c r="U782" s="40" t="str">
        <f aca="false">IF($B782="","",IF(AND(OR(CARI!$C$5="",ISNUMBER(SEARCH(CARI!$C$5,$B782&amp;" "&amp;$C782&amp;" "&amp;$I782&amp;" "&amp;$J782&amp;" "&amp;$Q782))),OR(CARI!$C$6="",$E782=CARI!$C$6),OR(CARI!$C$7="",$F782=CARI!$C$7),OR(CARI!$C$8="",$O782=CARI!$C$8)),MAX($U$3:U781)+1,""))</f>
        <v/>
      </c>
      <c r="V782" s="40" t="str">
        <f aca="false">IF($T782="","",MAX($V$3:V781)+1)</f>
        <v/>
      </c>
      <c r="W782" s="40" t="str">
        <f aca="false">IF($E782="","",$E782&amp;"#"&amp;COUNTIF($E$4:$E782,$E782))</f>
        <v/>
      </c>
      <c r="X782" s="40" t="str">
        <f aca="false">IF($B782="","",IF(AND(OR(CETAK!$J$10="",$E782=CETAK!$J$10),OR(CETAK!$J$11="",$F782=CETAK!$J$11),OR(CETAK!$J$12="",$K782=CETAK!$J$12),OR(CETAK!$J$13="",$H782=CETAK!$J$13),OR(CETAK!$J$14="",$O782=CETAK!$J$14)),MAX($X$3:X781)+1,""))</f>
        <v/>
      </c>
      <c r="Y782" s="40" t="str">
        <f aca="false">IF($B782="","",IF(AND(OR(ABSENSI!$H$10="",$E782=ABSENSI!$H$10),OR(ABSENSI!$H$11="",$F782=ABSENSI!$H$11),OR(ABSENSI!$H$12="",$K782=ABSENSI!$H$12)),MAX($Y$3:Y781)+1,""))</f>
        <v/>
      </c>
      <c r="Z782" s="40" t="str">
        <f aca="false">IF($B782="","",IF(AND(OR(KARTU!$K$6="",$E782=KARTU!$K$6),OR(KARTU!$K$7="",$F782=KARTU!$K$7),OR(KARTU!$K$8="",$K782=KARTU!$K$8)),MAX($Z$3:Z781)+1,""))</f>
        <v/>
      </c>
    </row>
    <row r="783" customFormat="false" ht="15" hidden="false" customHeight="false" outlineLevel="0" collapsed="false">
      <c r="A783" s="36" t="str">
        <f aca="false">IF($B783="","",COUNTA($B$4:$B783))</f>
        <v/>
      </c>
      <c r="B783" s="37"/>
      <c r="C783" s="38"/>
      <c r="D783" s="39"/>
      <c r="E783" s="37"/>
      <c r="F783" s="39"/>
      <c r="G783" s="40" t="str">
        <f aca="false">IF(OR($E783="",$F783=""),"",$E783&amp;" - RT "&amp;$F783)</f>
        <v/>
      </c>
      <c r="H783" s="37"/>
      <c r="I783" s="38"/>
      <c r="J783" s="37"/>
      <c r="K783" s="39"/>
      <c r="L783" s="41"/>
      <c r="M783" s="36" t="str">
        <f aca="true">IF(OR($B783="",$L783=""),"",DATEDIF($L783,TODAY(),"Y"))</f>
        <v/>
      </c>
      <c r="N783" s="40" t="str">
        <f aca="false">IF($M783="","",INDEX(usia_label,MATCH($M783,usia_min,1)))</f>
        <v/>
      </c>
      <c r="O783" s="37"/>
      <c r="P783" s="41"/>
      <c r="Q783" s="37"/>
      <c r="R783" s="37"/>
      <c r="S783" s="40" t="str">
        <f aca="false">IF($G783="","",$G783&amp;"#"&amp;COUNTIF($G$4:$G783,$G783))</f>
        <v/>
      </c>
      <c r="T783" s="40" t="str">
        <f aca="false">IF($B783="","",IF($C783="","NIK kosong",IF(LEN($C783)&lt;&gt;16,"NIK bukan 16 digit",IF(COUNTIF($C$4:$C$2003,$C783&amp;"*")&gt;1,"NIK ganda",IF($E783="","Kadus kosong",IF($F783="","RT kosong",IF($H783="","Jabatan kosong",IF($I783="","No. HP kosong",IF($J783="","Alamat kosong",IF(AND($M783&lt;&gt;"",$M783&lt;17),"Usia di bawah 17",""))))))))))</f>
        <v/>
      </c>
      <c r="U783" s="40" t="str">
        <f aca="false">IF($B783="","",IF(AND(OR(CARI!$C$5="",ISNUMBER(SEARCH(CARI!$C$5,$B783&amp;" "&amp;$C783&amp;" "&amp;$I783&amp;" "&amp;$J783&amp;" "&amp;$Q783))),OR(CARI!$C$6="",$E783=CARI!$C$6),OR(CARI!$C$7="",$F783=CARI!$C$7),OR(CARI!$C$8="",$O783=CARI!$C$8)),MAX($U$3:U782)+1,""))</f>
        <v/>
      </c>
      <c r="V783" s="40" t="str">
        <f aca="false">IF($T783="","",MAX($V$3:V782)+1)</f>
        <v/>
      </c>
      <c r="W783" s="40" t="str">
        <f aca="false">IF($E783="","",$E783&amp;"#"&amp;COUNTIF($E$4:$E783,$E783))</f>
        <v/>
      </c>
      <c r="X783" s="40" t="str">
        <f aca="false">IF($B783="","",IF(AND(OR(CETAK!$J$10="",$E783=CETAK!$J$10),OR(CETAK!$J$11="",$F783=CETAK!$J$11),OR(CETAK!$J$12="",$K783=CETAK!$J$12),OR(CETAK!$J$13="",$H783=CETAK!$J$13),OR(CETAK!$J$14="",$O783=CETAK!$J$14)),MAX($X$3:X782)+1,""))</f>
        <v/>
      </c>
      <c r="Y783" s="40" t="str">
        <f aca="false">IF($B783="","",IF(AND(OR(ABSENSI!$H$10="",$E783=ABSENSI!$H$10),OR(ABSENSI!$H$11="",$F783=ABSENSI!$H$11),OR(ABSENSI!$H$12="",$K783=ABSENSI!$H$12)),MAX($Y$3:Y782)+1,""))</f>
        <v/>
      </c>
      <c r="Z783" s="40" t="str">
        <f aca="false">IF($B783="","",IF(AND(OR(KARTU!$K$6="",$E783=KARTU!$K$6),OR(KARTU!$K$7="",$F783=KARTU!$K$7),OR(KARTU!$K$8="",$K783=KARTU!$K$8)),MAX($Z$3:Z782)+1,""))</f>
        <v/>
      </c>
    </row>
    <row r="784" customFormat="false" ht="15" hidden="false" customHeight="false" outlineLevel="0" collapsed="false">
      <c r="A784" s="36" t="str">
        <f aca="false">IF($B784="","",COUNTA($B$4:$B784))</f>
        <v/>
      </c>
      <c r="B784" s="37"/>
      <c r="C784" s="38"/>
      <c r="D784" s="39"/>
      <c r="E784" s="37"/>
      <c r="F784" s="39"/>
      <c r="G784" s="40" t="str">
        <f aca="false">IF(OR($E784="",$F784=""),"",$E784&amp;" - RT "&amp;$F784)</f>
        <v/>
      </c>
      <c r="H784" s="37"/>
      <c r="I784" s="38"/>
      <c r="J784" s="37"/>
      <c r="K784" s="39"/>
      <c r="L784" s="41"/>
      <c r="M784" s="36" t="str">
        <f aca="true">IF(OR($B784="",$L784=""),"",DATEDIF($L784,TODAY(),"Y"))</f>
        <v/>
      </c>
      <c r="N784" s="40" t="str">
        <f aca="false">IF($M784="","",INDEX(usia_label,MATCH($M784,usia_min,1)))</f>
        <v/>
      </c>
      <c r="O784" s="37"/>
      <c r="P784" s="41"/>
      <c r="Q784" s="37"/>
      <c r="R784" s="37"/>
      <c r="S784" s="40" t="str">
        <f aca="false">IF($G784="","",$G784&amp;"#"&amp;COUNTIF($G$4:$G784,$G784))</f>
        <v/>
      </c>
      <c r="T784" s="40" t="str">
        <f aca="false">IF($B784="","",IF($C784="","NIK kosong",IF(LEN($C784)&lt;&gt;16,"NIK bukan 16 digit",IF(COUNTIF($C$4:$C$2003,$C784&amp;"*")&gt;1,"NIK ganda",IF($E784="","Kadus kosong",IF($F784="","RT kosong",IF($H784="","Jabatan kosong",IF($I784="","No. HP kosong",IF($J784="","Alamat kosong",IF(AND($M784&lt;&gt;"",$M784&lt;17),"Usia di bawah 17",""))))))))))</f>
        <v/>
      </c>
      <c r="U784" s="40" t="str">
        <f aca="false">IF($B784="","",IF(AND(OR(CARI!$C$5="",ISNUMBER(SEARCH(CARI!$C$5,$B784&amp;" "&amp;$C784&amp;" "&amp;$I784&amp;" "&amp;$J784&amp;" "&amp;$Q784))),OR(CARI!$C$6="",$E784=CARI!$C$6),OR(CARI!$C$7="",$F784=CARI!$C$7),OR(CARI!$C$8="",$O784=CARI!$C$8)),MAX($U$3:U783)+1,""))</f>
        <v/>
      </c>
      <c r="V784" s="40" t="str">
        <f aca="false">IF($T784="","",MAX($V$3:V783)+1)</f>
        <v/>
      </c>
      <c r="W784" s="40" t="str">
        <f aca="false">IF($E784="","",$E784&amp;"#"&amp;COUNTIF($E$4:$E784,$E784))</f>
        <v/>
      </c>
      <c r="X784" s="40" t="str">
        <f aca="false">IF($B784="","",IF(AND(OR(CETAK!$J$10="",$E784=CETAK!$J$10),OR(CETAK!$J$11="",$F784=CETAK!$J$11),OR(CETAK!$J$12="",$K784=CETAK!$J$12),OR(CETAK!$J$13="",$H784=CETAK!$J$13),OR(CETAK!$J$14="",$O784=CETAK!$J$14)),MAX($X$3:X783)+1,""))</f>
        <v/>
      </c>
      <c r="Y784" s="40" t="str">
        <f aca="false">IF($B784="","",IF(AND(OR(ABSENSI!$H$10="",$E784=ABSENSI!$H$10),OR(ABSENSI!$H$11="",$F784=ABSENSI!$H$11),OR(ABSENSI!$H$12="",$K784=ABSENSI!$H$12)),MAX($Y$3:Y783)+1,""))</f>
        <v/>
      </c>
      <c r="Z784" s="40" t="str">
        <f aca="false">IF($B784="","",IF(AND(OR(KARTU!$K$6="",$E784=KARTU!$K$6),OR(KARTU!$K$7="",$F784=KARTU!$K$7),OR(KARTU!$K$8="",$K784=KARTU!$K$8)),MAX($Z$3:Z783)+1,""))</f>
        <v/>
      </c>
    </row>
    <row r="785" customFormat="false" ht="15" hidden="false" customHeight="false" outlineLevel="0" collapsed="false">
      <c r="A785" s="36" t="str">
        <f aca="false">IF($B785="","",COUNTA($B$4:$B785))</f>
        <v/>
      </c>
      <c r="B785" s="37"/>
      <c r="C785" s="38"/>
      <c r="D785" s="39"/>
      <c r="E785" s="37"/>
      <c r="F785" s="39"/>
      <c r="G785" s="40" t="str">
        <f aca="false">IF(OR($E785="",$F785=""),"",$E785&amp;" - RT "&amp;$F785)</f>
        <v/>
      </c>
      <c r="H785" s="37"/>
      <c r="I785" s="38"/>
      <c r="J785" s="37"/>
      <c r="K785" s="39"/>
      <c r="L785" s="41"/>
      <c r="M785" s="36" t="str">
        <f aca="true">IF(OR($B785="",$L785=""),"",DATEDIF($L785,TODAY(),"Y"))</f>
        <v/>
      </c>
      <c r="N785" s="40" t="str">
        <f aca="false">IF($M785="","",INDEX(usia_label,MATCH($M785,usia_min,1)))</f>
        <v/>
      </c>
      <c r="O785" s="37"/>
      <c r="P785" s="41"/>
      <c r="Q785" s="37"/>
      <c r="R785" s="37"/>
      <c r="S785" s="40" t="str">
        <f aca="false">IF($G785="","",$G785&amp;"#"&amp;COUNTIF($G$4:$G785,$G785))</f>
        <v/>
      </c>
      <c r="T785" s="40" t="str">
        <f aca="false">IF($B785="","",IF($C785="","NIK kosong",IF(LEN($C785)&lt;&gt;16,"NIK bukan 16 digit",IF(COUNTIF($C$4:$C$2003,$C785&amp;"*")&gt;1,"NIK ganda",IF($E785="","Kadus kosong",IF($F785="","RT kosong",IF($H785="","Jabatan kosong",IF($I785="","No. HP kosong",IF($J785="","Alamat kosong",IF(AND($M785&lt;&gt;"",$M785&lt;17),"Usia di bawah 17",""))))))))))</f>
        <v/>
      </c>
      <c r="U785" s="40" t="str">
        <f aca="false">IF($B785="","",IF(AND(OR(CARI!$C$5="",ISNUMBER(SEARCH(CARI!$C$5,$B785&amp;" "&amp;$C785&amp;" "&amp;$I785&amp;" "&amp;$J785&amp;" "&amp;$Q785))),OR(CARI!$C$6="",$E785=CARI!$C$6),OR(CARI!$C$7="",$F785=CARI!$C$7),OR(CARI!$C$8="",$O785=CARI!$C$8)),MAX($U$3:U784)+1,""))</f>
        <v/>
      </c>
      <c r="V785" s="40" t="str">
        <f aca="false">IF($T785="","",MAX($V$3:V784)+1)</f>
        <v/>
      </c>
      <c r="W785" s="40" t="str">
        <f aca="false">IF($E785="","",$E785&amp;"#"&amp;COUNTIF($E$4:$E785,$E785))</f>
        <v/>
      </c>
      <c r="X785" s="40" t="str">
        <f aca="false">IF($B785="","",IF(AND(OR(CETAK!$J$10="",$E785=CETAK!$J$10),OR(CETAK!$J$11="",$F785=CETAK!$J$11),OR(CETAK!$J$12="",$K785=CETAK!$J$12),OR(CETAK!$J$13="",$H785=CETAK!$J$13),OR(CETAK!$J$14="",$O785=CETAK!$J$14)),MAX($X$3:X784)+1,""))</f>
        <v/>
      </c>
      <c r="Y785" s="40" t="str">
        <f aca="false">IF($B785="","",IF(AND(OR(ABSENSI!$H$10="",$E785=ABSENSI!$H$10),OR(ABSENSI!$H$11="",$F785=ABSENSI!$H$11),OR(ABSENSI!$H$12="",$K785=ABSENSI!$H$12)),MAX($Y$3:Y784)+1,""))</f>
        <v/>
      </c>
      <c r="Z785" s="40" t="str">
        <f aca="false">IF($B785="","",IF(AND(OR(KARTU!$K$6="",$E785=KARTU!$K$6),OR(KARTU!$K$7="",$F785=KARTU!$K$7),OR(KARTU!$K$8="",$K785=KARTU!$K$8)),MAX($Z$3:Z784)+1,""))</f>
        <v/>
      </c>
    </row>
    <row r="786" customFormat="false" ht="15" hidden="false" customHeight="false" outlineLevel="0" collapsed="false">
      <c r="A786" s="36" t="str">
        <f aca="false">IF($B786="","",COUNTA($B$4:$B786))</f>
        <v/>
      </c>
      <c r="B786" s="37"/>
      <c r="C786" s="38"/>
      <c r="D786" s="39"/>
      <c r="E786" s="37"/>
      <c r="F786" s="39"/>
      <c r="G786" s="40" t="str">
        <f aca="false">IF(OR($E786="",$F786=""),"",$E786&amp;" - RT "&amp;$F786)</f>
        <v/>
      </c>
      <c r="H786" s="37"/>
      <c r="I786" s="38"/>
      <c r="J786" s="37"/>
      <c r="K786" s="39"/>
      <c r="L786" s="41"/>
      <c r="M786" s="36" t="str">
        <f aca="true">IF(OR($B786="",$L786=""),"",DATEDIF($L786,TODAY(),"Y"))</f>
        <v/>
      </c>
      <c r="N786" s="40" t="str">
        <f aca="false">IF($M786="","",INDEX(usia_label,MATCH($M786,usia_min,1)))</f>
        <v/>
      </c>
      <c r="O786" s="37"/>
      <c r="P786" s="41"/>
      <c r="Q786" s="37"/>
      <c r="R786" s="37"/>
      <c r="S786" s="40" t="str">
        <f aca="false">IF($G786="","",$G786&amp;"#"&amp;COUNTIF($G$4:$G786,$G786))</f>
        <v/>
      </c>
      <c r="T786" s="40" t="str">
        <f aca="false">IF($B786="","",IF($C786="","NIK kosong",IF(LEN($C786)&lt;&gt;16,"NIK bukan 16 digit",IF(COUNTIF($C$4:$C$2003,$C786&amp;"*")&gt;1,"NIK ganda",IF($E786="","Kadus kosong",IF($F786="","RT kosong",IF($H786="","Jabatan kosong",IF($I786="","No. HP kosong",IF($J786="","Alamat kosong",IF(AND($M786&lt;&gt;"",$M786&lt;17),"Usia di bawah 17",""))))))))))</f>
        <v/>
      </c>
      <c r="U786" s="40" t="str">
        <f aca="false">IF($B786="","",IF(AND(OR(CARI!$C$5="",ISNUMBER(SEARCH(CARI!$C$5,$B786&amp;" "&amp;$C786&amp;" "&amp;$I786&amp;" "&amp;$J786&amp;" "&amp;$Q786))),OR(CARI!$C$6="",$E786=CARI!$C$6),OR(CARI!$C$7="",$F786=CARI!$C$7),OR(CARI!$C$8="",$O786=CARI!$C$8)),MAX($U$3:U785)+1,""))</f>
        <v/>
      </c>
      <c r="V786" s="40" t="str">
        <f aca="false">IF($T786="","",MAX($V$3:V785)+1)</f>
        <v/>
      </c>
      <c r="W786" s="40" t="str">
        <f aca="false">IF($E786="","",$E786&amp;"#"&amp;COUNTIF($E$4:$E786,$E786))</f>
        <v/>
      </c>
      <c r="X786" s="40" t="str">
        <f aca="false">IF($B786="","",IF(AND(OR(CETAK!$J$10="",$E786=CETAK!$J$10),OR(CETAK!$J$11="",$F786=CETAK!$J$11),OR(CETAK!$J$12="",$K786=CETAK!$J$12),OR(CETAK!$J$13="",$H786=CETAK!$J$13),OR(CETAK!$J$14="",$O786=CETAK!$J$14)),MAX($X$3:X785)+1,""))</f>
        <v/>
      </c>
      <c r="Y786" s="40" t="str">
        <f aca="false">IF($B786="","",IF(AND(OR(ABSENSI!$H$10="",$E786=ABSENSI!$H$10),OR(ABSENSI!$H$11="",$F786=ABSENSI!$H$11),OR(ABSENSI!$H$12="",$K786=ABSENSI!$H$12)),MAX($Y$3:Y785)+1,""))</f>
        <v/>
      </c>
      <c r="Z786" s="40" t="str">
        <f aca="false">IF($B786="","",IF(AND(OR(KARTU!$K$6="",$E786=KARTU!$K$6),OR(KARTU!$K$7="",$F786=KARTU!$K$7),OR(KARTU!$K$8="",$K786=KARTU!$K$8)),MAX($Z$3:Z785)+1,""))</f>
        <v/>
      </c>
    </row>
    <row r="787" customFormat="false" ht="15" hidden="false" customHeight="false" outlineLevel="0" collapsed="false">
      <c r="A787" s="36" t="str">
        <f aca="false">IF($B787="","",COUNTA($B$4:$B787))</f>
        <v/>
      </c>
      <c r="B787" s="37"/>
      <c r="C787" s="38"/>
      <c r="D787" s="39"/>
      <c r="E787" s="37"/>
      <c r="F787" s="39"/>
      <c r="G787" s="40" t="str">
        <f aca="false">IF(OR($E787="",$F787=""),"",$E787&amp;" - RT "&amp;$F787)</f>
        <v/>
      </c>
      <c r="H787" s="37"/>
      <c r="I787" s="38"/>
      <c r="J787" s="37"/>
      <c r="K787" s="39"/>
      <c r="L787" s="41"/>
      <c r="M787" s="36" t="str">
        <f aca="true">IF(OR($B787="",$L787=""),"",DATEDIF($L787,TODAY(),"Y"))</f>
        <v/>
      </c>
      <c r="N787" s="40" t="str">
        <f aca="false">IF($M787="","",INDEX(usia_label,MATCH($M787,usia_min,1)))</f>
        <v/>
      </c>
      <c r="O787" s="37"/>
      <c r="P787" s="41"/>
      <c r="Q787" s="37"/>
      <c r="R787" s="37"/>
      <c r="S787" s="40" t="str">
        <f aca="false">IF($G787="","",$G787&amp;"#"&amp;COUNTIF($G$4:$G787,$G787))</f>
        <v/>
      </c>
      <c r="T787" s="40" t="str">
        <f aca="false">IF($B787="","",IF($C787="","NIK kosong",IF(LEN($C787)&lt;&gt;16,"NIK bukan 16 digit",IF(COUNTIF($C$4:$C$2003,$C787&amp;"*")&gt;1,"NIK ganda",IF($E787="","Kadus kosong",IF($F787="","RT kosong",IF($H787="","Jabatan kosong",IF($I787="","No. HP kosong",IF($J787="","Alamat kosong",IF(AND($M787&lt;&gt;"",$M787&lt;17),"Usia di bawah 17",""))))))))))</f>
        <v/>
      </c>
      <c r="U787" s="40" t="str">
        <f aca="false">IF($B787="","",IF(AND(OR(CARI!$C$5="",ISNUMBER(SEARCH(CARI!$C$5,$B787&amp;" "&amp;$C787&amp;" "&amp;$I787&amp;" "&amp;$J787&amp;" "&amp;$Q787))),OR(CARI!$C$6="",$E787=CARI!$C$6),OR(CARI!$C$7="",$F787=CARI!$C$7),OR(CARI!$C$8="",$O787=CARI!$C$8)),MAX($U$3:U786)+1,""))</f>
        <v/>
      </c>
      <c r="V787" s="40" t="str">
        <f aca="false">IF($T787="","",MAX($V$3:V786)+1)</f>
        <v/>
      </c>
      <c r="W787" s="40" t="str">
        <f aca="false">IF($E787="","",$E787&amp;"#"&amp;COUNTIF($E$4:$E787,$E787))</f>
        <v/>
      </c>
      <c r="X787" s="40" t="str">
        <f aca="false">IF($B787="","",IF(AND(OR(CETAK!$J$10="",$E787=CETAK!$J$10),OR(CETAK!$J$11="",$F787=CETAK!$J$11),OR(CETAK!$J$12="",$K787=CETAK!$J$12),OR(CETAK!$J$13="",$H787=CETAK!$J$13),OR(CETAK!$J$14="",$O787=CETAK!$J$14)),MAX($X$3:X786)+1,""))</f>
        <v/>
      </c>
      <c r="Y787" s="40" t="str">
        <f aca="false">IF($B787="","",IF(AND(OR(ABSENSI!$H$10="",$E787=ABSENSI!$H$10),OR(ABSENSI!$H$11="",$F787=ABSENSI!$H$11),OR(ABSENSI!$H$12="",$K787=ABSENSI!$H$12)),MAX($Y$3:Y786)+1,""))</f>
        <v/>
      </c>
      <c r="Z787" s="40" t="str">
        <f aca="false">IF($B787="","",IF(AND(OR(KARTU!$K$6="",$E787=KARTU!$K$6),OR(KARTU!$K$7="",$F787=KARTU!$K$7),OR(KARTU!$K$8="",$K787=KARTU!$K$8)),MAX($Z$3:Z786)+1,""))</f>
        <v/>
      </c>
    </row>
    <row r="788" customFormat="false" ht="15" hidden="false" customHeight="false" outlineLevel="0" collapsed="false">
      <c r="A788" s="36" t="str">
        <f aca="false">IF($B788="","",COUNTA($B$4:$B788))</f>
        <v/>
      </c>
      <c r="B788" s="37"/>
      <c r="C788" s="38"/>
      <c r="D788" s="39"/>
      <c r="E788" s="37"/>
      <c r="F788" s="39"/>
      <c r="G788" s="40" t="str">
        <f aca="false">IF(OR($E788="",$F788=""),"",$E788&amp;" - RT "&amp;$F788)</f>
        <v/>
      </c>
      <c r="H788" s="37"/>
      <c r="I788" s="38"/>
      <c r="J788" s="37"/>
      <c r="K788" s="39"/>
      <c r="L788" s="41"/>
      <c r="M788" s="36" t="str">
        <f aca="true">IF(OR($B788="",$L788=""),"",DATEDIF($L788,TODAY(),"Y"))</f>
        <v/>
      </c>
      <c r="N788" s="40" t="str">
        <f aca="false">IF($M788="","",INDEX(usia_label,MATCH($M788,usia_min,1)))</f>
        <v/>
      </c>
      <c r="O788" s="37"/>
      <c r="P788" s="41"/>
      <c r="Q788" s="37"/>
      <c r="R788" s="37"/>
      <c r="S788" s="40" t="str">
        <f aca="false">IF($G788="","",$G788&amp;"#"&amp;COUNTIF($G$4:$G788,$G788))</f>
        <v/>
      </c>
      <c r="T788" s="40" t="str">
        <f aca="false">IF($B788="","",IF($C788="","NIK kosong",IF(LEN($C788)&lt;&gt;16,"NIK bukan 16 digit",IF(COUNTIF($C$4:$C$2003,$C788&amp;"*")&gt;1,"NIK ganda",IF($E788="","Kadus kosong",IF($F788="","RT kosong",IF($H788="","Jabatan kosong",IF($I788="","No. HP kosong",IF($J788="","Alamat kosong",IF(AND($M788&lt;&gt;"",$M788&lt;17),"Usia di bawah 17",""))))))))))</f>
        <v/>
      </c>
      <c r="U788" s="40" t="str">
        <f aca="false">IF($B788="","",IF(AND(OR(CARI!$C$5="",ISNUMBER(SEARCH(CARI!$C$5,$B788&amp;" "&amp;$C788&amp;" "&amp;$I788&amp;" "&amp;$J788&amp;" "&amp;$Q788))),OR(CARI!$C$6="",$E788=CARI!$C$6),OR(CARI!$C$7="",$F788=CARI!$C$7),OR(CARI!$C$8="",$O788=CARI!$C$8)),MAX($U$3:U787)+1,""))</f>
        <v/>
      </c>
      <c r="V788" s="40" t="str">
        <f aca="false">IF($T788="","",MAX($V$3:V787)+1)</f>
        <v/>
      </c>
      <c r="W788" s="40" t="str">
        <f aca="false">IF($E788="","",$E788&amp;"#"&amp;COUNTIF($E$4:$E788,$E788))</f>
        <v/>
      </c>
      <c r="X788" s="40" t="str">
        <f aca="false">IF($B788="","",IF(AND(OR(CETAK!$J$10="",$E788=CETAK!$J$10),OR(CETAK!$J$11="",$F788=CETAK!$J$11),OR(CETAK!$J$12="",$K788=CETAK!$J$12),OR(CETAK!$J$13="",$H788=CETAK!$J$13),OR(CETAK!$J$14="",$O788=CETAK!$J$14)),MAX($X$3:X787)+1,""))</f>
        <v/>
      </c>
      <c r="Y788" s="40" t="str">
        <f aca="false">IF($B788="","",IF(AND(OR(ABSENSI!$H$10="",$E788=ABSENSI!$H$10),OR(ABSENSI!$H$11="",$F788=ABSENSI!$H$11),OR(ABSENSI!$H$12="",$K788=ABSENSI!$H$12)),MAX($Y$3:Y787)+1,""))</f>
        <v/>
      </c>
      <c r="Z788" s="40" t="str">
        <f aca="false">IF($B788="","",IF(AND(OR(KARTU!$K$6="",$E788=KARTU!$K$6),OR(KARTU!$K$7="",$F788=KARTU!$K$7),OR(KARTU!$K$8="",$K788=KARTU!$K$8)),MAX($Z$3:Z787)+1,""))</f>
        <v/>
      </c>
    </row>
    <row r="789" customFormat="false" ht="15" hidden="false" customHeight="false" outlineLevel="0" collapsed="false">
      <c r="A789" s="36" t="str">
        <f aca="false">IF($B789="","",COUNTA($B$4:$B789))</f>
        <v/>
      </c>
      <c r="B789" s="37"/>
      <c r="C789" s="38"/>
      <c r="D789" s="39"/>
      <c r="E789" s="37"/>
      <c r="F789" s="39"/>
      <c r="G789" s="40" t="str">
        <f aca="false">IF(OR($E789="",$F789=""),"",$E789&amp;" - RT "&amp;$F789)</f>
        <v/>
      </c>
      <c r="H789" s="37"/>
      <c r="I789" s="38"/>
      <c r="J789" s="37"/>
      <c r="K789" s="39"/>
      <c r="L789" s="41"/>
      <c r="M789" s="36" t="str">
        <f aca="true">IF(OR($B789="",$L789=""),"",DATEDIF($L789,TODAY(),"Y"))</f>
        <v/>
      </c>
      <c r="N789" s="40" t="str">
        <f aca="false">IF($M789="","",INDEX(usia_label,MATCH($M789,usia_min,1)))</f>
        <v/>
      </c>
      <c r="O789" s="37"/>
      <c r="P789" s="41"/>
      <c r="Q789" s="37"/>
      <c r="R789" s="37"/>
      <c r="S789" s="40" t="str">
        <f aca="false">IF($G789="","",$G789&amp;"#"&amp;COUNTIF($G$4:$G789,$G789))</f>
        <v/>
      </c>
      <c r="T789" s="40" t="str">
        <f aca="false">IF($B789="","",IF($C789="","NIK kosong",IF(LEN($C789)&lt;&gt;16,"NIK bukan 16 digit",IF(COUNTIF($C$4:$C$2003,$C789&amp;"*")&gt;1,"NIK ganda",IF($E789="","Kadus kosong",IF($F789="","RT kosong",IF($H789="","Jabatan kosong",IF($I789="","No. HP kosong",IF($J789="","Alamat kosong",IF(AND($M789&lt;&gt;"",$M789&lt;17),"Usia di bawah 17",""))))))))))</f>
        <v/>
      </c>
      <c r="U789" s="40" t="str">
        <f aca="false">IF($B789="","",IF(AND(OR(CARI!$C$5="",ISNUMBER(SEARCH(CARI!$C$5,$B789&amp;" "&amp;$C789&amp;" "&amp;$I789&amp;" "&amp;$J789&amp;" "&amp;$Q789))),OR(CARI!$C$6="",$E789=CARI!$C$6),OR(CARI!$C$7="",$F789=CARI!$C$7),OR(CARI!$C$8="",$O789=CARI!$C$8)),MAX($U$3:U788)+1,""))</f>
        <v/>
      </c>
      <c r="V789" s="40" t="str">
        <f aca="false">IF($T789="","",MAX($V$3:V788)+1)</f>
        <v/>
      </c>
      <c r="W789" s="40" t="str">
        <f aca="false">IF($E789="","",$E789&amp;"#"&amp;COUNTIF($E$4:$E789,$E789))</f>
        <v/>
      </c>
      <c r="X789" s="40" t="str">
        <f aca="false">IF($B789="","",IF(AND(OR(CETAK!$J$10="",$E789=CETAK!$J$10),OR(CETAK!$J$11="",$F789=CETAK!$J$11),OR(CETAK!$J$12="",$K789=CETAK!$J$12),OR(CETAK!$J$13="",$H789=CETAK!$J$13),OR(CETAK!$J$14="",$O789=CETAK!$J$14)),MAX($X$3:X788)+1,""))</f>
        <v/>
      </c>
      <c r="Y789" s="40" t="str">
        <f aca="false">IF($B789="","",IF(AND(OR(ABSENSI!$H$10="",$E789=ABSENSI!$H$10),OR(ABSENSI!$H$11="",$F789=ABSENSI!$H$11),OR(ABSENSI!$H$12="",$K789=ABSENSI!$H$12)),MAX($Y$3:Y788)+1,""))</f>
        <v/>
      </c>
      <c r="Z789" s="40" t="str">
        <f aca="false">IF($B789="","",IF(AND(OR(KARTU!$K$6="",$E789=KARTU!$K$6),OR(KARTU!$K$7="",$F789=KARTU!$K$7),OR(KARTU!$K$8="",$K789=KARTU!$K$8)),MAX($Z$3:Z788)+1,""))</f>
        <v/>
      </c>
    </row>
    <row r="790" customFormat="false" ht="15" hidden="false" customHeight="false" outlineLevel="0" collapsed="false">
      <c r="A790" s="36" t="str">
        <f aca="false">IF($B790="","",COUNTA($B$4:$B790))</f>
        <v/>
      </c>
      <c r="B790" s="37"/>
      <c r="C790" s="38"/>
      <c r="D790" s="39"/>
      <c r="E790" s="37"/>
      <c r="F790" s="39"/>
      <c r="G790" s="40" t="str">
        <f aca="false">IF(OR($E790="",$F790=""),"",$E790&amp;" - RT "&amp;$F790)</f>
        <v/>
      </c>
      <c r="H790" s="37"/>
      <c r="I790" s="38"/>
      <c r="J790" s="37"/>
      <c r="K790" s="39"/>
      <c r="L790" s="41"/>
      <c r="M790" s="36" t="str">
        <f aca="true">IF(OR($B790="",$L790=""),"",DATEDIF($L790,TODAY(),"Y"))</f>
        <v/>
      </c>
      <c r="N790" s="40" t="str">
        <f aca="false">IF($M790="","",INDEX(usia_label,MATCH($M790,usia_min,1)))</f>
        <v/>
      </c>
      <c r="O790" s="37"/>
      <c r="P790" s="41"/>
      <c r="Q790" s="37"/>
      <c r="R790" s="37"/>
      <c r="S790" s="40" t="str">
        <f aca="false">IF($G790="","",$G790&amp;"#"&amp;COUNTIF($G$4:$G790,$G790))</f>
        <v/>
      </c>
      <c r="T790" s="40" t="str">
        <f aca="false">IF($B790="","",IF($C790="","NIK kosong",IF(LEN($C790)&lt;&gt;16,"NIK bukan 16 digit",IF(COUNTIF($C$4:$C$2003,$C790&amp;"*")&gt;1,"NIK ganda",IF($E790="","Kadus kosong",IF($F790="","RT kosong",IF($H790="","Jabatan kosong",IF($I790="","No. HP kosong",IF($J790="","Alamat kosong",IF(AND($M790&lt;&gt;"",$M790&lt;17),"Usia di bawah 17",""))))))))))</f>
        <v/>
      </c>
      <c r="U790" s="40" t="str">
        <f aca="false">IF($B790="","",IF(AND(OR(CARI!$C$5="",ISNUMBER(SEARCH(CARI!$C$5,$B790&amp;" "&amp;$C790&amp;" "&amp;$I790&amp;" "&amp;$J790&amp;" "&amp;$Q790))),OR(CARI!$C$6="",$E790=CARI!$C$6),OR(CARI!$C$7="",$F790=CARI!$C$7),OR(CARI!$C$8="",$O790=CARI!$C$8)),MAX($U$3:U789)+1,""))</f>
        <v/>
      </c>
      <c r="V790" s="40" t="str">
        <f aca="false">IF($T790="","",MAX($V$3:V789)+1)</f>
        <v/>
      </c>
      <c r="W790" s="40" t="str">
        <f aca="false">IF($E790="","",$E790&amp;"#"&amp;COUNTIF($E$4:$E790,$E790))</f>
        <v/>
      </c>
      <c r="X790" s="40" t="str">
        <f aca="false">IF($B790="","",IF(AND(OR(CETAK!$J$10="",$E790=CETAK!$J$10),OR(CETAK!$J$11="",$F790=CETAK!$J$11),OR(CETAK!$J$12="",$K790=CETAK!$J$12),OR(CETAK!$J$13="",$H790=CETAK!$J$13),OR(CETAK!$J$14="",$O790=CETAK!$J$14)),MAX($X$3:X789)+1,""))</f>
        <v/>
      </c>
      <c r="Y790" s="40" t="str">
        <f aca="false">IF($B790="","",IF(AND(OR(ABSENSI!$H$10="",$E790=ABSENSI!$H$10),OR(ABSENSI!$H$11="",$F790=ABSENSI!$H$11),OR(ABSENSI!$H$12="",$K790=ABSENSI!$H$12)),MAX($Y$3:Y789)+1,""))</f>
        <v/>
      </c>
      <c r="Z790" s="40" t="str">
        <f aca="false">IF($B790="","",IF(AND(OR(KARTU!$K$6="",$E790=KARTU!$K$6),OR(KARTU!$K$7="",$F790=KARTU!$K$7),OR(KARTU!$K$8="",$K790=KARTU!$K$8)),MAX($Z$3:Z789)+1,""))</f>
        <v/>
      </c>
    </row>
    <row r="791" customFormat="false" ht="15" hidden="false" customHeight="false" outlineLevel="0" collapsed="false">
      <c r="A791" s="36" t="str">
        <f aca="false">IF($B791="","",COUNTA($B$4:$B791))</f>
        <v/>
      </c>
      <c r="B791" s="37"/>
      <c r="C791" s="38"/>
      <c r="D791" s="39"/>
      <c r="E791" s="37"/>
      <c r="F791" s="39"/>
      <c r="G791" s="40" t="str">
        <f aca="false">IF(OR($E791="",$F791=""),"",$E791&amp;" - RT "&amp;$F791)</f>
        <v/>
      </c>
      <c r="H791" s="37"/>
      <c r="I791" s="38"/>
      <c r="J791" s="37"/>
      <c r="K791" s="39"/>
      <c r="L791" s="41"/>
      <c r="M791" s="36" t="str">
        <f aca="true">IF(OR($B791="",$L791=""),"",DATEDIF($L791,TODAY(),"Y"))</f>
        <v/>
      </c>
      <c r="N791" s="40" t="str">
        <f aca="false">IF($M791="","",INDEX(usia_label,MATCH($M791,usia_min,1)))</f>
        <v/>
      </c>
      <c r="O791" s="37"/>
      <c r="P791" s="41"/>
      <c r="Q791" s="37"/>
      <c r="R791" s="37"/>
      <c r="S791" s="40" t="str">
        <f aca="false">IF($G791="","",$G791&amp;"#"&amp;COUNTIF($G$4:$G791,$G791))</f>
        <v/>
      </c>
      <c r="T791" s="40" t="str">
        <f aca="false">IF($B791="","",IF($C791="","NIK kosong",IF(LEN($C791)&lt;&gt;16,"NIK bukan 16 digit",IF(COUNTIF($C$4:$C$2003,$C791&amp;"*")&gt;1,"NIK ganda",IF($E791="","Kadus kosong",IF($F791="","RT kosong",IF($H791="","Jabatan kosong",IF($I791="","No. HP kosong",IF($J791="","Alamat kosong",IF(AND($M791&lt;&gt;"",$M791&lt;17),"Usia di bawah 17",""))))))))))</f>
        <v/>
      </c>
      <c r="U791" s="40" t="str">
        <f aca="false">IF($B791="","",IF(AND(OR(CARI!$C$5="",ISNUMBER(SEARCH(CARI!$C$5,$B791&amp;" "&amp;$C791&amp;" "&amp;$I791&amp;" "&amp;$J791&amp;" "&amp;$Q791))),OR(CARI!$C$6="",$E791=CARI!$C$6),OR(CARI!$C$7="",$F791=CARI!$C$7),OR(CARI!$C$8="",$O791=CARI!$C$8)),MAX($U$3:U790)+1,""))</f>
        <v/>
      </c>
      <c r="V791" s="40" t="str">
        <f aca="false">IF($T791="","",MAX($V$3:V790)+1)</f>
        <v/>
      </c>
      <c r="W791" s="40" t="str">
        <f aca="false">IF($E791="","",$E791&amp;"#"&amp;COUNTIF($E$4:$E791,$E791))</f>
        <v/>
      </c>
      <c r="X791" s="40" t="str">
        <f aca="false">IF($B791="","",IF(AND(OR(CETAK!$J$10="",$E791=CETAK!$J$10),OR(CETAK!$J$11="",$F791=CETAK!$J$11),OR(CETAK!$J$12="",$K791=CETAK!$J$12),OR(CETAK!$J$13="",$H791=CETAK!$J$13),OR(CETAK!$J$14="",$O791=CETAK!$J$14)),MAX($X$3:X790)+1,""))</f>
        <v/>
      </c>
      <c r="Y791" s="40" t="str">
        <f aca="false">IF($B791="","",IF(AND(OR(ABSENSI!$H$10="",$E791=ABSENSI!$H$10),OR(ABSENSI!$H$11="",$F791=ABSENSI!$H$11),OR(ABSENSI!$H$12="",$K791=ABSENSI!$H$12)),MAX($Y$3:Y790)+1,""))</f>
        <v/>
      </c>
      <c r="Z791" s="40" t="str">
        <f aca="false">IF($B791="","",IF(AND(OR(KARTU!$K$6="",$E791=KARTU!$K$6),OR(KARTU!$K$7="",$F791=KARTU!$K$7),OR(KARTU!$K$8="",$K791=KARTU!$K$8)),MAX($Z$3:Z790)+1,""))</f>
        <v/>
      </c>
    </row>
    <row r="792" customFormat="false" ht="15" hidden="false" customHeight="false" outlineLevel="0" collapsed="false">
      <c r="A792" s="36" t="str">
        <f aca="false">IF($B792="","",COUNTA($B$4:$B792))</f>
        <v/>
      </c>
      <c r="B792" s="37"/>
      <c r="C792" s="38"/>
      <c r="D792" s="39"/>
      <c r="E792" s="37"/>
      <c r="F792" s="39"/>
      <c r="G792" s="40" t="str">
        <f aca="false">IF(OR($E792="",$F792=""),"",$E792&amp;" - RT "&amp;$F792)</f>
        <v/>
      </c>
      <c r="H792" s="37"/>
      <c r="I792" s="38"/>
      <c r="J792" s="37"/>
      <c r="K792" s="39"/>
      <c r="L792" s="41"/>
      <c r="M792" s="36" t="str">
        <f aca="true">IF(OR($B792="",$L792=""),"",DATEDIF($L792,TODAY(),"Y"))</f>
        <v/>
      </c>
      <c r="N792" s="40" t="str">
        <f aca="false">IF($M792="","",INDEX(usia_label,MATCH($M792,usia_min,1)))</f>
        <v/>
      </c>
      <c r="O792" s="37"/>
      <c r="P792" s="41"/>
      <c r="Q792" s="37"/>
      <c r="R792" s="37"/>
      <c r="S792" s="40" t="str">
        <f aca="false">IF($G792="","",$G792&amp;"#"&amp;COUNTIF($G$4:$G792,$G792))</f>
        <v/>
      </c>
      <c r="T792" s="40" t="str">
        <f aca="false">IF($B792="","",IF($C792="","NIK kosong",IF(LEN($C792)&lt;&gt;16,"NIK bukan 16 digit",IF(COUNTIF($C$4:$C$2003,$C792&amp;"*")&gt;1,"NIK ganda",IF($E792="","Kadus kosong",IF($F792="","RT kosong",IF($H792="","Jabatan kosong",IF($I792="","No. HP kosong",IF($J792="","Alamat kosong",IF(AND($M792&lt;&gt;"",$M792&lt;17),"Usia di bawah 17",""))))))))))</f>
        <v/>
      </c>
      <c r="U792" s="40" t="str">
        <f aca="false">IF($B792="","",IF(AND(OR(CARI!$C$5="",ISNUMBER(SEARCH(CARI!$C$5,$B792&amp;" "&amp;$C792&amp;" "&amp;$I792&amp;" "&amp;$J792&amp;" "&amp;$Q792))),OR(CARI!$C$6="",$E792=CARI!$C$6),OR(CARI!$C$7="",$F792=CARI!$C$7),OR(CARI!$C$8="",$O792=CARI!$C$8)),MAX($U$3:U791)+1,""))</f>
        <v/>
      </c>
      <c r="V792" s="40" t="str">
        <f aca="false">IF($T792="","",MAX($V$3:V791)+1)</f>
        <v/>
      </c>
      <c r="W792" s="40" t="str">
        <f aca="false">IF($E792="","",$E792&amp;"#"&amp;COUNTIF($E$4:$E792,$E792))</f>
        <v/>
      </c>
      <c r="X792" s="40" t="str">
        <f aca="false">IF($B792="","",IF(AND(OR(CETAK!$J$10="",$E792=CETAK!$J$10),OR(CETAK!$J$11="",$F792=CETAK!$J$11),OR(CETAK!$J$12="",$K792=CETAK!$J$12),OR(CETAK!$J$13="",$H792=CETAK!$J$13),OR(CETAK!$J$14="",$O792=CETAK!$J$14)),MAX($X$3:X791)+1,""))</f>
        <v/>
      </c>
      <c r="Y792" s="40" t="str">
        <f aca="false">IF($B792="","",IF(AND(OR(ABSENSI!$H$10="",$E792=ABSENSI!$H$10),OR(ABSENSI!$H$11="",$F792=ABSENSI!$H$11),OR(ABSENSI!$H$12="",$K792=ABSENSI!$H$12)),MAX($Y$3:Y791)+1,""))</f>
        <v/>
      </c>
      <c r="Z792" s="40" t="str">
        <f aca="false">IF($B792="","",IF(AND(OR(KARTU!$K$6="",$E792=KARTU!$K$6),OR(KARTU!$K$7="",$F792=KARTU!$K$7),OR(KARTU!$K$8="",$K792=KARTU!$K$8)),MAX($Z$3:Z791)+1,""))</f>
        <v/>
      </c>
    </row>
    <row r="793" customFormat="false" ht="15" hidden="false" customHeight="false" outlineLevel="0" collapsed="false">
      <c r="A793" s="36" t="str">
        <f aca="false">IF($B793="","",COUNTA($B$4:$B793))</f>
        <v/>
      </c>
      <c r="B793" s="37"/>
      <c r="C793" s="38"/>
      <c r="D793" s="39"/>
      <c r="E793" s="37"/>
      <c r="F793" s="39"/>
      <c r="G793" s="40" t="str">
        <f aca="false">IF(OR($E793="",$F793=""),"",$E793&amp;" - RT "&amp;$F793)</f>
        <v/>
      </c>
      <c r="H793" s="37"/>
      <c r="I793" s="38"/>
      <c r="J793" s="37"/>
      <c r="K793" s="39"/>
      <c r="L793" s="41"/>
      <c r="M793" s="36" t="str">
        <f aca="true">IF(OR($B793="",$L793=""),"",DATEDIF($L793,TODAY(),"Y"))</f>
        <v/>
      </c>
      <c r="N793" s="40" t="str">
        <f aca="false">IF($M793="","",INDEX(usia_label,MATCH($M793,usia_min,1)))</f>
        <v/>
      </c>
      <c r="O793" s="37"/>
      <c r="P793" s="41"/>
      <c r="Q793" s="37"/>
      <c r="R793" s="37"/>
      <c r="S793" s="40" t="str">
        <f aca="false">IF($G793="","",$G793&amp;"#"&amp;COUNTIF($G$4:$G793,$G793))</f>
        <v/>
      </c>
      <c r="T793" s="40" t="str">
        <f aca="false">IF($B793="","",IF($C793="","NIK kosong",IF(LEN($C793)&lt;&gt;16,"NIK bukan 16 digit",IF(COUNTIF($C$4:$C$2003,$C793&amp;"*")&gt;1,"NIK ganda",IF($E793="","Kadus kosong",IF($F793="","RT kosong",IF($H793="","Jabatan kosong",IF($I793="","No. HP kosong",IF($J793="","Alamat kosong",IF(AND($M793&lt;&gt;"",$M793&lt;17),"Usia di bawah 17",""))))))))))</f>
        <v/>
      </c>
      <c r="U793" s="40" t="str">
        <f aca="false">IF($B793="","",IF(AND(OR(CARI!$C$5="",ISNUMBER(SEARCH(CARI!$C$5,$B793&amp;" "&amp;$C793&amp;" "&amp;$I793&amp;" "&amp;$J793&amp;" "&amp;$Q793))),OR(CARI!$C$6="",$E793=CARI!$C$6),OR(CARI!$C$7="",$F793=CARI!$C$7),OR(CARI!$C$8="",$O793=CARI!$C$8)),MAX($U$3:U792)+1,""))</f>
        <v/>
      </c>
      <c r="V793" s="40" t="str">
        <f aca="false">IF($T793="","",MAX($V$3:V792)+1)</f>
        <v/>
      </c>
      <c r="W793" s="40" t="str">
        <f aca="false">IF($E793="","",$E793&amp;"#"&amp;COUNTIF($E$4:$E793,$E793))</f>
        <v/>
      </c>
      <c r="X793" s="40" t="str">
        <f aca="false">IF($B793="","",IF(AND(OR(CETAK!$J$10="",$E793=CETAK!$J$10),OR(CETAK!$J$11="",$F793=CETAK!$J$11),OR(CETAK!$J$12="",$K793=CETAK!$J$12),OR(CETAK!$J$13="",$H793=CETAK!$J$13),OR(CETAK!$J$14="",$O793=CETAK!$J$14)),MAX($X$3:X792)+1,""))</f>
        <v/>
      </c>
      <c r="Y793" s="40" t="str">
        <f aca="false">IF($B793="","",IF(AND(OR(ABSENSI!$H$10="",$E793=ABSENSI!$H$10),OR(ABSENSI!$H$11="",$F793=ABSENSI!$H$11),OR(ABSENSI!$H$12="",$K793=ABSENSI!$H$12)),MAX($Y$3:Y792)+1,""))</f>
        <v/>
      </c>
      <c r="Z793" s="40" t="str">
        <f aca="false">IF($B793="","",IF(AND(OR(KARTU!$K$6="",$E793=KARTU!$K$6),OR(KARTU!$K$7="",$F793=KARTU!$K$7),OR(KARTU!$K$8="",$K793=KARTU!$K$8)),MAX($Z$3:Z792)+1,""))</f>
        <v/>
      </c>
    </row>
    <row r="794" customFormat="false" ht="15" hidden="false" customHeight="false" outlineLevel="0" collapsed="false">
      <c r="A794" s="36" t="str">
        <f aca="false">IF($B794="","",COUNTA($B$4:$B794))</f>
        <v/>
      </c>
      <c r="B794" s="37"/>
      <c r="C794" s="38"/>
      <c r="D794" s="39"/>
      <c r="E794" s="37"/>
      <c r="F794" s="39"/>
      <c r="G794" s="40" t="str">
        <f aca="false">IF(OR($E794="",$F794=""),"",$E794&amp;" - RT "&amp;$F794)</f>
        <v/>
      </c>
      <c r="H794" s="37"/>
      <c r="I794" s="38"/>
      <c r="J794" s="37"/>
      <c r="K794" s="39"/>
      <c r="L794" s="41"/>
      <c r="M794" s="36" t="str">
        <f aca="true">IF(OR($B794="",$L794=""),"",DATEDIF($L794,TODAY(),"Y"))</f>
        <v/>
      </c>
      <c r="N794" s="40" t="str">
        <f aca="false">IF($M794="","",INDEX(usia_label,MATCH($M794,usia_min,1)))</f>
        <v/>
      </c>
      <c r="O794" s="37"/>
      <c r="P794" s="41"/>
      <c r="Q794" s="37"/>
      <c r="R794" s="37"/>
      <c r="S794" s="40" t="str">
        <f aca="false">IF($G794="","",$G794&amp;"#"&amp;COUNTIF($G$4:$G794,$G794))</f>
        <v/>
      </c>
      <c r="T794" s="40" t="str">
        <f aca="false">IF($B794="","",IF($C794="","NIK kosong",IF(LEN($C794)&lt;&gt;16,"NIK bukan 16 digit",IF(COUNTIF($C$4:$C$2003,$C794&amp;"*")&gt;1,"NIK ganda",IF($E794="","Kadus kosong",IF($F794="","RT kosong",IF($H794="","Jabatan kosong",IF($I794="","No. HP kosong",IF($J794="","Alamat kosong",IF(AND($M794&lt;&gt;"",$M794&lt;17),"Usia di bawah 17",""))))))))))</f>
        <v/>
      </c>
      <c r="U794" s="40" t="str">
        <f aca="false">IF($B794="","",IF(AND(OR(CARI!$C$5="",ISNUMBER(SEARCH(CARI!$C$5,$B794&amp;" "&amp;$C794&amp;" "&amp;$I794&amp;" "&amp;$J794&amp;" "&amp;$Q794))),OR(CARI!$C$6="",$E794=CARI!$C$6),OR(CARI!$C$7="",$F794=CARI!$C$7),OR(CARI!$C$8="",$O794=CARI!$C$8)),MAX($U$3:U793)+1,""))</f>
        <v/>
      </c>
      <c r="V794" s="40" t="str">
        <f aca="false">IF($T794="","",MAX($V$3:V793)+1)</f>
        <v/>
      </c>
      <c r="W794" s="40" t="str">
        <f aca="false">IF($E794="","",$E794&amp;"#"&amp;COUNTIF($E$4:$E794,$E794))</f>
        <v/>
      </c>
      <c r="X794" s="40" t="str">
        <f aca="false">IF($B794="","",IF(AND(OR(CETAK!$J$10="",$E794=CETAK!$J$10),OR(CETAK!$J$11="",$F794=CETAK!$J$11),OR(CETAK!$J$12="",$K794=CETAK!$J$12),OR(CETAK!$J$13="",$H794=CETAK!$J$13),OR(CETAK!$J$14="",$O794=CETAK!$J$14)),MAX($X$3:X793)+1,""))</f>
        <v/>
      </c>
      <c r="Y794" s="40" t="str">
        <f aca="false">IF($B794="","",IF(AND(OR(ABSENSI!$H$10="",$E794=ABSENSI!$H$10),OR(ABSENSI!$H$11="",$F794=ABSENSI!$H$11),OR(ABSENSI!$H$12="",$K794=ABSENSI!$H$12)),MAX($Y$3:Y793)+1,""))</f>
        <v/>
      </c>
      <c r="Z794" s="40" t="str">
        <f aca="false">IF($B794="","",IF(AND(OR(KARTU!$K$6="",$E794=KARTU!$K$6),OR(KARTU!$K$7="",$F794=KARTU!$K$7),OR(KARTU!$K$8="",$K794=KARTU!$K$8)),MAX($Z$3:Z793)+1,""))</f>
        <v/>
      </c>
    </row>
    <row r="795" customFormat="false" ht="15" hidden="false" customHeight="false" outlineLevel="0" collapsed="false">
      <c r="A795" s="36" t="str">
        <f aca="false">IF($B795="","",COUNTA($B$4:$B795))</f>
        <v/>
      </c>
      <c r="B795" s="37"/>
      <c r="C795" s="38"/>
      <c r="D795" s="39"/>
      <c r="E795" s="37"/>
      <c r="F795" s="39"/>
      <c r="G795" s="40" t="str">
        <f aca="false">IF(OR($E795="",$F795=""),"",$E795&amp;" - RT "&amp;$F795)</f>
        <v/>
      </c>
      <c r="H795" s="37"/>
      <c r="I795" s="38"/>
      <c r="J795" s="37"/>
      <c r="K795" s="39"/>
      <c r="L795" s="41"/>
      <c r="M795" s="36" t="str">
        <f aca="true">IF(OR($B795="",$L795=""),"",DATEDIF($L795,TODAY(),"Y"))</f>
        <v/>
      </c>
      <c r="N795" s="40" t="str">
        <f aca="false">IF($M795="","",INDEX(usia_label,MATCH($M795,usia_min,1)))</f>
        <v/>
      </c>
      <c r="O795" s="37"/>
      <c r="P795" s="41"/>
      <c r="Q795" s="37"/>
      <c r="R795" s="37"/>
      <c r="S795" s="40" t="str">
        <f aca="false">IF($G795="","",$G795&amp;"#"&amp;COUNTIF($G$4:$G795,$G795))</f>
        <v/>
      </c>
      <c r="T795" s="40" t="str">
        <f aca="false">IF($B795="","",IF($C795="","NIK kosong",IF(LEN($C795)&lt;&gt;16,"NIK bukan 16 digit",IF(COUNTIF($C$4:$C$2003,$C795&amp;"*")&gt;1,"NIK ganda",IF($E795="","Kadus kosong",IF($F795="","RT kosong",IF($H795="","Jabatan kosong",IF($I795="","No. HP kosong",IF($J795="","Alamat kosong",IF(AND($M795&lt;&gt;"",$M795&lt;17),"Usia di bawah 17",""))))))))))</f>
        <v/>
      </c>
      <c r="U795" s="40" t="str">
        <f aca="false">IF($B795="","",IF(AND(OR(CARI!$C$5="",ISNUMBER(SEARCH(CARI!$C$5,$B795&amp;" "&amp;$C795&amp;" "&amp;$I795&amp;" "&amp;$J795&amp;" "&amp;$Q795))),OR(CARI!$C$6="",$E795=CARI!$C$6),OR(CARI!$C$7="",$F795=CARI!$C$7),OR(CARI!$C$8="",$O795=CARI!$C$8)),MAX($U$3:U794)+1,""))</f>
        <v/>
      </c>
      <c r="V795" s="40" t="str">
        <f aca="false">IF($T795="","",MAX($V$3:V794)+1)</f>
        <v/>
      </c>
      <c r="W795" s="40" t="str">
        <f aca="false">IF($E795="","",$E795&amp;"#"&amp;COUNTIF($E$4:$E795,$E795))</f>
        <v/>
      </c>
      <c r="X795" s="40" t="str">
        <f aca="false">IF($B795="","",IF(AND(OR(CETAK!$J$10="",$E795=CETAK!$J$10),OR(CETAK!$J$11="",$F795=CETAK!$J$11),OR(CETAK!$J$12="",$K795=CETAK!$J$12),OR(CETAK!$J$13="",$H795=CETAK!$J$13),OR(CETAK!$J$14="",$O795=CETAK!$J$14)),MAX($X$3:X794)+1,""))</f>
        <v/>
      </c>
      <c r="Y795" s="40" t="str">
        <f aca="false">IF($B795="","",IF(AND(OR(ABSENSI!$H$10="",$E795=ABSENSI!$H$10),OR(ABSENSI!$H$11="",$F795=ABSENSI!$H$11),OR(ABSENSI!$H$12="",$K795=ABSENSI!$H$12)),MAX($Y$3:Y794)+1,""))</f>
        <v/>
      </c>
      <c r="Z795" s="40" t="str">
        <f aca="false">IF($B795="","",IF(AND(OR(KARTU!$K$6="",$E795=KARTU!$K$6),OR(KARTU!$K$7="",$F795=KARTU!$K$7),OR(KARTU!$K$8="",$K795=KARTU!$K$8)),MAX($Z$3:Z794)+1,""))</f>
        <v/>
      </c>
    </row>
    <row r="796" customFormat="false" ht="15" hidden="false" customHeight="false" outlineLevel="0" collapsed="false">
      <c r="A796" s="36" t="str">
        <f aca="false">IF($B796="","",COUNTA($B$4:$B796))</f>
        <v/>
      </c>
      <c r="B796" s="37"/>
      <c r="C796" s="38"/>
      <c r="D796" s="39"/>
      <c r="E796" s="37"/>
      <c r="F796" s="39"/>
      <c r="G796" s="40" t="str">
        <f aca="false">IF(OR($E796="",$F796=""),"",$E796&amp;" - RT "&amp;$F796)</f>
        <v/>
      </c>
      <c r="H796" s="37"/>
      <c r="I796" s="38"/>
      <c r="J796" s="37"/>
      <c r="K796" s="39"/>
      <c r="L796" s="41"/>
      <c r="M796" s="36" t="str">
        <f aca="true">IF(OR($B796="",$L796=""),"",DATEDIF($L796,TODAY(),"Y"))</f>
        <v/>
      </c>
      <c r="N796" s="40" t="str">
        <f aca="false">IF($M796="","",INDEX(usia_label,MATCH($M796,usia_min,1)))</f>
        <v/>
      </c>
      <c r="O796" s="37"/>
      <c r="P796" s="41"/>
      <c r="Q796" s="37"/>
      <c r="R796" s="37"/>
      <c r="S796" s="40" t="str">
        <f aca="false">IF($G796="","",$G796&amp;"#"&amp;COUNTIF($G$4:$G796,$G796))</f>
        <v/>
      </c>
      <c r="T796" s="40" t="str">
        <f aca="false">IF($B796="","",IF($C796="","NIK kosong",IF(LEN($C796)&lt;&gt;16,"NIK bukan 16 digit",IF(COUNTIF($C$4:$C$2003,$C796&amp;"*")&gt;1,"NIK ganda",IF($E796="","Kadus kosong",IF($F796="","RT kosong",IF($H796="","Jabatan kosong",IF($I796="","No. HP kosong",IF($J796="","Alamat kosong",IF(AND($M796&lt;&gt;"",$M796&lt;17),"Usia di bawah 17",""))))))))))</f>
        <v/>
      </c>
      <c r="U796" s="40" t="str">
        <f aca="false">IF($B796="","",IF(AND(OR(CARI!$C$5="",ISNUMBER(SEARCH(CARI!$C$5,$B796&amp;" "&amp;$C796&amp;" "&amp;$I796&amp;" "&amp;$J796&amp;" "&amp;$Q796))),OR(CARI!$C$6="",$E796=CARI!$C$6),OR(CARI!$C$7="",$F796=CARI!$C$7),OR(CARI!$C$8="",$O796=CARI!$C$8)),MAX($U$3:U795)+1,""))</f>
        <v/>
      </c>
      <c r="V796" s="40" t="str">
        <f aca="false">IF($T796="","",MAX($V$3:V795)+1)</f>
        <v/>
      </c>
      <c r="W796" s="40" t="str">
        <f aca="false">IF($E796="","",$E796&amp;"#"&amp;COUNTIF($E$4:$E796,$E796))</f>
        <v/>
      </c>
      <c r="X796" s="40" t="str">
        <f aca="false">IF($B796="","",IF(AND(OR(CETAK!$J$10="",$E796=CETAK!$J$10),OR(CETAK!$J$11="",$F796=CETAK!$J$11),OR(CETAK!$J$12="",$K796=CETAK!$J$12),OR(CETAK!$J$13="",$H796=CETAK!$J$13),OR(CETAK!$J$14="",$O796=CETAK!$J$14)),MAX($X$3:X795)+1,""))</f>
        <v/>
      </c>
      <c r="Y796" s="40" t="str">
        <f aca="false">IF($B796="","",IF(AND(OR(ABSENSI!$H$10="",$E796=ABSENSI!$H$10),OR(ABSENSI!$H$11="",$F796=ABSENSI!$H$11),OR(ABSENSI!$H$12="",$K796=ABSENSI!$H$12)),MAX($Y$3:Y795)+1,""))</f>
        <v/>
      </c>
      <c r="Z796" s="40" t="str">
        <f aca="false">IF($B796="","",IF(AND(OR(KARTU!$K$6="",$E796=KARTU!$K$6),OR(KARTU!$K$7="",$F796=KARTU!$K$7),OR(KARTU!$K$8="",$K796=KARTU!$K$8)),MAX($Z$3:Z795)+1,""))</f>
        <v/>
      </c>
    </row>
    <row r="797" customFormat="false" ht="15" hidden="false" customHeight="false" outlineLevel="0" collapsed="false">
      <c r="A797" s="36" t="str">
        <f aca="false">IF($B797="","",COUNTA($B$4:$B797))</f>
        <v/>
      </c>
      <c r="B797" s="37"/>
      <c r="C797" s="38"/>
      <c r="D797" s="39"/>
      <c r="E797" s="37"/>
      <c r="F797" s="39"/>
      <c r="G797" s="40" t="str">
        <f aca="false">IF(OR($E797="",$F797=""),"",$E797&amp;" - RT "&amp;$F797)</f>
        <v/>
      </c>
      <c r="H797" s="37"/>
      <c r="I797" s="38"/>
      <c r="J797" s="37"/>
      <c r="K797" s="39"/>
      <c r="L797" s="41"/>
      <c r="M797" s="36" t="str">
        <f aca="true">IF(OR($B797="",$L797=""),"",DATEDIF($L797,TODAY(),"Y"))</f>
        <v/>
      </c>
      <c r="N797" s="40" t="str">
        <f aca="false">IF($M797="","",INDEX(usia_label,MATCH($M797,usia_min,1)))</f>
        <v/>
      </c>
      <c r="O797" s="37"/>
      <c r="P797" s="41"/>
      <c r="Q797" s="37"/>
      <c r="R797" s="37"/>
      <c r="S797" s="40" t="str">
        <f aca="false">IF($G797="","",$G797&amp;"#"&amp;COUNTIF($G$4:$G797,$G797))</f>
        <v/>
      </c>
      <c r="T797" s="40" t="str">
        <f aca="false">IF($B797="","",IF($C797="","NIK kosong",IF(LEN($C797)&lt;&gt;16,"NIK bukan 16 digit",IF(COUNTIF($C$4:$C$2003,$C797&amp;"*")&gt;1,"NIK ganda",IF($E797="","Kadus kosong",IF($F797="","RT kosong",IF($H797="","Jabatan kosong",IF($I797="","No. HP kosong",IF($J797="","Alamat kosong",IF(AND($M797&lt;&gt;"",$M797&lt;17),"Usia di bawah 17",""))))))))))</f>
        <v/>
      </c>
      <c r="U797" s="40" t="str">
        <f aca="false">IF($B797="","",IF(AND(OR(CARI!$C$5="",ISNUMBER(SEARCH(CARI!$C$5,$B797&amp;" "&amp;$C797&amp;" "&amp;$I797&amp;" "&amp;$J797&amp;" "&amp;$Q797))),OR(CARI!$C$6="",$E797=CARI!$C$6),OR(CARI!$C$7="",$F797=CARI!$C$7),OR(CARI!$C$8="",$O797=CARI!$C$8)),MAX($U$3:U796)+1,""))</f>
        <v/>
      </c>
      <c r="V797" s="40" t="str">
        <f aca="false">IF($T797="","",MAX($V$3:V796)+1)</f>
        <v/>
      </c>
      <c r="W797" s="40" t="str">
        <f aca="false">IF($E797="","",$E797&amp;"#"&amp;COUNTIF($E$4:$E797,$E797))</f>
        <v/>
      </c>
      <c r="X797" s="40" t="str">
        <f aca="false">IF($B797="","",IF(AND(OR(CETAK!$J$10="",$E797=CETAK!$J$10),OR(CETAK!$J$11="",$F797=CETAK!$J$11),OR(CETAK!$J$12="",$K797=CETAK!$J$12),OR(CETAK!$J$13="",$H797=CETAK!$J$13),OR(CETAK!$J$14="",$O797=CETAK!$J$14)),MAX($X$3:X796)+1,""))</f>
        <v/>
      </c>
      <c r="Y797" s="40" t="str">
        <f aca="false">IF($B797="","",IF(AND(OR(ABSENSI!$H$10="",$E797=ABSENSI!$H$10),OR(ABSENSI!$H$11="",$F797=ABSENSI!$H$11),OR(ABSENSI!$H$12="",$K797=ABSENSI!$H$12)),MAX($Y$3:Y796)+1,""))</f>
        <v/>
      </c>
      <c r="Z797" s="40" t="str">
        <f aca="false">IF($B797="","",IF(AND(OR(KARTU!$K$6="",$E797=KARTU!$K$6),OR(KARTU!$K$7="",$F797=KARTU!$K$7),OR(KARTU!$K$8="",$K797=KARTU!$K$8)),MAX($Z$3:Z796)+1,""))</f>
        <v/>
      </c>
    </row>
    <row r="798" customFormat="false" ht="15" hidden="false" customHeight="false" outlineLevel="0" collapsed="false">
      <c r="A798" s="36" t="str">
        <f aca="false">IF($B798="","",COUNTA($B$4:$B798))</f>
        <v/>
      </c>
      <c r="B798" s="37"/>
      <c r="C798" s="38"/>
      <c r="D798" s="39"/>
      <c r="E798" s="37"/>
      <c r="F798" s="39"/>
      <c r="G798" s="40" t="str">
        <f aca="false">IF(OR($E798="",$F798=""),"",$E798&amp;" - RT "&amp;$F798)</f>
        <v/>
      </c>
      <c r="H798" s="37"/>
      <c r="I798" s="38"/>
      <c r="J798" s="37"/>
      <c r="K798" s="39"/>
      <c r="L798" s="41"/>
      <c r="M798" s="36" t="str">
        <f aca="true">IF(OR($B798="",$L798=""),"",DATEDIF($L798,TODAY(),"Y"))</f>
        <v/>
      </c>
      <c r="N798" s="40" t="str">
        <f aca="false">IF($M798="","",INDEX(usia_label,MATCH($M798,usia_min,1)))</f>
        <v/>
      </c>
      <c r="O798" s="37"/>
      <c r="P798" s="41"/>
      <c r="Q798" s="37"/>
      <c r="R798" s="37"/>
      <c r="S798" s="40" t="str">
        <f aca="false">IF($G798="","",$G798&amp;"#"&amp;COUNTIF($G$4:$G798,$G798))</f>
        <v/>
      </c>
      <c r="T798" s="40" t="str">
        <f aca="false">IF($B798="","",IF($C798="","NIK kosong",IF(LEN($C798)&lt;&gt;16,"NIK bukan 16 digit",IF(COUNTIF($C$4:$C$2003,$C798&amp;"*")&gt;1,"NIK ganda",IF($E798="","Kadus kosong",IF($F798="","RT kosong",IF($H798="","Jabatan kosong",IF($I798="","No. HP kosong",IF($J798="","Alamat kosong",IF(AND($M798&lt;&gt;"",$M798&lt;17),"Usia di bawah 17",""))))))))))</f>
        <v/>
      </c>
      <c r="U798" s="40" t="str">
        <f aca="false">IF($B798="","",IF(AND(OR(CARI!$C$5="",ISNUMBER(SEARCH(CARI!$C$5,$B798&amp;" "&amp;$C798&amp;" "&amp;$I798&amp;" "&amp;$J798&amp;" "&amp;$Q798))),OR(CARI!$C$6="",$E798=CARI!$C$6),OR(CARI!$C$7="",$F798=CARI!$C$7),OR(CARI!$C$8="",$O798=CARI!$C$8)),MAX($U$3:U797)+1,""))</f>
        <v/>
      </c>
      <c r="V798" s="40" t="str">
        <f aca="false">IF($T798="","",MAX($V$3:V797)+1)</f>
        <v/>
      </c>
      <c r="W798" s="40" t="str">
        <f aca="false">IF($E798="","",$E798&amp;"#"&amp;COUNTIF($E$4:$E798,$E798))</f>
        <v/>
      </c>
      <c r="X798" s="40" t="str">
        <f aca="false">IF($B798="","",IF(AND(OR(CETAK!$J$10="",$E798=CETAK!$J$10),OR(CETAK!$J$11="",$F798=CETAK!$J$11),OR(CETAK!$J$12="",$K798=CETAK!$J$12),OR(CETAK!$J$13="",$H798=CETAK!$J$13),OR(CETAK!$J$14="",$O798=CETAK!$J$14)),MAX($X$3:X797)+1,""))</f>
        <v/>
      </c>
      <c r="Y798" s="40" t="str">
        <f aca="false">IF($B798="","",IF(AND(OR(ABSENSI!$H$10="",$E798=ABSENSI!$H$10),OR(ABSENSI!$H$11="",$F798=ABSENSI!$H$11),OR(ABSENSI!$H$12="",$K798=ABSENSI!$H$12)),MAX($Y$3:Y797)+1,""))</f>
        <v/>
      </c>
      <c r="Z798" s="40" t="str">
        <f aca="false">IF($B798="","",IF(AND(OR(KARTU!$K$6="",$E798=KARTU!$K$6),OR(KARTU!$K$7="",$F798=KARTU!$K$7),OR(KARTU!$K$8="",$K798=KARTU!$K$8)),MAX($Z$3:Z797)+1,""))</f>
        <v/>
      </c>
    </row>
    <row r="799" customFormat="false" ht="15" hidden="false" customHeight="false" outlineLevel="0" collapsed="false">
      <c r="A799" s="36" t="str">
        <f aca="false">IF($B799="","",COUNTA($B$4:$B799))</f>
        <v/>
      </c>
      <c r="B799" s="37"/>
      <c r="C799" s="38"/>
      <c r="D799" s="39"/>
      <c r="E799" s="37"/>
      <c r="F799" s="39"/>
      <c r="G799" s="40" t="str">
        <f aca="false">IF(OR($E799="",$F799=""),"",$E799&amp;" - RT "&amp;$F799)</f>
        <v/>
      </c>
      <c r="H799" s="37"/>
      <c r="I799" s="38"/>
      <c r="J799" s="37"/>
      <c r="K799" s="39"/>
      <c r="L799" s="41"/>
      <c r="M799" s="36" t="str">
        <f aca="true">IF(OR($B799="",$L799=""),"",DATEDIF($L799,TODAY(),"Y"))</f>
        <v/>
      </c>
      <c r="N799" s="40" t="str">
        <f aca="false">IF($M799="","",INDEX(usia_label,MATCH($M799,usia_min,1)))</f>
        <v/>
      </c>
      <c r="O799" s="37"/>
      <c r="P799" s="41"/>
      <c r="Q799" s="37"/>
      <c r="R799" s="37"/>
      <c r="S799" s="40" t="str">
        <f aca="false">IF($G799="","",$G799&amp;"#"&amp;COUNTIF($G$4:$G799,$G799))</f>
        <v/>
      </c>
      <c r="T799" s="40" t="str">
        <f aca="false">IF($B799="","",IF($C799="","NIK kosong",IF(LEN($C799)&lt;&gt;16,"NIK bukan 16 digit",IF(COUNTIF($C$4:$C$2003,$C799&amp;"*")&gt;1,"NIK ganda",IF($E799="","Kadus kosong",IF($F799="","RT kosong",IF($H799="","Jabatan kosong",IF($I799="","No. HP kosong",IF($J799="","Alamat kosong",IF(AND($M799&lt;&gt;"",$M799&lt;17),"Usia di bawah 17",""))))))))))</f>
        <v/>
      </c>
      <c r="U799" s="40" t="str">
        <f aca="false">IF($B799="","",IF(AND(OR(CARI!$C$5="",ISNUMBER(SEARCH(CARI!$C$5,$B799&amp;" "&amp;$C799&amp;" "&amp;$I799&amp;" "&amp;$J799&amp;" "&amp;$Q799))),OR(CARI!$C$6="",$E799=CARI!$C$6),OR(CARI!$C$7="",$F799=CARI!$C$7),OR(CARI!$C$8="",$O799=CARI!$C$8)),MAX($U$3:U798)+1,""))</f>
        <v/>
      </c>
      <c r="V799" s="40" t="str">
        <f aca="false">IF($T799="","",MAX($V$3:V798)+1)</f>
        <v/>
      </c>
      <c r="W799" s="40" t="str">
        <f aca="false">IF($E799="","",$E799&amp;"#"&amp;COUNTIF($E$4:$E799,$E799))</f>
        <v/>
      </c>
      <c r="X799" s="40" t="str">
        <f aca="false">IF($B799="","",IF(AND(OR(CETAK!$J$10="",$E799=CETAK!$J$10),OR(CETAK!$J$11="",$F799=CETAK!$J$11),OR(CETAK!$J$12="",$K799=CETAK!$J$12),OR(CETAK!$J$13="",$H799=CETAK!$J$13),OR(CETAK!$J$14="",$O799=CETAK!$J$14)),MAX($X$3:X798)+1,""))</f>
        <v/>
      </c>
      <c r="Y799" s="40" t="str">
        <f aca="false">IF($B799="","",IF(AND(OR(ABSENSI!$H$10="",$E799=ABSENSI!$H$10),OR(ABSENSI!$H$11="",$F799=ABSENSI!$H$11),OR(ABSENSI!$H$12="",$K799=ABSENSI!$H$12)),MAX($Y$3:Y798)+1,""))</f>
        <v/>
      </c>
      <c r="Z799" s="40" t="str">
        <f aca="false">IF($B799="","",IF(AND(OR(KARTU!$K$6="",$E799=KARTU!$K$6),OR(KARTU!$K$7="",$F799=KARTU!$K$7),OR(KARTU!$K$8="",$K799=KARTU!$K$8)),MAX($Z$3:Z798)+1,""))</f>
        <v/>
      </c>
    </row>
    <row r="800" customFormat="false" ht="15" hidden="false" customHeight="false" outlineLevel="0" collapsed="false">
      <c r="A800" s="36" t="str">
        <f aca="false">IF($B800="","",COUNTA($B$4:$B800))</f>
        <v/>
      </c>
      <c r="B800" s="37"/>
      <c r="C800" s="38"/>
      <c r="D800" s="39"/>
      <c r="E800" s="37"/>
      <c r="F800" s="39"/>
      <c r="G800" s="40" t="str">
        <f aca="false">IF(OR($E800="",$F800=""),"",$E800&amp;" - RT "&amp;$F800)</f>
        <v/>
      </c>
      <c r="H800" s="37"/>
      <c r="I800" s="38"/>
      <c r="J800" s="37"/>
      <c r="K800" s="39"/>
      <c r="L800" s="41"/>
      <c r="M800" s="36" t="str">
        <f aca="true">IF(OR($B800="",$L800=""),"",DATEDIF($L800,TODAY(),"Y"))</f>
        <v/>
      </c>
      <c r="N800" s="40" t="str">
        <f aca="false">IF($M800="","",INDEX(usia_label,MATCH($M800,usia_min,1)))</f>
        <v/>
      </c>
      <c r="O800" s="37"/>
      <c r="P800" s="41"/>
      <c r="Q800" s="37"/>
      <c r="R800" s="37"/>
      <c r="S800" s="40" t="str">
        <f aca="false">IF($G800="","",$G800&amp;"#"&amp;COUNTIF($G$4:$G800,$G800))</f>
        <v/>
      </c>
      <c r="T800" s="40" t="str">
        <f aca="false">IF($B800="","",IF($C800="","NIK kosong",IF(LEN($C800)&lt;&gt;16,"NIK bukan 16 digit",IF(COUNTIF($C$4:$C$2003,$C800&amp;"*")&gt;1,"NIK ganda",IF($E800="","Kadus kosong",IF($F800="","RT kosong",IF($H800="","Jabatan kosong",IF($I800="","No. HP kosong",IF($J800="","Alamat kosong",IF(AND($M800&lt;&gt;"",$M800&lt;17),"Usia di bawah 17",""))))))))))</f>
        <v/>
      </c>
      <c r="U800" s="40" t="str">
        <f aca="false">IF($B800="","",IF(AND(OR(CARI!$C$5="",ISNUMBER(SEARCH(CARI!$C$5,$B800&amp;" "&amp;$C800&amp;" "&amp;$I800&amp;" "&amp;$J800&amp;" "&amp;$Q800))),OR(CARI!$C$6="",$E800=CARI!$C$6),OR(CARI!$C$7="",$F800=CARI!$C$7),OR(CARI!$C$8="",$O800=CARI!$C$8)),MAX($U$3:U799)+1,""))</f>
        <v/>
      </c>
      <c r="V800" s="40" t="str">
        <f aca="false">IF($T800="","",MAX($V$3:V799)+1)</f>
        <v/>
      </c>
      <c r="W800" s="40" t="str">
        <f aca="false">IF($E800="","",$E800&amp;"#"&amp;COUNTIF($E$4:$E800,$E800))</f>
        <v/>
      </c>
      <c r="X800" s="40" t="str">
        <f aca="false">IF($B800="","",IF(AND(OR(CETAK!$J$10="",$E800=CETAK!$J$10),OR(CETAK!$J$11="",$F800=CETAK!$J$11),OR(CETAK!$J$12="",$K800=CETAK!$J$12),OR(CETAK!$J$13="",$H800=CETAK!$J$13),OR(CETAK!$J$14="",$O800=CETAK!$J$14)),MAX($X$3:X799)+1,""))</f>
        <v/>
      </c>
      <c r="Y800" s="40" t="str">
        <f aca="false">IF($B800="","",IF(AND(OR(ABSENSI!$H$10="",$E800=ABSENSI!$H$10),OR(ABSENSI!$H$11="",$F800=ABSENSI!$H$11),OR(ABSENSI!$H$12="",$K800=ABSENSI!$H$12)),MAX($Y$3:Y799)+1,""))</f>
        <v/>
      </c>
      <c r="Z800" s="40" t="str">
        <f aca="false">IF($B800="","",IF(AND(OR(KARTU!$K$6="",$E800=KARTU!$K$6),OR(KARTU!$K$7="",$F800=KARTU!$K$7),OR(KARTU!$K$8="",$K800=KARTU!$K$8)),MAX($Z$3:Z799)+1,""))</f>
        <v/>
      </c>
    </row>
    <row r="801" customFormat="false" ht="15" hidden="false" customHeight="false" outlineLevel="0" collapsed="false">
      <c r="A801" s="36" t="str">
        <f aca="false">IF($B801="","",COUNTA($B$4:$B801))</f>
        <v/>
      </c>
      <c r="B801" s="37"/>
      <c r="C801" s="38"/>
      <c r="D801" s="39"/>
      <c r="E801" s="37"/>
      <c r="F801" s="39"/>
      <c r="G801" s="40" t="str">
        <f aca="false">IF(OR($E801="",$F801=""),"",$E801&amp;" - RT "&amp;$F801)</f>
        <v/>
      </c>
      <c r="H801" s="37"/>
      <c r="I801" s="38"/>
      <c r="J801" s="37"/>
      <c r="K801" s="39"/>
      <c r="L801" s="41"/>
      <c r="M801" s="36" t="str">
        <f aca="true">IF(OR($B801="",$L801=""),"",DATEDIF($L801,TODAY(),"Y"))</f>
        <v/>
      </c>
      <c r="N801" s="40" t="str">
        <f aca="false">IF($M801="","",INDEX(usia_label,MATCH($M801,usia_min,1)))</f>
        <v/>
      </c>
      <c r="O801" s="37"/>
      <c r="P801" s="41"/>
      <c r="Q801" s="37"/>
      <c r="R801" s="37"/>
      <c r="S801" s="40" t="str">
        <f aca="false">IF($G801="","",$G801&amp;"#"&amp;COUNTIF($G$4:$G801,$G801))</f>
        <v/>
      </c>
      <c r="T801" s="40" t="str">
        <f aca="false">IF($B801="","",IF($C801="","NIK kosong",IF(LEN($C801)&lt;&gt;16,"NIK bukan 16 digit",IF(COUNTIF($C$4:$C$2003,$C801&amp;"*")&gt;1,"NIK ganda",IF($E801="","Kadus kosong",IF($F801="","RT kosong",IF($H801="","Jabatan kosong",IF($I801="","No. HP kosong",IF($J801="","Alamat kosong",IF(AND($M801&lt;&gt;"",$M801&lt;17),"Usia di bawah 17",""))))))))))</f>
        <v/>
      </c>
      <c r="U801" s="40" t="str">
        <f aca="false">IF($B801="","",IF(AND(OR(CARI!$C$5="",ISNUMBER(SEARCH(CARI!$C$5,$B801&amp;" "&amp;$C801&amp;" "&amp;$I801&amp;" "&amp;$J801&amp;" "&amp;$Q801))),OR(CARI!$C$6="",$E801=CARI!$C$6),OR(CARI!$C$7="",$F801=CARI!$C$7),OR(CARI!$C$8="",$O801=CARI!$C$8)),MAX($U$3:U800)+1,""))</f>
        <v/>
      </c>
      <c r="V801" s="40" t="str">
        <f aca="false">IF($T801="","",MAX($V$3:V800)+1)</f>
        <v/>
      </c>
      <c r="W801" s="40" t="str">
        <f aca="false">IF($E801="","",$E801&amp;"#"&amp;COUNTIF($E$4:$E801,$E801))</f>
        <v/>
      </c>
      <c r="X801" s="40" t="str">
        <f aca="false">IF($B801="","",IF(AND(OR(CETAK!$J$10="",$E801=CETAK!$J$10),OR(CETAK!$J$11="",$F801=CETAK!$J$11),OR(CETAK!$J$12="",$K801=CETAK!$J$12),OR(CETAK!$J$13="",$H801=CETAK!$J$13),OR(CETAK!$J$14="",$O801=CETAK!$J$14)),MAX($X$3:X800)+1,""))</f>
        <v/>
      </c>
      <c r="Y801" s="40" t="str">
        <f aca="false">IF($B801="","",IF(AND(OR(ABSENSI!$H$10="",$E801=ABSENSI!$H$10),OR(ABSENSI!$H$11="",$F801=ABSENSI!$H$11),OR(ABSENSI!$H$12="",$K801=ABSENSI!$H$12)),MAX($Y$3:Y800)+1,""))</f>
        <v/>
      </c>
      <c r="Z801" s="40" t="str">
        <f aca="false">IF($B801="","",IF(AND(OR(KARTU!$K$6="",$E801=KARTU!$K$6),OR(KARTU!$K$7="",$F801=KARTU!$K$7),OR(KARTU!$K$8="",$K801=KARTU!$K$8)),MAX($Z$3:Z800)+1,""))</f>
        <v/>
      </c>
    </row>
    <row r="802" customFormat="false" ht="15" hidden="false" customHeight="false" outlineLevel="0" collapsed="false">
      <c r="A802" s="36" t="str">
        <f aca="false">IF($B802="","",COUNTA($B$4:$B802))</f>
        <v/>
      </c>
      <c r="B802" s="37"/>
      <c r="C802" s="38"/>
      <c r="D802" s="39"/>
      <c r="E802" s="37"/>
      <c r="F802" s="39"/>
      <c r="G802" s="40" t="str">
        <f aca="false">IF(OR($E802="",$F802=""),"",$E802&amp;" - RT "&amp;$F802)</f>
        <v/>
      </c>
      <c r="H802" s="37"/>
      <c r="I802" s="38"/>
      <c r="J802" s="37"/>
      <c r="K802" s="39"/>
      <c r="L802" s="41"/>
      <c r="M802" s="36" t="str">
        <f aca="true">IF(OR($B802="",$L802=""),"",DATEDIF($L802,TODAY(),"Y"))</f>
        <v/>
      </c>
      <c r="N802" s="40" t="str">
        <f aca="false">IF($M802="","",INDEX(usia_label,MATCH($M802,usia_min,1)))</f>
        <v/>
      </c>
      <c r="O802" s="37"/>
      <c r="P802" s="41"/>
      <c r="Q802" s="37"/>
      <c r="R802" s="37"/>
      <c r="S802" s="40" t="str">
        <f aca="false">IF($G802="","",$G802&amp;"#"&amp;COUNTIF($G$4:$G802,$G802))</f>
        <v/>
      </c>
      <c r="T802" s="40" t="str">
        <f aca="false">IF($B802="","",IF($C802="","NIK kosong",IF(LEN($C802)&lt;&gt;16,"NIK bukan 16 digit",IF(COUNTIF($C$4:$C$2003,$C802&amp;"*")&gt;1,"NIK ganda",IF($E802="","Kadus kosong",IF($F802="","RT kosong",IF($H802="","Jabatan kosong",IF($I802="","No. HP kosong",IF($J802="","Alamat kosong",IF(AND($M802&lt;&gt;"",$M802&lt;17),"Usia di bawah 17",""))))))))))</f>
        <v/>
      </c>
      <c r="U802" s="40" t="str">
        <f aca="false">IF($B802="","",IF(AND(OR(CARI!$C$5="",ISNUMBER(SEARCH(CARI!$C$5,$B802&amp;" "&amp;$C802&amp;" "&amp;$I802&amp;" "&amp;$J802&amp;" "&amp;$Q802))),OR(CARI!$C$6="",$E802=CARI!$C$6),OR(CARI!$C$7="",$F802=CARI!$C$7),OR(CARI!$C$8="",$O802=CARI!$C$8)),MAX($U$3:U801)+1,""))</f>
        <v/>
      </c>
      <c r="V802" s="40" t="str">
        <f aca="false">IF($T802="","",MAX($V$3:V801)+1)</f>
        <v/>
      </c>
      <c r="W802" s="40" t="str">
        <f aca="false">IF($E802="","",$E802&amp;"#"&amp;COUNTIF($E$4:$E802,$E802))</f>
        <v/>
      </c>
      <c r="X802" s="40" t="str">
        <f aca="false">IF($B802="","",IF(AND(OR(CETAK!$J$10="",$E802=CETAK!$J$10),OR(CETAK!$J$11="",$F802=CETAK!$J$11),OR(CETAK!$J$12="",$K802=CETAK!$J$12),OR(CETAK!$J$13="",$H802=CETAK!$J$13),OR(CETAK!$J$14="",$O802=CETAK!$J$14)),MAX($X$3:X801)+1,""))</f>
        <v/>
      </c>
      <c r="Y802" s="40" t="str">
        <f aca="false">IF($B802="","",IF(AND(OR(ABSENSI!$H$10="",$E802=ABSENSI!$H$10),OR(ABSENSI!$H$11="",$F802=ABSENSI!$H$11),OR(ABSENSI!$H$12="",$K802=ABSENSI!$H$12)),MAX($Y$3:Y801)+1,""))</f>
        <v/>
      </c>
      <c r="Z802" s="40" t="str">
        <f aca="false">IF($B802="","",IF(AND(OR(KARTU!$K$6="",$E802=KARTU!$K$6),OR(KARTU!$K$7="",$F802=KARTU!$K$7),OR(KARTU!$K$8="",$K802=KARTU!$K$8)),MAX($Z$3:Z801)+1,""))</f>
        <v/>
      </c>
    </row>
    <row r="803" customFormat="false" ht="15" hidden="false" customHeight="false" outlineLevel="0" collapsed="false">
      <c r="A803" s="36" t="str">
        <f aca="false">IF($B803="","",COUNTA($B$4:$B803))</f>
        <v/>
      </c>
      <c r="B803" s="37"/>
      <c r="C803" s="38"/>
      <c r="D803" s="39"/>
      <c r="E803" s="37"/>
      <c r="F803" s="39"/>
      <c r="G803" s="40" t="str">
        <f aca="false">IF(OR($E803="",$F803=""),"",$E803&amp;" - RT "&amp;$F803)</f>
        <v/>
      </c>
      <c r="H803" s="37"/>
      <c r="I803" s="38"/>
      <c r="J803" s="37"/>
      <c r="K803" s="39"/>
      <c r="L803" s="41"/>
      <c r="M803" s="36" t="str">
        <f aca="true">IF(OR($B803="",$L803=""),"",DATEDIF($L803,TODAY(),"Y"))</f>
        <v/>
      </c>
      <c r="N803" s="40" t="str">
        <f aca="false">IF($M803="","",INDEX(usia_label,MATCH($M803,usia_min,1)))</f>
        <v/>
      </c>
      <c r="O803" s="37"/>
      <c r="P803" s="41"/>
      <c r="Q803" s="37"/>
      <c r="R803" s="37"/>
      <c r="S803" s="40" t="str">
        <f aca="false">IF($G803="","",$G803&amp;"#"&amp;COUNTIF($G$4:$G803,$G803))</f>
        <v/>
      </c>
      <c r="T803" s="40" t="str">
        <f aca="false">IF($B803="","",IF($C803="","NIK kosong",IF(LEN($C803)&lt;&gt;16,"NIK bukan 16 digit",IF(COUNTIF($C$4:$C$2003,$C803&amp;"*")&gt;1,"NIK ganda",IF($E803="","Kadus kosong",IF($F803="","RT kosong",IF($H803="","Jabatan kosong",IF($I803="","No. HP kosong",IF($J803="","Alamat kosong",IF(AND($M803&lt;&gt;"",$M803&lt;17),"Usia di bawah 17",""))))))))))</f>
        <v/>
      </c>
      <c r="U803" s="40" t="str">
        <f aca="false">IF($B803="","",IF(AND(OR(CARI!$C$5="",ISNUMBER(SEARCH(CARI!$C$5,$B803&amp;" "&amp;$C803&amp;" "&amp;$I803&amp;" "&amp;$J803&amp;" "&amp;$Q803))),OR(CARI!$C$6="",$E803=CARI!$C$6),OR(CARI!$C$7="",$F803=CARI!$C$7),OR(CARI!$C$8="",$O803=CARI!$C$8)),MAX($U$3:U802)+1,""))</f>
        <v/>
      </c>
      <c r="V803" s="40" t="str">
        <f aca="false">IF($T803="","",MAX($V$3:V802)+1)</f>
        <v/>
      </c>
      <c r="W803" s="40" t="str">
        <f aca="false">IF($E803="","",$E803&amp;"#"&amp;COUNTIF($E$4:$E803,$E803))</f>
        <v/>
      </c>
      <c r="X803" s="40" t="str">
        <f aca="false">IF($B803="","",IF(AND(OR(CETAK!$J$10="",$E803=CETAK!$J$10),OR(CETAK!$J$11="",$F803=CETAK!$J$11),OR(CETAK!$J$12="",$K803=CETAK!$J$12),OR(CETAK!$J$13="",$H803=CETAK!$J$13),OR(CETAK!$J$14="",$O803=CETAK!$J$14)),MAX($X$3:X802)+1,""))</f>
        <v/>
      </c>
      <c r="Y803" s="40" t="str">
        <f aca="false">IF($B803="","",IF(AND(OR(ABSENSI!$H$10="",$E803=ABSENSI!$H$10),OR(ABSENSI!$H$11="",$F803=ABSENSI!$H$11),OR(ABSENSI!$H$12="",$K803=ABSENSI!$H$12)),MAX($Y$3:Y802)+1,""))</f>
        <v/>
      </c>
      <c r="Z803" s="40" t="str">
        <f aca="false">IF($B803="","",IF(AND(OR(KARTU!$K$6="",$E803=KARTU!$K$6),OR(KARTU!$K$7="",$F803=KARTU!$K$7),OR(KARTU!$K$8="",$K803=KARTU!$K$8)),MAX($Z$3:Z802)+1,""))</f>
        <v/>
      </c>
    </row>
    <row r="804" customFormat="false" ht="15" hidden="false" customHeight="false" outlineLevel="0" collapsed="false">
      <c r="A804" s="36" t="str">
        <f aca="false">IF($B804="","",COUNTA($B$4:$B804))</f>
        <v/>
      </c>
      <c r="B804" s="37"/>
      <c r="C804" s="38"/>
      <c r="D804" s="39"/>
      <c r="E804" s="37"/>
      <c r="F804" s="39"/>
      <c r="G804" s="40" t="str">
        <f aca="false">IF(OR($E804="",$F804=""),"",$E804&amp;" - RT "&amp;$F804)</f>
        <v/>
      </c>
      <c r="H804" s="37"/>
      <c r="I804" s="38"/>
      <c r="J804" s="37"/>
      <c r="K804" s="39"/>
      <c r="L804" s="41"/>
      <c r="M804" s="36" t="str">
        <f aca="true">IF(OR($B804="",$L804=""),"",DATEDIF($L804,TODAY(),"Y"))</f>
        <v/>
      </c>
      <c r="N804" s="40" t="str">
        <f aca="false">IF($M804="","",INDEX(usia_label,MATCH($M804,usia_min,1)))</f>
        <v/>
      </c>
      <c r="O804" s="37"/>
      <c r="P804" s="41"/>
      <c r="Q804" s="37"/>
      <c r="R804" s="37"/>
      <c r="S804" s="40" t="str">
        <f aca="false">IF($G804="","",$G804&amp;"#"&amp;COUNTIF($G$4:$G804,$G804))</f>
        <v/>
      </c>
      <c r="T804" s="40" t="str">
        <f aca="false">IF($B804="","",IF($C804="","NIK kosong",IF(LEN($C804)&lt;&gt;16,"NIK bukan 16 digit",IF(COUNTIF($C$4:$C$2003,$C804&amp;"*")&gt;1,"NIK ganda",IF($E804="","Kadus kosong",IF($F804="","RT kosong",IF($H804="","Jabatan kosong",IF($I804="","No. HP kosong",IF($J804="","Alamat kosong",IF(AND($M804&lt;&gt;"",$M804&lt;17),"Usia di bawah 17",""))))))))))</f>
        <v/>
      </c>
      <c r="U804" s="40" t="str">
        <f aca="false">IF($B804="","",IF(AND(OR(CARI!$C$5="",ISNUMBER(SEARCH(CARI!$C$5,$B804&amp;" "&amp;$C804&amp;" "&amp;$I804&amp;" "&amp;$J804&amp;" "&amp;$Q804))),OR(CARI!$C$6="",$E804=CARI!$C$6),OR(CARI!$C$7="",$F804=CARI!$C$7),OR(CARI!$C$8="",$O804=CARI!$C$8)),MAX($U$3:U803)+1,""))</f>
        <v/>
      </c>
      <c r="V804" s="40" t="str">
        <f aca="false">IF($T804="","",MAX($V$3:V803)+1)</f>
        <v/>
      </c>
      <c r="W804" s="40" t="str">
        <f aca="false">IF($E804="","",$E804&amp;"#"&amp;COUNTIF($E$4:$E804,$E804))</f>
        <v/>
      </c>
      <c r="X804" s="40" t="str">
        <f aca="false">IF($B804="","",IF(AND(OR(CETAK!$J$10="",$E804=CETAK!$J$10),OR(CETAK!$J$11="",$F804=CETAK!$J$11),OR(CETAK!$J$12="",$K804=CETAK!$J$12),OR(CETAK!$J$13="",$H804=CETAK!$J$13),OR(CETAK!$J$14="",$O804=CETAK!$J$14)),MAX($X$3:X803)+1,""))</f>
        <v/>
      </c>
      <c r="Y804" s="40" t="str">
        <f aca="false">IF($B804="","",IF(AND(OR(ABSENSI!$H$10="",$E804=ABSENSI!$H$10),OR(ABSENSI!$H$11="",$F804=ABSENSI!$H$11),OR(ABSENSI!$H$12="",$K804=ABSENSI!$H$12)),MAX($Y$3:Y803)+1,""))</f>
        <v/>
      </c>
      <c r="Z804" s="40" t="str">
        <f aca="false">IF($B804="","",IF(AND(OR(KARTU!$K$6="",$E804=KARTU!$K$6),OR(KARTU!$K$7="",$F804=KARTU!$K$7),OR(KARTU!$K$8="",$K804=KARTU!$K$8)),MAX($Z$3:Z803)+1,""))</f>
        <v/>
      </c>
    </row>
    <row r="805" customFormat="false" ht="15" hidden="false" customHeight="false" outlineLevel="0" collapsed="false">
      <c r="A805" s="36" t="str">
        <f aca="false">IF($B805="","",COUNTA($B$4:$B805))</f>
        <v/>
      </c>
      <c r="B805" s="37"/>
      <c r="C805" s="38"/>
      <c r="D805" s="39"/>
      <c r="E805" s="37"/>
      <c r="F805" s="39"/>
      <c r="G805" s="40" t="str">
        <f aca="false">IF(OR($E805="",$F805=""),"",$E805&amp;" - RT "&amp;$F805)</f>
        <v/>
      </c>
      <c r="H805" s="37"/>
      <c r="I805" s="38"/>
      <c r="J805" s="37"/>
      <c r="K805" s="39"/>
      <c r="L805" s="41"/>
      <c r="M805" s="36" t="str">
        <f aca="true">IF(OR($B805="",$L805=""),"",DATEDIF($L805,TODAY(),"Y"))</f>
        <v/>
      </c>
      <c r="N805" s="40" t="str">
        <f aca="false">IF($M805="","",INDEX(usia_label,MATCH($M805,usia_min,1)))</f>
        <v/>
      </c>
      <c r="O805" s="37"/>
      <c r="P805" s="41"/>
      <c r="Q805" s="37"/>
      <c r="R805" s="37"/>
      <c r="S805" s="40" t="str">
        <f aca="false">IF($G805="","",$G805&amp;"#"&amp;COUNTIF($G$4:$G805,$G805))</f>
        <v/>
      </c>
      <c r="T805" s="40" t="str">
        <f aca="false">IF($B805="","",IF($C805="","NIK kosong",IF(LEN($C805)&lt;&gt;16,"NIK bukan 16 digit",IF(COUNTIF($C$4:$C$2003,$C805&amp;"*")&gt;1,"NIK ganda",IF($E805="","Kadus kosong",IF($F805="","RT kosong",IF($H805="","Jabatan kosong",IF($I805="","No. HP kosong",IF($J805="","Alamat kosong",IF(AND($M805&lt;&gt;"",$M805&lt;17),"Usia di bawah 17",""))))))))))</f>
        <v/>
      </c>
      <c r="U805" s="40" t="str">
        <f aca="false">IF($B805="","",IF(AND(OR(CARI!$C$5="",ISNUMBER(SEARCH(CARI!$C$5,$B805&amp;" "&amp;$C805&amp;" "&amp;$I805&amp;" "&amp;$J805&amp;" "&amp;$Q805))),OR(CARI!$C$6="",$E805=CARI!$C$6),OR(CARI!$C$7="",$F805=CARI!$C$7),OR(CARI!$C$8="",$O805=CARI!$C$8)),MAX($U$3:U804)+1,""))</f>
        <v/>
      </c>
      <c r="V805" s="40" t="str">
        <f aca="false">IF($T805="","",MAX($V$3:V804)+1)</f>
        <v/>
      </c>
      <c r="W805" s="40" t="str">
        <f aca="false">IF($E805="","",$E805&amp;"#"&amp;COUNTIF($E$4:$E805,$E805))</f>
        <v/>
      </c>
      <c r="X805" s="40" t="str">
        <f aca="false">IF($B805="","",IF(AND(OR(CETAK!$J$10="",$E805=CETAK!$J$10),OR(CETAK!$J$11="",$F805=CETAK!$J$11),OR(CETAK!$J$12="",$K805=CETAK!$J$12),OR(CETAK!$J$13="",$H805=CETAK!$J$13),OR(CETAK!$J$14="",$O805=CETAK!$J$14)),MAX($X$3:X804)+1,""))</f>
        <v/>
      </c>
      <c r="Y805" s="40" t="str">
        <f aca="false">IF($B805="","",IF(AND(OR(ABSENSI!$H$10="",$E805=ABSENSI!$H$10),OR(ABSENSI!$H$11="",$F805=ABSENSI!$H$11),OR(ABSENSI!$H$12="",$K805=ABSENSI!$H$12)),MAX($Y$3:Y804)+1,""))</f>
        <v/>
      </c>
      <c r="Z805" s="40" t="str">
        <f aca="false">IF($B805="","",IF(AND(OR(KARTU!$K$6="",$E805=KARTU!$K$6),OR(KARTU!$K$7="",$F805=KARTU!$K$7),OR(KARTU!$K$8="",$K805=KARTU!$K$8)),MAX($Z$3:Z804)+1,""))</f>
        <v/>
      </c>
    </row>
    <row r="806" customFormat="false" ht="15" hidden="false" customHeight="false" outlineLevel="0" collapsed="false">
      <c r="A806" s="36" t="str">
        <f aca="false">IF($B806="","",COUNTA($B$4:$B806))</f>
        <v/>
      </c>
      <c r="B806" s="37"/>
      <c r="C806" s="38"/>
      <c r="D806" s="39"/>
      <c r="E806" s="37"/>
      <c r="F806" s="39"/>
      <c r="G806" s="40" t="str">
        <f aca="false">IF(OR($E806="",$F806=""),"",$E806&amp;" - RT "&amp;$F806)</f>
        <v/>
      </c>
      <c r="H806" s="37"/>
      <c r="I806" s="38"/>
      <c r="J806" s="37"/>
      <c r="K806" s="39"/>
      <c r="L806" s="41"/>
      <c r="M806" s="36" t="str">
        <f aca="true">IF(OR($B806="",$L806=""),"",DATEDIF($L806,TODAY(),"Y"))</f>
        <v/>
      </c>
      <c r="N806" s="40" t="str">
        <f aca="false">IF($M806="","",INDEX(usia_label,MATCH($M806,usia_min,1)))</f>
        <v/>
      </c>
      <c r="O806" s="37"/>
      <c r="P806" s="41"/>
      <c r="Q806" s="37"/>
      <c r="R806" s="37"/>
      <c r="S806" s="40" t="str">
        <f aca="false">IF($G806="","",$G806&amp;"#"&amp;COUNTIF($G$4:$G806,$G806))</f>
        <v/>
      </c>
      <c r="T806" s="40" t="str">
        <f aca="false">IF($B806="","",IF($C806="","NIK kosong",IF(LEN($C806)&lt;&gt;16,"NIK bukan 16 digit",IF(COUNTIF($C$4:$C$2003,$C806&amp;"*")&gt;1,"NIK ganda",IF($E806="","Kadus kosong",IF($F806="","RT kosong",IF($H806="","Jabatan kosong",IF($I806="","No. HP kosong",IF($J806="","Alamat kosong",IF(AND($M806&lt;&gt;"",$M806&lt;17),"Usia di bawah 17",""))))))))))</f>
        <v/>
      </c>
      <c r="U806" s="40" t="str">
        <f aca="false">IF($B806="","",IF(AND(OR(CARI!$C$5="",ISNUMBER(SEARCH(CARI!$C$5,$B806&amp;" "&amp;$C806&amp;" "&amp;$I806&amp;" "&amp;$J806&amp;" "&amp;$Q806))),OR(CARI!$C$6="",$E806=CARI!$C$6),OR(CARI!$C$7="",$F806=CARI!$C$7),OR(CARI!$C$8="",$O806=CARI!$C$8)),MAX($U$3:U805)+1,""))</f>
        <v/>
      </c>
      <c r="V806" s="40" t="str">
        <f aca="false">IF($T806="","",MAX($V$3:V805)+1)</f>
        <v/>
      </c>
      <c r="W806" s="40" t="str">
        <f aca="false">IF($E806="","",$E806&amp;"#"&amp;COUNTIF($E$4:$E806,$E806))</f>
        <v/>
      </c>
      <c r="X806" s="40" t="str">
        <f aca="false">IF($B806="","",IF(AND(OR(CETAK!$J$10="",$E806=CETAK!$J$10),OR(CETAK!$J$11="",$F806=CETAK!$J$11),OR(CETAK!$J$12="",$K806=CETAK!$J$12),OR(CETAK!$J$13="",$H806=CETAK!$J$13),OR(CETAK!$J$14="",$O806=CETAK!$J$14)),MAX($X$3:X805)+1,""))</f>
        <v/>
      </c>
      <c r="Y806" s="40" t="str">
        <f aca="false">IF($B806="","",IF(AND(OR(ABSENSI!$H$10="",$E806=ABSENSI!$H$10),OR(ABSENSI!$H$11="",$F806=ABSENSI!$H$11),OR(ABSENSI!$H$12="",$K806=ABSENSI!$H$12)),MAX($Y$3:Y805)+1,""))</f>
        <v/>
      </c>
      <c r="Z806" s="40" t="str">
        <f aca="false">IF($B806="","",IF(AND(OR(KARTU!$K$6="",$E806=KARTU!$K$6),OR(KARTU!$K$7="",$F806=KARTU!$K$7),OR(KARTU!$K$8="",$K806=KARTU!$K$8)),MAX($Z$3:Z805)+1,""))</f>
        <v/>
      </c>
    </row>
    <row r="807" customFormat="false" ht="15" hidden="false" customHeight="false" outlineLevel="0" collapsed="false">
      <c r="A807" s="36" t="str">
        <f aca="false">IF($B807="","",COUNTA($B$4:$B807))</f>
        <v/>
      </c>
      <c r="B807" s="37"/>
      <c r="C807" s="38"/>
      <c r="D807" s="39"/>
      <c r="E807" s="37"/>
      <c r="F807" s="39"/>
      <c r="G807" s="40" t="str">
        <f aca="false">IF(OR($E807="",$F807=""),"",$E807&amp;" - RT "&amp;$F807)</f>
        <v/>
      </c>
      <c r="H807" s="37"/>
      <c r="I807" s="38"/>
      <c r="J807" s="37"/>
      <c r="K807" s="39"/>
      <c r="L807" s="41"/>
      <c r="M807" s="36" t="str">
        <f aca="true">IF(OR($B807="",$L807=""),"",DATEDIF($L807,TODAY(),"Y"))</f>
        <v/>
      </c>
      <c r="N807" s="40" t="str">
        <f aca="false">IF($M807="","",INDEX(usia_label,MATCH($M807,usia_min,1)))</f>
        <v/>
      </c>
      <c r="O807" s="37"/>
      <c r="P807" s="41"/>
      <c r="Q807" s="37"/>
      <c r="R807" s="37"/>
      <c r="S807" s="40" t="str">
        <f aca="false">IF($G807="","",$G807&amp;"#"&amp;COUNTIF($G$4:$G807,$G807))</f>
        <v/>
      </c>
      <c r="T807" s="40" t="str">
        <f aca="false">IF($B807="","",IF($C807="","NIK kosong",IF(LEN($C807)&lt;&gt;16,"NIK bukan 16 digit",IF(COUNTIF($C$4:$C$2003,$C807&amp;"*")&gt;1,"NIK ganda",IF($E807="","Kadus kosong",IF($F807="","RT kosong",IF($H807="","Jabatan kosong",IF($I807="","No. HP kosong",IF($J807="","Alamat kosong",IF(AND($M807&lt;&gt;"",$M807&lt;17),"Usia di bawah 17",""))))))))))</f>
        <v/>
      </c>
      <c r="U807" s="40" t="str">
        <f aca="false">IF($B807="","",IF(AND(OR(CARI!$C$5="",ISNUMBER(SEARCH(CARI!$C$5,$B807&amp;" "&amp;$C807&amp;" "&amp;$I807&amp;" "&amp;$J807&amp;" "&amp;$Q807))),OR(CARI!$C$6="",$E807=CARI!$C$6),OR(CARI!$C$7="",$F807=CARI!$C$7),OR(CARI!$C$8="",$O807=CARI!$C$8)),MAX($U$3:U806)+1,""))</f>
        <v/>
      </c>
      <c r="V807" s="40" t="str">
        <f aca="false">IF($T807="","",MAX($V$3:V806)+1)</f>
        <v/>
      </c>
      <c r="W807" s="40" t="str">
        <f aca="false">IF($E807="","",$E807&amp;"#"&amp;COUNTIF($E$4:$E807,$E807))</f>
        <v/>
      </c>
      <c r="X807" s="40" t="str">
        <f aca="false">IF($B807="","",IF(AND(OR(CETAK!$J$10="",$E807=CETAK!$J$10),OR(CETAK!$J$11="",$F807=CETAK!$J$11),OR(CETAK!$J$12="",$K807=CETAK!$J$12),OR(CETAK!$J$13="",$H807=CETAK!$J$13),OR(CETAK!$J$14="",$O807=CETAK!$J$14)),MAX($X$3:X806)+1,""))</f>
        <v/>
      </c>
      <c r="Y807" s="40" t="str">
        <f aca="false">IF($B807="","",IF(AND(OR(ABSENSI!$H$10="",$E807=ABSENSI!$H$10),OR(ABSENSI!$H$11="",$F807=ABSENSI!$H$11),OR(ABSENSI!$H$12="",$K807=ABSENSI!$H$12)),MAX($Y$3:Y806)+1,""))</f>
        <v/>
      </c>
      <c r="Z807" s="40" t="str">
        <f aca="false">IF($B807="","",IF(AND(OR(KARTU!$K$6="",$E807=KARTU!$K$6),OR(KARTU!$K$7="",$F807=KARTU!$K$7),OR(KARTU!$K$8="",$K807=KARTU!$K$8)),MAX($Z$3:Z806)+1,""))</f>
        <v/>
      </c>
    </row>
    <row r="808" customFormat="false" ht="15" hidden="false" customHeight="false" outlineLevel="0" collapsed="false">
      <c r="A808" s="36" t="str">
        <f aca="false">IF($B808="","",COUNTA($B$4:$B808))</f>
        <v/>
      </c>
      <c r="B808" s="37"/>
      <c r="C808" s="38"/>
      <c r="D808" s="39"/>
      <c r="E808" s="37"/>
      <c r="F808" s="39"/>
      <c r="G808" s="40" t="str">
        <f aca="false">IF(OR($E808="",$F808=""),"",$E808&amp;" - RT "&amp;$F808)</f>
        <v/>
      </c>
      <c r="H808" s="37"/>
      <c r="I808" s="38"/>
      <c r="J808" s="37"/>
      <c r="K808" s="39"/>
      <c r="L808" s="41"/>
      <c r="M808" s="36" t="str">
        <f aca="true">IF(OR($B808="",$L808=""),"",DATEDIF($L808,TODAY(),"Y"))</f>
        <v/>
      </c>
      <c r="N808" s="40" t="str">
        <f aca="false">IF($M808="","",INDEX(usia_label,MATCH($M808,usia_min,1)))</f>
        <v/>
      </c>
      <c r="O808" s="37"/>
      <c r="P808" s="41"/>
      <c r="Q808" s="37"/>
      <c r="R808" s="37"/>
      <c r="S808" s="40" t="str">
        <f aca="false">IF($G808="","",$G808&amp;"#"&amp;COUNTIF($G$4:$G808,$G808))</f>
        <v/>
      </c>
      <c r="T808" s="40" t="str">
        <f aca="false">IF($B808="","",IF($C808="","NIK kosong",IF(LEN($C808)&lt;&gt;16,"NIK bukan 16 digit",IF(COUNTIF($C$4:$C$2003,$C808&amp;"*")&gt;1,"NIK ganda",IF($E808="","Kadus kosong",IF($F808="","RT kosong",IF($H808="","Jabatan kosong",IF($I808="","No. HP kosong",IF($J808="","Alamat kosong",IF(AND($M808&lt;&gt;"",$M808&lt;17),"Usia di bawah 17",""))))))))))</f>
        <v/>
      </c>
      <c r="U808" s="40" t="str">
        <f aca="false">IF($B808="","",IF(AND(OR(CARI!$C$5="",ISNUMBER(SEARCH(CARI!$C$5,$B808&amp;" "&amp;$C808&amp;" "&amp;$I808&amp;" "&amp;$J808&amp;" "&amp;$Q808))),OR(CARI!$C$6="",$E808=CARI!$C$6),OR(CARI!$C$7="",$F808=CARI!$C$7),OR(CARI!$C$8="",$O808=CARI!$C$8)),MAX($U$3:U807)+1,""))</f>
        <v/>
      </c>
      <c r="V808" s="40" t="str">
        <f aca="false">IF($T808="","",MAX($V$3:V807)+1)</f>
        <v/>
      </c>
      <c r="W808" s="40" t="str">
        <f aca="false">IF($E808="","",$E808&amp;"#"&amp;COUNTIF($E$4:$E808,$E808))</f>
        <v/>
      </c>
      <c r="X808" s="40" t="str">
        <f aca="false">IF($B808="","",IF(AND(OR(CETAK!$J$10="",$E808=CETAK!$J$10),OR(CETAK!$J$11="",$F808=CETAK!$J$11),OR(CETAK!$J$12="",$K808=CETAK!$J$12),OR(CETAK!$J$13="",$H808=CETAK!$J$13),OR(CETAK!$J$14="",$O808=CETAK!$J$14)),MAX($X$3:X807)+1,""))</f>
        <v/>
      </c>
      <c r="Y808" s="40" t="str">
        <f aca="false">IF($B808="","",IF(AND(OR(ABSENSI!$H$10="",$E808=ABSENSI!$H$10),OR(ABSENSI!$H$11="",$F808=ABSENSI!$H$11),OR(ABSENSI!$H$12="",$K808=ABSENSI!$H$12)),MAX($Y$3:Y807)+1,""))</f>
        <v/>
      </c>
      <c r="Z808" s="40" t="str">
        <f aca="false">IF($B808="","",IF(AND(OR(KARTU!$K$6="",$E808=KARTU!$K$6),OR(KARTU!$K$7="",$F808=KARTU!$K$7),OR(KARTU!$K$8="",$K808=KARTU!$K$8)),MAX($Z$3:Z807)+1,""))</f>
        <v/>
      </c>
    </row>
    <row r="809" customFormat="false" ht="15" hidden="false" customHeight="false" outlineLevel="0" collapsed="false">
      <c r="A809" s="36" t="str">
        <f aca="false">IF($B809="","",COUNTA($B$4:$B809))</f>
        <v/>
      </c>
      <c r="B809" s="37"/>
      <c r="C809" s="38"/>
      <c r="D809" s="39"/>
      <c r="E809" s="37"/>
      <c r="F809" s="39"/>
      <c r="G809" s="40" t="str">
        <f aca="false">IF(OR($E809="",$F809=""),"",$E809&amp;" - RT "&amp;$F809)</f>
        <v/>
      </c>
      <c r="H809" s="37"/>
      <c r="I809" s="38"/>
      <c r="J809" s="37"/>
      <c r="K809" s="39"/>
      <c r="L809" s="41"/>
      <c r="M809" s="36" t="str">
        <f aca="true">IF(OR($B809="",$L809=""),"",DATEDIF($L809,TODAY(),"Y"))</f>
        <v/>
      </c>
      <c r="N809" s="40" t="str">
        <f aca="false">IF($M809="","",INDEX(usia_label,MATCH($M809,usia_min,1)))</f>
        <v/>
      </c>
      <c r="O809" s="37"/>
      <c r="P809" s="41"/>
      <c r="Q809" s="37"/>
      <c r="R809" s="37"/>
      <c r="S809" s="40" t="str">
        <f aca="false">IF($G809="","",$G809&amp;"#"&amp;COUNTIF($G$4:$G809,$G809))</f>
        <v/>
      </c>
      <c r="T809" s="40" t="str">
        <f aca="false">IF($B809="","",IF($C809="","NIK kosong",IF(LEN($C809)&lt;&gt;16,"NIK bukan 16 digit",IF(COUNTIF($C$4:$C$2003,$C809&amp;"*")&gt;1,"NIK ganda",IF($E809="","Kadus kosong",IF($F809="","RT kosong",IF($H809="","Jabatan kosong",IF($I809="","No. HP kosong",IF($J809="","Alamat kosong",IF(AND($M809&lt;&gt;"",$M809&lt;17),"Usia di bawah 17",""))))))))))</f>
        <v/>
      </c>
      <c r="U809" s="40" t="str">
        <f aca="false">IF($B809="","",IF(AND(OR(CARI!$C$5="",ISNUMBER(SEARCH(CARI!$C$5,$B809&amp;" "&amp;$C809&amp;" "&amp;$I809&amp;" "&amp;$J809&amp;" "&amp;$Q809))),OR(CARI!$C$6="",$E809=CARI!$C$6),OR(CARI!$C$7="",$F809=CARI!$C$7),OR(CARI!$C$8="",$O809=CARI!$C$8)),MAX($U$3:U808)+1,""))</f>
        <v/>
      </c>
      <c r="V809" s="40" t="str">
        <f aca="false">IF($T809="","",MAX($V$3:V808)+1)</f>
        <v/>
      </c>
      <c r="W809" s="40" t="str">
        <f aca="false">IF($E809="","",$E809&amp;"#"&amp;COUNTIF($E$4:$E809,$E809))</f>
        <v/>
      </c>
      <c r="X809" s="40" t="str">
        <f aca="false">IF($B809="","",IF(AND(OR(CETAK!$J$10="",$E809=CETAK!$J$10),OR(CETAK!$J$11="",$F809=CETAK!$J$11),OR(CETAK!$J$12="",$K809=CETAK!$J$12),OR(CETAK!$J$13="",$H809=CETAK!$J$13),OR(CETAK!$J$14="",$O809=CETAK!$J$14)),MAX($X$3:X808)+1,""))</f>
        <v/>
      </c>
      <c r="Y809" s="40" t="str">
        <f aca="false">IF($B809="","",IF(AND(OR(ABSENSI!$H$10="",$E809=ABSENSI!$H$10),OR(ABSENSI!$H$11="",$F809=ABSENSI!$H$11),OR(ABSENSI!$H$12="",$K809=ABSENSI!$H$12)),MAX($Y$3:Y808)+1,""))</f>
        <v/>
      </c>
      <c r="Z809" s="40" t="str">
        <f aca="false">IF($B809="","",IF(AND(OR(KARTU!$K$6="",$E809=KARTU!$K$6),OR(KARTU!$K$7="",$F809=KARTU!$K$7),OR(KARTU!$K$8="",$K809=KARTU!$K$8)),MAX($Z$3:Z808)+1,""))</f>
        <v/>
      </c>
    </row>
    <row r="810" customFormat="false" ht="15" hidden="false" customHeight="false" outlineLevel="0" collapsed="false">
      <c r="A810" s="36" t="str">
        <f aca="false">IF($B810="","",COUNTA($B$4:$B810))</f>
        <v/>
      </c>
      <c r="B810" s="37"/>
      <c r="C810" s="38"/>
      <c r="D810" s="39"/>
      <c r="E810" s="37"/>
      <c r="F810" s="39"/>
      <c r="G810" s="40" t="str">
        <f aca="false">IF(OR($E810="",$F810=""),"",$E810&amp;" - RT "&amp;$F810)</f>
        <v/>
      </c>
      <c r="H810" s="37"/>
      <c r="I810" s="38"/>
      <c r="J810" s="37"/>
      <c r="K810" s="39"/>
      <c r="L810" s="41"/>
      <c r="M810" s="36" t="str">
        <f aca="true">IF(OR($B810="",$L810=""),"",DATEDIF($L810,TODAY(),"Y"))</f>
        <v/>
      </c>
      <c r="N810" s="40" t="str">
        <f aca="false">IF($M810="","",INDEX(usia_label,MATCH($M810,usia_min,1)))</f>
        <v/>
      </c>
      <c r="O810" s="37"/>
      <c r="P810" s="41"/>
      <c r="Q810" s="37"/>
      <c r="R810" s="37"/>
      <c r="S810" s="40" t="str">
        <f aca="false">IF($G810="","",$G810&amp;"#"&amp;COUNTIF($G$4:$G810,$G810))</f>
        <v/>
      </c>
      <c r="T810" s="40" t="str">
        <f aca="false">IF($B810="","",IF($C810="","NIK kosong",IF(LEN($C810)&lt;&gt;16,"NIK bukan 16 digit",IF(COUNTIF($C$4:$C$2003,$C810&amp;"*")&gt;1,"NIK ganda",IF($E810="","Kadus kosong",IF($F810="","RT kosong",IF($H810="","Jabatan kosong",IF($I810="","No. HP kosong",IF($J810="","Alamat kosong",IF(AND($M810&lt;&gt;"",$M810&lt;17),"Usia di bawah 17",""))))))))))</f>
        <v/>
      </c>
      <c r="U810" s="40" t="str">
        <f aca="false">IF($B810="","",IF(AND(OR(CARI!$C$5="",ISNUMBER(SEARCH(CARI!$C$5,$B810&amp;" "&amp;$C810&amp;" "&amp;$I810&amp;" "&amp;$J810&amp;" "&amp;$Q810))),OR(CARI!$C$6="",$E810=CARI!$C$6),OR(CARI!$C$7="",$F810=CARI!$C$7),OR(CARI!$C$8="",$O810=CARI!$C$8)),MAX($U$3:U809)+1,""))</f>
        <v/>
      </c>
      <c r="V810" s="40" t="str">
        <f aca="false">IF($T810="","",MAX($V$3:V809)+1)</f>
        <v/>
      </c>
      <c r="W810" s="40" t="str">
        <f aca="false">IF($E810="","",$E810&amp;"#"&amp;COUNTIF($E$4:$E810,$E810))</f>
        <v/>
      </c>
      <c r="X810" s="40" t="str">
        <f aca="false">IF($B810="","",IF(AND(OR(CETAK!$J$10="",$E810=CETAK!$J$10),OR(CETAK!$J$11="",$F810=CETAK!$J$11),OR(CETAK!$J$12="",$K810=CETAK!$J$12),OR(CETAK!$J$13="",$H810=CETAK!$J$13),OR(CETAK!$J$14="",$O810=CETAK!$J$14)),MAX($X$3:X809)+1,""))</f>
        <v/>
      </c>
      <c r="Y810" s="40" t="str">
        <f aca="false">IF($B810="","",IF(AND(OR(ABSENSI!$H$10="",$E810=ABSENSI!$H$10),OR(ABSENSI!$H$11="",$F810=ABSENSI!$H$11),OR(ABSENSI!$H$12="",$K810=ABSENSI!$H$12)),MAX($Y$3:Y809)+1,""))</f>
        <v/>
      </c>
      <c r="Z810" s="40" t="str">
        <f aca="false">IF($B810="","",IF(AND(OR(KARTU!$K$6="",$E810=KARTU!$K$6),OR(KARTU!$K$7="",$F810=KARTU!$K$7),OR(KARTU!$K$8="",$K810=KARTU!$K$8)),MAX($Z$3:Z809)+1,""))</f>
        <v/>
      </c>
    </row>
    <row r="811" customFormat="false" ht="15" hidden="false" customHeight="false" outlineLevel="0" collapsed="false">
      <c r="A811" s="36" t="str">
        <f aca="false">IF($B811="","",COUNTA($B$4:$B811))</f>
        <v/>
      </c>
      <c r="B811" s="37"/>
      <c r="C811" s="38"/>
      <c r="D811" s="39"/>
      <c r="E811" s="37"/>
      <c r="F811" s="39"/>
      <c r="G811" s="40" t="str">
        <f aca="false">IF(OR($E811="",$F811=""),"",$E811&amp;" - RT "&amp;$F811)</f>
        <v/>
      </c>
      <c r="H811" s="37"/>
      <c r="I811" s="38"/>
      <c r="J811" s="37"/>
      <c r="K811" s="39"/>
      <c r="L811" s="41"/>
      <c r="M811" s="36" t="str">
        <f aca="true">IF(OR($B811="",$L811=""),"",DATEDIF($L811,TODAY(),"Y"))</f>
        <v/>
      </c>
      <c r="N811" s="40" t="str">
        <f aca="false">IF($M811="","",INDEX(usia_label,MATCH($M811,usia_min,1)))</f>
        <v/>
      </c>
      <c r="O811" s="37"/>
      <c r="P811" s="41"/>
      <c r="Q811" s="37"/>
      <c r="R811" s="37"/>
      <c r="S811" s="40" t="str">
        <f aca="false">IF($G811="","",$G811&amp;"#"&amp;COUNTIF($G$4:$G811,$G811))</f>
        <v/>
      </c>
      <c r="T811" s="40" t="str">
        <f aca="false">IF($B811="","",IF($C811="","NIK kosong",IF(LEN($C811)&lt;&gt;16,"NIK bukan 16 digit",IF(COUNTIF($C$4:$C$2003,$C811&amp;"*")&gt;1,"NIK ganda",IF($E811="","Kadus kosong",IF($F811="","RT kosong",IF($H811="","Jabatan kosong",IF($I811="","No. HP kosong",IF($J811="","Alamat kosong",IF(AND($M811&lt;&gt;"",$M811&lt;17),"Usia di bawah 17",""))))))))))</f>
        <v/>
      </c>
      <c r="U811" s="40" t="str">
        <f aca="false">IF($B811="","",IF(AND(OR(CARI!$C$5="",ISNUMBER(SEARCH(CARI!$C$5,$B811&amp;" "&amp;$C811&amp;" "&amp;$I811&amp;" "&amp;$J811&amp;" "&amp;$Q811))),OR(CARI!$C$6="",$E811=CARI!$C$6),OR(CARI!$C$7="",$F811=CARI!$C$7),OR(CARI!$C$8="",$O811=CARI!$C$8)),MAX($U$3:U810)+1,""))</f>
        <v/>
      </c>
      <c r="V811" s="40" t="str">
        <f aca="false">IF($T811="","",MAX($V$3:V810)+1)</f>
        <v/>
      </c>
      <c r="W811" s="40" t="str">
        <f aca="false">IF($E811="","",$E811&amp;"#"&amp;COUNTIF($E$4:$E811,$E811))</f>
        <v/>
      </c>
      <c r="X811" s="40" t="str">
        <f aca="false">IF($B811="","",IF(AND(OR(CETAK!$J$10="",$E811=CETAK!$J$10),OR(CETAK!$J$11="",$F811=CETAK!$J$11),OR(CETAK!$J$12="",$K811=CETAK!$J$12),OR(CETAK!$J$13="",$H811=CETAK!$J$13),OR(CETAK!$J$14="",$O811=CETAK!$J$14)),MAX($X$3:X810)+1,""))</f>
        <v/>
      </c>
      <c r="Y811" s="40" t="str">
        <f aca="false">IF($B811="","",IF(AND(OR(ABSENSI!$H$10="",$E811=ABSENSI!$H$10),OR(ABSENSI!$H$11="",$F811=ABSENSI!$H$11),OR(ABSENSI!$H$12="",$K811=ABSENSI!$H$12)),MAX($Y$3:Y810)+1,""))</f>
        <v/>
      </c>
      <c r="Z811" s="40" t="str">
        <f aca="false">IF($B811="","",IF(AND(OR(KARTU!$K$6="",$E811=KARTU!$K$6),OR(KARTU!$K$7="",$F811=KARTU!$K$7),OR(KARTU!$K$8="",$K811=KARTU!$K$8)),MAX($Z$3:Z810)+1,""))</f>
        <v/>
      </c>
    </row>
    <row r="812" customFormat="false" ht="15" hidden="false" customHeight="false" outlineLevel="0" collapsed="false">
      <c r="A812" s="36" t="str">
        <f aca="false">IF($B812="","",COUNTA($B$4:$B812))</f>
        <v/>
      </c>
      <c r="B812" s="37"/>
      <c r="C812" s="38"/>
      <c r="D812" s="39"/>
      <c r="E812" s="37"/>
      <c r="F812" s="39"/>
      <c r="G812" s="40" t="str">
        <f aca="false">IF(OR($E812="",$F812=""),"",$E812&amp;" - RT "&amp;$F812)</f>
        <v/>
      </c>
      <c r="H812" s="37"/>
      <c r="I812" s="38"/>
      <c r="J812" s="37"/>
      <c r="K812" s="39"/>
      <c r="L812" s="41"/>
      <c r="M812" s="36" t="str">
        <f aca="true">IF(OR($B812="",$L812=""),"",DATEDIF($L812,TODAY(),"Y"))</f>
        <v/>
      </c>
      <c r="N812" s="40" t="str">
        <f aca="false">IF($M812="","",INDEX(usia_label,MATCH($M812,usia_min,1)))</f>
        <v/>
      </c>
      <c r="O812" s="37"/>
      <c r="P812" s="41"/>
      <c r="Q812" s="37"/>
      <c r="R812" s="37"/>
      <c r="S812" s="40" t="str">
        <f aca="false">IF($G812="","",$G812&amp;"#"&amp;COUNTIF($G$4:$G812,$G812))</f>
        <v/>
      </c>
      <c r="T812" s="40" t="str">
        <f aca="false">IF($B812="","",IF($C812="","NIK kosong",IF(LEN($C812)&lt;&gt;16,"NIK bukan 16 digit",IF(COUNTIF($C$4:$C$2003,$C812&amp;"*")&gt;1,"NIK ganda",IF($E812="","Kadus kosong",IF($F812="","RT kosong",IF($H812="","Jabatan kosong",IF($I812="","No. HP kosong",IF($J812="","Alamat kosong",IF(AND($M812&lt;&gt;"",$M812&lt;17),"Usia di bawah 17",""))))))))))</f>
        <v/>
      </c>
      <c r="U812" s="40" t="str">
        <f aca="false">IF($B812="","",IF(AND(OR(CARI!$C$5="",ISNUMBER(SEARCH(CARI!$C$5,$B812&amp;" "&amp;$C812&amp;" "&amp;$I812&amp;" "&amp;$J812&amp;" "&amp;$Q812))),OR(CARI!$C$6="",$E812=CARI!$C$6),OR(CARI!$C$7="",$F812=CARI!$C$7),OR(CARI!$C$8="",$O812=CARI!$C$8)),MAX($U$3:U811)+1,""))</f>
        <v/>
      </c>
      <c r="V812" s="40" t="str">
        <f aca="false">IF($T812="","",MAX($V$3:V811)+1)</f>
        <v/>
      </c>
      <c r="W812" s="40" t="str">
        <f aca="false">IF($E812="","",$E812&amp;"#"&amp;COUNTIF($E$4:$E812,$E812))</f>
        <v/>
      </c>
      <c r="X812" s="40" t="str">
        <f aca="false">IF($B812="","",IF(AND(OR(CETAK!$J$10="",$E812=CETAK!$J$10),OR(CETAK!$J$11="",$F812=CETAK!$J$11),OR(CETAK!$J$12="",$K812=CETAK!$J$12),OR(CETAK!$J$13="",$H812=CETAK!$J$13),OR(CETAK!$J$14="",$O812=CETAK!$J$14)),MAX($X$3:X811)+1,""))</f>
        <v/>
      </c>
      <c r="Y812" s="40" t="str">
        <f aca="false">IF($B812="","",IF(AND(OR(ABSENSI!$H$10="",$E812=ABSENSI!$H$10),OR(ABSENSI!$H$11="",$F812=ABSENSI!$H$11),OR(ABSENSI!$H$12="",$K812=ABSENSI!$H$12)),MAX($Y$3:Y811)+1,""))</f>
        <v/>
      </c>
      <c r="Z812" s="40" t="str">
        <f aca="false">IF($B812="","",IF(AND(OR(KARTU!$K$6="",$E812=KARTU!$K$6),OR(KARTU!$K$7="",$F812=KARTU!$K$7),OR(KARTU!$K$8="",$K812=KARTU!$K$8)),MAX($Z$3:Z811)+1,""))</f>
        <v/>
      </c>
    </row>
    <row r="813" customFormat="false" ht="15" hidden="false" customHeight="false" outlineLevel="0" collapsed="false">
      <c r="A813" s="36" t="str">
        <f aca="false">IF($B813="","",COUNTA($B$4:$B813))</f>
        <v/>
      </c>
      <c r="B813" s="37"/>
      <c r="C813" s="38"/>
      <c r="D813" s="39"/>
      <c r="E813" s="37"/>
      <c r="F813" s="39"/>
      <c r="G813" s="40" t="str">
        <f aca="false">IF(OR($E813="",$F813=""),"",$E813&amp;" - RT "&amp;$F813)</f>
        <v/>
      </c>
      <c r="H813" s="37"/>
      <c r="I813" s="38"/>
      <c r="J813" s="37"/>
      <c r="K813" s="39"/>
      <c r="L813" s="41"/>
      <c r="M813" s="36" t="str">
        <f aca="true">IF(OR($B813="",$L813=""),"",DATEDIF($L813,TODAY(),"Y"))</f>
        <v/>
      </c>
      <c r="N813" s="40" t="str">
        <f aca="false">IF($M813="","",INDEX(usia_label,MATCH($M813,usia_min,1)))</f>
        <v/>
      </c>
      <c r="O813" s="37"/>
      <c r="P813" s="41"/>
      <c r="Q813" s="37"/>
      <c r="R813" s="37"/>
      <c r="S813" s="40" t="str">
        <f aca="false">IF($G813="","",$G813&amp;"#"&amp;COUNTIF($G$4:$G813,$G813))</f>
        <v/>
      </c>
      <c r="T813" s="40" t="str">
        <f aca="false">IF($B813="","",IF($C813="","NIK kosong",IF(LEN($C813)&lt;&gt;16,"NIK bukan 16 digit",IF(COUNTIF($C$4:$C$2003,$C813&amp;"*")&gt;1,"NIK ganda",IF($E813="","Kadus kosong",IF($F813="","RT kosong",IF($H813="","Jabatan kosong",IF($I813="","No. HP kosong",IF($J813="","Alamat kosong",IF(AND($M813&lt;&gt;"",$M813&lt;17),"Usia di bawah 17",""))))))))))</f>
        <v/>
      </c>
      <c r="U813" s="40" t="str">
        <f aca="false">IF($B813="","",IF(AND(OR(CARI!$C$5="",ISNUMBER(SEARCH(CARI!$C$5,$B813&amp;" "&amp;$C813&amp;" "&amp;$I813&amp;" "&amp;$J813&amp;" "&amp;$Q813))),OR(CARI!$C$6="",$E813=CARI!$C$6),OR(CARI!$C$7="",$F813=CARI!$C$7),OR(CARI!$C$8="",$O813=CARI!$C$8)),MAX($U$3:U812)+1,""))</f>
        <v/>
      </c>
      <c r="V813" s="40" t="str">
        <f aca="false">IF($T813="","",MAX($V$3:V812)+1)</f>
        <v/>
      </c>
      <c r="W813" s="40" t="str">
        <f aca="false">IF($E813="","",$E813&amp;"#"&amp;COUNTIF($E$4:$E813,$E813))</f>
        <v/>
      </c>
      <c r="X813" s="40" t="str">
        <f aca="false">IF($B813="","",IF(AND(OR(CETAK!$J$10="",$E813=CETAK!$J$10),OR(CETAK!$J$11="",$F813=CETAK!$J$11),OR(CETAK!$J$12="",$K813=CETAK!$J$12),OR(CETAK!$J$13="",$H813=CETAK!$J$13),OR(CETAK!$J$14="",$O813=CETAK!$J$14)),MAX($X$3:X812)+1,""))</f>
        <v/>
      </c>
      <c r="Y813" s="40" t="str">
        <f aca="false">IF($B813="","",IF(AND(OR(ABSENSI!$H$10="",$E813=ABSENSI!$H$10),OR(ABSENSI!$H$11="",$F813=ABSENSI!$H$11),OR(ABSENSI!$H$12="",$K813=ABSENSI!$H$12)),MAX($Y$3:Y812)+1,""))</f>
        <v/>
      </c>
      <c r="Z813" s="40" t="str">
        <f aca="false">IF($B813="","",IF(AND(OR(KARTU!$K$6="",$E813=KARTU!$K$6),OR(KARTU!$K$7="",$F813=KARTU!$K$7),OR(KARTU!$K$8="",$K813=KARTU!$K$8)),MAX($Z$3:Z812)+1,""))</f>
        <v/>
      </c>
    </row>
    <row r="814" customFormat="false" ht="15" hidden="false" customHeight="false" outlineLevel="0" collapsed="false">
      <c r="A814" s="36" t="str">
        <f aca="false">IF($B814="","",COUNTA($B$4:$B814))</f>
        <v/>
      </c>
      <c r="B814" s="37"/>
      <c r="C814" s="38"/>
      <c r="D814" s="39"/>
      <c r="E814" s="37"/>
      <c r="F814" s="39"/>
      <c r="G814" s="40" t="str">
        <f aca="false">IF(OR($E814="",$F814=""),"",$E814&amp;" - RT "&amp;$F814)</f>
        <v/>
      </c>
      <c r="H814" s="37"/>
      <c r="I814" s="38"/>
      <c r="J814" s="37"/>
      <c r="K814" s="39"/>
      <c r="L814" s="41"/>
      <c r="M814" s="36" t="str">
        <f aca="true">IF(OR($B814="",$L814=""),"",DATEDIF($L814,TODAY(),"Y"))</f>
        <v/>
      </c>
      <c r="N814" s="40" t="str">
        <f aca="false">IF($M814="","",INDEX(usia_label,MATCH($M814,usia_min,1)))</f>
        <v/>
      </c>
      <c r="O814" s="37"/>
      <c r="P814" s="41"/>
      <c r="Q814" s="37"/>
      <c r="R814" s="37"/>
      <c r="S814" s="40" t="str">
        <f aca="false">IF($G814="","",$G814&amp;"#"&amp;COUNTIF($G$4:$G814,$G814))</f>
        <v/>
      </c>
      <c r="T814" s="40" t="str">
        <f aca="false">IF($B814="","",IF($C814="","NIK kosong",IF(LEN($C814)&lt;&gt;16,"NIK bukan 16 digit",IF(COUNTIF($C$4:$C$2003,$C814&amp;"*")&gt;1,"NIK ganda",IF($E814="","Kadus kosong",IF($F814="","RT kosong",IF($H814="","Jabatan kosong",IF($I814="","No. HP kosong",IF($J814="","Alamat kosong",IF(AND($M814&lt;&gt;"",$M814&lt;17),"Usia di bawah 17",""))))))))))</f>
        <v/>
      </c>
      <c r="U814" s="40" t="str">
        <f aca="false">IF($B814="","",IF(AND(OR(CARI!$C$5="",ISNUMBER(SEARCH(CARI!$C$5,$B814&amp;" "&amp;$C814&amp;" "&amp;$I814&amp;" "&amp;$J814&amp;" "&amp;$Q814))),OR(CARI!$C$6="",$E814=CARI!$C$6),OR(CARI!$C$7="",$F814=CARI!$C$7),OR(CARI!$C$8="",$O814=CARI!$C$8)),MAX($U$3:U813)+1,""))</f>
        <v/>
      </c>
      <c r="V814" s="40" t="str">
        <f aca="false">IF($T814="","",MAX($V$3:V813)+1)</f>
        <v/>
      </c>
      <c r="W814" s="40" t="str">
        <f aca="false">IF($E814="","",$E814&amp;"#"&amp;COUNTIF($E$4:$E814,$E814))</f>
        <v/>
      </c>
      <c r="X814" s="40" t="str">
        <f aca="false">IF($B814="","",IF(AND(OR(CETAK!$J$10="",$E814=CETAK!$J$10),OR(CETAK!$J$11="",$F814=CETAK!$J$11),OR(CETAK!$J$12="",$K814=CETAK!$J$12),OR(CETAK!$J$13="",$H814=CETAK!$J$13),OR(CETAK!$J$14="",$O814=CETAK!$J$14)),MAX($X$3:X813)+1,""))</f>
        <v/>
      </c>
      <c r="Y814" s="40" t="str">
        <f aca="false">IF($B814="","",IF(AND(OR(ABSENSI!$H$10="",$E814=ABSENSI!$H$10),OR(ABSENSI!$H$11="",$F814=ABSENSI!$H$11),OR(ABSENSI!$H$12="",$K814=ABSENSI!$H$12)),MAX($Y$3:Y813)+1,""))</f>
        <v/>
      </c>
      <c r="Z814" s="40" t="str">
        <f aca="false">IF($B814="","",IF(AND(OR(KARTU!$K$6="",$E814=KARTU!$K$6),OR(KARTU!$K$7="",$F814=KARTU!$K$7),OR(KARTU!$K$8="",$K814=KARTU!$K$8)),MAX($Z$3:Z813)+1,""))</f>
        <v/>
      </c>
    </row>
    <row r="815" customFormat="false" ht="15" hidden="false" customHeight="false" outlineLevel="0" collapsed="false">
      <c r="A815" s="36" t="str">
        <f aca="false">IF($B815="","",COUNTA($B$4:$B815))</f>
        <v/>
      </c>
      <c r="B815" s="37"/>
      <c r="C815" s="38"/>
      <c r="D815" s="39"/>
      <c r="E815" s="37"/>
      <c r="F815" s="39"/>
      <c r="G815" s="40" t="str">
        <f aca="false">IF(OR($E815="",$F815=""),"",$E815&amp;" - RT "&amp;$F815)</f>
        <v/>
      </c>
      <c r="H815" s="37"/>
      <c r="I815" s="38"/>
      <c r="J815" s="37"/>
      <c r="K815" s="39"/>
      <c r="L815" s="41"/>
      <c r="M815" s="36" t="str">
        <f aca="true">IF(OR($B815="",$L815=""),"",DATEDIF($L815,TODAY(),"Y"))</f>
        <v/>
      </c>
      <c r="N815" s="40" t="str">
        <f aca="false">IF($M815="","",INDEX(usia_label,MATCH($M815,usia_min,1)))</f>
        <v/>
      </c>
      <c r="O815" s="37"/>
      <c r="P815" s="41"/>
      <c r="Q815" s="37"/>
      <c r="R815" s="37"/>
      <c r="S815" s="40" t="str">
        <f aca="false">IF($G815="","",$G815&amp;"#"&amp;COUNTIF($G$4:$G815,$G815))</f>
        <v/>
      </c>
      <c r="T815" s="40" t="str">
        <f aca="false">IF($B815="","",IF($C815="","NIK kosong",IF(LEN($C815)&lt;&gt;16,"NIK bukan 16 digit",IF(COUNTIF($C$4:$C$2003,$C815&amp;"*")&gt;1,"NIK ganda",IF($E815="","Kadus kosong",IF($F815="","RT kosong",IF($H815="","Jabatan kosong",IF($I815="","No. HP kosong",IF($J815="","Alamat kosong",IF(AND($M815&lt;&gt;"",$M815&lt;17),"Usia di bawah 17",""))))))))))</f>
        <v/>
      </c>
      <c r="U815" s="40" t="str">
        <f aca="false">IF($B815="","",IF(AND(OR(CARI!$C$5="",ISNUMBER(SEARCH(CARI!$C$5,$B815&amp;" "&amp;$C815&amp;" "&amp;$I815&amp;" "&amp;$J815&amp;" "&amp;$Q815))),OR(CARI!$C$6="",$E815=CARI!$C$6),OR(CARI!$C$7="",$F815=CARI!$C$7),OR(CARI!$C$8="",$O815=CARI!$C$8)),MAX($U$3:U814)+1,""))</f>
        <v/>
      </c>
      <c r="V815" s="40" t="str">
        <f aca="false">IF($T815="","",MAX($V$3:V814)+1)</f>
        <v/>
      </c>
      <c r="W815" s="40" t="str">
        <f aca="false">IF($E815="","",$E815&amp;"#"&amp;COUNTIF($E$4:$E815,$E815))</f>
        <v/>
      </c>
      <c r="X815" s="40" t="str">
        <f aca="false">IF($B815="","",IF(AND(OR(CETAK!$J$10="",$E815=CETAK!$J$10),OR(CETAK!$J$11="",$F815=CETAK!$J$11),OR(CETAK!$J$12="",$K815=CETAK!$J$12),OR(CETAK!$J$13="",$H815=CETAK!$J$13),OR(CETAK!$J$14="",$O815=CETAK!$J$14)),MAX($X$3:X814)+1,""))</f>
        <v/>
      </c>
      <c r="Y815" s="40" t="str">
        <f aca="false">IF($B815="","",IF(AND(OR(ABSENSI!$H$10="",$E815=ABSENSI!$H$10),OR(ABSENSI!$H$11="",$F815=ABSENSI!$H$11),OR(ABSENSI!$H$12="",$K815=ABSENSI!$H$12)),MAX($Y$3:Y814)+1,""))</f>
        <v/>
      </c>
      <c r="Z815" s="40" t="str">
        <f aca="false">IF($B815="","",IF(AND(OR(KARTU!$K$6="",$E815=KARTU!$K$6),OR(KARTU!$K$7="",$F815=KARTU!$K$7),OR(KARTU!$K$8="",$K815=KARTU!$K$8)),MAX($Z$3:Z814)+1,""))</f>
        <v/>
      </c>
    </row>
    <row r="816" customFormat="false" ht="15" hidden="false" customHeight="false" outlineLevel="0" collapsed="false">
      <c r="A816" s="36" t="str">
        <f aca="false">IF($B816="","",COUNTA($B$4:$B816))</f>
        <v/>
      </c>
      <c r="B816" s="37"/>
      <c r="C816" s="38"/>
      <c r="D816" s="39"/>
      <c r="E816" s="37"/>
      <c r="F816" s="39"/>
      <c r="G816" s="40" t="str">
        <f aca="false">IF(OR($E816="",$F816=""),"",$E816&amp;" - RT "&amp;$F816)</f>
        <v/>
      </c>
      <c r="H816" s="37"/>
      <c r="I816" s="38"/>
      <c r="J816" s="37"/>
      <c r="K816" s="39"/>
      <c r="L816" s="41"/>
      <c r="M816" s="36" t="str">
        <f aca="true">IF(OR($B816="",$L816=""),"",DATEDIF($L816,TODAY(),"Y"))</f>
        <v/>
      </c>
      <c r="N816" s="40" t="str">
        <f aca="false">IF($M816="","",INDEX(usia_label,MATCH($M816,usia_min,1)))</f>
        <v/>
      </c>
      <c r="O816" s="37"/>
      <c r="P816" s="41"/>
      <c r="Q816" s="37"/>
      <c r="R816" s="37"/>
      <c r="S816" s="40" t="str">
        <f aca="false">IF($G816="","",$G816&amp;"#"&amp;COUNTIF($G$4:$G816,$G816))</f>
        <v/>
      </c>
      <c r="T816" s="40" t="str">
        <f aca="false">IF($B816="","",IF($C816="","NIK kosong",IF(LEN($C816)&lt;&gt;16,"NIK bukan 16 digit",IF(COUNTIF($C$4:$C$2003,$C816&amp;"*")&gt;1,"NIK ganda",IF($E816="","Kadus kosong",IF($F816="","RT kosong",IF($H816="","Jabatan kosong",IF($I816="","No. HP kosong",IF($J816="","Alamat kosong",IF(AND($M816&lt;&gt;"",$M816&lt;17),"Usia di bawah 17",""))))))))))</f>
        <v/>
      </c>
      <c r="U816" s="40" t="str">
        <f aca="false">IF($B816="","",IF(AND(OR(CARI!$C$5="",ISNUMBER(SEARCH(CARI!$C$5,$B816&amp;" "&amp;$C816&amp;" "&amp;$I816&amp;" "&amp;$J816&amp;" "&amp;$Q816))),OR(CARI!$C$6="",$E816=CARI!$C$6),OR(CARI!$C$7="",$F816=CARI!$C$7),OR(CARI!$C$8="",$O816=CARI!$C$8)),MAX($U$3:U815)+1,""))</f>
        <v/>
      </c>
      <c r="V816" s="40" t="str">
        <f aca="false">IF($T816="","",MAX($V$3:V815)+1)</f>
        <v/>
      </c>
      <c r="W816" s="40" t="str">
        <f aca="false">IF($E816="","",$E816&amp;"#"&amp;COUNTIF($E$4:$E816,$E816))</f>
        <v/>
      </c>
      <c r="X816" s="40" t="str">
        <f aca="false">IF($B816="","",IF(AND(OR(CETAK!$J$10="",$E816=CETAK!$J$10),OR(CETAK!$J$11="",$F816=CETAK!$J$11),OR(CETAK!$J$12="",$K816=CETAK!$J$12),OR(CETAK!$J$13="",$H816=CETAK!$J$13),OR(CETAK!$J$14="",$O816=CETAK!$J$14)),MAX($X$3:X815)+1,""))</f>
        <v/>
      </c>
      <c r="Y816" s="40" t="str">
        <f aca="false">IF($B816="","",IF(AND(OR(ABSENSI!$H$10="",$E816=ABSENSI!$H$10),OR(ABSENSI!$H$11="",$F816=ABSENSI!$H$11),OR(ABSENSI!$H$12="",$K816=ABSENSI!$H$12)),MAX($Y$3:Y815)+1,""))</f>
        <v/>
      </c>
      <c r="Z816" s="40" t="str">
        <f aca="false">IF($B816="","",IF(AND(OR(KARTU!$K$6="",$E816=KARTU!$K$6),OR(KARTU!$K$7="",$F816=KARTU!$K$7),OR(KARTU!$K$8="",$K816=KARTU!$K$8)),MAX($Z$3:Z815)+1,""))</f>
        <v/>
      </c>
    </row>
    <row r="817" customFormat="false" ht="15" hidden="false" customHeight="false" outlineLevel="0" collapsed="false">
      <c r="A817" s="36" t="str">
        <f aca="false">IF($B817="","",COUNTA($B$4:$B817))</f>
        <v/>
      </c>
      <c r="B817" s="37"/>
      <c r="C817" s="38"/>
      <c r="D817" s="39"/>
      <c r="E817" s="37"/>
      <c r="F817" s="39"/>
      <c r="G817" s="40" t="str">
        <f aca="false">IF(OR($E817="",$F817=""),"",$E817&amp;" - RT "&amp;$F817)</f>
        <v/>
      </c>
      <c r="H817" s="37"/>
      <c r="I817" s="38"/>
      <c r="J817" s="37"/>
      <c r="K817" s="39"/>
      <c r="L817" s="41"/>
      <c r="M817" s="36" t="str">
        <f aca="true">IF(OR($B817="",$L817=""),"",DATEDIF($L817,TODAY(),"Y"))</f>
        <v/>
      </c>
      <c r="N817" s="40" t="str">
        <f aca="false">IF($M817="","",INDEX(usia_label,MATCH($M817,usia_min,1)))</f>
        <v/>
      </c>
      <c r="O817" s="37"/>
      <c r="P817" s="41"/>
      <c r="Q817" s="37"/>
      <c r="R817" s="37"/>
      <c r="S817" s="40" t="str">
        <f aca="false">IF($G817="","",$G817&amp;"#"&amp;COUNTIF($G$4:$G817,$G817))</f>
        <v/>
      </c>
      <c r="T817" s="40" t="str">
        <f aca="false">IF($B817="","",IF($C817="","NIK kosong",IF(LEN($C817)&lt;&gt;16,"NIK bukan 16 digit",IF(COUNTIF($C$4:$C$2003,$C817&amp;"*")&gt;1,"NIK ganda",IF($E817="","Kadus kosong",IF($F817="","RT kosong",IF($H817="","Jabatan kosong",IF($I817="","No. HP kosong",IF($J817="","Alamat kosong",IF(AND($M817&lt;&gt;"",$M817&lt;17),"Usia di bawah 17",""))))))))))</f>
        <v/>
      </c>
      <c r="U817" s="40" t="str">
        <f aca="false">IF($B817="","",IF(AND(OR(CARI!$C$5="",ISNUMBER(SEARCH(CARI!$C$5,$B817&amp;" "&amp;$C817&amp;" "&amp;$I817&amp;" "&amp;$J817&amp;" "&amp;$Q817))),OR(CARI!$C$6="",$E817=CARI!$C$6),OR(CARI!$C$7="",$F817=CARI!$C$7),OR(CARI!$C$8="",$O817=CARI!$C$8)),MAX($U$3:U816)+1,""))</f>
        <v/>
      </c>
      <c r="V817" s="40" t="str">
        <f aca="false">IF($T817="","",MAX($V$3:V816)+1)</f>
        <v/>
      </c>
      <c r="W817" s="40" t="str">
        <f aca="false">IF($E817="","",$E817&amp;"#"&amp;COUNTIF($E$4:$E817,$E817))</f>
        <v/>
      </c>
      <c r="X817" s="40" t="str">
        <f aca="false">IF($B817="","",IF(AND(OR(CETAK!$J$10="",$E817=CETAK!$J$10),OR(CETAK!$J$11="",$F817=CETAK!$J$11),OR(CETAK!$J$12="",$K817=CETAK!$J$12),OR(CETAK!$J$13="",$H817=CETAK!$J$13),OR(CETAK!$J$14="",$O817=CETAK!$J$14)),MAX($X$3:X816)+1,""))</f>
        <v/>
      </c>
      <c r="Y817" s="40" t="str">
        <f aca="false">IF($B817="","",IF(AND(OR(ABSENSI!$H$10="",$E817=ABSENSI!$H$10),OR(ABSENSI!$H$11="",$F817=ABSENSI!$H$11),OR(ABSENSI!$H$12="",$K817=ABSENSI!$H$12)),MAX($Y$3:Y816)+1,""))</f>
        <v/>
      </c>
      <c r="Z817" s="40" t="str">
        <f aca="false">IF($B817="","",IF(AND(OR(KARTU!$K$6="",$E817=KARTU!$K$6),OR(KARTU!$K$7="",$F817=KARTU!$K$7),OR(KARTU!$K$8="",$K817=KARTU!$K$8)),MAX($Z$3:Z816)+1,""))</f>
        <v/>
      </c>
    </row>
    <row r="818" customFormat="false" ht="15" hidden="false" customHeight="false" outlineLevel="0" collapsed="false">
      <c r="A818" s="36" t="str">
        <f aca="false">IF($B818="","",COUNTA($B$4:$B818))</f>
        <v/>
      </c>
      <c r="B818" s="37"/>
      <c r="C818" s="38"/>
      <c r="D818" s="39"/>
      <c r="E818" s="37"/>
      <c r="F818" s="39"/>
      <c r="G818" s="40" t="str">
        <f aca="false">IF(OR($E818="",$F818=""),"",$E818&amp;" - RT "&amp;$F818)</f>
        <v/>
      </c>
      <c r="H818" s="37"/>
      <c r="I818" s="38"/>
      <c r="J818" s="37"/>
      <c r="K818" s="39"/>
      <c r="L818" s="41"/>
      <c r="M818" s="36" t="str">
        <f aca="true">IF(OR($B818="",$L818=""),"",DATEDIF($L818,TODAY(),"Y"))</f>
        <v/>
      </c>
      <c r="N818" s="40" t="str">
        <f aca="false">IF($M818="","",INDEX(usia_label,MATCH($M818,usia_min,1)))</f>
        <v/>
      </c>
      <c r="O818" s="37"/>
      <c r="P818" s="41"/>
      <c r="Q818" s="37"/>
      <c r="R818" s="37"/>
      <c r="S818" s="40" t="str">
        <f aca="false">IF($G818="","",$G818&amp;"#"&amp;COUNTIF($G$4:$G818,$G818))</f>
        <v/>
      </c>
      <c r="T818" s="40" t="str">
        <f aca="false">IF($B818="","",IF($C818="","NIK kosong",IF(LEN($C818)&lt;&gt;16,"NIK bukan 16 digit",IF(COUNTIF($C$4:$C$2003,$C818&amp;"*")&gt;1,"NIK ganda",IF($E818="","Kadus kosong",IF($F818="","RT kosong",IF($H818="","Jabatan kosong",IF($I818="","No. HP kosong",IF($J818="","Alamat kosong",IF(AND($M818&lt;&gt;"",$M818&lt;17),"Usia di bawah 17",""))))))))))</f>
        <v/>
      </c>
      <c r="U818" s="40" t="str">
        <f aca="false">IF($B818="","",IF(AND(OR(CARI!$C$5="",ISNUMBER(SEARCH(CARI!$C$5,$B818&amp;" "&amp;$C818&amp;" "&amp;$I818&amp;" "&amp;$J818&amp;" "&amp;$Q818))),OR(CARI!$C$6="",$E818=CARI!$C$6),OR(CARI!$C$7="",$F818=CARI!$C$7),OR(CARI!$C$8="",$O818=CARI!$C$8)),MAX($U$3:U817)+1,""))</f>
        <v/>
      </c>
      <c r="V818" s="40" t="str">
        <f aca="false">IF($T818="","",MAX($V$3:V817)+1)</f>
        <v/>
      </c>
      <c r="W818" s="40" t="str">
        <f aca="false">IF($E818="","",$E818&amp;"#"&amp;COUNTIF($E$4:$E818,$E818))</f>
        <v/>
      </c>
      <c r="X818" s="40" t="str">
        <f aca="false">IF($B818="","",IF(AND(OR(CETAK!$J$10="",$E818=CETAK!$J$10),OR(CETAK!$J$11="",$F818=CETAK!$J$11),OR(CETAK!$J$12="",$K818=CETAK!$J$12),OR(CETAK!$J$13="",$H818=CETAK!$J$13),OR(CETAK!$J$14="",$O818=CETAK!$J$14)),MAX($X$3:X817)+1,""))</f>
        <v/>
      </c>
      <c r="Y818" s="40" t="str">
        <f aca="false">IF($B818="","",IF(AND(OR(ABSENSI!$H$10="",$E818=ABSENSI!$H$10),OR(ABSENSI!$H$11="",$F818=ABSENSI!$H$11),OR(ABSENSI!$H$12="",$K818=ABSENSI!$H$12)),MAX($Y$3:Y817)+1,""))</f>
        <v/>
      </c>
      <c r="Z818" s="40" t="str">
        <f aca="false">IF($B818="","",IF(AND(OR(KARTU!$K$6="",$E818=KARTU!$K$6),OR(KARTU!$K$7="",$F818=KARTU!$K$7),OR(KARTU!$K$8="",$K818=KARTU!$K$8)),MAX($Z$3:Z817)+1,""))</f>
        <v/>
      </c>
    </row>
    <row r="819" customFormat="false" ht="15" hidden="false" customHeight="false" outlineLevel="0" collapsed="false">
      <c r="A819" s="36" t="str">
        <f aca="false">IF($B819="","",COUNTA($B$4:$B819))</f>
        <v/>
      </c>
      <c r="B819" s="37"/>
      <c r="C819" s="38"/>
      <c r="D819" s="39"/>
      <c r="E819" s="37"/>
      <c r="F819" s="39"/>
      <c r="G819" s="40" t="str">
        <f aca="false">IF(OR($E819="",$F819=""),"",$E819&amp;" - RT "&amp;$F819)</f>
        <v/>
      </c>
      <c r="H819" s="37"/>
      <c r="I819" s="38"/>
      <c r="J819" s="37"/>
      <c r="K819" s="39"/>
      <c r="L819" s="41"/>
      <c r="M819" s="36" t="str">
        <f aca="true">IF(OR($B819="",$L819=""),"",DATEDIF($L819,TODAY(),"Y"))</f>
        <v/>
      </c>
      <c r="N819" s="40" t="str">
        <f aca="false">IF($M819="","",INDEX(usia_label,MATCH($M819,usia_min,1)))</f>
        <v/>
      </c>
      <c r="O819" s="37"/>
      <c r="P819" s="41"/>
      <c r="Q819" s="37"/>
      <c r="R819" s="37"/>
      <c r="S819" s="40" t="str">
        <f aca="false">IF($G819="","",$G819&amp;"#"&amp;COUNTIF($G$4:$G819,$G819))</f>
        <v/>
      </c>
      <c r="T819" s="40" t="str">
        <f aca="false">IF($B819="","",IF($C819="","NIK kosong",IF(LEN($C819)&lt;&gt;16,"NIK bukan 16 digit",IF(COUNTIF($C$4:$C$2003,$C819&amp;"*")&gt;1,"NIK ganda",IF($E819="","Kadus kosong",IF($F819="","RT kosong",IF($H819="","Jabatan kosong",IF($I819="","No. HP kosong",IF($J819="","Alamat kosong",IF(AND($M819&lt;&gt;"",$M819&lt;17),"Usia di bawah 17",""))))))))))</f>
        <v/>
      </c>
      <c r="U819" s="40" t="str">
        <f aca="false">IF($B819="","",IF(AND(OR(CARI!$C$5="",ISNUMBER(SEARCH(CARI!$C$5,$B819&amp;" "&amp;$C819&amp;" "&amp;$I819&amp;" "&amp;$J819&amp;" "&amp;$Q819))),OR(CARI!$C$6="",$E819=CARI!$C$6),OR(CARI!$C$7="",$F819=CARI!$C$7),OR(CARI!$C$8="",$O819=CARI!$C$8)),MAX($U$3:U818)+1,""))</f>
        <v/>
      </c>
      <c r="V819" s="40" t="str">
        <f aca="false">IF($T819="","",MAX($V$3:V818)+1)</f>
        <v/>
      </c>
      <c r="W819" s="40" t="str">
        <f aca="false">IF($E819="","",$E819&amp;"#"&amp;COUNTIF($E$4:$E819,$E819))</f>
        <v/>
      </c>
      <c r="X819" s="40" t="str">
        <f aca="false">IF($B819="","",IF(AND(OR(CETAK!$J$10="",$E819=CETAK!$J$10),OR(CETAK!$J$11="",$F819=CETAK!$J$11),OR(CETAK!$J$12="",$K819=CETAK!$J$12),OR(CETAK!$J$13="",$H819=CETAK!$J$13),OR(CETAK!$J$14="",$O819=CETAK!$J$14)),MAX($X$3:X818)+1,""))</f>
        <v/>
      </c>
      <c r="Y819" s="40" t="str">
        <f aca="false">IF($B819="","",IF(AND(OR(ABSENSI!$H$10="",$E819=ABSENSI!$H$10),OR(ABSENSI!$H$11="",$F819=ABSENSI!$H$11),OR(ABSENSI!$H$12="",$K819=ABSENSI!$H$12)),MAX($Y$3:Y818)+1,""))</f>
        <v/>
      </c>
      <c r="Z819" s="40" t="str">
        <f aca="false">IF($B819="","",IF(AND(OR(KARTU!$K$6="",$E819=KARTU!$K$6),OR(KARTU!$K$7="",$F819=KARTU!$K$7),OR(KARTU!$K$8="",$K819=KARTU!$K$8)),MAX($Z$3:Z818)+1,""))</f>
        <v/>
      </c>
    </row>
    <row r="820" customFormat="false" ht="15" hidden="false" customHeight="false" outlineLevel="0" collapsed="false">
      <c r="A820" s="36" t="str">
        <f aca="false">IF($B820="","",COUNTA($B$4:$B820))</f>
        <v/>
      </c>
      <c r="B820" s="37"/>
      <c r="C820" s="38"/>
      <c r="D820" s="39"/>
      <c r="E820" s="37"/>
      <c r="F820" s="39"/>
      <c r="G820" s="40" t="str">
        <f aca="false">IF(OR($E820="",$F820=""),"",$E820&amp;" - RT "&amp;$F820)</f>
        <v/>
      </c>
      <c r="H820" s="37"/>
      <c r="I820" s="38"/>
      <c r="J820" s="37"/>
      <c r="K820" s="39"/>
      <c r="L820" s="41"/>
      <c r="M820" s="36" t="str">
        <f aca="true">IF(OR($B820="",$L820=""),"",DATEDIF($L820,TODAY(),"Y"))</f>
        <v/>
      </c>
      <c r="N820" s="40" t="str">
        <f aca="false">IF($M820="","",INDEX(usia_label,MATCH($M820,usia_min,1)))</f>
        <v/>
      </c>
      <c r="O820" s="37"/>
      <c r="P820" s="41"/>
      <c r="Q820" s="37"/>
      <c r="R820" s="37"/>
      <c r="S820" s="40" t="str">
        <f aca="false">IF($G820="","",$G820&amp;"#"&amp;COUNTIF($G$4:$G820,$G820))</f>
        <v/>
      </c>
      <c r="T820" s="40" t="str">
        <f aca="false">IF($B820="","",IF($C820="","NIK kosong",IF(LEN($C820)&lt;&gt;16,"NIK bukan 16 digit",IF(COUNTIF($C$4:$C$2003,$C820&amp;"*")&gt;1,"NIK ganda",IF($E820="","Kadus kosong",IF($F820="","RT kosong",IF($H820="","Jabatan kosong",IF($I820="","No. HP kosong",IF($J820="","Alamat kosong",IF(AND($M820&lt;&gt;"",$M820&lt;17),"Usia di bawah 17",""))))))))))</f>
        <v/>
      </c>
      <c r="U820" s="40" t="str">
        <f aca="false">IF($B820="","",IF(AND(OR(CARI!$C$5="",ISNUMBER(SEARCH(CARI!$C$5,$B820&amp;" "&amp;$C820&amp;" "&amp;$I820&amp;" "&amp;$J820&amp;" "&amp;$Q820))),OR(CARI!$C$6="",$E820=CARI!$C$6),OR(CARI!$C$7="",$F820=CARI!$C$7),OR(CARI!$C$8="",$O820=CARI!$C$8)),MAX($U$3:U819)+1,""))</f>
        <v/>
      </c>
      <c r="V820" s="40" t="str">
        <f aca="false">IF($T820="","",MAX($V$3:V819)+1)</f>
        <v/>
      </c>
      <c r="W820" s="40" t="str">
        <f aca="false">IF($E820="","",$E820&amp;"#"&amp;COUNTIF($E$4:$E820,$E820))</f>
        <v/>
      </c>
      <c r="X820" s="40" t="str">
        <f aca="false">IF($B820="","",IF(AND(OR(CETAK!$J$10="",$E820=CETAK!$J$10),OR(CETAK!$J$11="",$F820=CETAK!$J$11),OR(CETAK!$J$12="",$K820=CETAK!$J$12),OR(CETAK!$J$13="",$H820=CETAK!$J$13),OR(CETAK!$J$14="",$O820=CETAK!$J$14)),MAX($X$3:X819)+1,""))</f>
        <v/>
      </c>
      <c r="Y820" s="40" t="str">
        <f aca="false">IF($B820="","",IF(AND(OR(ABSENSI!$H$10="",$E820=ABSENSI!$H$10),OR(ABSENSI!$H$11="",$F820=ABSENSI!$H$11),OR(ABSENSI!$H$12="",$K820=ABSENSI!$H$12)),MAX($Y$3:Y819)+1,""))</f>
        <v/>
      </c>
      <c r="Z820" s="40" t="str">
        <f aca="false">IF($B820="","",IF(AND(OR(KARTU!$K$6="",$E820=KARTU!$K$6),OR(KARTU!$K$7="",$F820=KARTU!$K$7),OR(KARTU!$K$8="",$K820=KARTU!$K$8)),MAX($Z$3:Z819)+1,""))</f>
        <v/>
      </c>
    </row>
    <row r="821" customFormat="false" ht="15" hidden="false" customHeight="false" outlineLevel="0" collapsed="false">
      <c r="A821" s="36" t="str">
        <f aca="false">IF($B821="","",COUNTA($B$4:$B821))</f>
        <v/>
      </c>
      <c r="B821" s="37"/>
      <c r="C821" s="38"/>
      <c r="D821" s="39"/>
      <c r="E821" s="37"/>
      <c r="F821" s="39"/>
      <c r="G821" s="40" t="str">
        <f aca="false">IF(OR($E821="",$F821=""),"",$E821&amp;" - RT "&amp;$F821)</f>
        <v/>
      </c>
      <c r="H821" s="37"/>
      <c r="I821" s="38"/>
      <c r="J821" s="37"/>
      <c r="K821" s="39"/>
      <c r="L821" s="41"/>
      <c r="M821" s="36" t="str">
        <f aca="true">IF(OR($B821="",$L821=""),"",DATEDIF($L821,TODAY(),"Y"))</f>
        <v/>
      </c>
      <c r="N821" s="40" t="str">
        <f aca="false">IF($M821="","",INDEX(usia_label,MATCH($M821,usia_min,1)))</f>
        <v/>
      </c>
      <c r="O821" s="37"/>
      <c r="P821" s="41"/>
      <c r="Q821" s="37"/>
      <c r="R821" s="37"/>
      <c r="S821" s="40" t="str">
        <f aca="false">IF($G821="","",$G821&amp;"#"&amp;COUNTIF($G$4:$G821,$G821))</f>
        <v/>
      </c>
      <c r="T821" s="40" t="str">
        <f aca="false">IF($B821="","",IF($C821="","NIK kosong",IF(LEN($C821)&lt;&gt;16,"NIK bukan 16 digit",IF(COUNTIF($C$4:$C$2003,$C821&amp;"*")&gt;1,"NIK ganda",IF($E821="","Kadus kosong",IF($F821="","RT kosong",IF($H821="","Jabatan kosong",IF($I821="","No. HP kosong",IF($J821="","Alamat kosong",IF(AND($M821&lt;&gt;"",$M821&lt;17),"Usia di bawah 17",""))))))))))</f>
        <v/>
      </c>
      <c r="U821" s="40" t="str">
        <f aca="false">IF($B821="","",IF(AND(OR(CARI!$C$5="",ISNUMBER(SEARCH(CARI!$C$5,$B821&amp;" "&amp;$C821&amp;" "&amp;$I821&amp;" "&amp;$J821&amp;" "&amp;$Q821))),OR(CARI!$C$6="",$E821=CARI!$C$6),OR(CARI!$C$7="",$F821=CARI!$C$7),OR(CARI!$C$8="",$O821=CARI!$C$8)),MAX($U$3:U820)+1,""))</f>
        <v/>
      </c>
      <c r="V821" s="40" t="str">
        <f aca="false">IF($T821="","",MAX($V$3:V820)+1)</f>
        <v/>
      </c>
      <c r="W821" s="40" t="str">
        <f aca="false">IF($E821="","",$E821&amp;"#"&amp;COUNTIF($E$4:$E821,$E821))</f>
        <v/>
      </c>
      <c r="X821" s="40" t="str">
        <f aca="false">IF($B821="","",IF(AND(OR(CETAK!$J$10="",$E821=CETAK!$J$10),OR(CETAK!$J$11="",$F821=CETAK!$J$11),OR(CETAK!$J$12="",$K821=CETAK!$J$12),OR(CETAK!$J$13="",$H821=CETAK!$J$13),OR(CETAK!$J$14="",$O821=CETAK!$J$14)),MAX($X$3:X820)+1,""))</f>
        <v/>
      </c>
      <c r="Y821" s="40" t="str">
        <f aca="false">IF($B821="","",IF(AND(OR(ABSENSI!$H$10="",$E821=ABSENSI!$H$10),OR(ABSENSI!$H$11="",$F821=ABSENSI!$H$11),OR(ABSENSI!$H$12="",$K821=ABSENSI!$H$12)),MAX($Y$3:Y820)+1,""))</f>
        <v/>
      </c>
      <c r="Z821" s="40" t="str">
        <f aca="false">IF($B821="","",IF(AND(OR(KARTU!$K$6="",$E821=KARTU!$K$6),OR(KARTU!$K$7="",$F821=KARTU!$K$7),OR(KARTU!$K$8="",$K821=KARTU!$K$8)),MAX($Z$3:Z820)+1,""))</f>
        <v/>
      </c>
    </row>
    <row r="822" customFormat="false" ht="15" hidden="false" customHeight="false" outlineLevel="0" collapsed="false">
      <c r="A822" s="36" t="str">
        <f aca="false">IF($B822="","",COUNTA($B$4:$B822))</f>
        <v/>
      </c>
      <c r="B822" s="37"/>
      <c r="C822" s="38"/>
      <c r="D822" s="39"/>
      <c r="E822" s="37"/>
      <c r="F822" s="39"/>
      <c r="G822" s="40" t="str">
        <f aca="false">IF(OR($E822="",$F822=""),"",$E822&amp;" - RT "&amp;$F822)</f>
        <v/>
      </c>
      <c r="H822" s="37"/>
      <c r="I822" s="38"/>
      <c r="J822" s="37"/>
      <c r="K822" s="39"/>
      <c r="L822" s="41"/>
      <c r="M822" s="36" t="str">
        <f aca="true">IF(OR($B822="",$L822=""),"",DATEDIF($L822,TODAY(),"Y"))</f>
        <v/>
      </c>
      <c r="N822" s="40" t="str">
        <f aca="false">IF($M822="","",INDEX(usia_label,MATCH($M822,usia_min,1)))</f>
        <v/>
      </c>
      <c r="O822" s="37"/>
      <c r="P822" s="41"/>
      <c r="Q822" s="37"/>
      <c r="R822" s="37"/>
      <c r="S822" s="40" t="str">
        <f aca="false">IF($G822="","",$G822&amp;"#"&amp;COUNTIF($G$4:$G822,$G822))</f>
        <v/>
      </c>
      <c r="T822" s="40" t="str">
        <f aca="false">IF($B822="","",IF($C822="","NIK kosong",IF(LEN($C822)&lt;&gt;16,"NIK bukan 16 digit",IF(COUNTIF($C$4:$C$2003,$C822&amp;"*")&gt;1,"NIK ganda",IF($E822="","Kadus kosong",IF($F822="","RT kosong",IF($H822="","Jabatan kosong",IF($I822="","No. HP kosong",IF($J822="","Alamat kosong",IF(AND($M822&lt;&gt;"",$M822&lt;17),"Usia di bawah 17",""))))))))))</f>
        <v/>
      </c>
      <c r="U822" s="40" t="str">
        <f aca="false">IF($B822="","",IF(AND(OR(CARI!$C$5="",ISNUMBER(SEARCH(CARI!$C$5,$B822&amp;" "&amp;$C822&amp;" "&amp;$I822&amp;" "&amp;$J822&amp;" "&amp;$Q822))),OR(CARI!$C$6="",$E822=CARI!$C$6),OR(CARI!$C$7="",$F822=CARI!$C$7),OR(CARI!$C$8="",$O822=CARI!$C$8)),MAX($U$3:U821)+1,""))</f>
        <v/>
      </c>
      <c r="V822" s="40" t="str">
        <f aca="false">IF($T822="","",MAX($V$3:V821)+1)</f>
        <v/>
      </c>
      <c r="W822" s="40" t="str">
        <f aca="false">IF($E822="","",$E822&amp;"#"&amp;COUNTIF($E$4:$E822,$E822))</f>
        <v/>
      </c>
      <c r="X822" s="40" t="str">
        <f aca="false">IF($B822="","",IF(AND(OR(CETAK!$J$10="",$E822=CETAK!$J$10),OR(CETAK!$J$11="",$F822=CETAK!$J$11),OR(CETAK!$J$12="",$K822=CETAK!$J$12),OR(CETAK!$J$13="",$H822=CETAK!$J$13),OR(CETAK!$J$14="",$O822=CETAK!$J$14)),MAX($X$3:X821)+1,""))</f>
        <v/>
      </c>
      <c r="Y822" s="40" t="str">
        <f aca="false">IF($B822="","",IF(AND(OR(ABSENSI!$H$10="",$E822=ABSENSI!$H$10),OR(ABSENSI!$H$11="",$F822=ABSENSI!$H$11),OR(ABSENSI!$H$12="",$K822=ABSENSI!$H$12)),MAX($Y$3:Y821)+1,""))</f>
        <v/>
      </c>
      <c r="Z822" s="40" t="str">
        <f aca="false">IF($B822="","",IF(AND(OR(KARTU!$K$6="",$E822=KARTU!$K$6),OR(KARTU!$K$7="",$F822=KARTU!$K$7),OR(KARTU!$K$8="",$K822=KARTU!$K$8)),MAX($Z$3:Z821)+1,""))</f>
        <v/>
      </c>
    </row>
    <row r="823" customFormat="false" ht="15" hidden="false" customHeight="false" outlineLevel="0" collapsed="false">
      <c r="A823" s="36" t="str">
        <f aca="false">IF($B823="","",COUNTA($B$4:$B823))</f>
        <v/>
      </c>
      <c r="B823" s="37"/>
      <c r="C823" s="38"/>
      <c r="D823" s="39"/>
      <c r="E823" s="37"/>
      <c r="F823" s="39"/>
      <c r="G823" s="40" t="str">
        <f aca="false">IF(OR($E823="",$F823=""),"",$E823&amp;" - RT "&amp;$F823)</f>
        <v/>
      </c>
      <c r="H823" s="37"/>
      <c r="I823" s="38"/>
      <c r="J823" s="37"/>
      <c r="K823" s="39"/>
      <c r="L823" s="41"/>
      <c r="M823" s="36" t="str">
        <f aca="true">IF(OR($B823="",$L823=""),"",DATEDIF($L823,TODAY(),"Y"))</f>
        <v/>
      </c>
      <c r="N823" s="40" t="str">
        <f aca="false">IF($M823="","",INDEX(usia_label,MATCH($M823,usia_min,1)))</f>
        <v/>
      </c>
      <c r="O823" s="37"/>
      <c r="P823" s="41"/>
      <c r="Q823" s="37"/>
      <c r="R823" s="37"/>
      <c r="S823" s="40" t="str">
        <f aca="false">IF($G823="","",$G823&amp;"#"&amp;COUNTIF($G$4:$G823,$G823))</f>
        <v/>
      </c>
      <c r="T823" s="40" t="str">
        <f aca="false">IF($B823="","",IF($C823="","NIK kosong",IF(LEN($C823)&lt;&gt;16,"NIK bukan 16 digit",IF(COUNTIF($C$4:$C$2003,$C823&amp;"*")&gt;1,"NIK ganda",IF($E823="","Kadus kosong",IF($F823="","RT kosong",IF($H823="","Jabatan kosong",IF($I823="","No. HP kosong",IF($J823="","Alamat kosong",IF(AND($M823&lt;&gt;"",$M823&lt;17),"Usia di bawah 17",""))))))))))</f>
        <v/>
      </c>
      <c r="U823" s="40" t="str">
        <f aca="false">IF($B823="","",IF(AND(OR(CARI!$C$5="",ISNUMBER(SEARCH(CARI!$C$5,$B823&amp;" "&amp;$C823&amp;" "&amp;$I823&amp;" "&amp;$J823&amp;" "&amp;$Q823))),OR(CARI!$C$6="",$E823=CARI!$C$6),OR(CARI!$C$7="",$F823=CARI!$C$7),OR(CARI!$C$8="",$O823=CARI!$C$8)),MAX($U$3:U822)+1,""))</f>
        <v/>
      </c>
      <c r="V823" s="40" t="str">
        <f aca="false">IF($T823="","",MAX($V$3:V822)+1)</f>
        <v/>
      </c>
      <c r="W823" s="40" t="str">
        <f aca="false">IF($E823="","",$E823&amp;"#"&amp;COUNTIF($E$4:$E823,$E823))</f>
        <v/>
      </c>
      <c r="X823" s="40" t="str">
        <f aca="false">IF($B823="","",IF(AND(OR(CETAK!$J$10="",$E823=CETAK!$J$10),OR(CETAK!$J$11="",$F823=CETAK!$J$11),OR(CETAK!$J$12="",$K823=CETAK!$J$12),OR(CETAK!$J$13="",$H823=CETAK!$J$13),OR(CETAK!$J$14="",$O823=CETAK!$J$14)),MAX($X$3:X822)+1,""))</f>
        <v/>
      </c>
      <c r="Y823" s="40" t="str">
        <f aca="false">IF($B823="","",IF(AND(OR(ABSENSI!$H$10="",$E823=ABSENSI!$H$10),OR(ABSENSI!$H$11="",$F823=ABSENSI!$H$11),OR(ABSENSI!$H$12="",$K823=ABSENSI!$H$12)),MAX($Y$3:Y822)+1,""))</f>
        <v/>
      </c>
      <c r="Z823" s="40" t="str">
        <f aca="false">IF($B823="","",IF(AND(OR(KARTU!$K$6="",$E823=KARTU!$K$6),OR(KARTU!$K$7="",$F823=KARTU!$K$7),OR(KARTU!$K$8="",$K823=KARTU!$K$8)),MAX($Z$3:Z822)+1,""))</f>
        <v/>
      </c>
    </row>
    <row r="824" customFormat="false" ht="15" hidden="false" customHeight="false" outlineLevel="0" collapsed="false">
      <c r="A824" s="36" t="str">
        <f aca="false">IF($B824="","",COUNTA($B$4:$B824))</f>
        <v/>
      </c>
      <c r="B824" s="37"/>
      <c r="C824" s="38"/>
      <c r="D824" s="39"/>
      <c r="E824" s="37"/>
      <c r="F824" s="39"/>
      <c r="G824" s="40" t="str">
        <f aca="false">IF(OR($E824="",$F824=""),"",$E824&amp;" - RT "&amp;$F824)</f>
        <v/>
      </c>
      <c r="H824" s="37"/>
      <c r="I824" s="38"/>
      <c r="J824" s="37"/>
      <c r="K824" s="39"/>
      <c r="L824" s="41"/>
      <c r="M824" s="36" t="str">
        <f aca="true">IF(OR($B824="",$L824=""),"",DATEDIF($L824,TODAY(),"Y"))</f>
        <v/>
      </c>
      <c r="N824" s="40" t="str">
        <f aca="false">IF($M824="","",INDEX(usia_label,MATCH($M824,usia_min,1)))</f>
        <v/>
      </c>
      <c r="O824" s="37"/>
      <c r="P824" s="41"/>
      <c r="Q824" s="37"/>
      <c r="R824" s="37"/>
      <c r="S824" s="40" t="str">
        <f aca="false">IF($G824="","",$G824&amp;"#"&amp;COUNTIF($G$4:$G824,$G824))</f>
        <v/>
      </c>
      <c r="T824" s="40" t="str">
        <f aca="false">IF($B824="","",IF($C824="","NIK kosong",IF(LEN($C824)&lt;&gt;16,"NIK bukan 16 digit",IF(COUNTIF($C$4:$C$2003,$C824&amp;"*")&gt;1,"NIK ganda",IF($E824="","Kadus kosong",IF($F824="","RT kosong",IF($H824="","Jabatan kosong",IF($I824="","No. HP kosong",IF($J824="","Alamat kosong",IF(AND($M824&lt;&gt;"",$M824&lt;17),"Usia di bawah 17",""))))))))))</f>
        <v/>
      </c>
      <c r="U824" s="40" t="str">
        <f aca="false">IF($B824="","",IF(AND(OR(CARI!$C$5="",ISNUMBER(SEARCH(CARI!$C$5,$B824&amp;" "&amp;$C824&amp;" "&amp;$I824&amp;" "&amp;$J824&amp;" "&amp;$Q824))),OR(CARI!$C$6="",$E824=CARI!$C$6),OR(CARI!$C$7="",$F824=CARI!$C$7),OR(CARI!$C$8="",$O824=CARI!$C$8)),MAX($U$3:U823)+1,""))</f>
        <v/>
      </c>
      <c r="V824" s="40" t="str">
        <f aca="false">IF($T824="","",MAX($V$3:V823)+1)</f>
        <v/>
      </c>
      <c r="W824" s="40" t="str">
        <f aca="false">IF($E824="","",$E824&amp;"#"&amp;COUNTIF($E$4:$E824,$E824))</f>
        <v/>
      </c>
      <c r="X824" s="40" t="str">
        <f aca="false">IF($B824="","",IF(AND(OR(CETAK!$J$10="",$E824=CETAK!$J$10),OR(CETAK!$J$11="",$F824=CETAK!$J$11),OR(CETAK!$J$12="",$K824=CETAK!$J$12),OR(CETAK!$J$13="",$H824=CETAK!$J$13),OR(CETAK!$J$14="",$O824=CETAK!$J$14)),MAX($X$3:X823)+1,""))</f>
        <v/>
      </c>
      <c r="Y824" s="40" t="str">
        <f aca="false">IF($B824="","",IF(AND(OR(ABSENSI!$H$10="",$E824=ABSENSI!$H$10),OR(ABSENSI!$H$11="",$F824=ABSENSI!$H$11),OR(ABSENSI!$H$12="",$K824=ABSENSI!$H$12)),MAX($Y$3:Y823)+1,""))</f>
        <v/>
      </c>
      <c r="Z824" s="40" t="str">
        <f aca="false">IF($B824="","",IF(AND(OR(KARTU!$K$6="",$E824=KARTU!$K$6),OR(KARTU!$K$7="",$F824=KARTU!$K$7),OR(KARTU!$K$8="",$K824=KARTU!$K$8)),MAX($Z$3:Z823)+1,""))</f>
        <v/>
      </c>
    </row>
    <row r="825" customFormat="false" ht="15" hidden="false" customHeight="false" outlineLevel="0" collapsed="false">
      <c r="A825" s="36" t="str">
        <f aca="false">IF($B825="","",COUNTA($B$4:$B825))</f>
        <v/>
      </c>
      <c r="B825" s="37"/>
      <c r="C825" s="38"/>
      <c r="D825" s="39"/>
      <c r="E825" s="37"/>
      <c r="F825" s="39"/>
      <c r="G825" s="40" t="str">
        <f aca="false">IF(OR($E825="",$F825=""),"",$E825&amp;" - RT "&amp;$F825)</f>
        <v/>
      </c>
      <c r="H825" s="37"/>
      <c r="I825" s="38"/>
      <c r="J825" s="37"/>
      <c r="K825" s="39"/>
      <c r="L825" s="41"/>
      <c r="M825" s="36" t="str">
        <f aca="true">IF(OR($B825="",$L825=""),"",DATEDIF($L825,TODAY(),"Y"))</f>
        <v/>
      </c>
      <c r="N825" s="40" t="str">
        <f aca="false">IF($M825="","",INDEX(usia_label,MATCH($M825,usia_min,1)))</f>
        <v/>
      </c>
      <c r="O825" s="37"/>
      <c r="P825" s="41"/>
      <c r="Q825" s="37"/>
      <c r="R825" s="37"/>
      <c r="S825" s="40" t="str">
        <f aca="false">IF($G825="","",$G825&amp;"#"&amp;COUNTIF($G$4:$G825,$G825))</f>
        <v/>
      </c>
      <c r="T825" s="40" t="str">
        <f aca="false">IF($B825="","",IF($C825="","NIK kosong",IF(LEN($C825)&lt;&gt;16,"NIK bukan 16 digit",IF(COUNTIF($C$4:$C$2003,$C825&amp;"*")&gt;1,"NIK ganda",IF($E825="","Kadus kosong",IF($F825="","RT kosong",IF($H825="","Jabatan kosong",IF($I825="","No. HP kosong",IF($J825="","Alamat kosong",IF(AND($M825&lt;&gt;"",$M825&lt;17),"Usia di bawah 17",""))))))))))</f>
        <v/>
      </c>
      <c r="U825" s="40" t="str">
        <f aca="false">IF($B825="","",IF(AND(OR(CARI!$C$5="",ISNUMBER(SEARCH(CARI!$C$5,$B825&amp;" "&amp;$C825&amp;" "&amp;$I825&amp;" "&amp;$J825&amp;" "&amp;$Q825))),OR(CARI!$C$6="",$E825=CARI!$C$6),OR(CARI!$C$7="",$F825=CARI!$C$7),OR(CARI!$C$8="",$O825=CARI!$C$8)),MAX($U$3:U824)+1,""))</f>
        <v/>
      </c>
      <c r="V825" s="40" t="str">
        <f aca="false">IF($T825="","",MAX($V$3:V824)+1)</f>
        <v/>
      </c>
      <c r="W825" s="40" t="str">
        <f aca="false">IF($E825="","",$E825&amp;"#"&amp;COUNTIF($E$4:$E825,$E825))</f>
        <v/>
      </c>
      <c r="X825" s="40" t="str">
        <f aca="false">IF($B825="","",IF(AND(OR(CETAK!$J$10="",$E825=CETAK!$J$10),OR(CETAK!$J$11="",$F825=CETAK!$J$11),OR(CETAK!$J$12="",$K825=CETAK!$J$12),OR(CETAK!$J$13="",$H825=CETAK!$J$13),OR(CETAK!$J$14="",$O825=CETAK!$J$14)),MAX($X$3:X824)+1,""))</f>
        <v/>
      </c>
      <c r="Y825" s="40" t="str">
        <f aca="false">IF($B825="","",IF(AND(OR(ABSENSI!$H$10="",$E825=ABSENSI!$H$10),OR(ABSENSI!$H$11="",$F825=ABSENSI!$H$11),OR(ABSENSI!$H$12="",$K825=ABSENSI!$H$12)),MAX($Y$3:Y824)+1,""))</f>
        <v/>
      </c>
      <c r="Z825" s="40" t="str">
        <f aca="false">IF($B825="","",IF(AND(OR(KARTU!$K$6="",$E825=KARTU!$K$6),OR(KARTU!$K$7="",$F825=KARTU!$K$7),OR(KARTU!$K$8="",$K825=KARTU!$K$8)),MAX($Z$3:Z824)+1,""))</f>
        <v/>
      </c>
    </row>
    <row r="826" customFormat="false" ht="15" hidden="false" customHeight="false" outlineLevel="0" collapsed="false">
      <c r="A826" s="36" t="str">
        <f aca="false">IF($B826="","",COUNTA($B$4:$B826))</f>
        <v/>
      </c>
      <c r="B826" s="37"/>
      <c r="C826" s="38"/>
      <c r="D826" s="39"/>
      <c r="E826" s="37"/>
      <c r="F826" s="39"/>
      <c r="G826" s="40" t="str">
        <f aca="false">IF(OR($E826="",$F826=""),"",$E826&amp;" - RT "&amp;$F826)</f>
        <v/>
      </c>
      <c r="H826" s="37"/>
      <c r="I826" s="38"/>
      <c r="J826" s="37"/>
      <c r="K826" s="39"/>
      <c r="L826" s="41"/>
      <c r="M826" s="36" t="str">
        <f aca="true">IF(OR($B826="",$L826=""),"",DATEDIF($L826,TODAY(),"Y"))</f>
        <v/>
      </c>
      <c r="N826" s="40" t="str">
        <f aca="false">IF($M826="","",INDEX(usia_label,MATCH($M826,usia_min,1)))</f>
        <v/>
      </c>
      <c r="O826" s="37"/>
      <c r="P826" s="41"/>
      <c r="Q826" s="37"/>
      <c r="R826" s="37"/>
      <c r="S826" s="40" t="str">
        <f aca="false">IF($G826="","",$G826&amp;"#"&amp;COUNTIF($G$4:$G826,$G826))</f>
        <v/>
      </c>
      <c r="T826" s="40" t="str">
        <f aca="false">IF($B826="","",IF($C826="","NIK kosong",IF(LEN($C826)&lt;&gt;16,"NIK bukan 16 digit",IF(COUNTIF($C$4:$C$2003,$C826&amp;"*")&gt;1,"NIK ganda",IF($E826="","Kadus kosong",IF($F826="","RT kosong",IF($H826="","Jabatan kosong",IF($I826="","No. HP kosong",IF($J826="","Alamat kosong",IF(AND($M826&lt;&gt;"",$M826&lt;17),"Usia di bawah 17",""))))))))))</f>
        <v/>
      </c>
      <c r="U826" s="40" t="str">
        <f aca="false">IF($B826="","",IF(AND(OR(CARI!$C$5="",ISNUMBER(SEARCH(CARI!$C$5,$B826&amp;" "&amp;$C826&amp;" "&amp;$I826&amp;" "&amp;$J826&amp;" "&amp;$Q826))),OR(CARI!$C$6="",$E826=CARI!$C$6),OR(CARI!$C$7="",$F826=CARI!$C$7),OR(CARI!$C$8="",$O826=CARI!$C$8)),MAX($U$3:U825)+1,""))</f>
        <v/>
      </c>
      <c r="V826" s="40" t="str">
        <f aca="false">IF($T826="","",MAX($V$3:V825)+1)</f>
        <v/>
      </c>
      <c r="W826" s="40" t="str">
        <f aca="false">IF($E826="","",$E826&amp;"#"&amp;COUNTIF($E$4:$E826,$E826))</f>
        <v/>
      </c>
      <c r="X826" s="40" t="str">
        <f aca="false">IF($B826="","",IF(AND(OR(CETAK!$J$10="",$E826=CETAK!$J$10),OR(CETAK!$J$11="",$F826=CETAK!$J$11),OR(CETAK!$J$12="",$K826=CETAK!$J$12),OR(CETAK!$J$13="",$H826=CETAK!$J$13),OR(CETAK!$J$14="",$O826=CETAK!$J$14)),MAX($X$3:X825)+1,""))</f>
        <v/>
      </c>
      <c r="Y826" s="40" t="str">
        <f aca="false">IF($B826="","",IF(AND(OR(ABSENSI!$H$10="",$E826=ABSENSI!$H$10),OR(ABSENSI!$H$11="",$F826=ABSENSI!$H$11),OR(ABSENSI!$H$12="",$K826=ABSENSI!$H$12)),MAX($Y$3:Y825)+1,""))</f>
        <v/>
      </c>
      <c r="Z826" s="40" t="str">
        <f aca="false">IF($B826="","",IF(AND(OR(KARTU!$K$6="",$E826=KARTU!$K$6),OR(KARTU!$K$7="",$F826=KARTU!$K$7),OR(KARTU!$K$8="",$K826=KARTU!$K$8)),MAX($Z$3:Z825)+1,""))</f>
        <v/>
      </c>
    </row>
    <row r="827" customFormat="false" ht="15" hidden="false" customHeight="false" outlineLevel="0" collapsed="false">
      <c r="A827" s="36" t="str">
        <f aca="false">IF($B827="","",COUNTA($B$4:$B827))</f>
        <v/>
      </c>
      <c r="B827" s="37"/>
      <c r="C827" s="38"/>
      <c r="D827" s="39"/>
      <c r="E827" s="37"/>
      <c r="F827" s="39"/>
      <c r="G827" s="40" t="str">
        <f aca="false">IF(OR($E827="",$F827=""),"",$E827&amp;" - RT "&amp;$F827)</f>
        <v/>
      </c>
      <c r="H827" s="37"/>
      <c r="I827" s="38"/>
      <c r="J827" s="37"/>
      <c r="K827" s="39"/>
      <c r="L827" s="41"/>
      <c r="M827" s="36" t="str">
        <f aca="true">IF(OR($B827="",$L827=""),"",DATEDIF($L827,TODAY(),"Y"))</f>
        <v/>
      </c>
      <c r="N827" s="40" t="str">
        <f aca="false">IF($M827="","",INDEX(usia_label,MATCH($M827,usia_min,1)))</f>
        <v/>
      </c>
      <c r="O827" s="37"/>
      <c r="P827" s="41"/>
      <c r="Q827" s="37"/>
      <c r="R827" s="37"/>
      <c r="S827" s="40" t="str">
        <f aca="false">IF($G827="","",$G827&amp;"#"&amp;COUNTIF($G$4:$G827,$G827))</f>
        <v/>
      </c>
      <c r="T827" s="40" t="str">
        <f aca="false">IF($B827="","",IF($C827="","NIK kosong",IF(LEN($C827)&lt;&gt;16,"NIK bukan 16 digit",IF(COUNTIF($C$4:$C$2003,$C827&amp;"*")&gt;1,"NIK ganda",IF($E827="","Kadus kosong",IF($F827="","RT kosong",IF($H827="","Jabatan kosong",IF($I827="","No. HP kosong",IF($J827="","Alamat kosong",IF(AND($M827&lt;&gt;"",$M827&lt;17),"Usia di bawah 17",""))))))))))</f>
        <v/>
      </c>
      <c r="U827" s="40" t="str">
        <f aca="false">IF($B827="","",IF(AND(OR(CARI!$C$5="",ISNUMBER(SEARCH(CARI!$C$5,$B827&amp;" "&amp;$C827&amp;" "&amp;$I827&amp;" "&amp;$J827&amp;" "&amp;$Q827))),OR(CARI!$C$6="",$E827=CARI!$C$6),OR(CARI!$C$7="",$F827=CARI!$C$7),OR(CARI!$C$8="",$O827=CARI!$C$8)),MAX($U$3:U826)+1,""))</f>
        <v/>
      </c>
      <c r="V827" s="40" t="str">
        <f aca="false">IF($T827="","",MAX($V$3:V826)+1)</f>
        <v/>
      </c>
      <c r="W827" s="40" t="str">
        <f aca="false">IF($E827="","",$E827&amp;"#"&amp;COUNTIF($E$4:$E827,$E827))</f>
        <v/>
      </c>
      <c r="X827" s="40" t="str">
        <f aca="false">IF($B827="","",IF(AND(OR(CETAK!$J$10="",$E827=CETAK!$J$10),OR(CETAK!$J$11="",$F827=CETAK!$J$11),OR(CETAK!$J$12="",$K827=CETAK!$J$12),OR(CETAK!$J$13="",$H827=CETAK!$J$13),OR(CETAK!$J$14="",$O827=CETAK!$J$14)),MAX($X$3:X826)+1,""))</f>
        <v/>
      </c>
      <c r="Y827" s="40" t="str">
        <f aca="false">IF($B827="","",IF(AND(OR(ABSENSI!$H$10="",$E827=ABSENSI!$H$10),OR(ABSENSI!$H$11="",$F827=ABSENSI!$H$11),OR(ABSENSI!$H$12="",$K827=ABSENSI!$H$12)),MAX($Y$3:Y826)+1,""))</f>
        <v/>
      </c>
      <c r="Z827" s="40" t="str">
        <f aca="false">IF($B827="","",IF(AND(OR(KARTU!$K$6="",$E827=KARTU!$K$6),OR(KARTU!$K$7="",$F827=KARTU!$K$7),OR(KARTU!$K$8="",$K827=KARTU!$K$8)),MAX($Z$3:Z826)+1,""))</f>
        <v/>
      </c>
    </row>
    <row r="828" customFormat="false" ht="15" hidden="false" customHeight="false" outlineLevel="0" collapsed="false">
      <c r="A828" s="36" t="str">
        <f aca="false">IF($B828="","",COUNTA($B$4:$B828))</f>
        <v/>
      </c>
      <c r="B828" s="37"/>
      <c r="C828" s="38"/>
      <c r="D828" s="39"/>
      <c r="E828" s="37"/>
      <c r="F828" s="39"/>
      <c r="G828" s="40" t="str">
        <f aca="false">IF(OR($E828="",$F828=""),"",$E828&amp;" - RT "&amp;$F828)</f>
        <v/>
      </c>
      <c r="H828" s="37"/>
      <c r="I828" s="38"/>
      <c r="J828" s="37"/>
      <c r="K828" s="39"/>
      <c r="L828" s="41"/>
      <c r="M828" s="36" t="str">
        <f aca="true">IF(OR($B828="",$L828=""),"",DATEDIF($L828,TODAY(),"Y"))</f>
        <v/>
      </c>
      <c r="N828" s="40" t="str">
        <f aca="false">IF($M828="","",INDEX(usia_label,MATCH($M828,usia_min,1)))</f>
        <v/>
      </c>
      <c r="O828" s="37"/>
      <c r="P828" s="41"/>
      <c r="Q828" s="37"/>
      <c r="R828" s="37"/>
      <c r="S828" s="40" t="str">
        <f aca="false">IF($G828="","",$G828&amp;"#"&amp;COUNTIF($G$4:$G828,$G828))</f>
        <v/>
      </c>
      <c r="T828" s="40" t="str">
        <f aca="false">IF($B828="","",IF($C828="","NIK kosong",IF(LEN($C828)&lt;&gt;16,"NIK bukan 16 digit",IF(COUNTIF($C$4:$C$2003,$C828&amp;"*")&gt;1,"NIK ganda",IF($E828="","Kadus kosong",IF($F828="","RT kosong",IF($H828="","Jabatan kosong",IF($I828="","No. HP kosong",IF($J828="","Alamat kosong",IF(AND($M828&lt;&gt;"",$M828&lt;17),"Usia di bawah 17",""))))))))))</f>
        <v/>
      </c>
      <c r="U828" s="40" t="str">
        <f aca="false">IF($B828="","",IF(AND(OR(CARI!$C$5="",ISNUMBER(SEARCH(CARI!$C$5,$B828&amp;" "&amp;$C828&amp;" "&amp;$I828&amp;" "&amp;$J828&amp;" "&amp;$Q828))),OR(CARI!$C$6="",$E828=CARI!$C$6),OR(CARI!$C$7="",$F828=CARI!$C$7),OR(CARI!$C$8="",$O828=CARI!$C$8)),MAX($U$3:U827)+1,""))</f>
        <v/>
      </c>
      <c r="V828" s="40" t="str">
        <f aca="false">IF($T828="","",MAX($V$3:V827)+1)</f>
        <v/>
      </c>
      <c r="W828" s="40" t="str">
        <f aca="false">IF($E828="","",$E828&amp;"#"&amp;COUNTIF($E$4:$E828,$E828))</f>
        <v/>
      </c>
      <c r="X828" s="40" t="str">
        <f aca="false">IF($B828="","",IF(AND(OR(CETAK!$J$10="",$E828=CETAK!$J$10),OR(CETAK!$J$11="",$F828=CETAK!$J$11),OR(CETAK!$J$12="",$K828=CETAK!$J$12),OR(CETAK!$J$13="",$H828=CETAK!$J$13),OR(CETAK!$J$14="",$O828=CETAK!$J$14)),MAX($X$3:X827)+1,""))</f>
        <v/>
      </c>
      <c r="Y828" s="40" t="str">
        <f aca="false">IF($B828="","",IF(AND(OR(ABSENSI!$H$10="",$E828=ABSENSI!$H$10),OR(ABSENSI!$H$11="",$F828=ABSENSI!$H$11),OR(ABSENSI!$H$12="",$K828=ABSENSI!$H$12)),MAX($Y$3:Y827)+1,""))</f>
        <v/>
      </c>
      <c r="Z828" s="40" t="str">
        <f aca="false">IF($B828="","",IF(AND(OR(KARTU!$K$6="",$E828=KARTU!$K$6),OR(KARTU!$K$7="",$F828=KARTU!$K$7),OR(KARTU!$K$8="",$K828=KARTU!$K$8)),MAX($Z$3:Z827)+1,""))</f>
        <v/>
      </c>
    </row>
    <row r="829" customFormat="false" ht="15" hidden="false" customHeight="false" outlineLevel="0" collapsed="false">
      <c r="A829" s="36" t="str">
        <f aca="false">IF($B829="","",COUNTA($B$4:$B829))</f>
        <v/>
      </c>
      <c r="B829" s="37"/>
      <c r="C829" s="38"/>
      <c r="D829" s="39"/>
      <c r="E829" s="37"/>
      <c r="F829" s="39"/>
      <c r="G829" s="40" t="str">
        <f aca="false">IF(OR($E829="",$F829=""),"",$E829&amp;" - RT "&amp;$F829)</f>
        <v/>
      </c>
      <c r="H829" s="37"/>
      <c r="I829" s="38"/>
      <c r="J829" s="37"/>
      <c r="K829" s="39"/>
      <c r="L829" s="41"/>
      <c r="M829" s="36" t="str">
        <f aca="true">IF(OR($B829="",$L829=""),"",DATEDIF($L829,TODAY(),"Y"))</f>
        <v/>
      </c>
      <c r="N829" s="40" t="str">
        <f aca="false">IF($M829="","",INDEX(usia_label,MATCH($M829,usia_min,1)))</f>
        <v/>
      </c>
      <c r="O829" s="37"/>
      <c r="P829" s="41"/>
      <c r="Q829" s="37"/>
      <c r="R829" s="37"/>
      <c r="S829" s="40" t="str">
        <f aca="false">IF($G829="","",$G829&amp;"#"&amp;COUNTIF($G$4:$G829,$G829))</f>
        <v/>
      </c>
      <c r="T829" s="40" t="str">
        <f aca="false">IF($B829="","",IF($C829="","NIK kosong",IF(LEN($C829)&lt;&gt;16,"NIK bukan 16 digit",IF(COUNTIF($C$4:$C$2003,$C829&amp;"*")&gt;1,"NIK ganda",IF($E829="","Kadus kosong",IF($F829="","RT kosong",IF($H829="","Jabatan kosong",IF($I829="","No. HP kosong",IF($J829="","Alamat kosong",IF(AND($M829&lt;&gt;"",$M829&lt;17),"Usia di bawah 17",""))))))))))</f>
        <v/>
      </c>
      <c r="U829" s="40" t="str">
        <f aca="false">IF($B829="","",IF(AND(OR(CARI!$C$5="",ISNUMBER(SEARCH(CARI!$C$5,$B829&amp;" "&amp;$C829&amp;" "&amp;$I829&amp;" "&amp;$J829&amp;" "&amp;$Q829))),OR(CARI!$C$6="",$E829=CARI!$C$6),OR(CARI!$C$7="",$F829=CARI!$C$7),OR(CARI!$C$8="",$O829=CARI!$C$8)),MAX($U$3:U828)+1,""))</f>
        <v/>
      </c>
      <c r="V829" s="40" t="str">
        <f aca="false">IF($T829="","",MAX($V$3:V828)+1)</f>
        <v/>
      </c>
      <c r="W829" s="40" t="str">
        <f aca="false">IF($E829="","",$E829&amp;"#"&amp;COUNTIF($E$4:$E829,$E829))</f>
        <v/>
      </c>
      <c r="X829" s="40" t="str">
        <f aca="false">IF($B829="","",IF(AND(OR(CETAK!$J$10="",$E829=CETAK!$J$10),OR(CETAK!$J$11="",$F829=CETAK!$J$11),OR(CETAK!$J$12="",$K829=CETAK!$J$12),OR(CETAK!$J$13="",$H829=CETAK!$J$13),OR(CETAK!$J$14="",$O829=CETAK!$J$14)),MAX($X$3:X828)+1,""))</f>
        <v/>
      </c>
      <c r="Y829" s="40" t="str">
        <f aca="false">IF($B829="","",IF(AND(OR(ABSENSI!$H$10="",$E829=ABSENSI!$H$10),OR(ABSENSI!$H$11="",$F829=ABSENSI!$H$11),OR(ABSENSI!$H$12="",$K829=ABSENSI!$H$12)),MAX($Y$3:Y828)+1,""))</f>
        <v/>
      </c>
      <c r="Z829" s="40" t="str">
        <f aca="false">IF($B829="","",IF(AND(OR(KARTU!$K$6="",$E829=KARTU!$K$6),OR(KARTU!$K$7="",$F829=KARTU!$K$7),OR(KARTU!$K$8="",$K829=KARTU!$K$8)),MAX($Z$3:Z828)+1,""))</f>
        <v/>
      </c>
    </row>
    <row r="830" customFormat="false" ht="15" hidden="false" customHeight="false" outlineLevel="0" collapsed="false">
      <c r="A830" s="36" t="str">
        <f aca="false">IF($B830="","",COUNTA($B$4:$B830))</f>
        <v/>
      </c>
      <c r="B830" s="37"/>
      <c r="C830" s="38"/>
      <c r="D830" s="39"/>
      <c r="E830" s="37"/>
      <c r="F830" s="39"/>
      <c r="G830" s="40" t="str">
        <f aca="false">IF(OR($E830="",$F830=""),"",$E830&amp;" - RT "&amp;$F830)</f>
        <v/>
      </c>
      <c r="H830" s="37"/>
      <c r="I830" s="38"/>
      <c r="J830" s="37"/>
      <c r="K830" s="39"/>
      <c r="L830" s="41"/>
      <c r="M830" s="36" t="str">
        <f aca="true">IF(OR($B830="",$L830=""),"",DATEDIF($L830,TODAY(),"Y"))</f>
        <v/>
      </c>
      <c r="N830" s="40" t="str">
        <f aca="false">IF($M830="","",INDEX(usia_label,MATCH($M830,usia_min,1)))</f>
        <v/>
      </c>
      <c r="O830" s="37"/>
      <c r="P830" s="41"/>
      <c r="Q830" s="37"/>
      <c r="R830" s="37"/>
      <c r="S830" s="40" t="str">
        <f aca="false">IF($G830="","",$G830&amp;"#"&amp;COUNTIF($G$4:$G830,$G830))</f>
        <v/>
      </c>
      <c r="T830" s="40" t="str">
        <f aca="false">IF($B830="","",IF($C830="","NIK kosong",IF(LEN($C830)&lt;&gt;16,"NIK bukan 16 digit",IF(COUNTIF($C$4:$C$2003,$C830&amp;"*")&gt;1,"NIK ganda",IF($E830="","Kadus kosong",IF($F830="","RT kosong",IF($H830="","Jabatan kosong",IF($I830="","No. HP kosong",IF($J830="","Alamat kosong",IF(AND($M830&lt;&gt;"",$M830&lt;17),"Usia di bawah 17",""))))))))))</f>
        <v/>
      </c>
      <c r="U830" s="40" t="str">
        <f aca="false">IF($B830="","",IF(AND(OR(CARI!$C$5="",ISNUMBER(SEARCH(CARI!$C$5,$B830&amp;" "&amp;$C830&amp;" "&amp;$I830&amp;" "&amp;$J830&amp;" "&amp;$Q830))),OR(CARI!$C$6="",$E830=CARI!$C$6),OR(CARI!$C$7="",$F830=CARI!$C$7),OR(CARI!$C$8="",$O830=CARI!$C$8)),MAX($U$3:U829)+1,""))</f>
        <v/>
      </c>
      <c r="V830" s="40" t="str">
        <f aca="false">IF($T830="","",MAX($V$3:V829)+1)</f>
        <v/>
      </c>
      <c r="W830" s="40" t="str">
        <f aca="false">IF($E830="","",$E830&amp;"#"&amp;COUNTIF($E$4:$E830,$E830))</f>
        <v/>
      </c>
      <c r="X830" s="40" t="str">
        <f aca="false">IF($B830="","",IF(AND(OR(CETAK!$J$10="",$E830=CETAK!$J$10),OR(CETAK!$J$11="",$F830=CETAK!$J$11),OR(CETAK!$J$12="",$K830=CETAK!$J$12),OR(CETAK!$J$13="",$H830=CETAK!$J$13),OR(CETAK!$J$14="",$O830=CETAK!$J$14)),MAX($X$3:X829)+1,""))</f>
        <v/>
      </c>
      <c r="Y830" s="40" t="str">
        <f aca="false">IF($B830="","",IF(AND(OR(ABSENSI!$H$10="",$E830=ABSENSI!$H$10),OR(ABSENSI!$H$11="",$F830=ABSENSI!$H$11),OR(ABSENSI!$H$12="",$K830=ABSENSI!$H$12)),MAX($Y$3:Y829)+1,""))</f>
        <v/>
      </c>
      <c r="Z830" s="40" t="str">
        <f aca="false">IF($B830="","",IF(AND(OR(KARTU!$K$6="",$E830=KARTU!$K$6),OR(KARTU!$K$7="",$F830=KARTU!$K$7),OR(KARTU!$K$8="",$K830=KARTU!$K$8)),MAX($Z$3:Z829)+1,""))</f>
        <v/>
      </c>
    </row>
    <row r="831" customFormat="false" ht="15" hidden="false" customHeight="false" outlineLevel="0" collapsed="false">
      <c r="A831" s="36" t="str">
        <f aca="false">IF($B831="","",COUNTA($B$4:$B831))</f>
        <v/>
      </c>
      <c r="B831" s="37"/>
      <c r="C831" s="38"/>
      <c r="D831" s="39"/>
      <c r="E831" s="37"/>
      <c r="F831" s="39"/>
      <c r="G831" s="40" t="str">
        <f aca="false">IF(OR($E831="",$F831=""),"",$E831&amp;" - RT "&amp;$F831)</f>
        <v/>
      </c>
      <c r="H831" s="37"/>
      <c r="I831" s="38"/>
      <c r="J831" s="37"/>
      <c r="K831" s="39"/>
      <c r="L831" s="41"/>
      <c r="M831" s="36" t="str">
        <f aca="true">IF(OR($B831="",$L831=""),"",DATEDIF($L831,TODAY(),"Y"))</f>
        <v/>
      </c>
      <c r="N831" s="40" t="str">
        <f aca="false">IF($M831="","",INDEX(usia_label,MATCH($M831,usia_min,1)))</f>
        <v/>
      </c>
      <c r="O831" s="37"/>
      <c r="P831" s="41"/>
      <c r="Q831" s="37"/>
      <c r="R831" s="37"/>
      <c r="S831" s="40" t="str">
        <f aca="false">IF($G831="","",$G831&amp;"#"&amp;COUNTIF($G$4:$G831,$G831))</f>
        <v/>
      </c>
      <c r="T831" s="40" t="str">
        <f aca="false">IF($B831="","",IF($C831="","NIK kosong",IF(LEN($C831)&lt;&gt;16,"NIK bukan 16 digit",IF(COUNTIF($C$4:$C$2003,$C831&amp;"*")&gt;1,"NIK ganda",IF($E831="","Kadus kosong",IF($F831="","RT kosong",IF($H831="","Jabatan kosong",IF($I831="","No. HP kosong",IF($J831="","Alamat kosong",IF(AND($M831&lt;&gt;"",$M831&lt;17),"Usia di bawah 17",""))))))))))</f>
        <v/>
      </c>
      <c r="U831" s="40" t="str">
        <f aca="false">IF($B831="","",IF(AND(OR(CARI!$C$5="",ISNUMBER(SEARCH(CARI!$C$5,$B831&amp;" "&amp;$C831&amp;" "&amp;$I831&amp;" "&amp;$J831&amp;" "&amp;$Q831))),OR(CARI!$C$6="",$E831=CARI!$C$6),OR(CARI!$C$7="",$F831=CARI!$C$7),OR(CARI!$C$8="",$O831=CARI!$C$8)),MAX($U$3:U830)+1,""))</f>
        <v/>
      </c>
      <c r="V831" s="40" t="str">
        <f aca="false">IF($T831="","",MAX($V$3:V830)+1)</f>
        <v/>
      </c>
      <c r="W831" s="40" t="str">
        <f aca="false">IF($E831="","",$E831&amp;"#"&amp;COUNTIF($E$4:$E831,$E831))</f>
        <v/>
      </c>
      <c r="X831" s="40" t="str">
        <f aca="false">IF($B831="","",IF(AND(OR(CETAK!$J$10="",$E831=CETAK!$J$10),OR(CETAK!$J$11="",$F831=CETAK!$J$11),OR(CETAK!$J$12="",$K831=CETAK!$J$12),OR(CETAK!$J$13="",$H831=CETAK!$J$13),OR(CETAK!$J$14="",$O831=CETAK!$J$14)),MAX($X$3:X830)+1,""))</f>
        <v/>
      </c>
      <c r="Y831" s="40" t="str">
        <f aca="false">IF($B831="","",IF(AND(OR(ABSENSI!$H$10="",$E831=ABSENSI!$H$10),OR(ABSENSI!$H$11="",$F831=ABSENSI!$H$11),OR(ABSENSI!$H$12="",$K831=ABSENSI!$H$12)),MAX($Y$3:Y830)+1,""))</f>
        <v/>
      </c>
      <c r="Z831" s="40" t="str">
        <f aca="false">IF($B831="","",IF(AND(OR(KARTU!$K$6="",$E831=KARTU!$K$6),OR(KARTU!$K$7="",$F831=KARTU!$K$7),OR(KARTU!$K$8="",$K831=KARTU!$K$8)),MAX($Z$3:Z830)+1,""))</f>
        <v/>
      </c>
    </row>
    <row r="832" customFormat="false" ht="15" hidden="false" customHeight="false" outlineLevel="0" collapsed="false">
      <c r="A832" s="36" t="str">
        <f aca="false">IF($B832="","",COUNTA($B$4:$B832))</f>
        <v/>
      </c>
      <c r="B832" s="37"/>
      <c r="C832" s="38"/>
      <c r="D832" s="39"/>
      <c r="E832" s="37"/>
      <c r="F832" s="39"/>
      <c r="G832" s="40" t="str">
        <f aca="false">IF(OR($E832="",$F832=""),"",$E832&amp;" - RT "&amp;$F832)</f>
        <v/>
      </c>
      <c r="H832" s="37"/>
      <c r="I832" s="38"/>
      <c r="J832" s="37"/>
      <c r="K832" s="39"/>
      <c r="L832" s="41"/>
      <c r="M832" s="36" t="str">
        <f aca="true">IF(OR($B832="",$L832=""),"",DATEDIF($L832,TODAY(),"Y"))</f>
        <v/>
      </c>
      <c r="N832" s="40" t="str">
        <f aca="false">IF($M832="","",INDEX(usia_label,MATCH($M832,usia_min,1)))</f>
        <v/>
      </c>
      <c r="O832" s="37"/>
      <c r="P832" s="41"/>
      <c r="Q832" s="37"/>
      <c r="R832" s="37"/>
      <c r="S832" s="40" t="str">
        <f aca="false">IF($G832="","",$G832&amp;"#"&amp;COUNTIF($G$4:$G832,$G832))</f>
        <v/>
      </c>
      <c r="T832" s="40" t="str">
        <f aca="false">IF($B832="","",IF($C832="","NIK kosong",IF(LEN($C832)&lt;&gt;16,"NIK bukan 16 digit",IF(COUNTIF($C$4:$C$2003,$C832&amp;"*")&gt;1,"NIK ganda",IF($E832="","Kadus kosong",IF($F832="","RT kosong",IF($H832="","Jabatan kosong",IF($I832="","No. HP kosong",IF($J832="","Alamat kosong",IF(AND($M832&lt;&gt;"",$M832&lt;17),"Usia di bawah 17",""))))))))))</f>
        <v/>
      </c>
      <c r="U832" s="40" t="str">
        <f aca="false">IF($B832="","",IF(AND(OR(CARI!$C$5="",ISNUMBER(SEARCH(CARI!$C$5,$B832&amp;" "&amp;$C832&amp;" "&amp;$I832&amp;" "&amp;$J832&amp;" "&amp;$Q832))),OR(CARI!$C$6="",$E832=CARI!$C$6),OR(CARI!$C$7="",$F832=CARI!$C$7),OR(CARI!$C$8="",$O832=CARI!$C$8)),MAX($U$3:U831)+1,""))</f>
        <v/>
      </c>
      <c r="V832" s="40" t="str">
        <f aca="false">IF($T832="","",MAX($V$3:V831)+1)</f>
        <v/>
      </c>
      <c r="W832" s="40" t="str">
        <f aca="false">IF($E832="","",$E832&amp;"#"&amp;COUNTIF($E$4:$E832,$E832))</f>
        <v/>
      </c>
      <c r="X832" s="40" t="str">
        <f aca="false">IF($B832="","",IF(AND(OR(CETAK!$J$10="",$E832=CETAK!$J$10),OR(CETAK!$J$11="",$F832=CETAK!$J$11),OR(CETAK!$J$12="",$K832=CETAK!$J$12),OR(CETAK!$J$13="",$H832=CETAK!$J$13),OR(CETAK!$J$14="",$O832=CETAK!$J$14)),MAX($X$3:X831)+1,""))</f>
        <v/>
      </c>
      <c r="Y832" s="40" t="str">
        <f aca="false">IF($B832="","",IF(AND(OR(ABSENSI!$H$10="",$E832=ABSENSI!$H$10),OR(ABSENSI!$H$11="",$F832=ABSENSI!$H$11),OR(ABSENSI!$H$12="",$K832=ABSENSI!$H$12)),MAX($Y$3:Y831)+1,""))</f>
        <v/>
      </c>
      <c r="Z832" s="40" t="str">
        <f aca="false">IF($B832="","",IF(AND(OR(KARTU!$K$6="",$E832=KARTU!$K$6),OR(KARTU!$K$7="",$F832=KARTU!$K$7),OR(KARTU!$K$8="",$K832=KARTU!$K$8)),MAX($Z$3:Z831)+1,""))</f>
        <v/>
      </c>
    </row>
    <row r="833" customFormat="false" ht="15" hidden="false" customHeight="false" outlineLevel="0" collapsed="false">
      <c r="A833" s="36" t="str">
        <f aca="false">IF($B833="","",COUNTA($B$4:$B833))</f>
        <v/>
      </c>
      <c r="B833" s="37"/>
      <c r="C833" s="38"/>
      <c r="D833" s="39"/>
      <c r="E833" s="37"/>
      <c r="F833" s="39"/>
      <c r="G833" s="40" t="str">
        <f aca="false">IF(OR($E833="",$F833=""),"",$E833&amp;" - RT "&amp;$F833)</f>
        <v/>
      </c>
      <c r="H833" s="37"/>
      <c r="I833" s="38"/>
      <c r="J833" s="37"/>
      <c r="K833" s="39"/>
      <c r="L833" s="41"/>
      <c r="M833" s="36" t="str">
        <f aca="true">IF(OR($B833="",$L833=""),"",DATEDIF($L833,TODAY(),"Y"))</f>
        <v/>
      </c>
      <c r="N833" s="40" t="str">
        <f aca="false">IF($M833="","",INDEX(usia_label,MATCH($M833,usia_min,1)))</f>
        <v/>
      </c>
      <c r="O833" s="37"/>
      <c r="P833" s="41"/>
      <c r="Q833" s="37"/>
      <c r="R833" s="37"/>
      <c r="S833" s="40" t="str">
        <f aca="false">IF($G833="","",$G833&amp;"#"&amp;COUNTIF($G$4:$G833,$G833))</f>
        <v/>
      </c>
      <c r="T833" s="40" t="str">
        <f aca="false">IF($B833="","",IF($C833="","NIK kosong",IF(LEN($C833)&lt;&gt;16,"NIK bukan 16 digit",IF(COUNTIF($C$4:$C$2003,$C833&amp;"*")&gt;1,"NIK ganda",IF($E833="","Kadus kosong",IF($F833="","RT kosong",IF($H833="","Jabatan kosong",IF($I833="","No. HP kosong",IF($J833="","Alamat kosong",IF(AND($M833&lt;&gt;"",$M833&lt;17),"Usia di bawah 17",""))))))))))</f>
        <v/>
      </c>
      <c r="U833" s="40" t="str">
        <f aca="false">IF($B833="","",IF(AND(OR(CARI!$C$5="",ISNUMBER(SEARCH(CARI!$C$5,$B833&amp;" "&amp;$C833&amp;" "&amp;$I833&amp;" "&amp;$J833&amp;" "&amp;$Q833))),OR(CARI!$C$6="",$E833=CARI!$C$6),OR(CARI!$C$7="",$F833=CARI!$C$7),OR(CARI!$C$8="",$O833=CARI!$C$8)),MAX($U$3:U832)+1,""))</f>
        <v/>
      </c>
      <c r="V833" s="40" t="str">
        <f aca="false">IF($T833="","",MAX($V$3:V832)+1)</f>
        <v/>
      </c>
      <c r="W833" s="40" t="str">
        <f aca="false">IF($E833="","",$E833&amp;"#"&amp;COUNTIF($E$4:$E833,$E833))</f>
        <v/>
      </c>
      <c r="X833" s="40" t="str">
        <f aca="false">IF($B833="","",IF(AND(OR(CETAK!$J$10="",$E833=CETAK!$J$10),OR(CETAK!$J$11="",$F833=CETAK!$J$11),OR(CETAK!$J$12="",$K833=CETAK!$J$12),OR(CETAK!$J$13="",$H833=CETAK!$J$13),OR(CETAK!$J$14="",$O833=CETAK!$J$14)),MAX($X$3:X832)+1,""))</f>
        <v/>
      </c>
      <c r="Y833" s="40" t="str">
        <f aca="false">IF($B833="","",IF(AND(OR(ABSENSI!$H$10="",$E833=ABSENSI!$H$10),OR(ABSENSI!$H$11="",$F833=ABSENSI!$H$11),OR(ABSENSI!$H$12="",$K833=ABSENSI!$H$12)),MAX($Y$3:Y832)+1,""))</f>
        <v/>
      </c>
      <c r="Z833" s="40" t="str">
        <f aca="false">IF($B833="","",IF(AND(OR(KARTU!$K$6="",$E833=KARTU!$K$6),OR(KARTU!$K$7="",$F833=KARTU!$K$7),OR(KARTU!$K$8="",$K833=KARTU!$K$8)),MAX($Z$3:Z832)+1,""))</f>
        <v/>
      </c>
    </row>
    <row r="834" customFormat="false" ht="15" hidden="false" customHeight="false" outlineLevel="0" collapsed="false">
      <c r="A834" s="36" t="str">
        <f aca="false">IF($B834="","",COUNTA($B$4:$B834))</f>
        <v/>
      </c>
      <c r="B834" s="37"/>
      <c r="C834" s="38"/>
      <c r="D834" s="39"/>
      <c r="E834" s="37"/>
      <c r="F834" s="39"/>
      <c r="G834" s="40" t="str">
        <f aca="false">IF(OR($E834="",$F834=""),"",$E834&amp;" - RT "&amp;$F834)</f>
        <v/>
      </c>
      <c r="H834" s="37"/>
      <c r="I834" s="38"/>
      <c r="J834" s="37"/>
      <c r="K834" s="39"/>
      <c r="L834" s="41"/>
      <c r="M834" s="36" t="str">
        <f aca="true">IF(OR($B834="",$L834=""),"",DATEDIF($L834,TODAY(),"Y"))</f>
        <v/>
      </c>
      <c r="N834" s="40" t="str">
        <f aca="false">IF($M834="","",INDEX(usia_label,MATCH($M834,usia_min,1)))</f>
        <v/>
      </c>
      <c r="O834" s="37"/>
      <c r="P834" s="41"/>
      <c r="Q834" s="37"/>
      <c r="R834" s="37"/>
      <c r="S834" s="40" t="str">
        <f aca="false">IF($G834="","",$G834&amp;"#"&amp;COUNTIF($G$4:$G834,$G834))</f>
        <v/>
      </c>
      <c r="T834" s="40" t="str">
        <f aca="false">IF($B834="","",IF($C834="","NIK kosong",IF(LEN($C834)&lt;&gt;16,"NIK bukan 16 digit",IF(COUNTIF($C$4:$C$2003,$C834&amp;"*")&gt;1,"NIK ganda",IF($E834="","Kadus kosong",IF($F834="","RT kosong",IF($H834="","Jabatan kosong",IF($I834="","No. HP kosong",IF($J834="","Alamat kosong",IF(AND($M834&lt;&gt;"",$M834&lt;17),"Usia di bawah 17",""))))))))))</f>
        <v/>
      </c>
      <c r="U834" s="40" t="str">
        <f aca="false">IF($B834="","",IF(AND(OR(CARI!$C$5="",ISNUMBER(SEARCH(CARI!$C$5,$B834&amp;" "&amp;$C834&amp;" "&amp;$I834&amp;" "&amp;$J834&amp;" "&amp;$Q834))),OR(CARI!$C$6="",$E834=CARI!$C$6),OR(CARI!$C$7="",$F834=CARI!$C$7),OR(CARI!$C$8="",$O834=CARI!$C$8)),MAX($U$3:U833)+1,""))</f>
        <v/>
      </c>
      <c r="V834" s="40" t="str">
        <f aca="false">IF($T834="","",MAX($V$3:V833)+1)</f>
        <v/>
      </c>
      <c r="W834" s="40" t="str">
        <f aca="false">IF($E834="","",$E834&amp;"#"&amp;COUNTIF($E$4:$E834,$E834))</f>
        <v/>
      </c>
      <c r="X834" s="40" t="str">
        <f aca="false">IF($B834="","",IF(AND(OR(CETAK!$J$10="",$E834=CETAK!$J$10),OR(CETAK!$J$11="",$F834=CETAK!$J$11),OR(CETAK!$J$12="",$K834=CETAK!$J$12),OR(CETAK!$J$13="",$H834=CETAK!$J$13),OR(CETAK!$J$14="",$O834=CETAK!$J$14)),MAX($X$3:X833)+1,""))</f>
        <v/>
      </c>
      <c r="Y834" s="40" t="str">
        <f aca="false">IF($B834="","",IF(AND(OR(ABSENSI!$H$10="",$E834=ABSENSI!$H$10),OR(ABSENSI!$H$11="",$F834=ABSENSI!$H$11),OR(ABSENSI!$H$12="",$K834=ABSENSI!$H$12)),MAX($Y$3:Y833)+1,""))</f>
        <v/>
      </c>
      <c r="Z834" s="40" t="str">
        <f aca="false">IF($B834="","",IF(AND(OR(KARTU!$K$6="",$E834=KARTU!$K$6),OR(KARTU!$K$7="",$F834=KARTU!$K$7),OR(KARTU!$K$8="",$K834=KARTU!$K$8)),MAX($Z$3:Z833)+1,""))</f>
        <v/>
      </c>
    </row>
    <row r="835" customFormat="false" ht="15" hidden="false" customHeight="false" outlineLevel="0" collapsed="false">
      <c r="A835" s="36" t="str">
        <f aca="false">IF($B835="","",COUNTA($B$4:$B835))</f>
        <v/>
      </c>
      <c r="B835" s="37"/>
      <c r="C835" s="38"/>
      <c r="D835" s="39"/>
      <c r="E835" s="37"/>
      <c r="F835" s="39"/>
      <c r="G835" s="40" t="str">
        <f aca="false">IF(OR($E835="",$F835=""),"",$E835&amp;" - RT "&amp;$F835)</f>
        <v/>
      </c>
      <c r="H835" s="37"/>
      <c r="I835" s="38"/>
      <c r="J835" s="37"/>
      <c r="K835" s="39"/>
      <c r="L835" s="41"/>
      <c r="M835" s="36" t="str">
        <f aca="true">IF(OR($B835="",$L835=""),"",DATEDIF($L835,TODAY(),"Y"))</f>
        <v/>
      </c>
      <c r="N835" s="40" t="str">
        <f aca="false">IF($M835="","",INDEX(usia_label,MATCH($M835,usia_min,1)))</f>
        <v/>
      </c>
      <c r="O835" s="37"/>
      <c r="P835" s="41"/>
      <c r="Q835" s="37"/>
      <c r="R835" s="37"/>
      <c r="S835" s="40" t="str">
        <f aca="false">IF($G835="","",$G835&amp;"#"&amp;COUNTIF($G$4:$G835,$G835))</f>
        <v/>
      </c>
      <c r="T835" s="40" t="str">
        <f aca="false">IF($B835="","",IF($C835="","NIK kosong",IF(LEN($C835)&lt;&gt;16,"NIK bukan 16 digit",IF(COUNTIF($C$4:$C$2003,$C835&amp;"*")&gt;1,"NIK ganda",IF($E835="","Kadus kosong",IF($F835="","RT kosong",IF($H835="","Jabatan kosong",IF($I835="","No. HP kosong",IF($J835="","Alamat kosong",IF(AND($M835&lt;&gt;"",$M835&lt;17),"Usia di bawah 17",""))))))))))</f>
        <v/>
      </c>
      <c r="U835" s="40" t="str">
        <f aca="false">IF($B835="","",IF(AND(OR(CARI!$C$5="",ISNUMBER(SEARCH(CARI!$C$5,$B835&amp;" "&amp;$C835&amp;" "&amp;$I835&amp;" "&amp;$J835&amp;" "&amp;$Q835))),OR(CARI!$C$6="",$E835=CARI!$C$6),OR(CARI!$C$7="",$F835=CARI!$C$7),OR(CARI!$C$8="",$O835=CARI!$C$8)),MAX($U$3:U834)+1,""))</f>
        <v/>
      </c>
      <c r="V835" s="40" t="str">
        <f aca="false">IF($T835="","",MAX($V$3:V834)+1)</f>
        <v/>
      </c>
      <c r="W835" s="40" t="str">
        <f aca="false">IF($E835="","",$E835&amp;"#"&amp;COUNTIF($E$4:$E835,$E835))</f>
        <v/>
      </c>
      <c r="X835" s="40" t="str">
        <f aca="false">IF($B835="","",IF(AND(OR(CETAK!$J$10="",$E835=CETAK!$J$10),OR(CETAK!$J$11="",$F835=CETAK!$J$11),OR(CETAK!$J$12="",$K835=CETAK!$J$12),OR(CETAK!$J$13="",$H835=CETAK!$J$13),OR(CETAK!$J$14="",$O835=CETAK!$J$14)),MAX($X$3:X834)+1,""))</f>
        <v/>
      </c>
      <c r="Y835" s="40" t="str">
        <f aca="false">IF($B835="","",IF(AND(OR(ABSENSI!$H$10="",$E835=ABSENSI!$H$10),OR(ABSENSI!$H$11="",$F835=ABSENSI!$H$11),OR(ABSENSI!$H$12="",$K835=ABSENSI!$H$12)),MAX($Y$3:Y834)+1,""))</f>
        <v/>
      </c>
      <c r="Z835" s="40" t="str">
        <f aca="false">IF($B835="","",IF(AND(OR(KARTU!$K$6="",$E835=KARTU!$K$6),OR(KARTU!$K$7="",$F835=KARTU!$K$7),OR(KARTU!$K$8="",$K835=KARTU!$K$8)),MAX($Z$3:Z834)+1,""))</f>
        <v/>
      </c>
    </row>
    <row r="836" customFormat="false" ht="15" hidden="false" customHeight="false" outlineLevel="0" collapsed="false">
      <c r="A836" s="36" t="str">
        <f aca="false">IF($B836="","",COUNTA($B$4:$B836))</f>
        <v/>
      </c>
      <c r="B836" s="37"/>
      <c r="C836" s="38"/>
      <c r="D836" s="39"/>
      <c r="E836" s="37"/>
      <c r="F836" s="39"/>
      <c r="G836" s="40" t="str">
        <f aca="false">IF(OR($E836="",$F836=""),"",$E836&amp;" - RT "&amp;$F836)</f>
        <v/>
      </c>
      <c r="H836" s="37"/>
      <c r="I836" s="38"/>
      <c r="J836" s="37"/>
      <c r="K836" s="39"/>
      <c r="L836" s="41"/>
      <c r="M836" s="36" t="str">
        <f aca="true">IF(OR($B836="",$L836=""),"",DATEDIF($L836,TODAY(),"Y"))</f>
        <v/>
      </c>
      <c r="N836" s="40" t="str">
        <f aca="false">IF($M836="","",INDEX(usia_label,MATCH($M836,usia_min,1)))</f>
        <v/>
      </c>
      <c r="O836" s="37"/>
      <c r="P836" s="41"/>
      <c r="Q836" s="37"/>
      <c r="R836" s="37"/>
      <c r="S836" s="40" t="str">
        <f aca="false">IF($G836="","",$G836&amp;"#"&amp;COUNTIF($G$4:$G836,$G836))</f>
        <v/>
      </c>
      <c r="T836" s="40" t="str">
        <f aca="false">IF($B836="","",IF($C836="","NIK kosong",IF(LEN($C836)&lt;&gt;16,"NIK bukan 16 digit",IF(COUNTIF($C$4:$C$2003,$C836&amp;"*")&gt;1,"NIK ganda",IF($E836="","Kadus kosong",IF($F836="","RT kosong",IF($H836="","Jabatan kosong",IF($I836="","No. HP kosong",IF($J836="","Alamat kosong",IF(AND($M836&lt;&gt;"",$M836&lt;17),"Usia di bawah 17",""))))))))))</f>
        <v/>
      </c>
      <c r="U836" s="40" t="str">
        <f aca="false">IF($B836="","",IF(AND(OR(CARI!$C$5="",ISNUMBER(SEARCH(CARI!$C$5,$B836&amp;" "&amp;$C836&amp;" "&amp;$I836&amp;" "&amp;$J836&amp;" "&amp;$Q836))),OR(CARI!$C$6="",$E836=CARI!$C$6),OR(CARI!$C$7="",$F836=CARI!$C$7),OR(CARI!$C$8="",$O836=CARI!$C$8)),MAX($U$3:U835)+1,""))</f>
        <v/>
      </c>
      <c r="V836" s="40" t="str">
        <f aca="false">IF($T836="","",MAX($V$3:V835)+1)</f>
        <v/>
      </c>
      <c r="W836" s="40" t="str">
        <f aca="false">IF($E836="","",$E836&amp;"#"&amp;COUNTIF($E$4:$E836,$E836))</f>
        <v/>
      </c>
      <c r="X836" s="40" t="str">
        <f aca="false">IF($B836="","",IF(AND(OR(CETAK!$J$10="",$E836=CETAK!$J$10),OR(CETAK!$J$11="",$F836=CETAK!$J$11),OR(CETAK!$J$12="",$K836=CETAK!$J$12),OR(CETAK!$J$13="",$H836=CETAK!$J$13),OR(CETAK!$J$14="",$O836=CETAK!$J$14)),MAX($X$3:X835)+1,""))</f>
        <v/>
      </c>
      <c r="Y836" s="40" t="str">
        <f aca="false">IF($B836="","",IF(AND(OR(ABSENSI!$H$10="",$E836=ABSENSI!$H$10),OR(ABSENSI!$H$11="",$F836=ABSENSI!$H$11),OR(ABSENSI!$H$12="",$K836=ABSENSI!$H$12)),MAX($Y$3:Y835)+1,""))</f>
        <v/>
      </c>
      <c r="Z836" s="40" t="str">
        <f aca="false">IF($B836="","",IF(AND(OR(KARTU!$K$6="",$E836=KARTU!$K$6),OR(KARTU!$K$7="",$F836=KARTU!$K$7),OR(KARTU!$K$8="",$K836=KARTU!$K$8)),MAX($Z$3:Z835)+1,""))</f>
        <v/>
      </c>
    </row>
    <row r="837" customFormat="false" ht="15" hidden="false" customHeight="false" outlineLevel="0" collapsed="false">
      <c r="A837" s="36" t="str">
        <f aca="false">IF($B837="","",COUNTA($B$4:$B837))</f>
        <v/>
      </c>
      <c r="B837" s="37"/>
      <c r="C837" s="38"/>
      <c r="D837" s="39"/>
      <c r="E837" s="37"/>
      <c r="F837" s="39"/>
      <c r="G837" s="40" t="str">
        <f aca="false">IF(OR($E837="",$F837=""),"",$E837&amp;" - RT "&amp;$F837)</f>
        <v/>
      </c>
      <c r="H837" s="37"/>
      <c r="I837" s="38"/>
      <c r="J837" s="37"/>
      <c r="K837" s="39"/>
      <c r="L837" s="41"/>
      <c r="M837" s="36" t="str">
        <f aca="true">IF(OR($B837="",$L837=""),"",DATEDIF($L837,TODAY(),"Y"))</f>
        <v/>
      </c>
      <c r="N837" s="40" t="str">
        <f aca="false">IF($M837="","",INDEX(usia_label,MATCH($M837,usia_min,1)))</f>
        <v/>
      </c>
      <c r="O837" s="37"/>
      <c r="P837" s="41"/>
      <c r="Q837" s="37"/>
      <c r="R837" s="37"/>
      <c r="S837" s="40" t="str">
        <f aca="false">IF($G837="","",$G837&amp;"#"&amp;COUNTIF($G$4:$G837,$G837))</f>
        <v/>
      </c>
      <c r="T837" s="40" t="str">
        <f aca="false">IF($B837="","",IF($C837="","NIK kosong",IF(LEN($C837)&lt;&gt;16,"NIK bukan 16 digit",IF(COUNTIF($C$4:$C$2003,$C837&amp;"*")&gt;1,"NIK ganda",IF($E837="","Kadus kosong",IF($F837="","RT kosong",IF($H837="","Jabatan kosong",IF($I837="","No. HP kosong",IF($J837="","Alamat kosong",IF(AND($M837&lt;&gt;"",$M837&lt;17),"Usia di bawah 17",""))))))))))</f>
        <v/>
      </c>
      <c r="U837" s="40" t="str">
        <f aca="false">IF($B837="","",IF(AND(OR(CARI!$C$5="",ISNUMBER(SEARCH(CARI!$C$5,$B837&amp;" "&amp;$C837&amp;" "&amp;$I837&amp;" "&amp;$J837&amp;" "&amp;$Q837))),OR(CARI!$C$6="",$E837=CARI!$C$6),OR(CARI!$C$7="",$F837=CARI!$C$7),OR(CARI!$C$8="",$O837=CARI!$C$8)),MAX($U$3:U836)+1,""))</f>
        <v/>
      </c>
      <c r="V837" s="40" t="str">
        <f aca="false">IF($T837="","",MAX($V$3:V836)+1)</f>
        <v/>
      </c>
      <c r="W837" s="40" t="str">
        <f aca="false">IF($E837="","",$E837&amp;"#"&amp;COUNTIF($E$4:$E837,$E837))</f>
        <v/>
      </c>
      <c r="X837" s="40" t="str">
        <f aca="false">IF($B837="","",IF(AND(OR(CETAK!$J$10="",$E837=CETAK!$J$10),OR(CETAK!$J$11="",$F837=CETAK!$J$11),OR(CETAK!$J$12="",$K837=CETAK!$J$12),OR(CETAK!$J$13="",$H837=CETAK!$J$13),OR(CETAK!$J$14="",$O837=CETAK!$J$14)),MAX($X$3:X836)+1,""))</f>
        <v/>
      </c>
      <c r="Y837" s="40" t="str">
        <f aca="false">IF($B837="","",IF(AND(OR(ABSENSI!$H$10="",$E837=ABSENSI!$H$10),OR(ABSENSI!$H$11="",$F837=ABSENSI!$H$11),OR(ABSENSI!$H$12="",$K837=ABSENSI!$H$12)),MAX($Y$3:Y836)+1,""))</f>
        <v/>
      </c>
      <c r="Z837" s="40" t="str">
        <f aca="false">IF($B837="","",IF(AND(OR(KARTU!$K$6="",$E837=KARTU!$K$6),OR(KARTU!$K$7="",$F837=KARTU!$K$7),OR(KARTU!$K$8="",$K837=KARTU!$K$8)),MAX($Z$3:Z836)+1,""))</f>
        <v/>
      </c>
    </row>
    <row r="838" customFormat="false" ht="15" hidden="false" customHeight="false" outlineLevel="0" collapsed="false">
      <c r="A838" s="36" t="str">
        <f aca="false">IF($B838="","",COUNTA($B$4:$B838))</f>
        <v/>
      </c>
      <c r="B838" s="37"/>
      <c r="C838" s="38"/>
      <c r="D838" s="39"/>
      <c r="E838" s="37"/>
      <c r="F838" s="39"/>
      <c r="G838" s="40" t="str">
        <f aca="false">IF(OR($E838="",$F838=""),"",$E838&amp;" - RT "&amp;$F838)</f>
        <v/>
      </c>
      <c r="H838" s="37"/>
      <c r="I838" s="38"/>
      <c r="J838" s="37"/>
      <c r="K838" s="39"/>
      <c r="L838" s="41"/>
      <c r="M838" s="36" t="str">
        <f aca="true">IF(OR($B838="",$L838=""),"",DATEDIF($L838,TODAY(),"Y"))</f>
        <v/>
      </c>
      <c r="N838" s="40" t="str">
        <f aca="false">IF($M838="","",INDEX(usia_label,MATCH($M838,usia_min,1)))</f>
        <v/>
      </c>
      <c r="O838" s="37"/>
      <c r="P838" s="41"/>
      <c r="Q838" s="37"/>
      <c r="R838" s="37"/>
      <c r="S838" s="40" t="str">
        <f aca="false">IF($G838="","",$G838&amp;"#"&amp;COUNTIF($G$4:$G838,$G838))</f>
        <v/>
      </c>
      <c r="T838" s="40" t="str">
        <f aca="false">IF($B838="","",IF($C838="","NIK kosong",IF(LEN($C838)&lt;&gt;16,"NIK bukan 16 digit",IF(COUNTIF($C$4:$C$2003,$C838&amp;"*")&gt;1,"NIK ganda",IF($E838="","Kadus kosong",IF($F838="","RT kosong",IF($H838="","Jabatan kosong",IF($I838="","No. HP kosong",IF($J838="","Alamat kosong",IF(AND($M838&lt;&gt;"",$M838&lt;17),"Usia di bawah 17",""))))))))))</f>
        <v/>
      </c>
      <c r="U838" s="40" t="str">
        <f aca="false">IF($B838="","",IF(AND(OR(CARI!$C$5="",ISNUMBER(SEARCH(CARI!$C$5,$B838&amp;" "&amp;$C838&amp;" "&amp;$I838&amp;" "&amp;$J838&amp;" "&amp;$Q838))),OR(CARI!$C$6="",$E838=CARI!$C$6),OR(CARI!$C$7="",$F838=CARI!$C$7),OR(CARI!$C$8="",$O838=CARI!$C$8)),MAX($U$3:U837)+1,""))</f>
        <v/>
      </c>
      <c r="V838" s="40" t="str">
        <f aca="false">IF($T838="","",MAX($V$3:V837)+1)</f>
        <v/>
      </c>
      <c r="W838" s="40" t="str">
        <f aca="false">IF($E838="","",$E838&amp;"#"&amp;COUNTIF($E$4:$E838,$E838))</f>
        <v/>
      </c>
      <c r="X838" s="40" t="str">
        <f aca="false">IF($B838="","",IF(AND(OR(CETAK!$J$10="",$E838=CETAK!$J$10),OR(CETAK!$J$11="",$F838=CETAK!$J$11),OR(CETAK!$J$12="",$K838=CETAK!$J$12),OR(CETAK!$J$13="",$H838=CETAK!$J$13),OR(CETAK!$J$14="",$O838=CETAK!$J$14)),MAX($X$3:X837)+1,""))</f>
        <v/>
      </c>
      <c r="Y838" s="40" t="str">
        <f aca="false">IF($B838="","",IF(AND(OR(ABSENSI!$H$10="",$E838=ABSENSI!$H$10),OR(ABSENSI!$H$11="",$F838=ABSENSI!$H$11),OR(ABSENSI!$H$12="",$K838=ABSENSI!$H$12)),MAX($Y$3:Y837)+1,""))</f>
        <v/>
      </c>
      <c r="Z838" s="40" t="str">
        <f aca="false">IF($B838="","",IF(AND(OR(KARTU!$K$6="",$E838=KARTU!$K$6),OR(KARTU!$K$7="",$F838=KARTU!$K$7),OR(KARTU!$K$8="",$K838=KARTU!$K$8)),MAX($Z$3:Z837)+1,""))</f>
        <v/>
      </c>
    </row>
    <row r="839" customFormat="false" ht="15" hidden="false" customHeight="false" outlineLevel="0" collapsed="false">
      <c r="A839" s="36" t="str">
        <f aca="false">IF($B839="","",COUNTA($B$4:$B839))</f>
        <v/>
      </c>
      <c r="B839" s="37"/>
      <c r="C839" s="38"/>
      <c r="D839" s="39"/>
      <c r="E839" s="37"/>
      <c r="F839" s="39"/>
      <c r="G839" s="40" t="str">
        <f aca="false">IF(OR($E839="",$F839=""),"",$E839&amp;" - RT "&amp;$F839)</f>
        <v/>
      </c>
      <c r="H839" s="37"/>
      <c r="I839" s="38"/>
      <c r="J839" s="37"/>
      <c r="K839" s="39"/>
      <c r="L839" s="41"/>
      <c r="M839" s="36" t="str">
        <f aca="true">IF(OR($B839="",$L839=""),"",DATEDIF($L839,TODAY(),"Y"))</f>
        <v/>
      </c>
      <c r="N839" s="40" t="str">
        <f aca="false">IF($M839="","",INDEX(usia_label,MATCH($M839,usia_min,1)))</f>
        <v/>
      </c>
      <c r="O839" s="37"/>
      <c r="P839" s="41"/>
      <c r="Q839" s="37"/>
      <c r="R839" s="37"/>
      <c r="S839" s="40" t="str">
        <f aca="false">IF($G839="","",$G839&amp;"#"&amp;COUNTIF($G$4:$G839,$G839))</f>
        <v/>
      </c>
      <c r="T839" s="40" t="str">
        <f aca="false">IF($B839="","",IF($C839="","NIK kosong",IF(LEN($C839)&lt;&gt;16,"NIK bukan 16 digit",IF(COUNTIF($C$4:$C$2003,$C839&amp;"*")&gt;1,"NIK ganda",IF($E839="","Kadus kosong",IF($F839="","RT kosong",IF($H839="","Jabatan kosong",IF($I839="","No. HP kosong",IF($J839="","Alamat kosong",IF(AND($M839&lt;&gt;"",$M839&lt;17),"Usia di bawah 17",""))))))))))</f>
        <v/>
      </c>
      <c r="U839" s="40" t="str">
        <f aca="false">IF($B839="","",IF(AND(OR(CARI!$C$5="",ISNUMBER(SEARCH(CARI!$C$5,$B839&amp;" "&amp;$C839&amp;" "&amp;$I839&amp;" "&amp;$J839&amp;" "&amp;$Q839))),OR(CARI!$C$6="",$E839=CARI!$C$6),OR(CARI!$C$7="",$F839=CARI!$C$7),OR(CARI!$C$8="",$O839=CARI!$C$8)),MAX($U$3:U838)+1,""))</f>
        <v/>
      </c>
      <c r="V839" s="40" t="str">
        <f aca="false">IF($T839="","",MAX($V$3:V838)+1)</f>
        <v/>
      </c>
      <c r="W839" s="40" t="str">
        <f aca="false">IF($E839="","",$E839&amp;"#"&amp;COUNTIF($E$4:$E839,$E839))</f>
        <v/>
      </c>
      <c r="X839" s="40" t="str">
        <f aca="false">IF($B839="","",IF(AND(OR(CETAK!$J$10="",$E839=CETAK!$J$10),OR(CETAK!$J$11="",$F839=CETAK!$J$11),OR(CETAK!$J$12="",$K839=CETAK!$J$12),OR(CETAK!$J$13="",$H839=CETAK!$J$13),OR(CETAK!$J$14="",$O839=CETAK!$J$14)),MAX($X$3:X838)+1,""))</f>
        <v/>
      </c>
      <c r="Y839" s="40" t="str">
        <f aca="false">IF($B839="","",IF(AND(OR(ABSENSI!$H$10="",$E839=ABSENSI!$H$10),OR(ABSENSI!$H$11="",$F839=ABSENSI!$H$11),OR(ABSENSI!$H$12="",$K839=ABSENSI!$H$12)),MAX($Y$3:Y838)+1,""))</f>
        <v/>
      </c>
      <c r="Z839" s="40" t="str">
        <f aca="false">IF($B839="","",IF(AND(OR(KARTU!$K$6="",$E839=KARTU!$K$6),OR(KARTU!$K$7="",$F839=KARTU!$K$7),OR(KARTU!$K$8="",$K839=KARTU!$K$8)),MAX($Z$3:Z838)+1,""))</f>
        <v/>
      </c>
    </row>
    <row r="840" customFormat="false" ht="15" hidden="false" customHeight="false" outlineLevel="0" collapsed="false">
      <c r="A840" s="36" t="str">
        <f aca="false">IF($B840="","",COUNTA($B$4:$B840))</f>
        <v/>
      </c>
      <c r="B840" s="37"/>
      <c r="C840" s="38"/>
      <c r="D840" s="39"/>
      <c r="E840" s="37"/>
      <c r="F840" s="39"/>
      <c r="G840" s="40" t="str">
        <f aca="false">IF(OR($E840="",$F840=""),"",$E840&amp;" - RT "&amp;$F840)</f>
        <v/>
      </c>
      <c r="H840" s="37"/>
      <c r="I840" s="38"/>
      <c r="J840" s="37"/>
      <c r="K840" s="39"/>
      <c r="L840" s="41"/>
      <c r="M840" s="36" t="str">
        <f aca="true">IF(OR($B840="",$L840=""),"",DATEDIF($L840,TODAY(),"Y"))</f>
        <v/>
      </c>
      <c r="N840" s="40" t="str">
        <f aca="false">IF($M840="","",INDEX(usia_label,MATCH($M840,usia_min,1)))</f>
        <v/>
      </c>
      <c r="O840" s="37"/>
      <c r="P840" s="41"/>
      <c r="Q840" s="37"/>
      <c r="R840" s="37"/>
      <c r="S840" s="40" t="str">
        <f aca="false">IF($G840="","",$G840&amp;"#"&amp;COUNTIF($G$4:$G840,$G840))</f>
        <v/>
      </c>
      <c r="T840" s="40" t="str">
        <f aca="false">IF($B840="","",IF($C840="","NIK kosong",IF(LEN($C840)&lt;&gt;16,"NIK bukan 16 digit",IF(COUNTIF($C$4:$C$2003,$C840&amp;"*")&gt;1,"NIK ganda",IF($E840="","Kadus kosong",IF($F840="","RT kosong",IF($H840="","Jabatan kosong",IF($I840="","No. HP kosong",IF($J840="","Alamat kosong",IF(AND($M840&lt;&gt;"",$M840&lt;17),"Usia di bawah 17",""))))))))))</f>
        <v/>
      </c>
      <c r="U840" s="40" t="str">
        <f aca="false">IF($B840="","",IF(AND(OR(CARI!$C$5="",ISNUMBER(SEARCH(CARI!$C$5,$B840&amp;" "&amp;$C840&amp;" "&amp;$I840&amp;" "&amp;$J840&amp;" "&amp;$Q840))),OR(CARI!$C$6="",$E840=CARI!$C$6),OR(CARI!$C$7="",$F840=CARI!$C$7),OR(CARI!$C$8="",$O840=CARI!$C$8)),MAX($U$3:U839)+1,""))</f>
        <v/>
      </c>
      <c r="V840" s="40" t="str">
        <f aca="false">IF($T840="","",MAX($V$3:V839)+1)</f>
        <v/>
      </c>
      <c r="W840" s="40" t="str">
        <f aca="false">IF($E840="","",$E840&amp;"#"&amp;COUNTIF($E$4:$E840,$E840))</f>
        <v/>
      </c>
      <c r="X840" s="40" t="str">
        <f aca="false">IF($B840="","",IF(AND(OR(CETAK!$J$10="",$E840=CETAK!$J$10),OR(CETAK!$J$11="",$F840=CETAK!$J$11),OR(CETAK!$J$12="",$K840=CETAK!$J$12),OR(CETAK!$J$13="",$H840=CETAK!$J$13),OR(CETAK!$J$14="",$O840=CETAK!$J$14)),MAX($X$3:X839)+1,""))</f>
        <v/>
      </c>
      <c r="Y840" s="40" t="str">
        <f aca="false">IF($B840="","",IF(AND(OR(ABSENSI!$H$10="",$E840=ABSENSI!$H$10),OR(ABSENSI!$H$11="",$F840=ABSENSI!$H$11),OR(ABSENSI!$H$12="",$K840=ABSENSI!$H$12)),MAX($Y$3:Y839)+1,""))</f>
        <v/>
      </c>
      <c r="Z840" s="40" t="str">
        <f aca="false">IF($B840="","",IF(AND(OR(KARTU!$K$6="",$E840=KARTU!$K$6),OR(KARTU!$K$7="",$F840=KARTU!$K$7),OR(KARTU!$K$8="",$K840=KARTU!$K$8)),MAX($Z$3:Z839)+1,""))</f>
        <v/>
      </c>
    </row>
    <row r="841" customFormat="false" ht="15" hidden="false" customHeight="false" outlineLevel="0" collapsed="false">
      <c r="A841" s="36" t="str">
        <f aca="false">IF($B841="","",COUNTA($B$4:$B841))</f>
        <v/>
      </c>
      <c r="B841" s="37"/>
      <c r="C841" s="38"/>
      <c r="D841" s="39"/>
      <c r="E841" s="37"/>
      <c r="F841" s="39"/>
      <c r="G841" s="40" t="str">
        <f aca="false">IF(OR($E841="",$F841=""),"",$E841&amp;" - RT "&amp;$F841)</f>
        <v/>
      </c>
      <c r="H841" s="37"/>
      <c r="I841" s="38"/>
      <c r="J841" s="37"/>
      <c r="K841" s="39"/>
      <c r="L841" s="41"/>
      <c r="M841" s="36" t="str">
        <f aca="true">IF(OR($B841="",$L841=""),"",DATEDIF($L841,TODAY(),"Y"))</f>
        <v/>
      </c>
      <c r="N841" s="40" t="str">
        <f aca="false">IF($M841="","",INDEX(usia_label,MATCH($M841,usia_min,1)))</f>
        <v/>
      </c>
      <c r="O841" s="37"/>
      <c r="P841" s="41"/>
      <c r="Q841" s="37"/>
      <c r="R841" s="37"/>
      <c r="S841" s="40" t="str">
        <f aca="false">IF($G841="","",$G841&amp;"#"&amp;COUNTIF($G$4:$G841,$G841))</f>
        <v/>
      </c>
      <c r="T841" s="40" t="str">
        <f aca="false">IF($B841="","",IF($C841="","NIK kosong",IF(LEN($C841)&lt;&gt;16,"NIK bukan 16 digit",IF(COUNTIF($C$4:$C$2003,$C841&amp;"*")&gt;1,"NIK ganda",IF($E841="","Kadus kosong",IF($F841="","RT kosong",IF($H841="","Jabatan kosong",IF($I841="","No. HP kosong",IF($J841="","Alamat kosong",IF(AND($M841&lt;&gt;"",$M841&lt;17),"Usia di bawah 17",""))))))))))</f>
        <v/>
      </c>
      <c r="U841" s="40" t="str">
        <f aca="false">IF($B841="","",IF(AND(OR(CARI!$C$5="",ISNUMBER(SEARCH(CARI!$C$5,$B841&amp;" "&amp;$C841&amp;" "&amp;$I841&amp;" "&amp;$J841&amp;" "&amp;$Q841))),OR(CARI!$C$6="",$E841=CARI!$C$6),OR(CARI!$C$7="",$F841=CARI!$C$7),OR(CARI!$C$8="",$O841=CARI!$C$8)),MAX($U$3:U840)+1,""))</f>
        <v/>
      </c>
      <c r="V841" s="40" t="str">
        <f aca="false">IF($T841="","",MAX($V$3:V840)+1)</f>
        <v/>
      </c>
      <c r="W841" s="40" t="str">
        <f aca="false">IF($E841="","",$E841&amp;"#"&amp;COUNTIF($E$4:$E841,$E841))</f>
        <v/>
      </c>
      <c r="X841" s="40" t="str">
        <f aca="false">IF($B841="","",IF(AND(OR(CETAK!$J$10="",$E841=CETAK!$J$10),OR(CETAK!$J$11="",$F841=CETAK!$J$11),OR(CETAK!$J$12="",$K841=CETAK!$J$12),OR(CETAK!$J$13="",$H841=CETAK!$J$13),OR(CETAK!$J$14="",$O841=CETAK!$J$14)),MAX($X$3:X840)+1,""))</f>
        <v/>
      </c>
      <c r="Y841" s="40" t="str">
        <f aca="false">IF($B841="","",IF(AND(OR(ABSENSI!$H$10="",$E841=ABSENSI!$H$10),OR(ABSENSI!$H$11="",$F841=ABSENSI!$H$11),OR(ABSENSI!$H$12="",$K841=ABSENSI!$H$12)),MAX($Y$3:Y840)+1,""))</f>
        <v/>
      </c>
      <c r="Z841" s="40" t="str">
        <f aca="false">IF($B841="","",IF(AND(OR(KARTU!$K$6="",$E841=KARTU!$K$6),OR(KARTU!$K$7="",$F841=KARTU!$K$7),OR(KARTU!$K$8="",$K841=KARTU!$K$8)),MAX($Z$3:Z840)+1,""))</f>
        <v/>
      </c>
    </row>
    <row r="842" customFormat="false" ht="15" hidden="false" customHeight="false" outlineLevel="0" collapsed="false">
      <c r="A842" s="36" t="str">
        <f aca="false">IF($B842="","",COUNTA($B$4:$B842))</f>
        <v/>
      </c>
      <c r="B842" s="37"/>
      <c r="C842" s="38"/>
      <c r="D842" s="39"/>
      <c r="E842" s="37"/>
      <c r="F842" s="39"/>
      <c r="G842" s="40" t="str">
        <f aca="false">IF(OR($E842="",$F842=""),"",$E842&amp;" - RT "&amp;$F842)</f>
        <v/>
      </c>
      <c r="H842" s="37"/>
      <c r="I842" s="38"/>
      <c r="J842" s="37"/>
      <c r="K842" s="39"/>
      <c r="L842" s="41"/>
      <c r="M842" s="36" t="str">
        <f aca="true">IF(OR($B842="",$L842=""),"",DATEDIF($L842,TODAY(),"Y"))</f>
        <v/>
      </c>
      <c r="N842" s="40" t="str">
        <f aca="false">IF($M842="","",INDEX(usia_label,MATCH($M842,usia_min,1)))</f>
        <v/>
      </c>
      <c r="O842" s="37"/>
      <c r="P842" s="41"/>
      <c r="Q842" s="37"/>
      <c r="R842" s="37"/>
      <c r="S842" s="40" t="str">
        <f aca="false">IF($G842="","",$G842&amp;"#"&amp;COUNTIF($G$4:$G842,$G842))</f>
        <v/>
      </c>
      <c r="T842" s="40" t="str">
        <f aca="false">IF($B842="","",IF($C842="","NIK kosong",IF(LEN($C842)&lt;&gt;16,"NIK bukan 16 digit",IF(COUNTIF($C$4:$C$2003,$C842&amp;"*")&gt;1,"NIK ganda",IF($E842="","Kadus kosong",IF($F842="","RT kosong",IF($H842="","Jabatan kosong",IF($I842="","No. HP kosong",IF($J842="","Alamat kosong",IF(AND($M842&lt;&gt;"",$M842&lt;17),"Usia di bawah 17",""))))))))))</f>
        <v/>
      </c>
      <c r="U842" s="40" t="str">
        <f aca="false">IF($B842="","",IF(AND(OR(CARI!$C$5="",ISNUMBER(SEARCH(CARI!$C$5,$B842&amp;" "&amp;$C842&amp;" "&amp;$I842&amp;" "&amp;$J842&amp;" "&amp;$Q842))),OR(CARI!$C$6="",$E842=CARI!$C$6),OR(CARI!$C$7="",$F842=CARI!$C$7),OR(CARI!$C$8="",$O842=CARI!$C$8)),MAX($U$3:U841)+1,""))</f>
        <v/>
      </c>
      <c r="V842" s="40" t="str">
        <f aca="false">IF($T842="","",MAX($V$3:V841)+1)</f>
        <v/>
      </c>
      <c r="W842" s="40" t="str">
        <f aca="false">IF($E842="","",$E842&amp;"#"&amp;COUNTIF($E$4:$E842,$E842))</f>
        <v/>
      </c>
      <c r="X842" s="40" t="str">
        <f aca="false">IF($B842="","",IF(AND(OR(CETAK!$J$10="",$E842=CETAK!$J$10),OR(CETAK!$J$11="",$F842=CETAK!$J$11),OR(CETAK!$J$12="",$K842=CETAK!$J$12),OR(CETAK!$J$13="",$H842=CETAK!$J$13),OR(CETAK!$J$14="",$O842=CETAK!$J$14)),MAX($X$3:X841)+1,""))</f>
        <v/>
      </c>
      <c r="Y842" s="40" t="str">
        <f aca="false">IF($B842="","",IF(AND(OR(ABSENSI!$H$10="",$E842=ABSENSI!$H$10),OR(ABSENSI!$H$11="",$F842=ABSENSI!$H$11),OR(ABSENSI!$H$12="",$K842=ABSENSI!$H$12)),MAX($Y$3:Y841)+1,""))</f>
        <v/>
      </c>
      <c r="Z842" s="40" t="str">
        <f aca="false">IF($B842="","",IF(AND(OR(KARTU!$K$6="",$E842=KARTU!$K$6),OR(KARTU!$K$7="",$F842=KARTU!$K$7),OR(KARTU!$K$8="",$K842=KARTU!$K$8)),MAX($Z$3:Z841)+1,""))</f>
        <v/>
      </c>
    </row>
    <row r="843" customFormat="false" ht="15" hidden="false" customHeight="false" outlineLevel="0" collapsed="false">
      <c r="A843" s="36" t="str">
        <f aca="false">IF($B843="","",COUNTA($B$4:$B843))</f>
        <v/>
      </c>
      <c r="B843" s="37"/>
      <c r="C843" s="38"/>
      <c r="D843" s="39"/>
      <c r="E843" s="37"/>
      <c r="F843" s="39"/>
      <c r="G843" s="40" t="str">
        <f aca="false">IF(OR($E843="",$F843=""),"",$E843&amp;" - RT "&amp;$F843)</f>
        <v/>
      </c>
      <c r="H843" s="37"/>
      <c r="I843" s="38"/>
      <c r="J843" s="37"/>
      <c r="K843" s="39"/>
      <c r="L843" s="41"/>
      <c r="M843" s="36" t="str">
        <f aca="true">IF(OR($B843="",$L843=""),"",DATEDIF($L843,TODAY(),"Y"))</f>
        <v/>
      </c>
      <c r="N843" s="40" t="str">
        <f aca="false">IF($M843="","",INDEX(usia_label,MATCH($M843,usia_min,1)))</f>
        <v/>
      </c>
      <c r="O843" s="37"/>
      <c r="P843" s="41"/>
      <c r="Q843" s="37"/>
      <c r="R843" s="37"/>
      <c r="S843" s="40" t="str">
        <f aca="false">IF($G843="","",$G843&amp;"#"&amp;COUNTIF($G$4:$G843,$G843))</f>
        <v/>
      </c>
      <c r="T843" s="40" t="str">
        <f aca="false">IF($B843="","",IF($C843="","NIK kosong",IF(LEN($C843)&lt;&gt;16,"NIK bukan 16 digit",IF(COUNTIF($C$4:$C$2003,$C843&amp;"*")&gt;1,"NIK ganda",IF($E843="","Kadus kosong",IF($F843="","RT kosong",IF($H843="","Jabatan kosong",IF($I843="","No. HP kosong",IF($J843="","Alamat kosong",IF(AND($M843&lt;&gt;"",$M843&lt;17),"Usia di bawah 17",""))))))))))</f>
        <v/>
      </c>
      <c r="U843" s="40" t="str">
        <f aca="false">IF($B843="","",IF(AND(OR(CARI!$C$5="",ISNUMBER(SEARCH(CARI!$C$5,$B843&amp;" "&amp;$C843&amp;" "&amp;$I843&amp;" "&amp;$J843&amp;" "&amp;$Q843))),OR(CARI!$C$6="",$E843=CARI!$C$6),OR(CARI!$C$7="",$F843=CARI!$C$7),OR(CARI!$C$8="",$O843=CARI!$C$8)),MAX($U$3:U842)+1,""))</f>
        <v/>
      </c>
      <c r="V843" s="40" t="str">
        <f aca="false">IF($T843="","",MAX($V$3:V842)+1)</f>
        <v/>
      </c>
      <c r="W843" s="40" t="str">
        <f aca="false">IF($E843="","",$E843&amp;"#"&amp;COUNTIF($E$4:$E843,$E843))</f>
        <v/>
      </c>
      <c r="X843" s="40" t="str">
        <f aca="false">IF($B843="","",IF(AND(OR(CETAK!$J$10="",$E843=CETAK!$J$10),OR(CETAK!$J$11="",$F843=CETAK!$J$11),OR(CETAK!$J$12="",$K843=CETAK!$J$12),OR(CETAK!$J$13="",$H843=CETAK!$J$13),OR(CETAK!$J$14="",$O843=CETAK!$J$14)),MAX($X$3:X842)+1,""))</f>
        <v/>
      </c>
      <c r="Y843" s="40" t="str">
        <f aca="false">IF($B843="","",IF(AND(OR(ABSENSI!$H$10="",$E843=ABSENSI!$H$10),OR(ABSENSI!$H$11="",$F843=ABSENSI!$H$11),OR(ABSENSI!$H$12="",$K843=ABSENSI!$H$12)),MAX($Y$3:Y842)+1,""))</f>
        <v/>
      </c>
      <c r="Z843" s="40" t="str">
        <f aca="false">IF($B843="","",IF(AND(OR(KARTU!$K$6="",$E843=KARTU!$K$6),OR(KARTU!$K$7="",$F843=KARTU!$K$7),OR(KARTU!$K$8="",$K843=KARTU!$K$8)),MAX($Z$3:Z842)+1,""))</f>
        <v/>
      </c>
    </row>
    <row r="844" customFormat="false" ht="15" hidden="false" customHeight="false" outlineLevel="0" collapsed="false">
      <c r="A844" s="36" t="str">
        <f aca="false">IF($B844="","",COUNTA($B$4:$B844))</f>
        <v/>
      </c>
      <c r="B844" s="37"/>
      <c r="C844" s="38"/>
      <c r="D844" s="39"/>
      <c r="E844" s="37"/>
      <c r="F844" s="39"/>
      <c r="G844" s="40" t="str">
        <f aca="false">IF(OR($E844="",$F844=""),"",$E844&amp;" - RT "&amp;$F844)</f>
        <v/>
      </c>
      <c r="H844" s="37"/>
      <c r="I844" s="38"/>
      <c r="J844" s="37"/>
      <c r="K844" s="39"/>
      <c r="L844" s="41"/>
      <c r="M844" s="36" t="str">
        <f aca="true">IF(OR($B844="",$L844=""),"",DATEDIF($L844,TODAY(),"Y"))</f>
        <v/>
      </c>
      <c r="N844" s="40" t="str">
        <f aca="false">IF($M844="","",INDEX(usia_label,MATCH($M844,usia_min,1)))</f>
        <v/>
      </c>
      <c r="O844" s="37"/>
      <c r="P844" s="41"/>
      <c r="Q844" s="37"/>
      <c r="R844" s="37"/>
      <c r="S844" s="40" t="str">
        <f aca="false">IF($G844="","",$G844&amp;"#"&amp;COUNTIF($G$4:$G844,$G844))</f>
        <v/>
      </c>
      <c r="T844" s="40" t="str">
        <f aca="false">IF($B844="","",IF($C844="","NIK kosong",IF(LEN($C844)&lt;&gt;16,"NIK bukan 16 digit",IF(COUNTIF($C$4:$C$2003,$C844&amp;"*")&gt;1,"NIK ganda",IF($E844="","Kadus kosong",IF($F844="","RT kosong",IF($H844="","Jabatan kosong",IF($I844="","No. HP kosong",IF($J844="","Alamat kosong",IF(AND($M844&lt;&gt;"",$M844&lt;17),"Usia di bawah 17",""))))))))))</f>
        <v/>
      </c>
      <c r="U844" s="40" t="str">
        <f aca="false">IF($B844="","",IF(AND(OR(CARI!$C$5="",ISNUMBER(SEARCH(CARI!$C$5,$B844&amp;" "&amp;$C844&amp;" "&amp;$I844&amp;" "&amp;$J844&amp;" "&amp;$Q844))),OR(CARI!$C$6="",$E844=CARI!$C$6),OR(CARI!$C$7="",$F844=CARI!$C$7),OR(CARI!$C$8="",$O844=CARI!$C$8)),MAX($U$3:U843)+1,""))</f>
        <v/>
      </c>
      <c r="V844" s="40" t="str">
        <f aca="false">IF($T844="","",MAX($V$3:V843)+1)</f>
        <v/>
      </c>
      <c r="W844" s="40" t="str">
        <f aca="false">IF($E844="","",$E844&amp;"#"&amp;COUNTIF($E$4:$E844,$E844))</f>
        <v/>
      </c>
      <c r="X844" s="40" t="str">
        <f aca="false">IF($B844="","",IF(AND(OR(CETAK!$J$10="",$E844=CETAK!$J$10),OR(CETAK!$J$11="",$F844=CETAK!$J$11),OR(CETAK!$J$12="",$K844=CETAK!$J$12),OR(CETAK!$J$13="",$H844=CETAK!$J$13),OR(CETAK!$J$14="",$O844=CETAK!$J$14)),MAX($X$3:X843)+1,""))</f>
        <v/>
      </c>
      <c r="Y844" s="40" t="str">
        <f aca="false">IF($B844="","",IF(AND(OR(ABSENSI!$H$10="",$E844=ABSENSI!$H$10),OR(ABSENSI!$H$11="",$F844=ABSENSI!$H$11),OR(ABSENSI!$H$12="",$K844=ABSENSI!$H$12)),MAX($Y$3:Y843)+1,""))</f>
        <v/>
      </c>
      <c r="Z844" s="40" t="str">
        <f aca="false">IF($B844="","",IF(AND(OR(KARTU!$K$6="",$E844=KARTU!$K$6),OR(KARTU!$K$7="",$F844=KARTU!$K$7),OR(KARTU!$K$8="",$K844=KARTU!$K$8)),MAX($Z$3:Z843)+1,""))</f>
        <v/>
      </c>
    </row>
    <row r="845" customFormat="false" ht="15" hidden="false" customHeight="false" outlineLevel="0" collapsed="false">
      <c r="A845" s="36" t="str">
        <f aca="false">IF($B845="","",COUNTA($B$4:$B845))</f>
        <v/>
      </c>
      <c r="B845" s="37"/>
      <c r="C845" s="38"/>
      <c r="D845" s="39"/>
      <c r="E845" s="37"/>
      <c r="F845" s="39"/>
      <c r="G845" s="40" t="str">
        <f aca="false">IF(OR($E845="",$F845=""),"",$E845&amp;" - RT "&amp;$F845)</f>
        <v/>
      </c>
      <c r="H845" s="37"/>
      <c r="I845" s="38"/>
      <c r="J845" s="37"/>
      <c r="K845" s="39"/>
      <c r="L845" s="41"/>
      <c r="M845" s="36" t="str">
        <f aca="true">IF(OR($B845="",$L845=""),"",DATEDIF($L845,TODAY(),"Y"))</f>
        <v/>
      </c>
      <c r="N845" s="40" t="str">
        <f aca="false">IF($M845="","",INDEX(usia_label,MATCH($M845,usia_min,1)))</f>
        <v/>
      </c>
      <c r="O845" s="37"/>
      <c r="P845" s="41"/>
      <c r="Q845" s="37"/>
      <c r="R845" s="37"/>
      <c r="S845" s="40" t="str">
        <f aca="false">IF($G845="","",$G845&amp;"#"&amp;COUNTIF($G$4:$G845,$G845))</f>
        <v/>
      </c>
      <c r="T845" s="40" t="str">
        <f aca="false">IF($B845="","",IF($C845="","NIK kosong",IF(LEN($C845)&lt;&gt;16,"NIK bukan 16 digit",IF(COUNTIF($C$4:$C$2003,$C845&amp;"*")&gt;1,"NIK ganda",IF($E845="","Kadus kosong",IF($F845="","RT kosong",IF($H845="","Jabatan kosong",IF($I845="","No. HP kosong",IF($J845="","Alamat kosong",IF(AND($M845&lt;&gt;"",$M845&lt;17),"Usia di bawah 17",""))))))))))</f>
        <v/>
      </c>
      <c r="U845" s="40" t="str">
        <f aca="false">IF($B845="","",IF(AND(OR(CARI!$C$5="",ISNUMBER(SEARCH(CARI!$C$5,$B845&amp;" "&amp;$C845&amp;" "&amp;$I845&amp;" "&amp;$J845&amp;" "&amp;$Q845))),OR(CARI!$C$6="",$E845=CARI!$C$6),OR(CARI!$C$7="",$F845=CARI!$C$7),OR(CARI!$C$8="",$O845=CARI!$C$8)),MAX($U$3:U844)+1,""))</f>
        <v/>
      </c>
      <c r="V845" s="40" t="str">
        <f aca="false">IF($T845="","",MAX($V$3:V844)+1)</f>
        <v/>
      </c>
      <c r="W845" s="40" t="str">
        <f aca="false">IF($E845="","",$E845&amp;"#"&amp;COUNTIF($E$4:$E845,$E845))</f>
        <v/>
      </c>
      <c r="X845" s="40" t="str">
        <f aca="false">IF($B845="","",IF(AND(OR(CETAK!$J$10="",$E845=CETAK!$J$10),OR(CETAK!$J$11="",$F845=CETAK!$J$11),OR(CETAK!$J$12="",$K845=CETAK!$J$12),OR(CETAK!$J$13="",$H845=CETAK!$J$13),OR(CETAK!$J$14="",$O845=CETAK!$J$14)),MAX($X$3:X844)+1,""))</f>
        <v/>
      </c>
      <c r="Y845" s="40" t="str">
        <f aca="false">IF($B845="","",IF(AND(OR(ABSENSI!$H$10="",$E845=ABSENSI!$H$10),OR(ABSENSI!$H$11="",$F845=ABSENSI!$H$11),OR(ABSENSI!$H$12="",$K845=ABSENSI!$H$12)),MAX($Y$3:Y844)+1,""))</f>
        <v/>
      </c>
      <c r="Z845" s="40" t="str">
        <f aca="false">IF($B845="","",IF(AND(OR(KARTU!$K$6="",$E845=KARTU!$K$6),OR(KARTU!$K$7="",$F845=KARTU!$K$7),OR(KARTU!$K$8="",$K845=KARTU!$K$8)),MAX($Z$3:Z844)+1,""))</f>
        <v/>
      </c>
    </row>
    <row r="846" customFormat="false" ht="15" hidden="false" customHeight="false" outlineLevel="0" collapsed="false">
      <c r="A846" s="36" t="str">
        <f aca="false">IF($B846="","",COUNTA($B$4:$B846))</f>
        <v/>
      </c>
      <c r="B846" s="37"/>
      <c r="C846" s="38"/>
      <c r="D846" s="39"/>
      <c r="E846" s="37"/>
      <c r="F846" s="39"/>
      <c r="G846" s="40" t="str">
        <f aca="false">IF(OR($E846="",$F846=""),"",$E846&amp;" - RT "&amp;$F846)</f>
        <v/>
      </c>
      <c r="H846" s="37"/>
      <c r="I846" s="38"/>
      <c r="J846" s="37"/>
      <c r="K846" s="39"/>
      <c r="L846" s="41"/>
      <c r="M846" s="36" t="str">
        <f aca="true">IF(OR($B846="",$L846=""),"",DATEDIF($L846,TODAY(),"Y"))</f>
        <v/>
      </c>
      <c r="N846" s="40" t="str">
        <f aca="false">IF($M846="","",INDEX(usia_label,MATCH($M846,usia_min,1)))</f>
        <v/>
      </c>
      <c r="O846" s="37"/>
      <c r="P846" s="41"/>
      <c r="Q846" s="37"/>
      <c r="R846" s="37"/>
      <c r="S846" s="40" t="str">
        <f aca="false">IF($G846="","",$G846&amp;"#"&amp;COUNTIF($G$4:$G846,$G846))</f>
        <v/>
      </c>
      <c r="T846" s="40" t="str">
        <f aca="false">IF($B846="","",IF($C846="","NIK kosong",IF(LEN($C846)&lt;&gt;16,"NIK bukan 16 digit",IF(COUNTIF($C$4:$C$2003,$C846&amp;"*")&gt;1,"NIK ganda",IF($E846="","Kadus kosong",IF($F846="","RT kosong",IF($H846="","Jabatan kosong",IF($I846="","No. HP kosong",IF($J846="","Alamat kosong",IF(AND($M846&lt;&gt;"",$M846&lt;17),"Usia di bawah 17",""))))))))))</f>
        <v/>
      </c>
      <c r="U846" s="40" t="str">
        <f aca="false">IF($B846="","",IF(AND(OR(CARI!$C$5="",ISNUMBER(SEARCH(CARI!$C$5,$B846&amp;" "&amp;$C846&amp;" "&amp;$I846&amp;" "&amp;$J846&amp;" "&amp;$Q846))),OR(CARI!$C$6="",$E846=CARI!$C$6),OR(CARI!$C$7="",$F846=CARI!$C$7),OR(CARI!$C$8="",$O846=CARI!$C$8)),MAX($U$3:U845)+1,""))</f>
        <v/>
      </c>
      <c r="V846" s="40" t="str">
        <f aca="false">IF($T846="","",MAX($V$3:V845)+1)</f>
        <v/>
      </c>
      <c r="W846" s="40" t="str">
        <f aca="false">IF($E846="","",$E846&amp;"#"&amp;COUNTIF($E$4:$E846,$E846))</f>
        <v/>
      </c>
      <c r="X846" s="40" t="str">
        <f aca="false">IF($B846="","",IF(AND(OR(CETAK!$J$10="",$E846=CETAK!$J$10),OR(CETAK!$J$11="",$F846=CETAK!$J$11),OR(CETAK!$J$12="",$K846=CETAK!$J$12),OR(CETAK!$J$13="",$H846=CETAK!$J$13),OR(CETAK!$J$14="",$O846=CETAK!$J$14)),MAX($X$3:X845)+1,""))</f>
        <v/>
      </c>
      <c r="Y846" s="40" t="str">
        <f aca="false">IF($B846="","",IF(AND(OR(ABSENSI!$H$10="",$E846=ABSENSI!$H$10),OR(ABSENSI!$H$11="",$F846=ABSENSI!$H$11),OR(ABSENSI!$H$12="",$K846=ABSENSI!$H$12)),MAX($Y$3:Y845)+1,""))</f>
        <v/>
      </c>
      <c r="Z846" s="40" t="str">
        <f aca="false">IF($B846="","",IF(AND(OR(KARTU!$K$6="",$E846=KARTU!$K$6),OR(KARTU!$K$7="",$F846=KARTU!$K$7),OR(KARTU!$K$8="",$K846=KARTU!$K$8)),MAX($Z$3:Z845)+1,""))</f>
        <v/>
      </c>
    </row>
    <row r="847" customFormat="false" ht="15" hidden="false" customHeight="false" outlineLevel="0" collapsed="false">
      <c r="A847" s="36" t="str">
        <f aca="false">IF($B847="","",COUNTA($B$4:$B847))</f>
        <v/>
      </c>
      <c r="B847" s="37"/>
      <c r="C847" s="38"/>
      <c r="D847" s="39"/>
      <c r="E847" s="37"/>
      <c r="F847" s="39"/>
      <c r="G847" s="40" t="str">
        <f aca="false">IF(OR($E847="",$F847=""),"",$E847&amp;" - RT "&amp;$F847)</f>
        <v/>
      </c>
      <c r="H847" s="37"/>
      <c r="I847" s="38"/>
      <c r="J847" s="37"/>
      <c r="K847" s="39"/>
      <c r="L847" s="41"/>
      <c r="M847" s="36" t="str">
        <f aca="true">IF(OR($B847="",$L847=""),"",DATEDIF($L847,TODAY(),"Y"))</f>
        <v/>
      </c>
      <c r="N847" s="40" t="str">
        <f aca="false">IF($M847="","",INDEX(usia_label,MATCH($M847,usia_min,1)))</f>
        <v/>
      </c>
      <c r="O847" s="37"/>
      <c r="P847" s="41"/>
      <c r="Q847" s="37"/>
      <c r="R847" s="37"/>
      <c r="S847" s="40" t="str">
        <f aca="false">IF($G847="","",$G847&amp;"#"&amp;COUNTIF($G$4:$G847,$G847))</f>
        <v/>
      </c>
      <c r="T847" s="40" t="str">
        <f aca="false">IF($B847="","",IF($C847="","NIK kosong",IF(LEN($C847)&lt;&gt;16,"NIK bukan 16 digit",IF(COUNTIF($C$4:$C$2003,$C847&amp;"*")&gt;1,"NIK ganda",IF($E847="","Kadus kosong",IF($F847="","RT kosong",IF($H847="","Jabatan kosong",IF($I847="","No. HP kosong",IF($J847="","Alamat kosong",IF(AND($M847&lt;&gt;"",$M847&lt;17),"Usia di bawah 17",""))))))))))</f>
        <v/>
      </c>
      <c r="U847" s="40" t="str">
        <f aca="false">IF($B847="","",IF(AND(OR(CARI!$C$5="",ISNUMBER(SEARCH(CARI!$C$5,$B847&amp;" "&amp;$C847&amp;" "&amp;$I847&amp;" "&amp;$J847&amp;" "&amp;$Q847))),OR(CARI!$C$6="",$E847=CARI!$C$6),OR(CARI!$C$7="",$F847=CARI!$C$7),OR(CARI!$C$8="",$O847=CARI!$C$8)),MAX($U$3:U846)+1,""))</f>
        <v/>
      </c>
      <c r="V847" s="40" t="str">
        <f aca="false">IF($T847="","",MAX($V$3:V846)+1)</f>
        <v/>
      </c>
      <c r="W847" s="40" t="str">
        <f aca="false">IF($E847="","",$E847&amp;"#"&amp;COUNTIF($E$4:$E847,$E847))</f>
        <v/>
      </c>
      <c r="X847" s="40" t="str">
        <f aca="false">IF($B847="","",IF(AND(OR(CETAK!$J$10="",$E847=CETAK!$J$10),OR(CETAK!$J$11="",$F847=CETAK!$J$11),OR(CETAK!$J$12="",$K847=CETAK!$J$12),OR(CETAK!$J$13="",$H847=CETAK!$J$13),OR(CETAK!$J$14="",$O847=CETAK!$J$14)),MAX($X$3:X846)+1,""))</f>
        <v/>
      </c>
      <c r="Y847" s="40" t="str">
        <f aca="false">IF($B847="","",IF(AND(OR(ABSENSI!$H$10="",$E847=ABSENSI!$H$10),OR(ABSENSI!$H$11="",$F847=ABSENSI!$H$11),OR(ABSENSI!$H$12="",$K847=ABSENSI!$H$12)),MAX($Y$3:Y846)+1,""))</f>
        <v/>
      </c>
      <c r="Z847" s="40" t="str">
        <f aca="false">IF($B847="","",IF(AND(OR(KARTU!$K$6="",$E847=KARTU!$K$6),OR(KARTU!$K$7="",$F847=KARTU!$K$7),OR(KARTU!$K$8="",$K847=KARTU!$K$8)),MAX($Z$3:Z846)+1,""))</f>
        <v/>
      </c>
    </row>
    <row r="848" customFormat="false" ht="15" hidden="false" customHeight="false" outlineLevel="0" collapsed="false">
      <c r="A848" s="36" t="str">
        <f aca="false">IF($B848="","",COUNTA($B$4:$B848))</f>
        <v/>
      </c>
      <c r="B848" s="37"/>
      <c r="C848" s="38"/>
      <c r="D848" s="39"/>
      <c r="E848" s="37"/>
      <c r="F848" s="39"/>
      <c r="G848" s="40" t="str">
        <f aca="false">IF(OR($E848="",$F848=""),"",$E848&amp;" - RT "&amp;$F848)</f>
        <v/>
      </c>
      <c r="H848" s="37"/>
      <c r="I848" s="38"/>
      <c r="J848" s="37"/>
      <c r="K848" s="39"/>
      <c r="L848" s="41"/>
      <c r="M848" s="36" t="str">
        <f aca="true">IF(OR($B848="",$L848=""),"",DATEDIF($L848,TODAY(),"Y"))</f>
        <v/>
      </c>
      <c r="N848" s="40" t="str">
        <f aca="false">IF($M848="","",INDEX(usia_label,MATCH($M848,usia_min,1)))</f>
        <v/>
      </c>
      <c r="O848" s="37"/>
      <c r="P848" s="41"/>
      <c r="Q848" s="37"/>
      <c r="R848" s="37"/>
      <c r="S848" s="40" t="str">
        <f aca="false">IF($G848="","",$G848&amp;"#"&amp;COUNTIF($G$4:$G848,$G848))</f>
        <v/>
      </c>
      <c r="T848" s="40" t="str">
        <f aca="false">IF($B848="","",IF($C848="","NIK kosong",IF(LEN($C848)&lt;&gt;16,"NIK bukan 16 digit",IF(COUNTIF($C$4:$C$2003,$C848&amp;"*")&gt;1,"NIK ganda",IF($E848="","Kadus kosong",IF($F848="","RT kosong",IF($H848="","Jabatan kosong",IF($I848="","No. HP kosong",IF($J848="","Alamat kosong",IF(AND($M848&lt;&gt;"",$M848&lt;17),"Usia di bawah 17",""))))))))))</f>
        <v/>
      </c>
      <c r="U848" s="40" t="str">
        <f aca="false">IF($B848="","",IF(AND(OR(CARI!$C$5="",ISNUMBER(SEARCH(CARI!$C$5,$B848&amp;" "&amp;$C848&amp;" "&amp;$I848&amp;" "&amp;$J848&amp;" "&amp;$Q848))),OR(CARI!$C$6="",$E848=CARI!$C$6),OR(CARI!$C$7="",$F848=CARI!$C$7),OR(CARI!$C$8="",$O848=CARI!$C$8)),MAX($U$3:U847)+1,""))</f>
        <v/>
      </c>
      <c r="V848" s="40" t="str">
        <f aca="false">IF($T848="","",MAX($V$3:V847)+1)</f>
        <v/>
      </c>
      <c r="W848" s="40" t="str">
        <f aca="false">IF($E848="","",$E848&amp;"#"&amp;COUNTIF($E$4:$E848,$E848))</f>
        <v/>
      </c>
      <c r="X848" s="40" t="str">
        <f aca="false">IF($B848="","",IF(AND(OR(CETAK!$J$10="",$E848=CETAK!$J$10),OR(CETAK!$J$11="",$F848=CETAK!$J$11),OR(CETAK!$J$12="",$K848=CETAK!$J$12),OR(CETAK!$J$13="",$H848=CETAK!$J$13),OR(CETAK!$J$14="",$O848=CETAK!$J$14)),MAX($X$3:X847)+1,""))</f>
        <v/>
      </c>
      <c r="Y848" s="40" t="str">
        <f aca="false">IF($B848="","",IF(AND(OR(ABSENSI!$H$10="",$E848=ABSENSI!$H$10),OR(ABSENSI!$H$11="",$F848=ABSENSI!$H$11),OR(ABSENSI!$H$12="",$K848=ABSENSI!$H$12)),MAX($Y$3:Y847)+1,""))</f>
        <v/>
      </c>
      <c r="Z848" s="40" t="str">
        <f aca="false">IF($B848="","",IF(AND(OR(KARTU!$K$6="",$E848=KARTU!$K$6),OR(KARTU!$K$7="",$F848=KARTU!$K$7),OR(KARTU!$K$8="",$K848=KARTU!$K$8)),MAX($Z$3:Z847)+1,""))</f>
        <v/>
      </c>
    </row>
    <row r="849" customFormat="false" ht="15" hidden="false" customHeight="false" outlineLevel="0" collapsed="false">
      <c r="A849" s="36" t="str">
        <f aca="false">IF($B849="","",COUNTA($B$4:$B849))</f>
        <v/>
      </c>
      <c r="B849" s="37"/>
      <c r="C849" s="38"/>
      <c r="D849" s="39"/>
      <c r="E849" s="37"/>
      <c r="F849" s="39"/>
      <c r="G849" s="40" t="str">
        <f aca="false">IF(OR($E849="",$F849=""),"",$E849&amp;" - RT "&amp;$F849)</f>
        <v/>
      </c>
      <c r="H849" s="37"/>
      <c r="I849" s="38"/>
      <c r="J849" s="37"/>
      <c r="K849" s="39"/>
      <c r="L849" s="41"/>
      <c r="M849" s="36" t="str">
        <f aca="true">IF(OR($B849="",$L849=""),"",DATEDIF($L849,TODAY(),"Y"))</f>
        <v/>
      </c>
      <c r="N849" s="40" t="str">
        <f aca="false">IF($M849="","",INDEX(usia_label,MATCH($M849,usia_min,1)))</f>
        <v/>
      </c>
      <c r="O849" s="37"/>
      <c r="P849" s="41"/>
      <c r="Q849" s="37"/>
      <c r="R849" s="37"/>
      <c r="S849" s="40" t="str">
        <f aca="false">IF($G849="","",$G849&amp;"#"&amp;COUNTIF($G$4:$G849,$G849))</f>
        <v/>
      </c>
      <c r="T849" s="40" t="str">
        <f aca="false">IF($B849="","",IF($C849="","NIK kosong",IF(LEN($C849)&lt;&gt;16,"NIK bukan 16 digit",IF(COUNTIF($C$4:$C$2003,$C849&amp;"*")&gt;1,"NIK ganda",IF($E849="","Kadus kosong",IF($F849="","RT kosong",IF($H849="","Jabatan kosong",IF($I849="","No. HP kosong",IF($J849="","Alamat kosong",IF(AND($M849&lt;&gt;"",$M849&lt;17),"Usia di bawah 17",""))))))))))</f>
        <v/>
      </c>
      <c r="U849" s="40" t="str">
        <f aca="false">IF($B849="","",IF(AND(OR(CARI!$C$5="",ISNUMBER(SEARCH(CARI!$C$5,$B849&amp;" "&amp;$C849&amp;" "&amp;$I849&amp;" "&amp;$J849&amp;" "&amp;$Q849))),OR(CARI!$C$6="",$E849=CARI!$C$6),OR(CARI!$C$7="",$F849=CARI!$C$7),OR(CARI!$C$8="",$O849=CARI!$C$8)),MAX($U$3:U848)+1,""))</f>
        <v/>
      </c>
      <c r="V849" s="40" t="str">
        <f aca="false">IF($T849="","",MAX($V$3:V848)+1)</f>
        <v/>
      </c>
      <c r="W849" s="40" t="str">
        <f aca="false">IF($E849="","",$E849&amp;"#"&amp;COUNTIF($E$4:$E849,$E849))</f>
        <v/>
      </c>
      <c r="X849" s="40" t="str">
        <f aca="false">IF($B849="","",IF(AND(OR(CETAK!$J$10="",$E849=CETAK!$J$10),OR(CETAK!$J$11="",$F849=CETAK!$J$11),OR(CETAK!$J$12="",$K849=CETAK!$J$12),OR(CETAK!$J$13="",$H849=CETAK!$J$13),OR(CETAK!$J$14="",$O849=CETAK!$J$14)),MAX($X$3:X848)+1,""))</f>
        <v/>
      </c>
      <c r="Y849" s="40" t="str">
        <f aca="false">IF($B849="","",IF(AND(OR(ABSENSI!$H$10="",$E849=ABSENSI!$H$10),OR(ABSENSI!$H$11="",$F849=ABSENSI!$H$11),OR(ABSENSI!$H$12="",$K849=ABSENSI!$H$12)),MAX($Y$3:Y848)+1,""))</f>
        <v/>
      </c>
      <c r="Z849" s="40" t="str">
        <f aca="false">IF($B849="","",IF(AND(OR(KARTU!$K$6="",$E849=KARTU!$K$6),OR(KARTU!$K$7="",$F849=KARTU!$K$7),OR(KARTU!$K$8="",$K849=KARTU!$K$8)),MAX($Z$3:Z848)+1,""))</f>
        <v/>
      </c>
    </row>
    <row r="850" customFormat="false" ht="15" hidden="false" customHeight="false" outlineLevel="0" collapsed="false">
      <c r="A850" s="36" t="str">
        <f aca="false">IF($B850="","",COUNTA($B$4:$B850))</f>
        <v/>
      </c>
      <c r="B850" s="37"/>
      <c r="C850" s="38"/>
      <c r="D850" s="39"/>
      <c r="E850" s="37"/>
      <c r="F850" s="39"/>
      <c r="G850" s="40" t="str">
        <f aca="false">IF(OR($E850="",$F850=""),"",$E850&amp;" - RT "&amp;$F850)</f>
        <v/>
      </c>
      <c r="H850" s="37"/>
      <c r="I850" s="38"/>
      <c r="J850" s="37"/>
      <c r="K850" s="39"/>
      <c r="L850" s="41"/>
      <c r="M850" s="36" t="str">
        <f aca="true">IF(OR($B850="",$L850=""),"",DATEDIF($L850,TODAY(),"Y"))</f>
        <v/>
      </c>
      <c r="N850" s="40" t="str">
        <f aca="false">IF($M850="","",INDEX(usia_label,MATCH($M850,usia_min,1)))</f>
        <v/>
      </c>
      <c r="O850" s="37"/>
      <c r="P850" s="41"/>
      <c r="Q850" s="37"/>
      <c r="R850" s="37"/>
      <c r="S850" s="40" t="str">
        <f aca="false">IF($G850="","",$G850&amp;"#"&amp;COUNTIF($G$4:$G850,$G850))</f>
        <v/>
      </c>
      <c r="T850" s="40" t="str">
        <f aca="false">IF($B850="","",IF($C850="","NIK kosong",IF(LEN($C850)&lt;&gt;16,"NIK bukan 16 digit",IF(COUNTIF($C$4:$C$2003,$C850&amp;"*")&gt;1,"NIK ganda",IF($E850="","Kadus kosong",IF($F850="","RT kosong",IF($H850="","Jabatan kosong",IF($I850="","No. HP kosong",IF($J850="","Alamat kosong",IF(AND($M850&lt;&gt;"",$M850&lt;17),"Usia di bawah 17",""))))))))))</f>
        <v/>
      </c>
      <c r="U850" s="40" t="str">
        <f aca="false">IF($B850="","",IF(AND(OR(CARI!$C$5="",ISNUMBER(SEARCH(CARI!$C$5,$B850&amp;" "&amp;$C850&amp;" "&amp;$I850&amp;" "&amp;$J850&amp;" "&amp;$Q850))),OR(CARI!$C$6="",$E850=CARI!$C$6),OR(CARI!$C$7="",$F850=CARI!$C$7),OR(CARI!$C$8="",$O850=CARI!$C$8)),MAX($U$3:U849)+1,""))</f>
        <v/>
      </c>
      <c r="V850" s="40" t="str">
        <f aca="false">IF($T850="","",MAX($V$3:V849)+1)</f>
        <v/>
      </c>
      <c r="W850" s="40" t="str">
        <f aca="false">IF($E850="","",$E850&amp;"#"&amp;COUNTIF($E$4:$E850,$E850))</f>
        <v/>
      </c>
      <c r="X850" s="40" t="str">
        <f aca="false">IF($B850="","",IF(AND(OR(CETAK!$J$10="",$E850=CETAK!$J$10),OR(CETAK!$J$11="",$F850=CETAK!$J$11),OR(CETAK!$J$12="",$K850=CETAK!$J$12),OR(CETAK!$J$13="",$H850=CETAK!$J$13),OR(CETAK!$J$14="",$O850=CETAK!$J$14)),MAX($X$3:X849)+1,""))</f>
        <v/>
      </c>
      <c r="Y850" s="40" t="str">
        <f aca="false">IF($B850="","",IF(AND(OR(ABSENSI!$H$10="",$E850=ABSENSI!$H$10),OR(ABSENSI!$H$11="",$F850=ABSENSI!$H$11),OR(ABSENSI!$H$12="",$K850=ABSENSI!$H$12)),MAX($Y$3:Y849)+1,""))</f>
        <v/>
      </c>
      <c r="Z850" s="40" t="str">
        <f aca="false">IF($B850="","",IF(AND(OR(KARTU!$K$6="",$E850=KARTU!$K$6),OR(KARTU!$K$7="",$F850=KARTU!$K$7),OR(KARTU!$K$8="",$K850=KARTU!$K$8)),MAX($Z$3:Z849)+1,""))</f>
        <v/>
      </c>
    </row>
    <row r="851" customFormat="false" ht="15" hidden="false" customHeight="false" outlineLevel="0" collapsed="false">
      <c r="A851" s="36" t="str">
        <f aca="false">IF($B851="","",COUNTA($B$4:$B851))</f>
        <v/>
      </c>
      <c r="B851" s="37"/>
      <c r="C851" s="38"/>
      <c r="D851" s="39"/>
      <c r="E851" s="37"/>
      <c r="F851" s="39"/>
      <c r="G851" s="40" t="str">
        <f aca="false">IF(OR($E851="",$F851=""),"",$E851&amp;" - RT "&amp;$F851)</f>
        <v/>
      </c>
      <c r="H851" s="37"/>
      <c r="I851" s="38"/>
      <c r="J851" s="37"/>
      <c r="K851" s="39"/>
      <c r="L851" s="41"/>
      <c r="M851" s="36" t="str">
        <f aca="true">IF(OR($B851="",$L851=""),"",DATEDIF($L851,TODAY(),"Y"))</f>
        <v/>
      </c>
      <c r="N851" s="40" t="str">
        <f aca="false">IF($M851="","",INDEX(usia_label,MATCH($M851,usia_min,1)))</f>
        <v/>
      </c>
      <c r="O851" s="37"/>
      <c r="P851" s="41"/>
      <c r="Q851" s="37"/>
      <c r="R851" s="37"/>
      <c r="S851" s="40" t="str">
        <f aca="false">IF($G851="","",$G851&amp;"#"&amp;COUNTIF($G$4:$G851,$G851))</f>
        <v/>
      </c>
      <c r="T851" s="40" t="str">
        <f aca="false">IF($B851="","",IF($C851="","NIK kosong",IF(LEN($C851)&lt;&gt;16,"NIK bukan 16 digit",IF(COUNTIF($C$4:$C$2003,$C851&amp;"*")&gt;1,"NIK ganda",IF($E851="","Kadus kosong",IF($F851="","RT kosong",IF($H851="","Jabatan kosong",IF($I851="","No. HP kosong",IF($J851="","Alamat kosong",IF(AND($M851&lt;&gt;"",$M851&lt;17),"Usia di bawah 17",""))))))))))</f>
        <v/>
      </c>
      <c r="U851" s="40" t="str">
        <f aca="false">IF($B851="","",IF(AND(OR(CARI!$C$5="",ISNUMBER(SEARCH(CARI!$C$5,$B851&amp;" "&amp;$C851&amp;" "&amp;$I851&amp;" "&amp;$J851&amp;" "&amp;$Q851))),OR(CARI!$C$6="",$E851=CARI!$C$6),OR(CARI!$C$7="",$F851=CARI!$C$7),OR(CARI!$C$8="",$O851=CARI!$C$8)),MAX($U$3:U850)+1,""))</f>
        <v/>
      </c>
      <c r="V851" s="40" t="str">
        <f aca="false">IF($T851="","",MAX($V$3:V850)+1)</f>
        <v/>
      </c>
      <c r="W851" s="40" t="str">
        <f aca="false">IF($E851="","",$E851&amp;"#"&amp;COUNTIF($E$4:$E851,$E851))</f>
        <v/>
      </c>
      <c r="X851" s="40" t="str">
        <f aca="false">IF($B851="","",IF(AND(OR(CETAK!$J$10="",$E851=CETAK!$J$10),OR(CETAK!$J$11="",$F851=CETAK!$J$11),OR(CETAK!$J$12="",$K851=CETAK!$J$12),OR(CETAK!$J$13="",$H851=CETAK!$J$13),OR(CETAK!$J$14="",$O851=CETAK!$J$14)),MAX($X$3:X850)+1,""))</f>
        <v/>
      </c>
      <c r="Y851" s="40" t="str">
        <f aca="false">IF($B851="","",IF(AND(OR(ABSENSI!$H$10="",$E851=ABSENSI!$H$10),OR(ABSENSI!$H$11="",$F851=ABSENSI!$H$11),OR(ABSENSI!$H$12="",$K851=ABSENSI!$H$12)),MAX($Y$3:Y850)+1,""))</f>
        <v/>
      </c>
      <c r="Z851" s="40" t="str">
        <f aca="false">IF($B851="","",IF(AND(OR(KARTU!$K$6="",$E851=KARTU!$K$6),OR(KARTU!$K$7="",$F851=KARTU!$K$7),OR(KARTU!$K$8="",$K851=KARTU!$K$8)),MAX($Z$3:Z850)+1,""))</f>
        <v/>
      </c>
    </row>
    <row r="852" customFormat="false" ht="15" hidden="false" customHeight="false" outlineLevel="0" collapsed="false">
      <c r="A852" s="36" t="str">
        <f aca="false">IF($B852="","",COUNTA($B$4:$B852))</f>
        <v/>
      </c>
      <c r="B852" s="37"/>
      <c r="C852" s="38"/>
      <c r="D852" s="39"/>
      <c r="E852" s="37"/>
      <c r="F852" s="39"/>
      <c r="G852" s="40" t="str">
        <f aca="false">IF(OR($E852="",$F852=""),"",$E852&amp;" - RT "&amp;$F852)</f>
        <v/>
      </c>
      <c r="H852" s="37"/>
      <c r="I852" s="38"/>
      <c r="J852" s="37"/>
      <c r="K852" s="39"/>
      <c r="L852" s="41"/>
      <c r="M852" s="36" t="str">
        <f aca="true">IF(OR($B852="",$L852=""),"",DATEDIF($L852,TODAY(),"Y"))</f>
        <v/>
      </c>
      <c r="N852" s="40" t="str">
        <f aca="false">IF($M852="","",INDEX(usia_label,MATCH($M852,usia_min,1)))</f>
        <v/>
      </c>
      <c r="O852" s="37"/>
      <c r="P852" s="41"/>
      <c r="Q852" s="37"/>
      <c r="R852" s="37"/>
      <c r="S852" s="40" t="str">
        <f aca="false">IF($G852="","",$G852&amp;"#"&amp;COUNTIF($G$4:$G852,$G852))</f>
        <v/>
      </c>
      <c r="T852" s="40" t="str">
        <f aca="false">IF($B852="","",IF($C852="","NIK kosong",IF(LEN($C852)&lt;&gt;16,"NIK bukan 16 digit",IF(COUNTIF($C$4:$C$2003,$C852&amp;"*")&gt;1,"NIK ganda",IF($E852="","Kadus kosong",IF($F852="","RT kosong",IF($H852="","Jabatan kosong",IF($I852="","No. HP kosong",IF($J852="","Alamat kosong",IF(AND($M852&lt;&gt;"",$M852&lt;17),"Usia di bawah 17",""))))))))))</f>
        <v/>
      </c>
      <c r="U852" s="40" t="str">
        <f aca="false">IF($B852="","",IF(AND(OR(CARI!$C$5="",ISNUMBER(SEARCH(CARI!$C$5,$B852&amp;" "&amp;$C852&amp;" "&amp;$I852&amp;" "&amp;$J852&amp;" "&amp;$Q852))),OR(CARI!$C$6="",$E852=CARI!$C$6),OR(CARI!$C$7="",$F852=CARI!$C$7),OR(CARI!$C$8="",$O852=CARI!$C$8)),MAX($U$3:U851)+1,""))</f>
        <v/>
      </c>
      <c r="V852" s="40" t="str">
        <f aca="false">IF($T852="","",MAX($V$3:V851)+1)</f>
        <v/>
      </c>
      <c r="W852" s="40" t="str">
        <f aca="false">IF($E852="","",$E852&amp;"#"&amp;COUNTIF($E$4:$E852,$E852))</f>
        <v/>
      </c>
      <c r="X852" s="40" t="str">
        <f aca="false">IF($B852="","",IF(AND(OR(CETAK!$J$10="",$E852=CETAK!$J$10),OR(CETAK!$J$11="",$F852=CETAK!$J$11),OR(CETAK!$J$12="",$K852=CETAK!$J$12),OR(CETAK!$J$13="",$H852=CETAK!$J$13),OR(CETAK!$J$14="",$O852=CETAK!$J$14)),MAX($X$3:X851)+1,""))</f>
        <v/>
      </c>
      <c r="Y852" s="40" t="str">
        <f aca="false">IF($B852="","",IF(AND(OR(ABSENSI!$H$10="",$E852=ABSENSI!$H$10),OR(ABSENSI!$H$11="",$F852=ABSENSI!$H$11),OR(ABSENSI!$H$12="",$K852=ABSENSI!$H$12)),MAX($Y$3:Y851)+1,""))</f>
        <v/>
      </c>
      <c r="Z852" s="40" t="str">
        <f aca="false">IF($B852="","",IF(AND(OR(KARTU!$K$6="",$E852=KARTU!$K$6),OR(KARTU!$K$7="",$F852=KARTU!$K$7),OR(KARTU!$K$8="",$K852=KARTU!$K$8)),MAX($Z$3:Z851)+1,""))</f>
        <v/>
      </c>
    </row>
    <row r="853" customFormat="false" ht="15" hidden="false" customHeight="false" outlineLevel="0" collapsed="false">
      <c r="A853" s="36" t="str">
        <f aca="false">IF($B853="","",COUNTA($B$4:$B853))</f>
        <v/>
      </c>
      <c r="B853" s="37"/>
      <c r="C853" s="38"/>
      <c r="D853" s="39"/>
      <c r="E853" s="37"/>
      <c r="F853" s="39"/>
      <c r="G853" s="40" t="str">
        <f aca="false">IF(OR($E853="",$F853=""),"",$E853&amp;" - RT "&amp;$F853)</f>
        <v/>
      </c>
      <c r="H853" s="37"/>
      <c r="I853" s="38"/>
      <c r="J853" s="37"/>
      <c r="K853" s="39"/>
      <c r="L853" s="41"/>
      <c r="M853" s="36" t="str">
        <f aca="true">IF(OR($B853="",$L853=""),"",DATEDIF($L853,TODAY(),"Y"))</f>
        <v/>
      </c>
      <c r="N853" s="40" t="str">
        <f aca="false">IF($M853="","",INDEX(usia_label,MATCH($M853,usia_min,1)))</f>
        <v/>
      </c>
      <c r="O853" s="37"/>
      <c r="P853" s="41"/>
      <c r="Q853" s="37"/>
      <c r="R853" s="37"/>
      <c r="S853" s="40" t="str">
        <f aca="false">IF($G853="","",$G853&amp;"#"&amp;COUNTIF($G$4:$G853,$G853))</f>
        <v/>
      </c>
      <c r="T853" s="40" t="str">
        <f aca="false">IF($B853="","",IF($C853="","NIK kosong",IF(LEN($C853)&lt;&gt;16,"NIK bukan 16 digit",IF(COUNTIF($C$4:$C$2003,$C853&amp;"*")&gt;1,"NIK ganda",IF($E853="","Kadus kosong",IF($F853="","RT kosong",IF($H853="","Jabatan kosong",IF($I853="","No. HP kosong",IF($J853="","Alamat kosong",IF(AND($M853&lt;&gt;"",$M853&lt;17),"Usia di bawah 17",""))))))))))</f>
        <v/>
      </c>
      <c r="U853" s="40" t="str">
        <f aca="false">IF($B853="","",IF(AND(OR(CARI!$C$5="",ISNUMBER(SEARCH(CARI!$C$5,$B853&amp;" "&amp;$C853&amp;" "&amp;$I853&amp;" "&amp;$J853&amp;" "&amp;$Q853))),OR(CARI!$C$6="",$E853=CARI!$C$6),OR(CARI!$C$7="",$F853=CARI!$C$7),OR(CARI!$C$8="",$O853=CARI!$C$8)),MAX($U$3:U852)+1,""))</f>
        <v/>
      </c>
      <c r="V853" s="40" t="str">
        <f aca="false">IF($T853="","",MAX($V$3:V852)+1)</f>
        <v/>
      </c>
      <c r="W853" s="40" t="str">
        <f aca="false">IF($E853="","",$E853&amp;"#"&amp;COUNTIF($E$4:$E853,$E853))</f>
        <v/>
      </c>
      <c r="X853" s="40" t="str">
        <f aca="false">IF($B853="","",IF(AND(OR(CETAK!$J$10="",$E853=CETAK!$J$10),OR(CETAK!$J$11="",$F853=CETAK!$J$11),OR(CETAK!$J$12="",$K853=CETAK!$J$12),OR(CETAK!$J$13="",$H853=CETAK!$J$13),OR(CETAK!$J$14="",$O853=CETAK!$J$14)),MAX($X$3:X852)+1,""))</f>
        <v/>
      </c>
      <c r="Y853" s="40" t="str">
        <f aca="false">IF($B853="","",IF(AND(OR(ABSENSI!$H$10="",$E853=ABSENSI!$H$10),OR(ABSENSI!$H$11="",$F853=ABSENSI!$H$11),OR(ABSENSI!$H$12="",$K853=ABSENSI!$H$12)),MAX($Y$3:Y852)+1,""))</f>
        <v/>
      </c>
      <c r="Z853" s="40" t="str">
        <f aca="false">IF($B853="","",IF(AND(OR(KARTU!$K$6="",$E853=KARTU!$K$6),OR(KARTU!$K$7="",$F853=KARTU!$K$7),OR(KARTU!$K$8="",$K853=KARTU!$K$8)),MAX($Z$3:Z852)+1,""))</f>
        <v/>
      </c>
    </row>
    <row r="854" customFormat="false" ht="15" hidden="false" customHeight="false" outlineLevel="0" collapsed="false">
      <c r="A854" s="36" t="str">
        <f aca="false">IF($B854="","",COUNTA($B$4:$B854))</f>
        <v/>
      </c>
      <c r="B854" s="37"/>
      <c r="C854" s="38"/>
      <c r="D854" s="39"/>
      <c r="E854" s="37"/>
      <c r="F854" s="39"/>
      <c r="G854" s="40" t="str">
        <f aca="false">IF(OR($E854="",$F854=""),"",$E854&amp;" - RT "&amp;$F854)</f>
        <v/>
      </c>
      <c r="H854" s="37"/>
      <c r="I854" s="38"/>
      <c r="J854" s="37"/>
      <c r="K854" s="39"/>
      <c r="L854" s="41"/>
      <c r="M854" s="36" t="str">
        <f aca="true">IF(OR($B854="",$L854=""),"",DATEDIF($L854,TODAY(),"Y"))</f>
        <v/>
      </c>
      <c r="N854" s="40" t="str">
        <f aca="false">IF($M854="","",INDEX(usia_label,MATCH($M854,usia_min,1)))</f>
        <v/>
      </c>
      <c r="O854" s="37"/>
      <c r="P854" s="41"/>
      <c r="Q854" s="37"/>
      <c r="R854" s="37"/>
      <c r="S854" s="40" t="str">
        <f aca="false">IF($G854="","",$G854&amp;"#"&amp;COUNTIF($G$4:$G854,$G854))</f>
        <v/>
      </c>
      <c r="T854" s="40" t="str">
        <f aca="false">IF($B854="","",IF($C854="","NIK kosong",IF(LEN($C854)&lt;&gt;16,"NIK bukan 16 digit",IF(COUNTIF($C$4:$C$2003,$C854&amp;"*")&gt;1,"NIK ganda",IF($E854="","Kadus kosong",IF($F854="","RT kosong",IF($H854="","Jabatan kosong",IF($I854="","No. HP kosong",IF($J854="","Alamat kosong",IF(AND($M854&lt;&gt;"",$M854&lt;17),"Usia di bawah 17",""))))))))))</f>
        <v/>
      </c>
      <c r="U854" s="40" t="str">
        <f aca="false">IF($B854="","",IF(AND(OR(CARI!$C$5="",ISNUMBER(SEARCH(CARI!$C$5,$B854&amp;" "&amp;$C854&amp;" "&amp;$I854&amp;" "&amp;$J854&amp;" "&amp;$Q854))),OR(CARI!$C$6="",$E854=CARI!$C$6),OR(CARI!$C$7="",$F854=CARI!$C$7),OR(CARI!$C$8="",$O854=CARI!$C$8)),MAX($U$3:U853)+1,""))</f>
        <v/>
      </c>
      <c r="V854" s="40" t="str">
        <f aca="false">IF($T854="","",MAX($V$3:V853)+1)</f>
        <v/>
      </c>
      <c r="W854" s="40" t="str">
        <f aca="false">IF($E854="","",$E854&amp;"#"&amp;COUNTIF($E$4:$E854,$E854))</f>
        <v/>
      </c>
      <c r="X854" s="40" t="str">
        <f aca="false">IF($B854="","",IF(AND(OR(CETAK!$J$10="",$E854=CETAK!$J$10),OR(CETAK!$J$11="",$F854=CETAK!$J$11),OR(CETAK!$J$12="",$K854=CETAK!$J$12),OR(CETAK!$J$13="",$H854=CETAK!$J$13),OR(CETAK!$J$14="",$O854=CETAK!$J$14)),MAX($X$3:X853)+1,""))</f>
        <v/>
      </c>
      <c r="Y854" s="40" t="str">
        <f aca="false">IF($B854="","",IF(AND(OR(ABSENSI!$H$10="",$E854=ABSENSI!$H$10),OR(ABSENSI!$H$11="",$F854=ABSENSI!$H$11),OR(ABSENSI!$H$12="",$K854=ABSENSI!$H$12)),MAX($Y$3:Y853)+1,""))</f>
        <v/>
      </c>
      <c r="Z854" s="40" t="str">
        <f aca="false">IF($B854="","",IF(AND(OR(KARTU!$K$6="",$E854=KARTU!$K$6),OR(KARTU!$K$7="",$F854=KARTU!$K$7),OR(KARTU!$K$8="",$K854=KARTU!$K$8)),MAX($Z$3:Z853)+1,""))</f>
        <v/>
      </c>
    </row>
    <row r="855" customFormat="false" ht="15" hidden="false" customHeight="false" outlineLevel="0" collapsed="false">
      <c r="A855" s="36" t="str">
        <f aca="false">IF($B855="","",COUNTA($B$4:$B855))</f>
        <v/>
      </c>
      <c r="B855" s="37"/>
      <c r="C855" s="38"/>
      <c r="D855" s="39"/>
      <c r="E855" s="37"/>
      <c r="F855" s="39"/>
      <c r="G855" s="40" t="str">
        <f aca="false">IF(OR($E855="",$F855=""),"",$E855&amp;" - RT "&amp;$F855)</f>
        <v/>
      </c>
      <c r="H855" s="37"/>
      <c r="I855" s="38"/>
      <c r="J855" s="37"/>
      <c r="K855" s="39"/>
      <c r="L855" s="41"/>
      <c r="M855" s="36" t="str">
        <f aca="true">IF(OR($B855="",$L855=""),"",DATEDIF($L855,TODAY(),"Y"))</f>
        <v/>
      </c>
      <c r="N855" s="40" t="str">
        <f aca="false">IF($M855="","",INDEX(usia_label,MATCH($M855,usia_min,1)))</f>
        <v/>
      </c>
      <c r="O855" s="37"/>
      <c r="P855" s="41"/>
      <c r="Q855" s="37"/>
      <c r="R855" s="37"/>
      <c r="S855" s="40" t="str">
        <f aca="false">IF($G855="","",$G855&amp;"#"&amp;COUNTIF($G$4:$G855,$G855))</f>
        <v/>
      </c>
      <c r="T855" s="40" t="str">
        <f aca="false">IF($B855="","",IF($C855="","NIK kosong",IF(LEN($C855)&lt;&gt;16,"NIK bukan 16 digit",IF(COUNTIF($C$4:$C$2003,$C855&amp;"*")&gt;1,"NIK ganda",IF($E855="","Kadus kosong",IF($F855="","RT kosong",IF($H855="","Jabatan kosong",IF($I855="","No. HP kosong",IF($J855="","Alamat kosong",IF(AND($M855&lt;&gt;"",$M855&lt;17),"Usia di bawah 17",""))))))))))</f>
        <v/>
      </c>
      <c r="U855" s="40" t="str">
        <f aca="false">IF($B855="","",IF(AND(OR(CARI!$C$5="",ISNUMBER(SEARCH(CARI!$C$5,$B855&amp;" "&amp;$C855&amp;" "&amp;$I855&amp;" "&amp;$J855&amp;" "&amp;$Q855))),OR(CARI!$C$6="",$E855=CARI!$C$6),OR(CARI!$C$7="",$F855=CARI!$C$7),OR(CARI!$C$8="",$O855=CARI!$C$8)),MAX($U$3:U854)+1,""))</f>
        <v/>
      </c>
      <c r="V855" s="40" t="str">
        <f aca="false">IF($T855="","",MAX($V$3:V854)+1)</f>
        <v/>
      </c>
      <c r="W855" s="40" t="str">
        <f aca="false">IF($E855="","",$E855&amp;"#"&amp;COUNTIF($E$4:$E855,$E855))</f>
        <v/>
      </c>
      <c r="X855" s="40" t="str">
        <f aca="false">IF($B855="","",IF(AND(OR(CETAK!$J$10="",$E855=CETAK!$J$10),OR(CETAK!$J$11="",$F855=CETAK!$J$11),OR(CETAK!$J$12="",$K855=CETAK!$J$12),OR(CETAK!$J$13="",$H855=CETAK!$J$13),OR(CETAK!$J$14="",$O855=CETAK!$J$14)),MAX($X$3:X854)+1,""))</f>
        <v/>
      </c>
      <c r="Y855" s="40" t="str">
        <f aca="false">IF($B855="","",IF(AND(OR(ABSENSI!$H$10="",$E855=ABSENSI!$H$10),OR(ABSENSI!$H$11="",$F855=ABSENSI!$H$11),OR(ABSENSI!$H$12="",$K855=ABSENSI!$H$12)),MAX($Y$3:Y854)+1,""))</f>
        <v/>
      </c>
      <c r="Z855" s="40" t="str">
        <f aca="false">IF($B855="","",IF(AND(OR(KARTU!$K$6="",$E855=KARTU!$K$6),OR(KARTU!$K$7="",$F855=KARTU!$K$7),OR(KARTU!$K$8="",$K855=KARTU!$K$8)),MAX($Z$3:Z854)+1,""))</f>
        <v/>
      </c>
    </row>
    <row r="856" customFormat="false" ht="15" hidden="false" customHeight="false" outlineLevel="0" collapsed="false">
      <c r="A856" s="36" t="str">
        <f aca="false">IF($B856="","",COUNTA($B$4:$B856))</f>
        <v/>
      </c>
      <c r="B856" s="37"/>
      <c r="C856" s="38"/>
      <c r="D856" s="39"/>
      <c r="E856" s="37"/>
      <c r="F856" s="39"/>
      <c r="G856" s="40" t="str">
        <f aca="false">IF(OR($E856="",$F856=""),"",$E856&amp;" - RT "&amp;$F856)</f>
        <v/>
      </c>
      <c r="H856" s="37"/>
      <c r="I856" s="38"/>
      <c r="J856" s="37"/>
      <c r="K856" s="39"/>
      <c r="L856" s="41"/>
      <c r="M856" s="36" t="str">
        <f aca="true">IF(OR($B856="",$L856=""),"",DATEDIF($L856,TODAY(),"Y"))</f>
        <v/>
      </c>
      <c r="N856" s="40" t="str">
        <f aca="false">IF($M856="","",INDEX(usia_label,MATCH($M856,usia_min,1)))</f>
        <v/>
      </c>
      <c r="O856" s="37"/>
      <c r="P856" s="41"/>
      <c r="Q856" s="37"/>
      <c r="R856" s="37"/>
      <c r="S856" s="40" t="str">
        <f aca="false">IF($G856="","",$G856&amp;"#"&amp;COUNTIF($G$4:$G856,$G856))</f>
        <v/>
      </c>
      <c r="T856" s="40" t="str">
        <f aca="false">IF($B856="","",IF($C856="","NIK kosong",IF(LEN($C856)&lt;&gt;16,"NIK bukan 16 digit",IF(COUNTIF($C$4:$C$2003,$C856&amp;"*")&gt;1,"NIK ganda",IF($E856="","Kadus kosong",IF($F856="","RT kosong",IF($H856="","Jabatan kosong",IF($I856="","No. HP kosong",IF($J856="","Alamat kosong",IF(AND($M856&lt;&gt;"",$M856&lt;17),"Usia di bawah 17",""))))))))))</f>
        <v/>
      </c>
      <c r="U856" s="40" t="str">
        <f aca="false">IF($B856="","",IF(AND(OR(CARI!$C$5="",ISNUMBER(SEARCH(CARI!$C$5,$B856&amp;" "&amp;$C856&amp;" "&amp;$I856&amp;" "&amp;$J856&amp;" "&amp;$Q856))),OR(CARI!$C$6="",$E856=CARI!$C$6),OR(CARI!$C$7="",$F856=CARI!$C$7),OR(CARI!$C$8="",$O856=CARI!$C$8)),MAX($U$3:U855)+1,""))</f>
        <v/>
      </c>
      <c r="V856" s="40" t="str">
        <f aca="false">IF($T856="","",MAX($V$3:V855)+1)</f>
        <v/>
      </c>
      <c r="W856" s="40" t="str">
        <f aca="false">IF($E856="","",$E856&amp;"#"&amp;COUNTIF($E$4:$E856,$E856))</f>
        <v/>
      </c>
      <c r="X856" s="40" t="str">
        <f aca="false">IF($B856="","",IF(AND(OR(CETAK!$J$10="",$E856=CETAK!$J$10),OR(CETAK!$J$11="",$F856=CETAK!$J$11),OR(CETAK!$J$12="",$K856=CETAK!$J$12),OR(CETAK!$J$13="",$H856=CETAK!$J$13),OR(CETAK!$J$14="",$O856=CETAK!$J$14)),MAX($X$3:X855)+1,""))</f>
        <v/>
      </c>
      <c r="Y856" s="40" t="str">
        <f aca="false">IF($B856="","",IF(AND(OR(ABSENSI!$H$10="",$E856=ABSENSI!$H$10),OR(ABSENSI!$H$11="",$F856=ABSENSI!$H$11),OR(ABSENSI!$H$12="",$K856=ABSENSI!$H$12)),MAX($Y$3:Y855)+1,""))</f>
        <v/>
      </c>
      <c r="Z856" s="40" t="str">
        <f aca="false">IF($B856="","",IF(AND(OR(KARTU!$K$6="",$E856=KARTU!$K$6),OR(KARTU!$K$7="",$F856=KARTU!$K$7),OR(KARTU!$K$8="",$K856=KARTU!$K$8)),MAX($Z$3:Z855)+1,""))</f>
        <v/>
      </c>
    </row>
    <row r="857" customFormat="false" ht="15" hidden="false" customHeight="false" outlineLevel="0" collapsed="false">
      <c r="A857" s="36" t="str">
        <f aca="false">IF($B857="","",COUNTA($B$4:$B857))</f>
        <v/>
      </c>
      <c r="B857" s="37"/>
      <c r="C857" s="38"/>
      <c r="D857" s="39"/>
      <c r="E857" s="37"/>
      <c r="F857" s="39"/>
      <c r="G857" s="40" t="str">
        <f aca="false">IF(OR($E857="",$F857=""),"",$E857&amp;" - RT "&amp;$F857)</f>
        <v/>
      </c>
      <c r="H857" s="37"/>
      <c r="I857" s="38"/>
      <c r="J857" s="37"/>
      <c r="K857" s="39"/>
      <c r="L857" s="41"/>
      <c r="M857" s="36" t="str">
        <f aca="true">IF(OR($B857="",$L857=""),"",DATEDIF($L857,TODAY(),"Y"))</f>
        <v/>
      </c>
      <c r="N857" s="40" t="str">
        <f aca="false">IF($M857="","",INDEX(usia_label,MATCH($M857,usia_min,1)))</f>
        <v/>
      </c>
      <c r="O857" s="37"/>
      <c r="P857" s="41"/>
      <c r="Q857" s="37"/>
      <c r="R857" s="37"/>
      <c r="S857" s="40" t="str">
        <f aca="false">IF($G857="","",$G857&amp;"#"&amp;COUNTIF($G$4:$G857,$G857))</f>
        <v/>
      </c>
      <c r="T857" s="40" t="str">
        <f aca="false">IF($B857="","",IF($C857="","NIK kosong",IF(LEN($C857)&lt;&gt;16,"NIK bukan 16 digit",IF(COUNTIF($C$4:$C$2003,$C857&amp;"*")&gt;1,"NIK ganda",IF($E857="","Kadus kosong",IF($F857="","RT kosong",IF($H857="","Jabatan kosong",IF($I857="","No. HP kosong",IF($J857="","Alamat kosong",IF(AND($M857&lt;&gt;"",$M857&lt;17),"Usia di bawah 17",""))))))))))</f>
        <v/>
      </c>
      <c r="U857" s="40" t="str">
        <f aca="false">IF($B857="","",IF(AND(OR(CARI!$C$5="",ISNUMBER(SEARCH(CARI!$C$5,$B857&amp;" "&amp;$C857&amp;" "&amp;$I857&amp;" "&amp;$J857&amp;" "&amp;$Q857))),OR(CARI!$C$6="",$E857=CARI!$C$6),OR(CARI!$C$7="",$F857=CARI!$C$7),OR(CARI!$C$8="",$O857=CARI!$C$8)),MAX($U$3:U856)+1,""))</f>
        <v/>
      </c>
      <c r="V857" s="40" t="str">
        <f aca="false">IF($T857="","",MAX($V$3:V856)+1)</f>
        <v/>
      </c>
      <c r="W857" s="40" t="str">
        <f aca="false">IF($E857="","",$E857&amp;"#"&amp;COUNTIF($E$4:$E857,$E857))</f>
        <v/>
      </c>
      <c r="X857" s="40" t="str">
        <f aca="false">IF($B857="","",IF(AND(OR(CETAK!$J$10="",$E857=CETAK!$J$10),OR(CETAK!$J$11="",$F857=CETAK!$J$11),OR(CETAK!$J$12="",$K857=CETAK!$J$12),OR(CETAK!$J$13="",$H857=CETAK!$J$13),OR(CETAK!$J$14="",$O857=CETAK!$J$14)),MAX($X$3:X856)+1,""))</f>
        <v/>
      </c>
      <c r="Y857" s="40" t="str">
        <f aca="false">IF($B857="","",IF(AND(OR(ABSENSI!$H$10="",$E857=ABSENSI!$H$10),OR(ABSENSI!$H$11="",$F857=ABSENSI!$H$11),OR(ABSENSI!$H$12="",$K857=ABSENSI!$H$12)),MAX($Y$3:Y856)+1,""))</f>
        <v/>
      </c>
      <c r="Z857" s="40" t="str">
        <f aca="false">IF($B857="","",IF(AND(OR(KARTU!$K$6="",$E857=KARTU!$K$6),OR(KARTU!$K$7="",$F857=KARTU!$K$7),OR(KARTU!$K$8="",$K857=KARTU!$K$8)),MAX($Z$3:Z856)+1,""))</f>
        <v/>
      </c>
    </row>
    <row r="858" customFormat="false" ht="15" hidden="false" customHeight="false" outlineLevel="0" collapsed="false">
      <c r="A858" s="36" t="str">
        <f aca="false">IF($B858="","",COUNTA($B$4:$B858))</f>
        <v/>
      </c>
      <c r="B858" s="37"/>
      <c r="C858" s="38"/>
      <c r="D858" s="39"/>
      <c r="E858" s="37"/>
      <c r="F858" s="39"/>
      <c r="G858" s="40" t="str">
        <f aca="false">IF(OR($E858="",$F858=""),"",$E858&amp;" - RT "&amp;$F858)</f>
        <v/>
      </c>
      <c r="H858" s="37"/>
      <c r="I858" s="38"/>
      <c r="J858" s="37"/>
      <c r="K858" s="39"/>
      <c r="L858" s="41"/>
      <c r="M858" s="36" t="str">
        <f aca="true">IF(OR($B858="",$L858=""),"",DATEDIF($L858,TODAY(),"Y"))</f>
        <v/>
      </c>
      <c r="N858" s="40" t="str">
        <f aca="false">IF($M858="","",INDEX(usia_label,MATCH($M858,usia_min,1)))</f>
        <v/>
      </c>
      <c r="O858" s="37"/>
      <c r="P858" s="41"/>
      <c r="Q858" s="37"/>
      <c r="R858" s="37"/>
      <c r="S858" s="40" t="str">
        <f aca="false">IF($G858="","",$G858&amp;"#"&amp;COUNTIF($G$4:$G858,$G858))</f>
        <v/>
      </c>
      <c r="T858" s="40" t="str">
        <f aca="false">IF($B858="","",IF($C858="","NIK kosong",IF(LEN($C858)&lt;&gt;16,"NIK bukan 16 digit",IF(COUNTIF($C$4:$C$2003,$C858&amp;"*")&gt;1,"NIK ganda",IF($E858="","Kadus kosong",IF($F858="","RT kosong",IF($H858="","Jabatan kosong",IF($I858="","No. HP kosong",IF($J858="","Alamat kosong",IF(AND($M858&lt;&gt;"",$M858&lt;17),"Usia di bawah 17",""))))))))))</f>
        <v/>
      </c>
      <c r="U858" s="40" t="str">
        <f aca="false">IF($B858="","",IF(AND(OR(CARI!$C$5="",ISNUMBER(SEARCH(CARI!$C$5,$B858&amp;" "&amp;$C858&amp;" "&amp;$I858&amp;" "&amp;$J858&amp;" "&amp;$Q858))),OR(CARI!$C$6="",$E858=CARI!$C$6),OR(CARI!$C$7="",$F858=CARI!$C$7),OR(CARI!$C$8="",$O858=CARI!$C$8)),MAX($U$3:U857)+1,""))</f>
        <v/>
      </c>
      <c r="V858" s="40" t="str">
        <f aca="false">IF($T858="","",MAX($V$3:V857)+1)</f>
        <v/>
      </c>
      <c r="W858" s="40" t="str">
        <f aca="false">IF($E858="","",$E858&amp;"#"&amp;COUNTIF($E$4:$E858,$E858))</f>
        <v/>
      </c>
      <c r="X858" s="40" t="str">
        <f aca="false">IF($B858="","",IF(AND(OR(CETAK!$J$10="",$E858=CETAK!$J$10),OR(CETAK!$J$11="",$F858=CETAK!$J$11),OR(CETAK!$J$12="",$K858=CETAK!$J$12),OR(CETAK!$J$13="",$H858=CETAK!$J$13),OR(CETAK!$J$14="",$O858=CETAK!$J$14)),MAX($X$3:X857)+1,""))</f>
        <v/>
      </c>
      <c r="Y858" s="40" t="str">
        <f aca="false">IF($B858="","",IF(AND(OR(ABSENSI!$H$10="",$E858=ABSENSI!$H$10),OR(ABSENSI!$H$11="",$F858=ABSENSI!$H$11),OR(ABSENSI!$H$12="",$K858=ABSENSI!$H$12)),MAX($Y$3:Y857)+1,""))</f>
        <v/>
      </c>
      <c r="Z858" s="40" t="str">
        <f aca="false">IF($B858="","",IF(AND(OR(KARTU!$K$6="",$E858=KARTU!$K$6),OR(KARTU!$K$7="",$F858=KARTU!$K$7),OR(KARTU!$K$8="",$K858=KARTU!$K$8)),MAX($Z$3:Z857)+1,""))</f>
        <v/>
      </c>
    </row>
    <row r="859" customFormat="false" ht="15" hidden="false" customHeight="false" outlineLevel="0" collapsed="false">
      <c r="A859" s="36" t="str">
        <f aca="false">IF($B859="","",COUNTA($B$4:$B859))</f>
        <v/>
      </c>
      <c r="B859" s="37"/>
      <c r="C859" s="38"/>
      <c r="D859" s="39"/>
      <c r="E859" s="37"/>
      <c r="F859" s="39"/>
      <c r="G859" s="40" t="str">
        <f aca="false">IF(OR($E859="",$F859=""),"",$E859&amp;" - RT "&amp;$F859)</f>
        <v/>
      </c>
      <c r="H859" s="37"/>
      <c r="I859" s="38"/>
      <c r="J859" s="37"/>
      <c r="K859" s="39"/>
      <c r="L859" s="41"/>
      <c r="M859" s="36" t="str">
        <f aca="true">IF(OR($B859="",$L859=""),"",DATEDIF($L859,TODAY(),"Y"))</f>
        <v/>
      </c>
      <c r="N859" s="40" t="str">
        <f aca="false">IF($M859="","",INDEX(usia_label,MATCH($M859,usia_min,1)))</f>
        <v/>
      </c>
      <c r="O859" s="37"/>
      <c r="P859" s="41"/>
      <c r="Q859" s="37"/>
      <c r="R859" s="37"/>
      <c r="S859" s="40" t="str">
        <f aca="false">IF($G859="","",$G859&amp;"#"&amp;COUNTIF($G$4:$G859,$G859))</f>
        <v/>
      </c>
      <c r="T859" s="40" t="str">
        <f aca="false">IF($B859="","",IF($C859="","NIK kosong",IF(LEN($C859)&lt;&gt;16,"NIK bukan 16 digit",IF(COUNTIF($C$4:$C$2003,$C859&amp;"*")&gt;1,"NIK ganda",IF($E859="","Kadus kosong",IF($F859="","RT kosong",IF($H859="","Jabatan kosong",IF($I859="","No. HP kosong",IF($J859="","Alamat kosong",IF(AND($M859&lt;&gt;"",$M859&lt;17),"Usia di bawah 17",""))))))))))</f>
        <v/>
      </c>
      <c r="U859" s="40" t="str">
        <f aca="false">IF($B859="","",IF(AND(OR(CARI!$C$5="",ISNUMBER(SEARCH(CARI!$C$5,$B859&amp;" "&amp;$C859&amp;" "&amp;$I859&amp;" "&amp;$J859&amp;" "&amp;$Q859))),OR(CARI!$C$6="",$E859=CARI!$C$6),OR(CARI!$C$7="",$F859=CARI!$C$7),OR(CARI!$C$8="",$O859=CARI!$C$8)),MAX($U$3:U858)+1,""))</f>
        <v/>
      </c>
      <c r="V859" s="40" t="str">
        <f aca="false">IF($T859="","",MAX($V$3:V858)+1)</f>
        <v/>
      </c>
      <c r="W859" s="40" t="str">
        <f aca="false">IF($E859="","",$E859&amp;"#"&amp;COUNTIF($E$4:$E859,$E859))</f>
        <v/>
      </c>
      <c r="X859" s="40" t="str">
        <f aca="false">IF($B859="","",IF(AND(OR(CETAK!$J$10="",$E859=CETAK!$J$10),OR(CETAK!$J$11="",$F859=CETAK!$J$11),OR(CETAK!$J$12="",$K859=CETAK!$J$12),OR(CETAK!$J$13="",$H859=CETAK!$J$13),OR(CETAK!$J$14="",$O859=CETAK!$J$14)),MAX($X$3:X858)+1,""))</f>
        <v/>
      </c>
      <c r="Y859" s="40" t="str">
        <f aca="false">IF($B859="","",IF(AND(OR(ABSENSI!$H$10="",$E859=ABSENSI!$H$10),OR(ABSENSI!$H$11="",$F859=ABSENSI!$H$11),OR(ABSENSI!$H$12="",$K859=ABSENSI!$H$12)),MAX($Y$3:Y858)+1,""))</f>
        <v/>
      </c>
      <c r="Z859" s="40" t="str">
        <f aca="false">IF($B859="","",IF(AND(OR(KARTU!$K$6="",$E859=KARTU!$K$6),OR(KARTU!$K$7="",$F859=KARTU!$K$7),OR(KARTU!$K$8="",$K859=KARTU!$K$8)),MAX($Z$3:Z858)+1,""))</f>
        <v/>
      </c>
    </row>
    <row r="860" customFormat="false" ht="15" hidden="false" customHeight="false" outlineLevel="0" collapsed="false">
      <c r="A860" s="36" t="str">
        <f aca="false">IF($B860="","",COUNTA($B$4:$B860))</f>
        <v/>
      </c>
      <c r="B860" s="37"/>
      <c r="C860" s="38"/>
      <c r="D860" s="39"/>
      <c r="E860" s="37"/>
      <c r="F860" s="39"/>
      <c r="G860" s="40" t="str">
        <f aca="false">IF(OR($E860="",$F860=""),"",$E860&amp;" - RT "&amp;$F860)</f>
        <v/>
      </c>
      <c r="H860" s="37"/>
      <c r="I860" s="38"/>
      <c r="J860" s="37"/>
      <c r="K860" s="39"/>
      <c r="L860" s="41"/>
      <c r="M860" s="36" t="str">
        <f aca="true">IF(OR($B860="",$L860=""),"",DATEDIF($L860,TODAY(),"Y"))</f>
        <v/>
      </c>
      <c r="N860" s="40" t="str">
        <f aca="false">IF($M860="","",INDEX(usia_label,MATCH($M860,usia_min,1)))</f>
        <v/>
      </c>
      <c r="O860" s="37"/>
      <c r="P860" s="41"/>
      <c r="Q860" s="37"/>
      <c r="R860" s="37"/>
      <c r="S860" s="40" t="str">
        <f aca="false">IF($G860="","",$G860&amp;"#"&amp;COUNTIF($G$4:$G860,$G860))</f>
        <v/>
      </c>
      <c r="T860" s="40" t="str">
        <f aca="false">IF($B860="","",IF($C860="","NIK kosong",IF(LEN($C860)&lt;&gt;16,"NIK bukan 16 digit",IF(COUNTIF($C$4:$C$2003,$C860&amp;"*")&gt;1,"NIK ganda",IF($E860="","Kadus kosong",IF($F860="","RT kosong",IF($H860="","Jabatan kosong",IF($I860="","No. HP kosong",IF($J860="","Alamat kosong",IF(AND($M860&lt;&gt;"",$M860&lt;17),"Usia di bawah 17",""))))))))))</f>
        <v/>
      </c>
      <c r="U860" s="40" t="str">
        <f aca="false">IF($B860="","",IF(AND(OR(CARI!$C$5="",ISNUMBER(SEARCH(CARI!$C$5,$B860&amp;" "&amp;$C860&amp;" "&amp;$I860&amp;" "&amp;$J860&amp;" "&amp;$Q860))),OR(CARI!$C$6="",$E860=CARI!$C$6),OR(CARI!$C$7="",$F860=CARI!$C$7),OR(CARI!$C$8="",$O860=CARI!$C$8)),MAX($U$3:U859)+1,""))</f>
        <v/>
      </c>
      <c r="V860" s="40" t="str">
        <f aca="false">IF($T860="","",MAX($V$3:V859)+1)</f>
        <v/>
      </c>
      <c r="W860" s="40" t="str">
        <f aca="false">IF($E860="","",$E860&amp;"#"&amp;COUNTIF($E$4:$E860,$E860))</f>
        <v/>
      </c>
      <c r="X860" s="40" t="str">
        <f aca="false">IF($B860="","",IF(AND(OR(CETAK!$J$10="",$E860=CETAK!$J$10),OR(CETAK!$J$11="",$F860=CETAK!$J$11),OR(CETAK!$J$12="",$K860=CETAK!$J$12),OR(CETAK!$J$13="",$H860=CETAK!$J$13),OR(CETAK!$J$14="",$O860=CETAK!$J$14)),MAX($X$3:X859)+1,""))</f>
        <v/>
      </c>
      <c r="Y860" s="40" t="str">
        <f aca="false">IF($B860="","",IF(AND(OR(ABSENSI!$H$10="",$E860=ABSENSI!$H$10),OR(ABSENSI!$H$11="",$F860=ABSENSI!$H$11),OR(ABSENSI!$H$12="",$K860=ABSENSI!$H$12)),MAX($Y$3:Y859)+1,""))</f>
        <v/>
      </c>
      <c r="Z860" s="40" t="str">
        <f aca="false">IF($B860="","",IF(AND(OR(KARTU!$K$6="",$E860=KARTU!$K$6),OR(KARTU!$K$7="",$F860=KARTU!$K$7),OR(KARTU!$K$8="",$K860=KARTU!$K$8)),MAX($Z$3:Z859)+1,""))</f>
        <v/>
      </c>
    </row>
    <row r="861" customFormat="false" ht="15" hidden="false" customHeight="false" outlineLevel="0" collapsed="false">
      <c r="A861" s="36" t="str">
        <f aca="false">IF($B861="","",COUNTA($B$4:$B861))</f>
        <v/>
      </c>
      <c r="B861" s="37"/>
      <c r="C861" s="38"/>
      <c r="D861" s="39"/>
      <c r="E861" s="37"/>
      <c r="F861" s="39"/>
      <c r="G861" s="40" t="str">
        <f aca="false">IF(OR($E861="",$F861=""),"",$E861&amp;" - RT "&amp;$F861)</f>
        <v/>
      </c>
      <c r="H861" s="37"/>
      <c r="I861" s="38"/>
      <c r="J861" s="37"/>
      <c r="K861" s="39"/>
      <c r="L861" s="41"/>
      <c r="M861" s="36" t="str">
        <f aca="true">IF(OR($B861="",$L861=""),"",DATEDIF($L861,TODAY(),"Y"))</f>
        <v/>
      </c>
      <c r="N861" s="40" t="str">
        <f aca="false">IF($M861="","",INDEX(usia_label,MATCH($M861,usia_min,1)))</f>
        <v/>
      </c>
      <c r="O861" s="37"/>
      <c r="P861" s="41"/>
      <c r="Q861" s="37"/>
      <c r="R861" s="37"/>
      <c r="S861" s="40" t="str">
        <f aca="false">IF($G861="","",$G861&amp;"#"&amp;COUNTIF($G$4:$G861,$G861))</f>
        <v/>
      </c>
      <c r="T861" s="40" t="str">
        <f aca="false">IF($B861="","",IF($C861="","NIK kosong",IF(LEN($C861)&lt;&gt;16,"NIK bukan 16 digit",IF(COUNTIF($C$4:$C$2003,$C861&amp;"*")&gt;1,"NIK ganda",IF($E861="","Kadus kosong",IF($F861="","RT kosong",IF($H861="","Jabatan kosong",IF($I861="","No. HP kosong",IF($J861="","Alamat kosong",IF(AND($M861&lt;&gt;"",$M861&lt;17),"Usia di bawah 17",""))))))))))</f>
        <v/>
      </c>
      <c r="U861" s="40" t="str">
        <f aca="false">IF($B861="","",IF(AND(OR(CARI!$C$5="",ISNUMBER(SEARCH(CARI!$C$5,$B861&amp;" "&amp;$C861&amp;" "&amp;$I861&amp;" "&amp;$J861&amp;" "&amp;$Q861))),OR(CARI!$C$6="",$E861=CARI!$C$6),OR(CARI!$C$7="",$F861=CARI!$C$7),OR(CARI!$C$8="",$O861=CARI!$C$8)),MAX($U$3:U860)+1,""))</f>
        <v/>
      </c>
      <c r="V861" s="40" t="str">
        <f aca="false">IF($T861="","",MAX($V$3:V860)+1)</f>
        <v/>
      </c>
      <c r="W861" s="40" t="str">
        <f aca="false">IF($E861="","",$E861&amp;"#"&amp;COUNTIF($E$4:$E861,$E861))</f>
        <v/>
      </c>
      <c r="X861" s="40" t="str">
        <f aca="false">IF($B861="","",IF(AND(OR(CETAK!$J$10="",$E861=CETAK!$J$10),OR(CETAK!$J$11="",$F861=CETAK!$J$11),OR(CETAK!$J$12="",$K861=CETAK!$J$12),OR(CETAK!$J$13="",$H861=CETAK!$J$13),OR(CETAK!$J$14="",$O861=CETAK!$J$14)),MAX($X$3:X860)+1,""))</f>
        <v/>
      </c>
      <c r="Y861" s="40" t="str">
        <f aca="false">IF($B861="","",IF(AND(OR(ABSENSI!$H$10="",$E861=ABSENSI!$H$10),OR(ABSENSI!$H$11="",$F861=ABSENSI!$H$11),OR(ABSENSI!$H$12="",$K861=ABSENSI!$H$12)),MAX($Y$3:Y860)+1,""))</f>
        <v/>
      </c>
      <c r="Z861" s="40" t="str">
        <f aca="false">IF($B861="","",IF(AND(OR(KARTU!$K$6="",$E861=KARTU!$K$6),OR(KARTU!$K$7="",$F861=KARTU!$K$7),OR(KARTU!$K$8="",$K861=KARTU!$K$8)),MAX($Z$3:Z860)+1,""))</f>
        <v/>
      </c>
    </row>
    <row r="862" customFormat="false" ht="15" hidden="false" customHeight="false" outlineLevel="0" collapsed="false">
      <c r="A862" s="36" t="str">
        <f aca="false">IF($B862="","",COUNTA($B$4:$B862))</f>
        <v/>
      </c>
      <c r="B862" s="37"/>
      <c r="C862" s="38"/>
      <c r="D862" s="39"/>
      <c r="E862" s="37"/>
      <c r="F862" s="39"/>
      <c r="G862" s="40" t="str">
        <f aca="false">IF(OR($E862="",$F862=""),"",$E862&amp;" - RT "&amp;$F862)</f>
        <v/>
      </c>
      <c r="H862" s="37"/>
      <c r="I862" s="38"/>
      <c r="J862" s="37"/>
      <c r="K862" s="39"/>
      <c r="L862" s="41"/>
      <c r="M862" s="36" t="str">
        <f aca="true">IF(OR($B862="",$L862=""),"",DATEDIF($L862,TODAY(),"Y"))</f>
        <v/>
      </c>
      <c r="N862" s="40" t="str">
        <f aca="false">IF($M862="","",INDEX(usia_label,MATCH($M862,usia_min,1)))</f>
        <v/>
      </c>
      <c r="O862" s="37"/>
      <c r="P862" s="41"/>
      <c r="Q862" s="37"/>
      <c r="R862" s="37"/>
      <c r="S862" s="40" t="str">
        <f aca="false">IF($G862="","",$G862&amp;"#"&amp;COUNTIF($G$4:$G862,$G862))</f>
        <v/>
      </c>
      <c r="T862" s="40" t="str">
        <f aca="false">IF($B862="","",IF($C862="","NIK kosong",IF(LEN($C862)&lt;&gt;16,"NIK bukan 16 digit",IF(COUNTIF($C$4:$C$2003,$C862&amp;"*")&gt;1,"NIK ganda",IF($E862="","Kadus kosong",IF($F862="","RT kosong",IF($H862="","Jabatan kosong",IF($I862="","No. HP kosong",IF($J862="","Alamat kosong",IF(AND($M862&lt;&gt;"",$M862&lt;17),"Usia di bawah 17",""))))))))))</f>
        <v/>
      </c>
      <c r="U862" s="40" t="str">
        <f aca="false">IF($B862="","",IF(AND(OR(CARI!$C$5="",ISNUMBER(SEARCH(CARI!$C$5,$B862&amp;" "&amp;$C862&amp;" "&amp;$I862&amp;" "&amp;$J862&amp;" "&amp;$Q862))),OR(CARI!$C$6="",$E862=CARI!$C$6),OR(CARI!$C$7="",$F862=CARI!$C$7),OR(CARI!$C$8="",$O862=CARI!$C$8)),MAX($U$3:U861)+1,""))</f>
        <v/>
      </c>
      <c r="V862" s="40" t="str">
        <f aca="false">IF($T862="","",MAX($V$3:V861)+1)</f>
        <v/>
      </c>
      <c r="W862" s="40" t="str">
        <f aca="false">IF($E862="","",$E862&amp;"#"&amp;COUNTIF($E$4:$E862,$E862))</f>
        <v/>
      </c>
      <c r="X862" s="40" t="str">
        <f aca="false">IF($B862="","",IF(AND(OR(CETAK!$J$10="",$E862=CETAK!$J$10),OR(CETAK!$J$11="",$F862=CETAK!$J$11),OR(CETAK!$J$12="",$K862=CETAK!$J$12),OR(CETAK!$J$13="",$H862=CETAK!$J$13),OR(CETAK!$J$14="",$O862=CETAK!$J$14)),MAX($X$3:X861)+1,""))</f>
        <v/>
      </c>
      <c r="Y862" s="40" t="str">
        <f aca="false">IF($B862="","",IF(AND(OR(ABSENSI!$H$10="",$E862=ABSENSI!$H$10),OR(ABSENSI!$H$11="",$F862=ABSENSI!$H$11),OR(ABSENSI!$H$12="",$K862=ABSENSI!$H$12)),MAX($Y$3:Y861)+1,""))</f>
        <v/>
      </c>
      <c r="Z862" s="40" t="str">
        <f aca="false">IF($B862="","",IF(AND(OR(KARTU!$K$6="",$E862=KARTU!$K$6),OR(KARTU!$K$7="",$F862=KARTU!$K$7),OR(KARTU!$K$8="",$K862=KARTU!$K$8)),MAX($Z$3:Z861)+1,""))</f>
        <v/>
      </c>
    </row>
    <row r="863" customFormat="false" ht="15" hidden="false" customHeight="false" outlineLevel="0" collapsed="false">
      <c r="A863" s="36" t="str">
        <f aca="false">IF($B863="","",COUNTA($B$4:$B863))</f>
        <v/>
      </c>
      <c r="B863" s="37"/>
      <c r="C863" s="38"/>
      <c r="D863" s="39"/>
      <c r="E863" s="37"/>
      <c r="F863" s="39"/>
      <c r="G863" s="40" t="str">
        <f aca="false">IF(OR($E863="",$F863=""),"",$E863&amp;" - RT "&amp;$F863)</f>
        <v/>
      </c>
      <c r="H863" s="37"/>
      <c r="I863" s="38"/>
      <c r="J863" s="37"/>
      <c r="K863" s="39"/>
      <c r="L863" s="41"/>
      <c r="M863" s="36" t="str">
        <f aca="true">IF(OR($B863="",$L863=""),"",DATEDIF($L863,TODAY(),"Y"))</f>
        <v/>
      </c>
      <c r="N863" s="40" t="str">
        <f aca="false">IF($M863="","",INDEX(usia_label,MATCH($M863,usia_min,1)))</f>
        <v/>
      </c>
      <c r="O863" s="37"/>
      <c r="P863" s="41"/>
      <c r="Q863" s="37"/>
      <c r="R863" s="37"/>
      <c r="S863" s="40" t="str">
        <f aca="false">IF($G863="","",$G863&amp;"#"&amp;COUNTIF($G$4:$G863,$G863))</f>
        <v/>
      </c>
      <c r="T863" s="40" t="str">
        <f aca="false">IF($B863="","",IF($C863="","NIK kosong",IF(LEN($C863)&lt;&gt;16,"NIK bukan 16 digit",IF(COUNTIF($C$4:$C$2003,$C863&amp;"*")&gt;1,"NIK ganda",IF($E863="","Kadus kosong",IF($F863="","RT kosong",IF($H863="","Jabatan kosong",IF($I863="","No. HP kosong",IF($J863="","Alamat kosong",IF(AND($M863&lt;&gt;"",$M863&lt;17),"Usia di bawah 17",""))))))))))</f>
        <v/>
      </c>
      <c r="U863" s="40" t="str">
        <f aca="false">IF($B863="","",IF(AND(OR(CARI!$C$5="",ISNUMBER(SEARCH(CARI!$C$5,$B863&amp;" "&amp;$C863&amp;" "&amp;$I863&amp;" "&amp;$J863&amp;" "&amp;$Q863))),OR(CARI!$C$6="",$E863=CARI!$C$6),OR(CARI!$C$7="",$F863=CARI!$C$7),OR(CARI!$C$8="",$O863=CARI!$C$8)),MAX($U$3:U862)+1,""))</f>
        <v/>
      </c>
      <c r="V863" s="40" t="str">
        <f aca="false">IF($T863="","",MAX($V$3:V862)+1)</f>
        <v/>
      </c>
      <c r="W863" s="40" t="str">
        <f aca="false">IF($E863="","",$E863&amp;"#"&amp;COUNTIF($E$4:$E863,$E863))</f>
        <v/>
      </c>
      <c r="X863" s="40" t="str">
        <f aca="false">IF($B863="","",IF(AND(OR(CETAK!$J$10="",$E863=CETAK!$J$10),OR(CETAK!$J$11="",$F863=CETAK!$J$11),OR(CETAK!$J$12="",$K863=CETAK!$J$12),OR(CETAK!$J$13="",$H863=CETAK!$J$13),OR(CETAK!$J$14="",$O863=CETAK!$J$14)),MAX($X$3:X862)+1,""))</f>
        <v/>
      </c>
      <c r="Y863" s="40" t="str">
        <f aca="false">IF($B863="","",IF(AND(OR(ABSENSI!$H$10="",$E863=ABSENSI!$H$10),OR(ABSENSI!$H$11="",$F863=ABSENSI!$H$11),OR(ABSENSI!$H$12="",$K863=ABSENSI!$H$12)),MAX($Y$3:Y862)+1,""))</f>
        <v/>
      </c>
      <c r="Z863" s="40" t="str">
        <f aca="false">IF($B863="","",IF(AND(OR(KARTU!$K$6="",$E863=KARTU!$K$6),OR(KARTU!$K$7="",$F863=KARTU!$K$7),OR(KARTU!$K$8="",$K863=KARTU!$K$8)),MAX($Z$3:Z862)+1,""))</f>
        <v/>
      </c>
    </row>
    <row r="864" customFormat="false" ht="15" hidden="false" customHeight="false" outlineLevel="0" collapsed="false">
      <c r="A864" s="36" t="str">
        <f aca="false">IF($B864="","",COUNTA($B$4:$B864))</f>
        <v/>
      </c>
      <c r="B864" s="37"/>
      <c r="C864" s="38"/>
      <c r="D864" s="39"/>
      <c r="E864" s="37"/>
      <c r="F864" s="39"/>
      <c r="G864" s="40" t="str">
        <f aca="false">IF(OR($E864="",$F864=""),"",$E864&amp;" - RT "&amp;$F864)</f>
        <v/>
      </c>
      <c r="H864" s="37"/>
      <c r="I864" s="38"/>
      <c r="J864" s="37"/>
      <c r="K864" s="39"/>
      <c r="L864" s="41"/>
      <c r="M864" s="36" t="str">
        <f aca="true">IF(OR($B864="",$L864=""),"",DATEDIF($L864,TODAY(),"Y"))</f>
        <v/>
      </c>
      <c r="N864" s="40" t="str">
        <f aca="false">IF($M864="","",INDEX(usia_label,MATCH($M864,usia_min,1)))</f>
        <v/>
      </c>
      <c r="O864" s="37"/>
      <c r="P864" s="41"/>
      <c r="Q864" s="37"/>
      <c r="R864" s="37"/>
      <c r="S864" s="40" t="str">
        <f aca="false">IF($G864="","",$G864&amp;"#"&amp;COUNTIF($G$4:$G864,$G864))</f>
        <v/>
      </c>
      <c r="T864" s="40" t="str">
        <f aca="false">IF($B864="","",IF($C864="","NIK kosong",IF(LEN($C864)&lt;&gt;16,"NIK bukan 16 digit",IF(COUNTIF($C$4:$C$2003,$C864&amp;"*")&gt;1,"NIK ganda",IF($E864="","Kadus kosong",IF($F864="","RT kosong",IF($H864="","Jabatan kosong",IF($I864="","No. HP kosong",IF($J864="","Alamat kosong",IF(AND($M864&lt;&gt;"",$M864&lt;17),"Usia di bawah 17",""))))))))))</f>
        <v/>
      </c>
      <c r="U864" s="40" t="str">
        <f aca="false">IF($B864="","",IF(AND(OR(CARI!$C$5="",ISNUMBER(SEARCH(CARI!$C$5,$B864&amp;" "&amp;$C864&amp;" "&amp;$I864&amp;" "&amp;$J864&amp;" "&amp;$Q864))),OR(CARI!$C$6="",$E864=CARI!$C$6),OR(CARI!$C$7="",$F864=CARI!$C$7),OR(CARI!$C$8="",$O864=CARI!$C$8)),MAX($U$3:U863)+1,""))</f>
        <v/>
      </c>
      <c r="V864" s="40" t="str">
        <f aca="false">IF($T864="","",MAX($V$3:V863)+1)</f>
        <v/>
      </c>
      <c r="W864" s="40" t="str">
        <f aca="false">IF($E864="","",$E864&amp;"#"&amp;COUNTIF($E$4:$E864,$E864))</f>
        <v/>
      </c>
      <c r="X864" s="40" t="str">
        <f aca="false">IF($B864="","",IF(AND(OR(CETAK!$J$10="",$E864=CETAK!$J$10),OR(CETAK!$J$11="",$F864=CETAK!$J$11),OR(CETAK!$J$12="",$K864=CETAK!$J$12),OR(CETAK!$J$13="",$H864=CETAK!$J$13),OR(CETAK!$J$14="",$O864=CETAK!$J$14)),MAX($X$3:X863)+1,""))</f>
        <v/>
      </c>
      <c r="Y864" s="40" t="str">
        <f aca="false">IF($B864="","",IF(AND(OR(ABSENSI!$H$10="",$E864=ABSENSI!$H$10),OR(ABSENSI!$H$11="",$F864=ABSENSI!$H$11),OR(ABSENSI!$H$12="",$K864=ABSENSI!$H$12)),MAX($Y$3:Y863)+1,""))</f>
        <v/>
      </c>
      <c r="Z864" s="40" t="str">
        <f aca="false">IF($B864="","",IF(AND(OR(KARTU!$K$6="",$E864=KARTU!$K$6),OR(KARTU!$K$7="",$F864=KARTU!$K$7),OR(KARTU!$K$8="",$K864=KARTU!$K$8)),MAX($Z$3:Z863)+1,""))</f>
        <v/>
      </c>
    </row>
    <row r="865" customFormat="false" ht="15" hidden="false" customHeight="false" outlineLevel="0" collapsed="false">
      <c r="A865" s="36" t="str">
        <f aca="false">IF($B865="","",COUNTA($B$4:$B865))</f>
        <v/>
      </c>
      <c r="B865" s="37"/>
      <c r="C865" s="38"/>
      <c r="D865" s="39"/>
      <c r="E865" s="37"/>
      <c r="F865" s="39"/>
      <c r="G865" s="40" t="str">
        <f aca="false">IF(OR($E865="",$F865=""),"",$E865&amp;" - RT "&amp;$F865)</f>
        <v/>
      </c>
      <c r="H865" s="37"/>
      <c r="I865" s="38"/>
      <c r="J865" s="37"/>
      <c r="K865" s="39"/>
      <c r="L865" s="41"/>
      <c r="M865" s="36" t="str">
        <f aca="true">IF(OR($B865="",$L865=""),"",DATEDIF($L865,TODAY(),"Y"))</f>
        <v/>
      </c>
      <c r="N865" s="40" t="str">
        <f aca="false">IF($M865="","",INDEX(usia_label,MATCH($M865,usia_min,1)))</f>
        <v/>
      </c>
      <c r="O865" s="37"/>
      <c r="P865" s="41"/>
      <c r="Q865" s="37"/>
      <c r="R865" s="37"/>
      <c r="S865" s="40" t="str">
        <f aca="false">IF($G865="","",$G865&amp;"#"&amp;COUNTIF($G$4:$G865,$G865))</f>
        <v/>
      </c>
      <c r="T865" s="40" t="str">
        <f aca="false">IF($B865="","",IF($C865="","NIK kosong",IF(LEN($C865)&lt;&gt;16,"NIK bukan 16 digit",IF(COUNTIF($C$4:$C$2003,$C865&amp;"*")&gt;1,"NIK ganda",IF($E865="","Kadus kosong",IF($F865="","RT kosong",IF($H865="","Jabatan kosong",IF($I865="","No. HP kosong",IF($J865="","Alamat kosong",IF(AND($M865&lt;&gt;"",$M865&lt;17),"Usia di bawah 17",""))))))))))</f>
        <v/>
      </c>
      <c r="U865" s="40" t="str">
        <f aca="false">IF($B865="","",IF(AND(OR(CARI!$C$5="",ISNUMBER(SEARCH(CARI!$C$5,$B865&amp;" "&amp;$C865&amp;" "&amp;$I865&amp;" "&amp;$J865&amp;" "&amp;$Q865))),OR(CARI!$C$6="",$E865=CARI!$C$6),OR(CARI!$C$7="",$F865=CARI!$C$7),OR(CARI!$C$8="",$O865=CARI!$C$8)),MAX($U$3:U864)+1,""))</f>
        <v/>
      </c>
      <c r="V865" s="40" t="str">
        <f aca="false">IF($T865="","",MAX($V$3:V864)+1)</f>
        <v/>
      </c>
      <c r="W865" s="40" t="str">
        <f aca="false">IF($E865="","",$E865&amp;"#"&amp;COUNTIF($E$4:$E865,$E865))</f>
        <v/>
      </c>
      <c r="X865" s="40" t="str">
        <f aca="false">IF($B865="","",IF(AND(OR(CETAK!$J$10="",$E865=CETAK!$J$10),OR(CETAK!$J$11="",$F865=CETAK!$J$11),OR(CETAK!$J$12="",$K865=CETAK!$J$12),OR(CETAK!$J$13="",$H865=CETAK!$J$13),OR(CETAK!$J$14="",$O865=CETAK!$J$14)),MAX($X$3:X864)+1,""))</f>
        <v/>
      </c>
      <c r="Y865" s="40" t="str">
        <f aca="false">IF($B865="","",IF(AND(OR(ABSENSI!$H$10="",$E865=ABSENSI!$H$10),OR(ABSENSI!$H$11="",$F865=ABSENSI!$H$11),OR(ABSENSI!$H$12="",$K865=ABSENSI!$H$12)),MAX($Y$3:Y864)+1,""))</f>
        <v/>
      </c>
      <c r="Z865" s="40" t="str">
        <f aca="false">IF($B865="","",IF(AND(OR(KARTU!$K$6="",$E865=KARTU!$K$6),OR(KARTU!$K$7="",$F865=KARTU!$K$7),OR(KARTU!$K$8="",$K865=KARTU!$K$8)),MAX($Z$3:Z864)+1,""))</f>
        <v/>
      </c>
    </row>
    <row r="866" customFormat="false" ht="15" hidden="false" customHeight="false" outlineLevel="0" collapsed="false">
      <c r="A866" s="36" t="str">
        <f aca="false">IF($B866="","",COUNTA($B$4:$B866))</f>
        <v/>
      </c>
      <c r="B866" s="37"/>
      <c r="C866" s="38"/>
      <c r="D866" s="39"/>
      <c r="E866" s="37"/>
      <c r="F866" s="39"/>
      <c r="G866" s="40" t="str">
        <f aca="false">IF(OR($E866="",$F866=""),"",$E866&amp;" - RT "&amp;$F866)</f>
        <v/>
      </c>
      <c r="H866" s="37"/>
      <c r="I866" s="38"/>
      <c r="J866" s="37"/>
      <c r="K866" s="39"/>
      <c r="L866" s="41"/>
      <c r="M866" s="36" t="str">
        <f aca="true">IF(OR($B866="",$L866=""),"",DATEDIF($L866,TODAY(),"Y"))</f>
        <v/>
      </c>
      <c r="N866" s="40" t="str">
        <f aca="false">IF($M866="","",INDEX(usia_label,MATCH($M866,usia_min,1)))</f>
        <v/>
      </c>
      <c r="O866" s="37"/>
      <c r="P866" s="41"/>
      <c r="Q866" s="37"/>
      <c r="R866" s="37"/>
      <c r="S866" s="40" t="str">
        <f aca="false">IF($G866="","",$G866&amp;"#"&amp;COUNTIF($G$4:$G866,$G866))</f>
        <v/>
      </c>
      <c r="T866" s="40" t="str">
        <f aca="false">IF($B866="","",IF($C866="","NIK kosong",IF(LEN($C866)&lt;&gt;16,"NIK bukan 16 digit",IF(COUNTIF($C$4:$C$2003,$C866&amp;"*")&gt;1,"NIK ganda",IF($E866="","Kadus kosong",IF($F866="","RT kosong",IF($H866="","Jabatan kosong",IF($I866="","No. HP kosong",IF($J866="","Alamat kosong",IF(AND($M866&lt;&gt;"",$M866&lt;17),"Usia di bawah 17",""))))))))))</f>
        <v/>
      </c>
      <c r="U866" s="40" t="str">
        <f aca="false">IF($B866="","",IF(AND(OR(CARI!$C$5="",ISNUMBER(SEARCH(CARI!$C$5,$B866&amp;" "&amp;$C866&amp;" "&amp;$I866&amp;" "&amp;$J866&amp;" "&amp;$Q866))),OR(CARI!$C$6="",$E866=CARI!$C$6),OR(CARI!$C$7="",$F866=CARI!$C$7),OR(CARI!$C$8="",$O866=CARI!$C$8)),MAX($U$3:U865)+1,""))</f>
        <v/>
      </c>
      <c r="V866" s="40" t="str">
        <f aca="false">IF($T866="","",MAX($V$3:V865)+1)</f>
        <v/>
      </c>
      <c r="W866" s="40" t="str">
        <f aca="false">IF($E866="","",$E866&amp;"#"&amp;COUNTIF($E$4:$E866,$E866))</f>
        <v/>
      </c>
      <c r="X866" s="40" t="str">
        <f aca="false">IF($B866="","",IF(AND(OR(CETAK!$J$10="",$E866=CETAK!$J$10),OR(CETAK!$J$11="",$F866=CETAK!$J$11),OR(CETAK!$J$12="",$K866=CETAK!$J$12),OR(CETAK!$J$13="",$H866=CETAK!$J$13),OR(CETAK!$J$14="",$O866=CETAK!$J$14)),MAX($X$3:X865)+1,""))</f>
        <v/>
      </c>
      <c r="Y866" s="40" t="str">
        <f aca="false">IF($B866="","",IF(AND(OR(ABSENSI!$H$10="",$E866=ABSENSI!$H$10),OR(ABSENSI!$H$11="",$F866=ABSENSI!$H$11),OR(ABSENSI!$H$12="",$K866=ABSENSI!$H$12)),MAX($Y$3:Y865)+1,""))</f>
        <v/>
      </c>
      <c r="Z866" s="40" t="str">
        <f aca="false">IF($B866="","",IF(AND(OR(KARTU!$K$6="",$E866=KARTU!$K$6),OR(KARTU!$K$7="",$F866=KARTU!$K$7),OR(KARTU!$K$8="",$K866=KARTU!$K$8)),MAX($Z$3:Z865)+1,""))</f>
        <v/>
      </c>
    </row>
    <row r="867" customFormat="false" ht="15" hidden="false" customHeight="false" outlineLevel="0" collapsed="false">
      <c r="A867" s="36" t="str">
        <f aca="false">IF($B867="","",COUNTA($B$4:$B867))</f>
        <v/>
      </c>
      <c r="B867" s="37"/>
      <c r="C867" s="38"/>
      <c r="D867" s="39"/>
      <c r="E867" s="37"/>
      <c r="F867" s="39"/>
      <c r="G867" s="40" t="str">
        <f aca="false">IF(OR($E867="",$F867=""),"",$E867&amp;" - RT "&amp;$F867)</f>
        <v/>
      </c>
      <c r="H867" s="37"/>
      <c r="I867" s="38"/>
      <c r="J867" s="37"/>
      <c r="K867" s="39"/>
      <c r="L867" s="41"/>
      <c r="M867" s="36" t="str">
        <f aca="true">IF(OR($B867="",$L867=""),"",DATEDIF($L867,TODAY(),"Y"))</f>
        <v/>
      </c>
      <c r="N867" s="40" t="str">
        <f aca="false">IF($M867="","",INDEX(usia_label,MATCH($M867,usia_min,1)))</f>
        <v/>
      </c>
      <c r="O867" s="37"/>
      <c r="P867" s="41"/>
      <c r="Q867" s="37"/>
      <c r="R867" s="37"/>
      <c r="S867" s="40" t="str">
        <f aca="false">IF($G867="","",$G867&amp;"#"&amp;COUNTIF($G$4:$G867,$G867))</f>
        <v/>
      </c>
      <c r="T867" s="40" t="str">
        <f aca="false">IF($B867="","",IF($C867="","NIK kosong",IF(LEN($C867)&lt;&gt;16,"NIK bukan 16 digit",IF(COUNTIF($C$4:$C$2003,$C867&amp;"*")&gt;1,"NIK ganda",IF($E867="","Kadus kosong",IF($F867="","RT kosong",IF($H867="","Jabatan kosong",IF($I867="","No. HP kosong",IF($J867="","Alamat kosong",IF(AND($M867&lt;&gt;"",$M867&lt;17),"Usia di bawah 17",""))))))))))</f>
        <v/>
      </c>
      <c r="U867" s="40" t="str">
        <f aca="false">IF($B867="","",IF(AND(OR(CARI!$C$5="",ISNUMBER(SEARCH(CARI!$C$5,$B867&amp;" "&amp;$C867&amp;" "&amp;$I867&amp;" "&amp;$J867&amp;" "&amp;$Q867))),OR(CARI!$C$6="",$E867=CARI!$C$6),OR(CARI!$C$7="",$F867=CARI!$C$7),OR(CARI!$C$8="",$O867=CARI!$C$8)),MAX($U$3:U866)+1,""))</f>
        <v/>
      </c>
      <c r="V867" s="40" t="str">
        <f aca="false">IF($T867="","",MAX($V$3:V866)+1)</f>
        <v/>
      </c>
      <c r="W867" s="40" t="str">
        <f aca="false">IF($E867="","",$E867&amp;"#"&amp;COUNTIF($E$4:$E867,$E867))</f>
        <v/>
      </c>
      <c r="X867" s="40" t="str">
        <f aca="false">IF($B867="","",IF(AND(OR(CETAK!$J$10="",$E867=CETAK!$J$10),OR(CETAK!$J$11="",$F867=CETAK!$J$11),OR(CETAK!$J$12="",$K867=CETAK!$J$12),OR(CETAK!$J$13="",$H867=CETAK!$J$13),OR(CETAK!$J$14="",$O867=CETAK!$J$14)),MAX($X$3:X866)+1,""))</f>
        <v/>
      </c>
      <c r="Y867" s="40" t="str">
        <f aca="false">IF($B867="","",IF(AND(OR(ABSENSI!$H$10="",$E867=ABSENSI!$H$10),OR(ABSENSI!$H$11="",$F867=ABSENSI!$H$11),OR(ABSENSI!$H$12="",$K867=ABSENSI!$H$12)),MAX($Y$3:Y866)+1,""))</f>
        <v/>
      </c>
      <c r="Z867" s="40" t="str">
        <f aca="false">IF($B867="","",IF(AND(OR(KARTU!$K$6="",$E867=KARTU!$K$6),OR(KARTU!$K$7="",$F867=KARTU!$K$7),OR(KARTU!$K$8="",$K867=KARTU!$K$8)),MAX($Z$3:Z866)+1,""))</f>
        <v/>
      </c>
    </row>
    <row r="868" customFormat="false" ht="15" hidden="false" customHeight="false" outlineLevel="0" collapsed="false">
      <c r="A868" s="36" t="str">
        <f aca="false">IF($B868="","",COUNTA($B$4:$B868))</f>
        <v/>
      </c>
      <c r="B868" s="37"/>
      <c r="C868" s="38"/>
      <c r="D868" s="39"/>
      <c r="E868" s="37"/>
      <c r="F868" s="39"/>
      <c r="G868" s="40" t="str">
        <f aca="false">IF(OR($E868="",$F868=""),"",$E868&amp;" - RT "&amp;$F868)</f>
        <v/>
      </c>
      <c r="H868" s="37"/>
      <c r="I868" s="38"/>
      <c r="J868" s="37"/>
      <c r="K868" s="39"/>
      <c r="L868" s="41"/>
      <c r="M868" s="36" t="str">
        <f aca="true">IF(OR($B868="",$L868=""),"",DATEDIF($L868,TODAY(),"Y"))</f>
        <v/>
      </c>
      <c r="N868" s="40" t="str">
        <f aca="false">IF($M868="","",INDEX(usia_label,MATCH($M868,usia_min,1)))</f>
        <v/>
      </c>
      <c r="O868" s="37"/>
      <c r="P868" s="41"/>
      <c r="Q868" s="37"/>
      <c r="R868" s="37"/>
      <c r="S868" s="40" t="str">
        <f aca="false">IF($G868="","",$G868&amp;"#"&amp;COUNTIF($G$4:$G868,$G868))</f>
        <v/>
      </c>
      <c r="T868" s="40" t="str">
        <f aca="false">IF($B868="","",IF($C868="","NIK kosong",IF(LEN($C868)&lt;&gt;16,"NIK bukan 16 digit",IF(COUNTIF($C$4:$C$2003,$C868&amp;"*")&gt;1,"NIK ganda",IF($E868="","Kadus kosong",IF($F868="","RT kosong",IF($H868="","Jabatan kosong",IF($I868="","No. HP kosong",IF($J868="","Alamat kosong",IF(AND($M868&lt;&gt;"",$M868&lt;17),"Usia di bawah 17",""))))))))))</f>
        <v/>
      </c>
      <c r="U868" s="40" t="str">
        <f aca="false">IF($B868="","",IF(AND(OR(CARI!$C$5="",ISNUMBER(SEARCH(CARI!$C$5,$B868&amp;" "&amp;$C868&amp;" "&amp;$I868&amp;" "&amp;$J868&amp;" "&amp;$Q868))),OR(CARI!$C$6="",$E868=CARI!$C$6),OR(CARI!$C$7="",$F868=CARI!$C$7),OR(CARI!$C$8="",$O868=CARI!$C$8)),MAX($U$3:U867)+1,""))</f>
        <v/>
      </c>
      <c r="V868" s="40" t="str">
        <f aca="false">IF($T868="","",MAX($V$3:V867)+1)</f>
        <v/>
      </c>
      <c r="W868" s="40" t="str">
        <f aca="false">IF($E868="","",$E868&amp;"#"&amp;COUNTIF($E$4:$E868,$E868))</f>
        <v/>
      </c>
      <c r="X868" s="40" t="str">
        <f aca="false">IF($B868="","",IF(AND(OR(CETAK!$J$10="",$E868=CETAK!$J$10),OR(CETAK!$J$11="",$F868=CETAK!$J$11),OR(CETAK!$J$12="",$K868=CETAK!$J$12),OR(CETAK!$J$13="",$H868=CETAK!$J$13),OR(CETAK!$J$14="",$O868=CETAK!$J$14)),MAX($X$3:X867)+1,""))</f>
        <v/>
      </c>
      <c r="Y868" s="40" t="str">
        <f aca="false">IF($B868="","",IF(AND(OR(ABSENSI!$H$10="",$E868=ABSENSI!$H$10),OR(ABSENSI!$H$11="",$F868=ABSENSI!$H$11),OR(ABSENSI!$H$12="",$K868=ABSENSI!$H$12)),MAX($Y$3:Y867)+1,""))</f>
        <v/>
      </c>
      <c r="Z868" s="40" t="str">
        <f aca="false">IF($B868="","",IF(AND(OR(KARTU!$K$6="",$E868=KARTU!$K$6),OR(KARTU!$K$7="",$F868=KARTU!$K$7),OR(KARTU!$K$8="",$K868=KARTU!$K$8)),MAX($Z$3:Z867)+1,""))</f>
        <v/>
      </c>
    </row>
    <row r="869" customFormat="false" ht="15" hidden="false" customHeight="false" outlineLevel="0" collapsed="false">
      <c r="A869" s="36" t="str">
        <f aca="false">IF($B869="","",COUNTA($B$4:$B869))</f>
        <v/>
      </c>
      <c r="B869" s="37"/>
      <c r="C869" s="38"/>
      <c r="D869" s="39"/>
      <c r="E869" s="37"/>
      <c r="F869" s="39"/>
      <c r="G869" s="40" t="str">
        <f aca="false">IF(OR($E869="",$F869=""),"",$E869&amp;" - RT "&amp;$F869)</f>
        <v/>
      </c>
      <c r="H869" s="37"/>
      <c r="I869" s="38"/>
      <c r="J869" s="37"/>
      <c r="K869" s="39"/>
      <c r="L869" s="41"/>
      <c r="M869" s="36" t="str">
        <f aca="true">IF(OR($B869="",$L869=""),"",DATEDIF($L869,TODAY(),"Y"))</f>
        <v/>
      </c>
      <c r="N869" s="40" t="str">
        <f aca="false">IF($M869="","",INDEX(usia_label,MATCH($M869,usia_min,1)))</f>
        <v/>
      </c>
      <c r="O869" s="37"/>
      <c r="P869" s="41"/>
      <c r="Q869" s="37"/>
      <c r="R869" s="37"/>
      <c r="S869" s="40" t="str">
        <f aca="false">IF($G869="","",$G869&amp;"#"&amp;COUNTIF($G$4:$G869,$G869))</f>
        <v/>
      </c>
      <c r="T869" s="40" t="str">
        <f aca="false">IF($B869="","",IF($C869="","NIK kosong",IF(LEN($C869)&lt;&gt;16,"NIK bukan 16 digit",IF(COUNTIF($C$4:$C$2003,$C869&amp;"*")&gt;1,"NIK ganda",IF($E869="","Kadus kosong",IF($F869="","RT kosong",IF($H869="","Jabatan kosong",IF($I869="","No. HP kosong",IF($J869="","Alamat kosong",IF(AND($M869&lt;&gt;"",$M869&lt;17),"Usia di bawah 17",""))))))))))</f>
        <v/>
      </c>
      <c r="U869" s="40" t="str">
        <f aca="false">IF($B869="","",IF(AND(OR(CARI!$C$5="",ISNUMBER(SEARCH(CARI!$C$5,$B869&amp;" "&amp;$C869&amp;" "&amp;$I869&amp;" "&amp;$J869&amp;" "&amp;$Q869))),OR(CARI!$C$6="",$E869=CARI!$C$6),OR(CARI!$C$7="",$F869=CARI!$C$7),OR(CARI!$C$8="",$O869=CARI!$C$8)),MAX($U$3:U868)+1,""))</f>
        <v/>
      </c>
      <c r="V869" s="40" t="str">
        <f aca="false">IF($T869="","",MAX($V$3:V868)+1)</f>
        <v/>
      </c>
      <c r="W869" s="40" t="str">
        <f aca="false">IF($E869="","",$E869&amp;"#"&amp;COUNTIF($E$4:$E869,$E869))</f>
        <v/>
      </c>
      <c r="X869" s="40" t="str">
        <f aca="false">IF($B869="","",IF(AND(OR(CETAK!$J$10="",$E869=CETAK!$J$10),OR(CETAK!$J$11="",$F869=CETAK!$J$11),OR(CETAK!$J$12="",$K869=CETAK!$J$12),OR(CETAK!$J$13="",$H869=CETAK!$J$13),OR(CETAK!$J$14="",$O869=CETAK!$J$14)),MAX($X$3:X868)+1,""))</f>
        <v/>
      </c>
      <c r="Y869" s="40" t="str">
        <f aca="false">IF($B869="","",IF(AND(OR(ABSENSI!$H$10="",$E869=ABSENSI!$H$10),OR(ABSENSI!$H$11="",$F869=ABSENSI!$H$11),OR(ABSENSI!$H$12="",$K869=ABSENSI!$H$12)),MAX($Y$3:Y868)+1,""))</f>
        <v/>
      </c>
      <c r="Z869" s="40" t="str">
        <f aca="false">IF($B869="","",IF(AND(OR(KARTU!$K$6="",$E869=KARTU!$K$6),OR(KARTU!$K$7="",$F869=KARTU!$K$7),OR(KARTU!$K$8="",$K869=KARTU!$K$8)),MAX($Z$3:Z868)+1,""))</f>
        <v/>
      </c>
    </row>
    <row r="870" customFormat="false" ht="15" hidden="false" customHeight="false" outlineLevel="0" collapsed="false">
      <c r="A870" s="36" t="str">
        <f aca="false">IF($B870="","",COUNTA($B$4:$B870))</f>
        <v/>
      </c>
      <c r="B870" s="37"/>
      <c r="C870" s="38"/>
      <c r="D870" s="39"/>
      <c r="E870" s="37"/>
      <c r="F870" s="39"/>
      <c r="G870" s="40" t="str">
        <f aca="false">IF(OR($E870="",$F870=""),"",$E870&amp;" - RT "&amp;$F870)</f>
        <v/>
      </c>
      <c r="H870" s="37"/>
      <c r="I870" s="38"/>
      <c r="J870" s="37"/>
      <c r="K870" s="39"/>
      <c r="L870" s="41"/>
      <c r="M870" s="36" t="str">
        <f aca="true">IF(OR($B870="",$L870=""),"",DATEDIF($L870,TODAY(),"Y"))</f>
        <v/>
      </c>
      <c r="N870" s="40" t="str">
        <f aca="false">IF($M870="","",INDEX(usia_label,MATCH($M870,usia_min,1)))</f>
        <v/>
      </c>
      <c r="O870" s="37"/>
      <c r="P870" s="41"/>
      <c r="Q870" s="37"/>
      <c r="R870" s="37"/>
      <c r="S870" s="40" t="str">
        <f aca="false">IF($G870="","",$G870&amp;"#"&amp;COUNTIF($G$4:$G870,$G870))</f>
        <v/>
      </c>
      <c r="T870" s="40" t="str">
        <f aca="false">IF($B870="","",IF($C870="","NIK kosong",IF(LEN($C870)&lt;&gt;16,"NIK bukan 16 digit",IF(COUNTIF($C$4:$C$2003,$C870&amp;"*")&gt;1,"NIK ganda",IF($E870="","Kadus kosong",IF($F870="","RT kosong",IF($H870="","Jabatan kosong",IF($I870="","No. HP kosong",IF($J870="","Alamat kosong",IF(AND($M870&lt;&gt;"",$M870&lt;17),"Usia di bawah 17",""))))))))))</f>
        <v/>
      </c>
      <c r="U870" s="40" t="str">
        <f aca="false">IF($B870="","",IF(AND(OR(CARI!$C$5="",ISNUMBER(SEARCH(CARI!$C$5,$B870&amp;" "&amp;$C870&amp;" "&amp;$I870&amp;" "&amp;$J870&amp;" "&amp;$Q870))),OR(CARI!$C$6="",$E870=CARI!$C$6),OR(CARI!$C$7="",$F870=CARI!$C$7),OR(CARI!$C$8="",$O870=CARI!$C$8)),MAX($U$3:U869)+1,""))</f>
        <v/>
      </c>
      <c r="V870" s="40" t="str">
        <f aca="false">IF($T870="","",MAX($V$3:V869)+1)</f>
        <v/>
      </c>
      <c r="W870" s="40" t="str">
        <f aca="false">IF($E870="","",$E870&amp;"#"&amp;COUNTIF($E$4:$E870,$E870))</f>
        <v/>
      </c>
      <c r="X870" s="40" t="str">
        <f aca="false">IF($B870="","",IF(AND(OR(CETAK!$J$10="",$E870=CETAK!$J$10),OR(CETAK!$J$11="",$F870=CETAK!$J$11),OR(CETAK!$J$12="",$K870=CETAK!$J$12),OR(CETAK!$J$13="",$H870=CETAK!$J$13),OR(CETAK!$J$14="",$O870=CETAK!$J$14)),MAX($X$3:X869)+1,""))</f>
        <v/>
      </c>
      <c r="Y870" s="40" t="str">
        <f aca="false">IF($B870="","",IF(AND(OR(ABSENSI!$H$10="",$E870=ABSENSI!$H$10),OR(ABSENSI!$H$11="",$F870=ABSENSI!$H$11),OR(ABSENSI!$H$12="",$K870=ABSENSI!$H$12)),MAX($Y$3:Y869)+1,""))</f>
        <v/>
      </c>
      <c r="Z870" s="40" t="str">
        <f aca="false">IF($B870="","",IF(AND(OR(KARTU!$K$6="",$E870=KARTU!$K$6),OR(KARTU!$K$7="",$F870=KARTU!$K$7),OR(KARTU!$K$8="",$K870=KARTU!$K$8)),MAX($Z$3:Z869)+1,""))</f>
        <v/>
      </c>
    </row>
    <row r="871" customFormat="false" ht="15" hidden="false" customHeight="false" outlineLevel="0" collapsed="false">
      <c r="A871" s="36" t="str">
        <f aca="false">IF($B871="","",COUNTA($B$4:$B871))</f>
        <v/>
      </c>
      <c r="B871" s="37"/>
      <c r="C871" s="38"/>
      <c r="D871" s="39"/>
      <c r="E871" s="37"/>
      <c r="F871" s="39"/>
      <c r="G871" s="40" t="str">
        <f aca="false">IF(OR($E871="",$F871=""),"",$E871&amp;" - RT "&amp;$F871)</f>
        <v/>
      </c>
      <c r="H871" s="37"/>
      <c r="I871" s="38"/>
      <c r="J871" s="37"/>
      <c r="K871" s="39"/>
      <c r="L871" s="41"/>
      <c r="M871" s="36" t="str">
        <f aca="true">IF(OR($B871="",$L871=""),"",DATEDIF($L871,TODAY(),"Y"))</f>
        <v/>
      </c>
      <c r="N871" s="40" t="str">
        <f aca="false">IF($M871="","",INDEX(usia_label,MATCH($M871,usia_min,1)))</f>
        <v/>
      </c>
      <c r="O871" s="37"/>
      <c r="P871" s="41"/>
      <c r="Q871" s="37"/>
      <c r="R871" s="37"/>
      <c r="S871" s="40" t="str">
        <f aca="false">IF($G871="","",$G871&amp;"#"&amp;COUNTIF($G$4:$G871,$G871))</f>
        <v/>
      </c>
      <c r="T871" s="40" t="str">
        <f aca="false">IF($B871="","",IF($C871="","NIK kosong",IF(LEN($C871)&lt;&gt;16,"NIK bukan 16 digit",IF(COUNTIF($C$4:$C$2003,$C871&amp;"*")&gt;1,"NIK ganda",IF($E871="","Kadus kosong",IF($F871="","RT kosong",IF($H871="","Jabatan kosong",IF($I871="","No. HP kosong",IF($J871="","Alamat kosong",IF(AND($M871&lt;&gt;"",$M871&lt;17),"Usia di bawah 17",""))))))))))</f>
        <v/>
      </c>
      <c r="U871" s="40" t="str">
        <f aca="false">IF($B871="","",IF(AND(OR(CARI!$C$5="",ISNUMBER(SEARCH(CARI!$C$5,$B871&amp;" "&amp;$C871&amp;" "&amp;$I871&amp;" "&amp;$J871&amp;" "&amp;$Q871))),OR(CARI!$C$6="",$E871=CARI!$C$6),OR(CARI!$C$7="",$F871=CARI!$C$7),OR(CARI!$C$8="",$O871=CARI!$C$8)),MAX($U$3:U870)+1,""))</f>
        <v/>
      </c>
      <c r="V871" s="40" t="str">
        <f aca="false">IF($T871="","",MAX($V$3:V870)+1)</f>
        <v/>
      </c>
      <c r="W871" s="40" t="str">
        <f aca="false">IF($E871="","",$E871&amp;"#"&amp;COUNTIF($E$4:$E871,$E871))</f>
        <v/>
      </c>
      <c r="X871" s="40" t="str">
        <f aca="false">IF($B871="","",IF(AND(OR(CETAK!$J$10="",$E871=CETAK!$J$10),OR(CETAK!$J$11="",$F871=CETAK!$J$11),OR(CETAK!$J$12="",$K871=CETAK!$J$12),OR(CETAK!$J$13="",$H871=CETAK!$J$13),OR(CETAK!$J$14="",$O871=CETAK!$J$14)),MAX($X$3:X870)+1,""))</f>
        <v/>
      </c>
      <c r="Y871" s="40" t="str">
        <f aca="false">IF($B871="","",IF(AND(OR(ABSENSI!$H$10="",$E871=ABSENSI!$H$10),OR(ABSENSI!$H$11="",$F871=ABSENSI!$H$11),OR(ABSENSI!$H$12="",$K871=ABSENSI!$H$12)),MAX($Y$3:Y870)+1,""))</f>
        <v/>
      </c>
      <c r="Z871" s="40" t="str">
        <f aca="false">IF($B871="","",IF(AND(OR(KARTU!$K$6="",$E871=KARTU!$K$6),OR(KARTU!$K$7="",$F871=KARTU!$K$7),OR(KARTU!$K$8="",$K871=KARTU!$K$8)),MAX($Z$3:Z870)+1,""))</f>
        <v/>
      </c>
    </row>
    <row r="872" customFormat="false" ht="15" hidden="false" customHeight="false" outlineLevel="0" collapsed="false">
      <c r="A872" s="36" t="str">
        <f aca="false">IF($B872="","",COUNTA($B$4:$B872))</f>
        <v/>
      </c>
      <c r="B872" s="37"/>
      <c r="C872" s="38"/>
      <c r="D872" s="39"/>
      <c r="E872" s="37"/>
      <c r="F872" s="39"/>
      <c r="G872" s="40" t="str">
        <f aca="false">IF(OR($E872="",$F872=""),"",$E872&amp;" - RT "&amp;$F872)</f>
        <v/>
      </c>
      <c r="H872" s="37"/>
      <c r="I872" s="38"/>
      <c r="J872" s="37"/>
      <c r="K872" s="39"/>
      <c r="L872" s="41"/>
      <c r="M872" s="36" t="str">
        <f aca="true">IF(OR($B872="",$L872=""),"",DATEDIF($L872,TODAY(),"Y"))</f>
        <v/>
      </c>
      <c r="N872" s="40" t="str">
        <f aca="false">IF($M872="","",INDEX(usia_label,MATCH($M872,usia_min,1)))</f>
        <v/>
      </c>
      <c r="O872" s="37"/>
      <c r="P872" s="41"/>
      <c r="Q872" s="37"/>
      <c r="R872" s="37"/>
      <c r="S872" s="40" t="str">
        <f aca="false">IF($G872="","",$G872&amp;"#"&amp;COUNTIF($G$4:$G872,$G872))</f>
        <v/>
      </c>
      <c r="T872" s="40" t="str">
        <f aca="false">IF($B872="","",IF($C872="","NIK kosong",IF(LEN($C872)&lt;&gt;16,"NIK bukan 16 digit",IF(COUNTIF($C$4:$C$2003,$C872&amp;"*")&gt;1,"NIK ganda",IF($E872="","Kadus kosong",IF($F872="","RT kosong",IF($H872="","Jabatan kosong",IF($I872="","No. HP kosong",IF($J872="","Alamat kosong",IF(AND($M872&lt;&gt;"",$M872&lt;17),"Usia di bawah 17",""))))))))))</f>
        <v/>
      </c>
      <c r="U872" s="40" t="str">
        <f aca="false">IF($B872="","",IF(AND(OR(CARI!$C$5="",ISNUMBER(SEARCH(CARI!$C$5,$B872&amp;" "&amp;$C872&amp;" "&amp;$I872&amp;" "&amp;$J872&amp;" "&amp;$Q872))),OR(CARI!$C$6="",$E872=CARI!$C$6),OR(CARI!$C$7="",$F872=CARI!$C$7),OR(CARI!$C$8="",$O872=CARI!$C$8)),MAX($U$3:U871)+1,""))</f>
        <v/>
      </c>
      <c r="V872" s="40" t="str">
        <f aca="false">IF($T872="","",MAX($V$3:V871)+1)</f>
        <v/>
      </c>
      <c r="W872" s="40" t="str">
        <f aca="false">IF($E872="","",$E872&amp;"#"&amp;COUNTIF($E$4:$E872,$E872))</f>
        <v/>
      </c>
      <c r="X872" s="40" t="str">
        <f aca="false">IF($B872="","",IF(AND(OR(CETAK!$J$10="",$E872=CETAK!$J$10),OR(CETAK!$J$11="",$F872=CETAK!$J$11),OR(CETAK!$J$12="",$K872=CETAK!$J$12),OR(CETAK!$J$13="",$H872=CETAK!$J$13),OR(CETAK!$J$14="",$O872=CETAK!$J$14)),MAX($X$3:X871)+1,""))</f>
        <v/>
      </c>
      <c r="Y872" s="40" t="str">
        <f aca="false">IF($B872="","",IF(AND(OR(ABSENSI!$H$10="",$E872=ABSENSI!$H$10),OR(ABSENSI!$H$11="",$F872=ABSENSI!$H$11),OR(ABSENSI!$H$12="",$K872=ABSENSI!$H$12)),MAX($Y$3:Y871)+1,""))</f>
        <v/>
      </c>
      <c r="Z872" s="40" t="str">
        <f aca="false">IF($B872="","",IF(AND(OR(KARTU!$K$6="",$E872=KARTU!$K$6),OR(KARTU!$K$7="",$F872=KARTU!$K$7),OR(KARTU!$K$8="",$K872=KARTU!$K$8)),MAX($Z$3:Z871)+1,""))</f>
        <v/>
      </c>
    </row>
    <row r="873" customFormat="false" ht="15" hidden="false" customHeight="false" outlineLevel="0" collapsed="false">
      <c r="A873" s="36" t="str">
        <f aca="false">IF($B873="","",COUNTA($B$4:$B873))</f>
        <v/>
      </c>
      <c r="B873" s="37"/>
      <c r="C873" s="38"/>
      <c r="D873" s="39"/>
      <c r="E873" s="37"/>
      <c r="F873" s="39"/>
      <c r="G873" s="40" t="str">
        <f aca="false">IF(OR($E873="",$F873=""),"",$E873&amp;" - RT "&amp;$F873)</f>
        <v/>
      </c>
      <c r="H873" s="37"/>
      <c r="I873" s="38"/>
      <c r="J873" s="37"/>
      <c r="K873" s="39"/>
      <c r="L873" s="41"/>
      <c r="M873" s="36" t="str">
        <f aca="true">IF(OR($B873="",$L873=""),"",DATEDIF($L873,TODAY(),"Y"))</f>
        <v/>
      </c>
      <c r="N873" s="40" t="str">
        <f aca="false">IF($M873="","",INDEX(usia_label,MATCH($M873,usia_min,1)))</f>
        <v/>
      </c>
      <c r="O873" s="37"/>
      <c r="P873" s="41"/>
      <c r="Q873" s="37"/>
      <c r="R873" s="37"/>
      <c r="S873" s="40" t="str">
        <f aca="false">IF($G873="","",$G873&amp;"#"&amp;COUNTIF($G$4:$G873,$G873))</f>
        <v/>
      </c>
      <c r="T873" s="40" t="str">
        <f aca="false">IF($B873="","",IF($C873="","NIK kosong",IF(LEN($C873)&lt;&gt;16,"NIK bukan 16 digit",IF(COUNTIF($C$4:$C$2003,$C873&amp;"*")&gt;1,"NIK ganda",IF($E873="","Kadus kosong",IF($F873="","RT kosong",IF($H873="","Jabatan kosong",IF($I873="","No. HP kosong",IF($J873="","Alamat kosong",IF(AND($M873&lt;&gt;"",$M873&lt;17),"Usia di bawah 17",""))))))))))</f>
        <v/>
      </c>
      <c r="U873" s="40" t="str">
        <f aca="false">IF($B873="","",IF(AND(OR(CARI!$C$5="",ISNUMBER(SEARCH(CARI!$C$5,$B873&amp;" "&amp;$C873&amp;" "&amp;$I873&amp;" "&amp;$J873&amp;" "&amp;$Q873))),OR(CARI!$C$6="",$E873=CARI!$C$6),OR(CARI!$C$7="",$F873=CARI!$C$7),OR(CARI!$C$8="",$O873=CARI!$C$8)),MAX($U$3:U872)+1,""))</f>
        <v/>
      </c>
      <c r="V873" s="40" t="str">
        <f aca="false">IF($T873="","",MAX($V$3:V872)+1)</f>
        <v/>
      </c>
      <c r="W873" s="40" t="str">
        <f aca="false">IF($E873="","",$E873&amp;"#"&amp;COUNTIF($E$4:$E873,$E873))</f>
        <v/>
      </c>
      <c r="X873" s="40" t="str">
        <f aca="false">IF($B873="","",IF(AND(OR(CETAK!$J$10="",$E873=CETAK!$J$10),OR(CETAK!$J$11="",$F873=CETAK!$J$11),OR(CETAK!$J$12="",$K873=CETAK!$J$12),OR(CETAK!$J$13="",$H873=CETAK!$J$13),OR(CETAK!$J$14="",$O873=CETAK!$J$14)),MAX($X$3:X872)+1,""))</f>
        <v/>
      </c>
      <c r="Y873" s="40" t="str">
        <f aca="false">IF($B873="","",IF(AND(OR(ABSENSI!$H$10="",$E873=ABSENSI!$H$10),OR(ABSENSI!$H$11="",$F873=ABSENSI!$H$11),OR(ABSENSI!$H$12="",$K873=ABSENSI!$H$12)),MAX($Y$3:Y872)+1,""))</f>
        <v/>
      </c>
      <c r="Z873" s="40" t="str">
        <f aca="false">IF($B873="","",IF(AND(OR(KARTU!$K$6="",$E873=KARTU!$K$6),OR(KARTU!$K$7="",$F873=KARTU!$K$7),OR(KARTU!$K$8="",$K873=KARTU!$K$8)),MAX($Z$3:Z872)+1,""))</f>
        <v/>
      </c>
    </row>
    <row r="874" customFormat="false" ht="15" hidden="false" customHeight="false" outlineLevel="0" collapsed="false">
      <c r="A874" s="36" t="str">
        <f aca="false">IF($B874="","",COUNTA($B$4:$B874))</f>
        <v/>
      </c>
      <c r="B874" s="37"/>
      <c r="C874" s="38"/>
      <c r="D874" s="39"/>
      <c r="E874" s="37"/>
      <c r="F874" s="39"/>
      <c r="G874" s="40" t="str">
        <f aca="false">IF(OR($E874="",$F874=""),"",$E874&amp;" - RT "&amp;$F874)</f>
        <v/>
      </c>
      <c r="H874" s="37"/>
      <c r="I874" s="38"/>
      <c r="J874" s="37"/>
      <c r="K874" s="39"/>
      <c r="L874" s="41"/>
      <c r="M874" s="36" t="str">
        <f aca="true">IF(OR($B874="",$L874=""),"",DATEDIF($L874,TODAY(),"Y"))</f>
        <v/>
      </c>
      <c r="N874" s="40" t="str">
        <f aca="false">IF($M874="","",INDEX(usia_label,MATCH($M874,usia_min,1)))</f>
        <v/>
      </c>
      <c r="O874" s="37"/>
      <c r="P874" s="41"/>
      <c r="Q874" s="37"/>
      <c r="R874" s="37"/>
      <c r="S874" s="40" t="str">
        <f aca="false">IF($G874="","",$G874&amp;"#"&amp;COUNTIF($G$4:$G874,$G874))</f>
        <v/>
      </c>
      <c r="T874" s="40" t="str">
        <f aca="false">IF($B874="","",IF($C874="","NIK kosong",IF(LEN($C874)&lt;&gt;16,"NIK bukan 16 digit",IF(COUNTIF($C$4:$C$2003,$C874&amp;"*")&gt;1,"NIK ganda",IF($E874="","Kadus kosong",IF($F874="","RT kosong",IF($H874="","Jabatan kosong",IF($I874="","No. HP kosong",IF($J874="","Alamat kosong",IF(AND($M874&lt;&gt;"",$M874&lt;17),"Usia di bawah 17",""))))))))))</f>
        <v/>
      </c>
      <c r="U874" s="40" t="str">
        <f aca="false">IF($B874="","",IF(AND(OR(CARI!$C$5="",ISNUMBER(SEARCH(CARI!$C$5,$B874&amp;" "&amp;$C874&amp;" "&amp;$I874&amp;" "&amp;$J874&amp;" "&amp;$Q874))),OR(CARI!$C$6="",$E874=CARI!$C$6),OR(CARI!$C$7="",$F874=CARI!$C$7),OR(CARI!$C$8="",$O874=CARI!$C$8)),MAX($U$3:U873)+1,""))</f>
        <v/>
      </c>
      <c r="V874" s="40" t="str">
        <f aca="false">IF($T874="","",MAX($V$3:V873)+1)</f>
        <v/>
      </c>
      <c r="W874" s="40" t="str">
        <f aca="false">IF($E874="","",$E874&amp;"#"&amp;COUNTIF($E$4:$E874,$E874))</f>
        <v/>
      </c>
      <c r="X874" s="40" t="str">
        <f aca="false">IF($B874="","",IF(AND(OR(CETAK!$J$10="",$E874=CETAK!$J$10),OR(CETAK!$J$11="",$F874=CETAK!$J$11),OR(CETAK!$J$12="",$K874=CETAK!$J$12),OR(CETAK!$J$13="",$H874=CETAK!$J$13),OR(CETAK!$J$14="",$O874=CETAK!$J$14)),MAX($X$3:X873)+1,""))</f>
        <v/>
      </c>
      <c r="Y874" s="40" t="str">
        <f aca="false">IF($B874="","",IF(AND(OR(ABSENSI!$H$10="",$E874=ABSENSI!$H$10),OR(ABSENSI!$H$11="",$F874=ABSENSI!$H$11),OR(ABSENSI!$H$12="",$K874=ABSENSI!$H$12)),MAX($Y$3:Y873)+1,""))</f>
        <v/>
      </c>
      <c r="Z874" s="40" t="str">
        <f aca="false">IF($B874="","",IF(AND(OR(KARTU!$K$6="",$E874=KARTU!$K$6),OR(KARTU!$K$7="",$F874=KARTU!$K$7),OR(KARTU!$K$8="",$K874=KARTU!$K$8)),MAX($Z$3:Z873)+1,""))</f>
        <v/>
      </c>
    </row>
    <row r="875" customFormat="false" ht="15" hidden="false" customHeight="false" outlineLevel="0" collapsed="false">
      <c r="A875" s="36" t="str">
        <f aca="false">IF($B875="","",COUNTA($B$4:$B875))</f>
        <v/>
      </c>
      <c r="B875" s="37"/>
      <c r="C875" s="38"/>
      <c r="D875" s="39"/>
      <c r="E875" s="37"/>
      <c r="F875" s="39"/>
      <c r="G875" s="40" t="str">
        <f aca="false">IF(OR($E875="",$F875=""),"",$E875&amp;" - RT "&amp;$F875)</f>
        <v/>
      </c>
      <c r="H875" s="37"/>
      <c r="I875" s="38"/>
      <c r="J875" s="37"/>
      <c r="K875" s="39"/>
      <c r="L875" s="41"/>
      <c r="M875" s="36" t="str">
        <f aca="true">IF(OR($B875="",$L875=""),"",DATEDIF($L875,TODAY(),"Y"))</f>
        <v/>
      </c>
      <c r="N875" s="40" t="str">
        <f aca="false">IF($M875="","",INDEX(usia_label,MATCH($M875,usia_min,1)))</f>
        <v/>
      </c>
      <c r="O875" s="37"/>
      <c r="P875" s="41"/>
      <c r="Q875" s="37"/>
      <c r="R875" s="37"/>
      <c r="S875" s="40" t="str">
        <f aca="false">IF($G875="","",$G875&amp;"#"&amp;COUNTIF($G$4:$G875,$G875))</f>
        <v/>
      </c>
      <c r="T875" s="40" t="str">
        <f aca="false">IF($B875="","",IF($C875="","NIK kosong",IF(LEN($C875)&lt;&gt;16,"NIK bukan 16 digit",IF(COUNTIF($C$4:$C$2003,$C875&amp;"*")&gt;1,"NIK ganda",IF($E875="","Kadus kosong",IF($F875="","RT kosong",IF($H875="","Jabatan kosong",IF($I875="","No. HP kosong",IF($J875="","Alamat kosong",IF(AND($M875&lt;&gt;"",$M875&lt;17),"Usia di bawah 17",""))))))))))</f>
        <v/>
      </c>
      <c r="U875" s="40" t="str">
        <f aca="false">IF($B875="","",IF(AND(OR(CARI!$C$5="",ISNUMBER(SEARCH(CARI!$C$5,$B875&amp;" "&amp;$C875&amp;" "&amp;$I875&amp;" "&amp;$J875&amp;" "&amp;$Q875))),OR(CARI!$C$6="",$E875=CARI!$C$6),OR(CARI!$C$7="",$F875=CARI!$C$7),OR(CARI!$C$8="",$O875=CARI!$C$8)),MAX($U$3:U874)+1,""))</f>
        <v/>
      </c>
      <c r="V875" s="40" t="str">
        <f aca="false">IF($T875="","",MAX($V$3:V874)+1)</f>
        <v/>
      </c>
      <c r="W875" s="40" t="str">
        <f aca="false">IF($E875="","",$E875&amp;"#"&amp;COUNTIF($E$4:$E875,$E875))</f>
        <v/>
      </c>
      <c r="X875" s="40" t="str">
        <f aca="false">IF($B875="","",IF(AND(OR(CETAK!$J$10="",$E875=CETAK!$J$10),OR(CETAK!$J$11="",$F875=CETAK!$J$11),OR(CETAK!$J$12="",$K875=CETAK!$J$12),OR(CETAK!$J$13="",$H875=CETAK!$J$13),OR(CETAK!$J$14="",$O875=CETAK!$J$14)),MAX($X$3:X874)+1,""))</f>
        <v/>
      </c>
      <c r="Y875" s="40" t="str">
        <f aca="false">IF($B875="","",IF(AND(OR(ABSENSI!$H$10="",$E875=ABSENSI!$H$10),OR(ABSENSI!$H$11="",$F875=ABSENSI!$H$11),OR(ABSENSI!$H$12="",$K875=ABSENSI!$H$12)),MAX($Y$3:Y874)+1,""))</f>
        <v/>
      </c>
      <c r="Z875" s="40" t="str">
        <f aca="false">IF($B875="","",IF(AND(OR(KARTU!$K$6="",$E875=KARTU!$K$6),OR(KARTU!$K$7="",$F875=KARTU!$K$7),OR(KARTU!$K$8="",$K875=KARTU!$K$8)),MAX($Z$3:Z874)+1,""))</f>
        <v/>
      </c>
    </row>
    <row r="876" customFormat="false" ht="15" hidden="false" customHeight="false" outlineLevel="0" collapsed="false">
      <c r="A876" s="36" t="str">
        <f aca="false">IF($B876="","",COUNTA($B$4:$B876))</f>
        <v/>
      </c>
      <c r="B876" s="37"/>
      <c r="C876" s="38"/>
      <c r="D876" s="39"/>
      <c r="E876" s="37"/>
      <c r="F876" s="39"/>
      <c r="G876" s="40" t="str">
        <f aca="false">IF(OR($E876="",$F876=""),"",$E876&amp;" - RT "&amp;$F876)</f>
        <v/>
      </c>
      <c r="H876" s="37"/>
      <c r="I876" s="38"/>
      <c r="J876" s="37"/>
      <c r="K876" s="39"/>
      <c r="L876" s="41"/>
      <c r="M876" s="36" t="str">
        <f aca="true">IF(OR($B876="",$L876=""),"",DATEDIF($L876,TODAY(),"Y"))</f>
        <v/>
      </c>
      <c r="N876" s="40" t="str">
        <f aca="false">IF($M876="","",INDEX(usia_label,MATCH($M876,usia_min,1)))</f>
        <v/>
      </c>
      <c r="O876" s="37"/>
      <c r="P876" s="41"/>
      <c r="Q876" s="37"/>
      <c r="R876" s="37"/>
      <c r="S876" s="40" t="str">
        <f aca="false">IF($G876="","",$G876&amp;"#"&amp;COUNTIF($G$4:$G876,$G876))</f>
        <v/>
      </c>
      <c r="T876" s="40" t="str">
        <f aca="false">IF($B876="","",IF($C876="","NIK kosong",IF(LEN($C876)&lt;&gt;16,"NIK bukan 16 digit",IF(COUNTIF($C$4:$C$2003,$C876&amp;"*")&gt;1,"NIK ganda",IF($E876="","Kadus kosong",IF($F876="","RT kosong",IF($H876="","Jabatan kosong",IF($I876="","No. HP kosong",IF($J876="","Alamat kosong",IF(AND($M876&lt;&gt;"",$M876&lt;17),"Usia di bawah 17",""))))))))))</f>
        <v/>
      </c>
      <c r="U876" s="40" t="str">
        <f aca="false">IF($B876="","",IF(AND(OR(CARI!$C$5="",ISNUMBER(SEARCH(CARI!$C$5,$B876&amp;" "&amp;$C876&amp;" "&amp;$I876&amp;" "&amp;$J876&amp;" "&amp;$Q876))),OR(CARI!$C$6="",$E876=CARI!$C$6),OR(CARI!$C$7="",$F876=CARI!$C$7),OR(CARI!$C$8="",$O876=CARI!$C$8)),MAX($U$3:U875)+1,""))</f>
        <v/>
      </c>
      <c r="V876" s="40" t="str">
        <f aca="false">IF($T876="","",MAX($V$3:V875)+1)</f>
        <v/>
      </c>
      <c r="W876" s="40" t="str">
        <f aca="false">IF($E876="","",$E876&amp;"#"&amp;COUNTIF($E$4:$E876,$E876))</f>
        <v/>
      </c>
      <c r="X876" s="40" t="str">
        <f aca="false">IF($B876="","",IF(AND(OR(CETAK!$J$10="",$E876=CETAK!$J$10),OR(CETAK!$J$11="",$F876=CETAK!$J$11),OR(CETAK!$J$12="",$K876=CETAK!$J$12),OR(CETAK!$J$13="",$H876=CETAK!$J$13),OR(CETAK!$J$14="",$O876=CETAK!$J$14)),MAX($X$3:X875)+1,""))</f>
        <v/>
      </c>
      <c r="Y876" s="40" t="str">
        <f aca="false">IF($B876="","",IF(AND(OR(ABSENSI!$H$10="",$E876=ABSENSI!$H$10),OR(ABSENSI!$H$11="",$F876=ABSENSI!$H$11),OR(ABSENSI!$H$12="",$K876=ABSENSI!$H$12)),MAX($Y$3:Y875)+1,""))</f>
        <v/>
      </c>
      <c r="Z876" s="40" t="str">
        <f aca="false">IF($B876="","",IF(AND(OR(KARTU!$K$6="",$E876=KARTU!$K$6),OR(KARTU!$K$7="",$F876=KARTU!$K$7),OR(KARTU!$K$8="",$K876=KARTU!$K$8)),MAX($Z$3:Z875)+1,""))</f>
        <v/>
      </c>
    </row>
    <row r="877" customFormat="false" ht="15" hidden="false" customHeight="false" outlineLevel="0" collapsed="false">
      <c r="A877" s="36" t="str">
        <f aca="false">IF($B877="","",COUNTA($B$4:$B877))</f>
        <v/>
      </c>
      <c r="B877" s="37"/>
      <c r="C877" s="38"/>
      <c r="D877" s="39"/>
      <c r="E877" s="37"/>
      <c r="F877" s="39"/>
      <c r="G877" s="40" t="str">
        <f aca="false">IF(OR($E877="",$F877=""),"",$E877&amp;" - RT "&amp;$F877)</f>
        <v/>
      </c>
      <c r="H877" s="37"/>
      <c r="I877" s="38"/>
      <c r="J877" s="37"/>
      <c r="K877" s="39"/>
      <c r="L877" s="41"/>
      <c r="M877" s="36" t="str">
        <f aca="true">IF(OR($B877="",$L877=""),"",DATEDIF($L877,TODAY(),"Y"))</f>
        <v/>
      </c>
      <c r="N877" s="40" t="str">
        <f aca="false">IF($M877="","",INDEX(usia_label,MATCH($M877,usia_min,1)))</f>
        <v/>
      </c>
      <c r="O877" s="37"/>
      <c r="P877" s="41"/>
      <c r="Q877" s="37"/>
      <c r="R877" s="37"/>
      <c r="S877" s="40" t="str">
        <f aca="false">IF($G877="","",$G877&amp;"#"&amp;COUNTIF($G$4:$G877,$G877))</f>
        <v/>
      </c>
      <c r="T877" s="40" t="str">
        <f aca="false">IF($B877="","",IF($C877="","NIK kosong",IF(LEN($C877)&lt;&gt;16,"NIK bukan 16 digit",IF(COUNTIF($C$4:$C$2003,$C877&amp;"*")&gt;1,"NIK ganda",IF($E877="","Kadus kosong",IF($F877="","RT kosong",IF($H877="","Jabatan kosong",IF($I877="","No. HP kosong",IF($J877="","Alamat kosong",IF(AND($M877&lt;&gt;"",$M877&lt;17),"Usia di bawah 17",""))))))))))</f>
        <v/>
      </c>
      <c r="U877" s="40" t="str">
        <f aca="false">IF($B877="","",IF(AND(OR(CARI!$C$5="",ISNUMBER(SEARCH(CARI!$C$5,$B877&amp;" "&amp;$C877&amp;" "&amp;$I877&amp;" "&amp;$J877&amp;" "&amp;$Q877))),OR(CARI!$C$6="",$E877=CARI!$C$6),OR(CARI!$C$7="",$F877=CARI!$C$7),OR(CARI!$C$8="",$O877=CARI!$C$8)),MAX($U$3:U876)+1,""))</f>
        <v/>
      </c>
      <c r="V877" s="40" t="str">
        <f aca="false">IF($T877="","",MAX($V$3:V876)+1)</f>
        <v/>
      </c>
      <c r="W877" s="40" t="str">
        <f aca="false">IF($E877="","",$E877&amp;"#"&amp;COUNTIF($E$4:$E877,$E877))</f>
        <v/>
      </c>
      <c r="X877" s="40" t="str">
        <f aca="false">IF($B877="","",IF(AND(OR(CETAK!$J$10="",$E877=CETAK!$J$10),OR(CETAK!$J$11="",$F877=CETAK!$J$11),OR(CETAK!$J$12="",$K877=CETAK!$J$12),OR(CETAK!$J$13="",$H877=CETAK!$J$13),OR(CETAK!$J$14="",$O877=CETAK!$J$14)),MAX($X$3:X876)+1,""))</f>
        <v/>
      </c>
      <c r="Y877" s="40" t="str">
        <f aca="false">IF($B877="","",IF(AND(OR(ABSENSI!$H$10="",$E877=ABSENSI!$H$10),OR(ABSENSI!$H$11="",$F877=ABSENSI!$H$11),OR(ABSENSI!$H$12="",$K877=ABSENSI!$H$12)),MAX($Y$3:Y876)+1,""))</f>
        <v/>
      </c>
      <c r="Z877" s="40" t="str">
        <f aca="false">IF($B877="","",IF(AND(OR(KARTU!$K$6="",$E877=KARTU!$K$6),OR(KARTU!$K$7="",$F877=KARTU!$K$7),OR(KARTU!$K$8="",$K877=KARTU!$K$8)),MAX($Z$3:Z876)+1,""))</f>
        <v/>
      </c>
    </row>
    <row r="878" customFormat="false" ht="15" hidden="false" customHeight="false" outlineLevel="0" collapsed="false">
      <c r="A878" s="36" t="str">
        <f aca="false">IF($B878="","",COUNTA($B$4:$B878))</f>
        <v/>
      </c>
      <c r="B878" s="37"/>
      <c r="C878" s="38"/>
      <c r="D878" s="39"/>
      <c r="E878" s="37"/>
      <c r="F878" s="39"/>
      <c r="G878" s="40" t="str">
        <f aca="false">IF(OR($E878="",$F878=""),"",$E878&amp;" - RT "&amp;$F878)</f>
        <v/>
      </c>
      <c r="H878" s="37"/>
      <c r="I878" s="38"/>
      <c r="J878" s="37"/>
      <c r="K878" s="39"/>
      <c r="L878" s="41"/>
      <c r="M878" s="36" t="str">
        <f aca="true">IF(OR($B878="",$L878=""),"",DATEDIF($L878,TODAY(),"Y"))</f>
        <v/>
      </c>
      <c r="N878" s="40" t="str">
        <f aca="false">IF($M878="","",INDEX(usia_label,MATCH($M878,usia_min,1)))</f>
        <v/>
      </c>
      <c r="O878" s="37"/>
      <c r="P878" s="41"/>
      <c r="Q878" s="37"/>
      <c r="R878" s="37"/>
      <c r="S878" s="40" t="str">
        <f aca="false">IF($G878="","",$G878&amp;"#"&amp;COUNTIF($G$4:$G878,$G878))</f>
        <v/>
      </c>
      <c r="T878" s="40" t="str">
        <f aca="false">IF($B878="","",IF($C878="","NIK kosong",IF(LEN($C878)&lt;&gt;16,"NIK bukan 16 digit",IF(COUNTIF($C$4:$C$2003,$C878&amp;"*")&gt;1,"NIK ganda",IF($E878="","Kadus kosong",IF($F878="","RT kosong",IF($H878="","Jabatan kosong",IF($I878="","No. HP kosong",IF($J878="","Alamat kosong",IF(AND($M878&lt;&gt;"",$M878&lt;17),"Usia di bawah 17",""))))))))))</f>
        <v/>
      </c>
      <c r="U878" s="40" t="str">
        <f aca="false">IF($B878="","",IF(AND(OR(CARI!$C$5="",ISNUMBER(SEARCH(CARI!$C$5,$B878&amp;" "&amp;$C878&amp;" "&amp;$I878&amp;" "&amp;$J878&amp;" "&amp;$Q878))),OR(CARI!$C$6="",$E878=CARI!$C$6),OR(CARI!$C$7="",$F878=CARI!$C$7),OR(CARI!$C$8="",$O878=CARI!$C$8)),MAX($U$3:U877)+1,""))</f>
        <v/>
      </c>
      <c r="V878" s="40" t="str">
        <f aca="false">IF($T878="","",MAX($V$3:V877)+1)</f>
        <v/>
      </c>
      <c r="W878" s="40" t="str">
        <f aca="false">IF($E878="","",$E878&amp;"#"&amp;COUNTIF($E$4:$E878,$E878))</f>
        <v/>
      </c>
      <c r="X878" s="40" t="str">
        <f aca="false">IF($B878="","",IF(AND(OR(CETAK!$J$10="",$E878=CETAK!$J$10),OR(CETAK!$J$11="",$F878=CETAK!$J$11),OR(CETAK!$J$12="",$K878=CETAK!$J$12),OR(CETAK!$J$13="",$H878=CETAK!$J$13),OR(CETAK!$J$14="",$O878=CETAK!$J$14)),MAX($X$3:X877)+1,""))</f>
        <v/>
      </c>
      <c r="Y878" s="40" t="str">
        <f aca="false">IF($B878="","",IF(AND(OR(ABSENSI!$H$10="",$E878=ABSENSI!$H$10),OR(ABSENSI!$H$11="",$F878=ABSENSI!$H$11),OR(ABSENSI!$H$12="",$K878=ABSENSI!$H$12)),MAX($Y$3:Y877)+1,""))</f>
        <v/>
      </c>
      <c r="Z878" s="40" t="str">
        <f aca="false">IF($B878="","",IF(AND(OR(KARTU!$K$6="",$E878=KARTU!$K$6),OR(KARTU!$K$7="",$F878=KARTU!$K$7),OR(KARTU!$K$8="",$K878=KARTU!$K$8)),MAX($Z$3:Z877)+1,""))</f>
        <v/>
      </c>
    </row>
    <row r="879" customFormat="false" ht="15" hidden="false" customHeight="false" outlineLevel="0" collapsed="false">
      <c r="A879" s="36" t="str">
        <f aca="false">IF($B879="","",COUNTA($B$4:$B879))</f>
        <v/>
      </c>
      <c r="B879" s="37"/>
      <c r="C879" s="38"/>
      <c r="D879" s="39"/>
      <c r="E879" s="37"/>
      <c r="F879" s="39"/>
      <c r="G879" s="40" t="str">
        <f aca="false">IF(OR($E879="",$F879=""),"",$E879&amp;" - RT "&amp;$F879)</f>
        <v/>
      </c>
      <c r="H879" s="37"/>
      <c r="I879" s="38"/>
      <c r="J879" s="37"/>
      <c r="K879" s="39"/>
      <c r="L879" s="41"/>
      <c r="M879" s="36" t="str">
        <f aca="true">IF(OR($B879="",$L879=""),"",DATEDIF($L879,TODAY(),"Y"))</f>
        <v/>
      </c>
      <c r="N879" s="40" t="str">
        <f aca="false">IF($M879="","",INDEX(usia_label,MATCH($M879,usia_min,1)))</f>
        <v/>
      </c>
      <c r="O879" s="37"/>
      <c r="P879" s="41"/>
      <c r="Q879" s="37"/>
      <c r="R879" s="37"/>
      <c r="S879" s="40" t="str">
        <f aca="false">IF($G879="","",$G879&amp;"#"&amp;COUNTIF($G$4:$G879,$G879))</f>
        <v/>
      </c>
      <c r="T879" s="40" t="str">
        <f aca="false">IF($B879="","",IF($C879="","NIK kosong",IF(LEN($C879)&lt;&gt;16,"NIK bukan 16 digit",IF(COUNTIF($C$4:$C$2003,$C879&amp;"*")&gt;1,"NIK ganda",IF($E879="","Kadus kosong",IF($F879="","RT kosong",IF($H879="","Jabatan kosong",IF($I879="","No. HP kosong",IF($J879="","Alamat kosong",IF(AND($M879&lt;&gt;"",$M879&lt;17),"Usia di bawah 17",""))))))))))</f>
        <v/>
      </c>
      <c r="U879" s="40" t="str">
        <f aca="false">IF($B879="","",IF(AND(OR(CARI!$C$5="",ISNUMBER(SEARCH(CARI!$C$5,$B879&amp;" "&amp;$C879&amp;" "&amp;$I879&amp;" "&amp;$J879&amp;" "&amp;$Q879))),OR(CARI!$C$6="",$E879=CARI!$C$6),OR(CARI!$C$7="",$F879=CARI!$C$7),OR(CARI!$C$8="",$O879=CARI!$C$8)),MAX($U$3:U878)+1,""))</f>
        <v/>
      </c>
      <c r="V879" s="40" t="str">
        <f aca="false">IF($T879="","",MAX($V$3:V878)+1)</f>
        <v/>
      </c>
      <c r="W879" s="40" t="str">
        <f aca="false">IF($E879="","",$E879&amp;"#"&amp;COUNTIF($E$4:$E879,$E879))</f>
        <v/>
      </c>
      <c r="X879" s="40" t="str">
        <f aca="false">IF($B879="","",IF(AND(OR(CETAK!$J$10="",$E879=CETAK!$J$10),OR(CETAK!$J$11="",$F879=CETAK!$J$11),OR(CETAK!$J$12="",$K879=CETAK!$J$12),OR(CETAK!$J$13="",$H879=CETAK!$J$13),OR(CETAK!$J$14="",$O879=CETAK!$J$14)),MAX($X$3:X878)+1,""))</f>
        <v/>
      </c>
      <c r="Y879" s="40" t="str">
        <f aca="false">IF($B879="","",IF(AND(OR(ABSENSI!$H$10="",$E879=ABSENSI!$H$10),OR(ABSENSI!$H$11="",$F879=ABSENSI!$H$11),OR(ABSENSI!$H$12="",$K879=ABSENSI!$H$12)),MAX($Y$3:Y878)+1,""))</f>
        <v/>
      </c>
      <c r="Z879" s="40" t="str">
        <f aca="false">IF($B879="","",IF(AND(OR(KARTU!$K$6="",$E879=KARTU!$K$6),OR(KARTU!$K$7="",$F879=KARTU!$K$7),OR(KARTU!$K$8="",$K879=KARTU!$K$8)),MAX($Z$3:Z878)+1,""))</f>
        <v/>
      </c>
    </row>
    <row r="880" customFormat="false" ht="15" hidden="false" customHeight="false" outlineLevel="0" collapsed="false">
      <c r="A880" s="36" t="str">
        <f aca="false">IF($B880="","",COUNTA($B$4:$B880))</f>
        <v/>
      </c>
      <c r="B880" s="37"/>
      <c r="C880" s="38"/>
      <c r="D880" s="39"/>
      <c r="E880" s="37"/>
      <c r="F880" s="39"/>
      <c r="G880" s="40" t="str">
        <f aca="false">IF(OR($E880="",$F880=""),"",$E880&amp;" - RT "&amp;$F880)</f>
        <v/>
      </c>
      <c r="H880" s="37"/>
      <c r="I880" s="38"/>
      <c r="J880" s="37"/>
      <c r="K880" s="39"/>
      <c r="L880" s="41"/>
      <c r="M880" s="36" t="str">
        <f aca="true">IF(OR($B880="",$L880=""),"",DATEDIF($L880,TODAY(),"Y"))</f>
        <v/>
      </c>
      <c r="N880" s="40" t="str">
        <f aca="false">IF($M880="","",INDEX(usia_label,MATCH($M880,usia_min,1)))</f>
        <v/>
      </c>
      <c r="O880" s="37"/>
      <c r="P880" s="41"/>
      <c r="Q880" s="37"/>
      <c r="R880" s="37"/>
      <c r="S880" s="40" t="str">
        <f aca="false">IF($G880="","",$G880&amp;"#"&amp;COUNTIF($G$4:$G880,$G880))</f>
        <v/>
      </c>
      <c r="T880" s="40" t="str">
        <f aca="false">IF($B880="","",IF($C880="","NIK kosong",IF(LEN($C880)&lt;&gt;16,"NIK bukan 16 digit",IF(COUNTIF($C$4:$C$2003,$C880&amp;"*")&gt;1,"NIK ganda",IF($E880="","Kadus kosong",IF($F880="","RT kosong",IF($H880="","Jabatan kosong",IF($I880="","No. HP kosong",IF($J880="","Alamat kosong",IF(AND($M880&lt;&gt;"",$M880&lt;17),"Usia di bawah 17",""))))))))))</f>
        <v/>
      </c>
      <c r="U880" s="40" t="str">
        <f aca="false">IF($B880="","",IF(AND(OR(CARI!$C$5="",ISNUMBER(SEARCH(CARI!$C$5,$B880&amp;" "&amp;$C880&amp;" "&amp;$I880&amp;" "&amp;$J880&amp;" "&amp;$Q880))),OR(CARI!$C$6="",$E880=CARI!$C$6),OR(CARI!$C$7="",$F880=CARI!$C$7),OR(CARI!$C$8="",$O880=CARI!$C$8)),MAX($U$3:U879)+1,""))</f>
        <v/>
      </c>
      <c r="V880" s="40" t="str">
        <f aca="false">IF($T880="","",MAX($V$3:V879)+1)</f>
        <v/>
      </c>
      <c r="W880" s="40" t="str">
        <f aca="false">IF($E880="","",$E880&amp;"#"&amp;COUNTIF($E$4:$E880,$E880))</f>
        <v/>
      </c>
      <c r="X880" s="40" t="str">
        <f aca="false">IF($B880="","",IF(AND(OR(CETAK!$J$10="",$E880=CETAK!$J$10),OR(CETAK!$J$11="",$F880=CETAK!$J$11),OR(CETAK!$J$12="",$K880=CETAK!$J$12),OR(CETAK!$J$13="",$H880=CETAK!$J$13),OR(CETAK!$J$14="",$O880=CETAK!$J$14)),MAX($X$3:X879)+1,""))</f>
        <v/>
      </c>
      <c r="Y880" s="40" t="str">
        <f aca="false">IF($B880="","",IF(AND(OR(ABSENSI!$H$10="",$E880=ABSENSI!$H$10),OR(ABSENSI!$H$11="",$F880=ABSENSI!$H$11),OR(ABSENSI!$H$12="",$K880=ABSENSI!$H$12)),MAX($Y$3:Y879)+1,""))</f>
        <v/>
      </c>
      <c r="Z880" s="40" t="str">
        <f aca="false">IF($B880="","",IF(AND(OR(KARTU!$K$6="",$E880=KARTU!$K$6),OR(KARTU!$K$7="",$F880=KARTU!$K$7),OR(KARTU!$K$8="",$K880=KARTU!$K$8)),MAX($Z$3:Z879)+1,""))</f>
        <v/>
      </c>
    </row>
    <row r="881" customFormat="false" ht="15" hidden="false" customHeight="false" outlineLevel="0" collapsed="false">
      <c r="A881" s="36" t="str">
        <f aca="false">IF($B881="","",COUNTA($B$4:$B881))</f>
        <v/>
      </c>
      <c r="B881" s="37"/>
      <c r="C881" s="38"/>
      <c r="D881" s="39"/>
      <c r="E881" s="37"/>
      <c r="F881" s="39"/>
      <c r="G881" s="40" t="str">
        <f aca="false">IF(OR($E881="",$F881=""),"",$E881&amp;" - RT "&amp;$F881)</f>
        <v/>
      </c>
      <c r="H881" s="37"/>
      <c r="I881" s="38"/>
      <c r="J881" s="37"/>
      <c r="K881" s="39"/>
      <c r="L881" s="41"/>
      <c r="M881" s="36" t="str">
        <f aca="true">IF(OR($B881="",$L881=""),"",DATEDIF($L881,TODAY(),"Y"))</f>
        <v/>
      </c>
      <c r="N881" s="40" t="str">
        <f aca="false">IF($M881="","",INDEX(usia_label,MATCH($M881,usia_min,1)))</f>
        <v/>
      </c>
      <c r="O881" s="37"/>
      <c r="P881" s="41"/>
      <c r="Q881" s="37"/>
      <c r="R881" s="37"/>
      <c r="S881" s="40" t="str">
        <f aca="false">IF($G881="","",$G881&amp;"#"&amp;COUNTIF($G$4:$G881,$G881))</f>
        <v/>
      </c>
      <c r="T881" s="40" t="str">
        <f aca="false">IF($B881="","",IF($C881="","NIK kosong",IF(LEN($C881)&lt;&gt;16,"NIK bukan 16 digit",IF(COUNTIF($C$4:$C$2003,$C881&amp;"*")&gt;1,"NIK ganda",IF($E881="","Kadus kosong",IF($F881="","RT kosong",IF($H881="","Jabatan kosong",IF($I881="","No. HP kosong",IF($J881="","Alamat kosong",IF(AND($M881&lt;&gt;"",$M881&lt;17),"Usia di bawah 17",""))))))))))</f>
        <v/>
      </c>
      <c r="U881" s="40" t="str">
        <f aca="false">IF($B881="","",IF(AND(OR(CARI!$C$5="",ISNUMBER(SEARCH(CARI!$C$5,$B881&amp;" "&amp;$C881&amp;" "&amp;$I881&amp;" "&amp;$J881&amp;" "&amp;$Q881))),OR(CARI!$C$6="",$E881=CARI!$C$6),OR(CARI!$C$7="",$F881=CARI!$C$7),OR(CARI!$C$8="",$O881=CARI!$C$8)),MAX($U$3:U880)+1,""))</f>
        <v/>
      </c>
      <c r="V881" s="40" t="str">
        <f aca="false">IF($T881="","",MAX($V$3:V880)+1)</f>
        <v/>
      </c>
      <c r="W881" s="40" t="str">
        <f aca="false">IF($E881="","",$E881&amp;"#"&amp;COUNTIF($E$4:$E881,$E881))</f>
        <v/>
      </c>
      <c r="X881" s="40" t="str">
        <f aca="false">IF($B881="","",IF(AND(OR(CETAK!$J$10="",$E881=CETAK!$J$10),OR(CETAK!$J$11="",$F881=CETAK!$J$11),OR(CETAK!$J$12="",$K881=CETAK!$J$12),OR(CETAK!$J$13="",$H881=CETAK!$J$13),OR(CETAK!$J$14="",$O881=CETAK!$J$14)),MAX($X$3:X880)+1,""))</f>
        <v/>
      </c>
      <c r="Y881" s="40" t="str">
        <f aca="false">IF($B881="","",IF(AND(OR(ABSENSI!$H$10="",$E881=ABSENSI!$H$10),OR(ABSENSI!$H$11="",$F881=ABSENSI!$H$11),OR(ABSENSI!$H$12="",$K881=ABSENSI!$H$12)),MAX($Y$3:Y880)+1,""))</f>
        <v/>
      </c>
      <c r="Z881" s="40" t="str">
        <f aca="false">IF($B881="","",IF(AND(OR(KARTU!$K$6="",$E881=KARTU!$K$6),OR(KARTU!$K$7="",$F881=KARTU!$K$7),OR(KARTU!$K$8="",$K881=KARTU!$K$8)),MAX($Z$3:Z880)+1,""))</f>
        <v/>
      </c>
    </row>
    <row r="882" customFormat="false" ht="15" hidden="false" customHeight="false" outlineLevel="0" collapsed="false">
      <c r="A882" s="36" t="str">
        <f aca="false">IF($B882="","",COUNTA($B$4:$B882))</f>
        <v/>
      </c>
      <c r="B882" s="37"/>
      <c r="C882" s="38"/>
      <c r="D882" s="39"/>
      <c r="E882" s="37"/>
      <c r="F882" s="39"/>
      <c r="G882" s="40" t="str">
        <f aca="false">IF(OR($E882="",$F882=""),"",$E882&amp;" - RT "&amp;$F882)</f>
        <v/>
      </c>
      <c r="H882" s="37"/>
      <c r="I882" s="38"/>
      <c r="J882" s="37"/>
      <c r="K882" s="39"/>
      <c r="L882" s="41"/>
      <c r="M882" s="36" t="str">
        <f aca="true">IF(OR($B882="",$L882=""),"",DATEDIF($L882,TODAY(),"Y"))</f>
        <v/>
      </c>
      <c r="N882" s="40" t="str">
        <f aca="false">IF($M882="","",INDEX(usia_label,MATCH($M882,usia_min,1)))</f>
        <v/>
      </c>
      <c r="O882" s="37"/>
      <c r="P882" s="41"/>
      <c r="Q882" s="37"/>
      <c r="R882" s="37"/>
      <c r="S882" s="40" t="str">
        <f aca="false">IF($G882="","",$G882&amp;"#"&amp;COUNTIF($G$4:$G882,$G882))</f>
        <v/>
      </c>
      <c r="T882" s="40" t="str">
        <f aca="false">IF($B882="","",IF($C882="","NIK kosong",IF(LEN($C882)&lt;&gt;16,"NIK bukan 16 digit",IF(COUNTIF($C$4:$C$2003,$C882&amp;"*")&gt;1,"NIK ganda",IF($E882="","Kadus kosong",IF($F882="","RT kosong",IF($H882="","Jabatan kosong",IF($I882="","No. HP kosong",IF($J882="","Alamat kosong",IF(AND($M882&lt;&gt;"",$M882&lt;17),"Usia di bawah 17",""))))))))))</f>
        <v/>
      </c>
      <c r="U882" s="40" t="str">
        <f aca="false">IF($B882="","",IF(AND(OR(CARI!$C$5="",ISNUMBER(SEARCH(CARI!$C$5,$B882&amp;" "&amp;$C882&amp;" "&amp;$I882&amp;" "&amp;$J882&amp;" "&amp;$Q882))),OR(CARI!$C$6="",$E882=CARI!$C$6),OR(CARI!$C$7="",$F882=CARI!$C$7),OR(CARI!$C$8="",$O882=CARI!$C$8)),MAX($U$3:U881)+1,""))</f>
        <v/>
      </c>
      <c r="V882" s="40" t="str">
        <f aca="false">IF($T882="","",MAX($V$3:V881)+1)</f>
        <v/>
      </c>
      <c r="W882" s="40" t="str">
        <f aca="false">IF($E882="","",$E882&amp;"#"&amp;COUNTIF($E$4:$E882,$E882))</f>
        <v/>
      </c>
      <c r="X882" s="40" t="str">
        <f aca="false">IF($B882="","",IF(AND(OR(CETAK!$J$10="",$E882=CETAK!$J$10),OR(CETAK!$J$11="",$F882=CETAK!$J$11),OR(CETAK!$J$12="",$K882=CETAK!$J$12),OR(CETAK!$J$13="",$H882=CETAK!$J$13),OR(CETAK!$J$14="",$O882=CETAK!$J$14)),MAX($X$3:X881)+1,""))</f>
        <v/>
      </c>
      <c r="Y882" s="40" t="str">
        <f aca="false">IF($B882="","",IF(AND(OR(ABSENSI!$H$10="",$E882=ABSENSI!$H$10),OR(ABSENSI!$H$11="",$F882=ABSENSI!$H$11),OR(ABSENSI!$H$12="",$K882=ABSENSI!$H$12)),MAX($Y$3:Y881)+1,""))</f>
        <v/>
      </c>
      <c r="Z882" s="40" t="str">
        <f aca="false">IF($B882="","",IF(AND(OR(KARTU!$K$6="",$E882=KARTU!$K$6),OR(KARTU!$K$7="",$F882=KARTU!$K$7),OR(KARTU!$K$8="",$K882=KARTU!$K$8)),MAX($Z$3:Z881)+1,""))</f>
        <v/>
      </c>
    </row>
    <row r="883" customFormat="false" ht="15" hidden="false" customHeight="false" outlineLevel="0" collapsed="false">
      <c r="A883" s="36" t="str">
        <f aca="false">IF($B883="","",COUNTA($B$4:$B883))</f>
        <v/>
      </c>
      <c r="B883" s="37"/>
      <c r="C883" s="38"/>
      <c r="D883" s="39"/>
      <c r="E883" s="37"/>
      <c r="F883" s="39"/>
      <c r="G883" s="40" t="str">
        <f aca="false">IF(OR($E883="",$F883=""),"",$E883&amp;" - RT "&amp;$F883)</f>
        <v/>
      </c>
      <c r="H883" s="37"/>
      <c r="I883" s="38"/>
      <c r="J883" s="37"/>
      <c r="K883" s="39"/>
      <c r="L883" s="41"/>
      <c r="M883" s="36" t="str">
        <f aca="true">IF(OR($B883="",$L883=""),"",DATEDIF($L883,TODAY(),"Y"))</f>
        <v/>
      </c>
      <c r="N883" s="40" t="str">
        <f aca="false">IF($M883="","",INDEX(usia_label,MATCH($M883,usia_min,1)))</f>
        <v/>
      </c>
      <c r="O883" s="37"/>
      <c r="P883" s="41"/>
      <c r="Q883" s="37"/>
      <c r="R883" s="37"/>
      <c r="S883" s="40" t="str">
        <f aca="false">IF($G883="","",$G883&amp;"#"&amp;COUNTIF($G$4:$G883,$G883))</f>
        <v/>
      </c>
      <c r="T883" s="40" t="str">
        <f aca="false">IF($B883="","",IF($C883="","NIK kosong",IF(LEN($C883)&lt;&gt;16,"NIK bukan 16 digit",IF(COUNTIF($C$4:$C$2003,$C883&amp;"*")&gt;1,"NIK ganda",IF($E883="","Kadus kosong",IF($F883="","RT kosong",IF($H883="","Jabatan kosong",IF($I883="","No. HP kosong",IF($J883="","Alamat kosong",IF(AND($M883&lt;&gt;"",$M883&lt;17),"Usia di bawah 17",""))))))))))</f>
        <v/>
      </c>
      <c r="U883" s="40" t="str">
        <f aca="false">IF($B883="","",IF(AND(OR(CARI!$C$5="",ISNUMBER(SEARCH(CARI!$C$5,$B883&amp;" "&amp;$C883&amp;" "&amp;$I883&amp;" "&amp;$J883&amp;" "&amp;$Q883))),OR(CARI!$C$6="",$E883=CARI!$C$6),OR(CARI!$C$7="",$F883=CARI!$C$7),OR(CARI!$C$8="",$O883=CARI!$C$8)),MAX($U$3:U882)+1,""))</f>
        <v/>
      </c>
      <c r="V883" s="40" t="str">
        <f aca="false">IF($T883="","",MAX($V$3:V882)+1)</f>
        <v/>
      </c>
      <c r="W883" s="40" t="str">
        <f aca="false">IF($E883="","",$E883&amp;"#"&amp;COUNTIF($E$4:$E883,$E883))</f>
        <v/>
      </c>
      <c r="X883" s="40" t="str">
        <f aca="false">IF($B883="","",IF(AND(OR(CETAK!$J$10="",$E883=CETAK!$J$10),OR(CETAK!$J$11="",$F883=CETAK!$J$11),OR(CETAK!$J$12="",$K883=CETAK!$J$12),OR(CETAK!$J$13="",$H883=CETAK!$J$13),OR(CETAK!$J$14="",$O883=CETAK!$J$14)),MAX($X$3:X882)+1,""))</f>
        <v/>
      </c>
      <c r="Y883" s="40" t="str">
        <f aca="false">IF($B883="","",IF(AND(OR(ABSENSI!$H$10="",$E883=ABSENSI!$H$10),OR(ABSENSI!$H$11="",$F883=ABSENSI!$H$11),OR(ABSENSI!$H$12="",$K883=ABSENSI!$H$12)),MAX($Y$3:Y882)+1,""))</f>
        <v/>
      </c>
      <c r="Z883" s="40" t="str">
        <f aca="false">IF($B883="","",IF(AND(OR(KARTU!$K$6="",$E883=KARTU!$K$6),OR(KARTU!$K$7="",$F883=KARTU!$K$7),OR(KARTU!$K$8="",$K883=KARTU!$K$8)),MAX($Z$3:Z882)+1,""))</f>
        <v/>
      </c>
    </row>
    <row r="884" customFormat="false" ht="15" hidden="false" customHeight="false" outlineLevel="0" collapsed="false">
      <c r="A884" s="36" t="str">
        <f aca="false">IF($B884="","",COUNTA($B$4:$B884))</f>
        <v/>
      </c>
      <c r="B884" s="37"/>
      <c r="C884" s="38"/>
      <c r="D884" s="39"/>
      <c r="E884" s="37"/>
      <c r="F884" s="39"/>
      <c r="G884" s="40" t="str">
        <f aca="false">IF(OR($E884="",$F884=""),"",$E884&amp;" - RT "&amp;$F884)</f>
        <v/>
      </c>
      <c r="H884" s="37"/>
      <c r="I884" s="38"/>
      <c r="J884" s="37"/>
      <c r="K884" s="39"/>
      <c r="L884" s="41"/>
      <c r="M884" s="36" t="str">
        <f aca="true">IF(OR($B884="",$L884=""),"",DATEDIF($L884,TODAY(),"Y"))</f>
        <v/>
      </c>
      <c r="N884" s="40" t="str">
        <f aca="false">IF($M884="","",INDEX(usia_label,MATCH($M884,usia_min,1)))</f>
        <v/>
      </c>
      <c r="O884" s="37"/>
      <c r="P884" s="41"/>
      <c r="Q884" s="37"/>
      <c r="R884" s="37"/>
      <c r="S884" s="40" t="str">
        <f aca="false">IF($G884="","",$G884&amp;"#"&amp;COUNTIF($G$4:$G884,$G884))</f>
        <v/>
      </c>
      <c r="T884" s="40" t="str">
        <f aca="false">IF($B884="","",IF($C884="","NIK kosong",IF(LEN($C884)&lt;&gt;16,"NIK bukan 16 digit",IF(COUNTIF($C$4:$C$2003,$C884&amp;"*")&gt;1,"NIK ganda",IF($E884="","Kadus kosong",IF($F884="","RT kosong",IF($H884="","Jabatan kosong",IF($I884="","No. HP kosong",IF($J884="","Alamat kosong",IF(AND($M884&lt;&gt;"",$M884&lt;17),"Usia di bawah 17",""))))))))))</f>
        <v/>
      </c>
      <c r="U884" s="40" t="str">
        <f aca="false">IF($B884="","",IF(AND(OR(CARI!$C$5="",ISNUMBER(SEARCH(CARI!$C$5,$B884&amp;" "&amp;$C884&amp;" "&amp;$I884&amp;" "&amp;$J884&amp;" "&amp;$Q884))),OR(CARI!$C$6="",$E884=CARI!$C$6),OR(CARI!$C$7="",$F884=CARI!$C$7),OR(CARI!$C$8="",$O884=CARI!$C$8)),MAX($U$3:U883)+1,""))</f>
        <v/>
      </c>
      <c r="V884" s="40" t="str">
        <f aca="false">IF($T884="","",MAX($V$3:V883)+1)</f>
        <v/>
      </c>
      <c r="W884" s="40" t="str">
        <f aca="false">IF($E884="","",$E884&amp;"#"&amp;COUNTIF($E$4:$E884,$E884))</f>
        <v/>
      </c>
      <c r="X884" s="40" t="str">
        <f aca="false">IF($B884="","",IF(AND(OR(CETAK!$J$10="",$E884=CETAK!$J$10),OR(CETAK!$J$11="",$F884=CETAK!$J$11),OR(CETAK!$J$12="",$K884=CETAK!$J$12),OR(CETAK!$J$13="",$H884=CETAK!$J$13),OR(CETAK!$J$14="",$O884=CETAK!$J$14)),MAX($X$3:X883)+1,""))</f>
        <v/>
      </c>
      <c r="Y884" s="40" t="str">
        <f aca="false">IF($B884="","",IF(AND(OR(ABSENSI!$H$10="",$E884=ABSENSI!$H$10),OR(ABSENSI!$H$11="",$F884=ABSENSI!$H$11),OR(ABSENSI!$H$12="",$K884=ABSENSI!$H$12)),MAX($Y$3:Y883)+1,""))</f>
        <v/>
      </c>
      <c r="Z884" s="40" t="str">
        <f aca="false">IF($B884="","",IF(AND(OR(KARTU!$K$6="",$E884=KARTU!$K$6),OR(KARTU!$K$7="",$F884=KARTU!$K$7),OR(KARTU!$K$8="",$K884=KARTU!$K$8)),MAX($Z$3:Z883)+1,""))</f>
        <v/>
      </c>
    </row>
    <row r="885" customFormat="false" ht="15" hidden="false" customHeight="false" outlineLevel="0" collapsed="false">
      <c r="A885" s="36" t="str">
        <f aca="false">IF($B885="","",COUNTA($B$4:$B885))</f>
        <v/>
      </c>
      <c r="B885" s="37"/>
      <c r="C885" s="38"/>
      <c r="D885" s="39"/>
      <c r="E885" s="37"/>
      <c r="F885" s="39"/>
      <c r="G885" s="40" t="str">
        <f aca="false">IF(OR($E885="",$F885=""),"",$E885&amp;" - RT "&amp;$F885)</f>
        <v/>
      </c>
      <c r="H885" s="37"/>
      <c r="I885" s="38"/>
      <c r="J885" s="37"/>
      <c r="K885" s="39"/>
      <c r="L885" s="41"/>
      <c r="M885" s="36" t="str">
        <f aca="true">IF(OR($B885="",$L885=""),"",DATEDIF($L885,TODAY(),"Y"))</f>
        <v/>
      </c>
      <c r="N885" s="40" t="str">
        <f aca="false">IF($M885="","",INDEX(usia_label,MATCH($M885,usia_min,1)))</f>
        <v/>
      </c>
      <c r="O885" s="37"/>
      <c r="P885" s="41"/>
      <c r="Q885" s="37"/>
      <c r="R885" s="37"/>
      <c r="S885" s="40" t="str">
        <f aca="false">IF($G885="","",$G885&amp;"#"&amp;COUNTIF($G$4:$G885,$G885))</f>
        <v/>
      </c>
      <c r="T885" s="40" t="str">
        <f aca="false">IF($B885="","",IF($C885="","NIK kosong",IF(LEN($C885)&lt;&gt;16,"NIK bukan 16 digit",IF(COUNTIF($C$4:$C$2003,$C885&amp;"*")&gt;1,"NIK ganda",IF($E885="","Kadus kosong",IF($F885="","RT kosong",IF($H885="","Jabatan kosong",IF($I885="","No. HP kosong",IF($J885="","Alamat kosong",IF(AND($M885&lt;&gt;"",$M885&lt;17),"Usia di bawah 17",""))))))))))</f>
        <v/>
      </c>
      <c r="U885" s="40" t="str">
        <f aca="false">IF($B885="","",IF(AND(OR(CARI!$C$5="",ISNUMBER(SEARCH(CARI!$C$5,$B885&amp;" "&amp;$C885&amp;" "&amp;$I885&amp;" "&amp;$J885&amp;" "&amp;$Q885))),OR(CARI!$C$6="",$E885=CARI!$C$6),OR(CARI!$C$7="",$F885=CARI!$C$7),OR(CARI!$C$8="",$O885=CARI!$C$8)),MAX($U$3:U884)+1,""))</f>
        <v/>
      </c>
      <c r="V885" s="40" t="str">
        <f aca="false">IF($T885="","",MAX($V$3:V884)+1)</f>
        <v/>
      </c>
      <c r="W885" s="40" t="str">
        <f aca="false">IF($E885="","",$E885&amp;"#"&amp;COUNTIF($E$4:$E885,$E885))</f>
        <v/>
      </c>
      <c r="X885" s="40" t="str">
        <f aca="false">IF($B885="","",IF(AND(OR(CETAK!$J$10="",$E885=CETAK!$J$10),OR(CETAK!$J$11="",$F885=CETAK!$J$11),OR(CETAK!$J$12="",$K885=CETAK!$J$12),OR(CETAK!$J$13="",$H885=CETAK!$J$13),OR(CETAK!$J$14="",$O885=CETAK!$J$14)),MAX($X$3:X884)+1,""))</f>
        <v/>
      </c>
      <c r="Y885" s="40" t="str">
        <f aca="false">IF($B885="","",IF(AND(OR(ABSENSI!$H$10="",$E885=ABSENSI!$H$10),OR(ABSENSI!$H$11="",$F885=ABSENSI!$H$11),OR(ABSENSI!$H$12="",$K885=ABSENSI!$H$12)),MAX($Y$3:Y884)+1,""))</f>
        <v/>
      </c>
      <c r="Z885" s="40" t="str">
        <f aca="false">IF($B885="","",IF(AND(OR(KARTU!$K$6="",$E885=KARTU!$K$6),OR(KARTU!$K$7="",$F885=KARTU!$K$7),OR(KARTU!$K$8="",$K885=KARTU!$K$8)),MAX($Z$3:Z884)+1,""))</f>
        <v/>
      </c>
    </row>
    <row r="886" customFormat="false" ht="15" hidden="false" customHeight="false" outlineLevel="0" collapsed="false">
      <c r="A886" s="36" t="str">
        <f aca="false">IF($B886="","",COUNTA($B$4:$B886))</f>
        <v/>
      </c>
      <c r="B886" s="37"/>
      <c r="C886" s="38"/>
      <c r="D886" s="39"/>
      <c r="E886" s="37"/>
      <c r="F886" s="39"/>
      <c r="G886" s="40" t="str">
        <f aca="false">IF(OR($E886="",$F886=""),"",$E886&amp;" - RT "&amp;$F886)</f>
        <v/>
      </c>
      <c r="H886" s="37"/>
      <c r="I886" s="38"/>
      <c r="J886" s="37"/>
      <c r="K886" s="39"/>
      <c r="L886" s="41"/>
      <c r="M886" s="36" t="str">
        <f aca="true">IF(OR($B886="",$L886=""),"",DATEDIF($L886,TODAY(),"Y"))</f>
        <v/>
      </c>
      <c r="N886" s="40" t="str">
        <f aca="false">IF($M886="","",INDEX(usia_label,MATCH($M886,usia_min,1)))</f>
        <v/>
      </c>
      <c r="O886" s="37"/>
      <c r="P886" s="41"/>
      <c r="Q886" s="37"/>
      <c r="R886" s="37"/>
      <c r="S886" s="40" t="str">
        <f aca="false">IF($G886="","",$G886&amp;"#"&amp;COUNTIF($G$4:$G886,$G886))</f>
        <v/>
      </c>
      <c r="T886" s="40" t="str">
        <f aca="false">IF($B886="","",IF($C886="","NIK kosong",IF(LEN($C886)&lt;&gt;16,"NIK bukan 16 digit",IF(COUNTIF($C$4:$C$2003,$C886&amp;"*")&gt;1,"NIK ganda",IF($E886="","Kadus kosong",IF($F886="","RT kosong",IF($H886="","Jabatan kosong",IF($I886="","No. HP kosong",IF($J886="","Alamat kosong",IF(AND($M886&lt;&gt;"",$M886&lt;17),"Usia di bawah 17",""))))))))))</f>
        <v/>
      </c>
      <c r="U886" s="40" t="str">
        <f aca="false">IF($B886="","",IF(AND(OR(CARI!$C$5="",ISNUMBER(SEARCH(CARI!$C$5,$B886&amp;" "&amp;$C886&amp;" "&amp;$I886&amp;" "&amp;$J886&amp;" "&amp;$Q886))),OR(CARI!$C$6="",$E886=CARI!$C$6),OR(CARI!$C$7="",$F886=CARI!$C$7),OR(CARI!$C$8="",$O886=CARI!$C$8)),MAX($U$3:U885)+1,""))</f>
        <v/>
      </c>
      <c r="V886" s="40" t="str">
        <f aca="false">IF($T886="","",MAX($V$3:V885)+1)</f>
        <v/>
      </c>
      <c r="W886" s="40" t="str">
        <f aca="false">IF($E886="","",$E886&amp;"#"&amp;COUNTIF($E$4:$E886,$E886))</f>
        <v/>
      </c>
      <c r="X886" s="40" t="str">
        <f aca="false">IF($B886="","",IF(AND(OR(CETAK!$J$10="",$E886=CETAK!$J$10),OR(CETAK!$J$11="",$F886=CETAK!$J$11),OR(CETAK!$J$12="",$K886=CETAK!$J$12),OR(CETAK!$J$13="",$H886=CETAK!$J$13),OR(CETAK!$J$14="",$O886=CETAK!$J$14)),MAX($X$3:X885)+1,""))</f>
        <v/>
      </c>
      <c r="Y886" s="40" t="str">
        <f aca="false">IF($B886="","",IF(AND(OR(ABSENSI!$H$10="",$E886=ABSENSI!$H$10),OR(ABSENSI!$H$11="",$F886=ABSENSI!$H$11),OR(ABSENSI!$H$12="",$K886=ABSENSI!$H$12)),MAX($Y$3:Y885)+1,""))</f>
        <v/>
      </c>
      <c r="Z886" s="40" t="str">
        <f aca="false">IF($B886="","",IF(AND(OR(KARTU!$K$6="",$E886=KARTU!$K$6),OR(KARTU!$K$7="",$F886=KARTU!$K$7),OR(KARTU!$K$8="",$K886=KARTU!$K$8)),MAX($Z$3:Z885)+1,""))</f>
        <v/>
      </c>
    </row>
    <row r="887" customFormat="false" ht="15" hidden="false" customHeight="false" outlineLevel="0" collapsed="false">
      <c r="A887" s="36" t="str">
        <f aca="false">IF($B887="","",COUNTA($B$4:$B887))</f>
        <v/>
      </c>
      <c r="B887" s="37"/>
      <c r="C887" s="38"/>
      <c r="D887" s="39"/>
      <c r="E887" s="37"/>
      <c r="F887" s="39"/>
      <c r="G887" s="40" t="str">
        <f aca="false">IF(OR($E887="",$F887=""),"",$E887&amp;" - RT "&amp;$F887)</f>
        <v/>
      </c>
      <c r="H887" s="37"/>
      <c r="I887" s="38"/>
      <c r="J887" s="37"/>
      <c r="K887" s="39"/>
      <c r="L887" s="41"/>
      <c r="M887" s="36" t="str">
        <f aca="true">IF(OR($B887="",$L887=""),"",DATEDIF($L887,TODAY(),"Y"))</f>
        <v/>
      </c>
      <c r="N887" s="40" t="str">
        <f aca="false">IF($M887="","",INDEX(usia_label,MATCH($M887,usia_min,1)))</f>
        <v/>
      </c>
      <c r="O887" s="37"/>
      <c r="P887" s="41"/>
      <c r="Q887" s="37"/>
      <c r="R887" s="37"/>
      <c r="S887" s="40" t="str">
        <f aca="false">IF($G887="","",$G887&amp;"#"&amp;COUNTIF($G$4:$G887,$G887))</f>
        <v/>
      </c>
      <c r="T887" s="40" t="str">
        <f aca="false">IF($B887="","",IF($C887="","NIK kosong",IF(LEN($C887)&lt;&gt;16,"NIK bukan 16 digit",IF(COUNTIF($C$4:$C$2003,$C887&amp;"*")&gt;1,"NIK ganda",IF($E887="","Kadus kosong",IF($F887="","RT kosong",IF($H887="","Jabatan kosong",IF($I887="","No. HP kosong",IF($J887="","Alamat kosong",IF(AND($M887&lt;&gt;"",$M887&lt;17),"Usia di bawah 17",""))))))))))</f>
        <v/>
      </c>
      <c r="U887" s="40" t="str">
        <f aca="false">IF($B887="","",IF(AND(OR(CARI!$C$5="",ISNUMBER(SEARCH(CARI!$C$5,$B887&amp;" "&amp;$C887&amp;" "&amp;$I887&amp;" "&amp;$J887&amp;" "&amp;$Q887))),OR(CARI!$C$6="",$E887=CARI!$C$6),OR(CARI!$C$7="",$F887=CARI!$C$7),OR(CARI!$C$8="",$O887=CARI!$C$8)),MAX($U$3:U886)+1,""))</f>
        <v/>
      </c>
      <c r="V887" s="40" t="str">
        <f aca="false">IF($T887="","",MAX($V$3:V886)+1)</f>
        <v/>
      </c>
      <c r="W887" s="40" t="str">
        <f aca="false">IF($E887="","",$E887&amp;"#"&amp;COUNTIF($E$4:$E887,$E887))</f>
        <v/>
      </c>
      <c r="X887" s="40" t="str">
        <f aca="false">IF($B887="","",IF(AND(OR(CETAK!$J$10="",$E887=CETAK!$J$10),OR(CETAK!$J$11="",$F887=CETAK!$J$11),OR(CETAK!$J$12="",$K887=CETAK!$J$12),OR(CETAK!$J$13="",$H887=CETAK!$J$13),OR(CETAK!$J$14="",$O887=CETAK!$J$14)),MAX($X$3:X886)+1,""))</f>
        <v/>
      </c>
      <c r="Y887" s="40" t="str">
        <f aca="false">IF($B887="","",IF(AND(OR(ABSENSI!$H$10="",$E887=ABSENSI!$H$10),OR(ABSENSI!$H$11="",$F887=ABSENSI!$H$11),OR(ABSENSI!$H$12="",$K887=ABSENSI!$H$12)),MAX($Y$3:Y886)+1,""))</f>
        <v/>
      </c>
      <c r="Z887" s="40" t="str">
        <f aca="false">IF($B887="","",IF(AND(OR(KARTU!$K$6="",$E887=KARTU!$K$6),OR(KARTU!$K$7="",$F887=KARTU!$K$7),OR(KARTU!$K$8="",$K887=KARTU!$K$8)),MAX($Z$3:Z886)+1,""))</f>
        <v/>
      </c>
    </row>
    <row r="888" customFormat="false" ht="15" hidden="false" customHeight="false" outlineLevel="0" collapsed="false">
      <c r="A888" s="36" t="str">
        <f aca="false">IF($B888="","",COUNTA($B$4:$B888))</f>
        <v/>
      </c>
      <c r="B888" s="37"/>
      <c r="C888" s="38"/>
      <c r="D888" s="39"/>
      <c r="E888" s="37"/>
      <c r="F888" s="39"/>
      <c r="G888" s="40" t="str">
        <f aca="false">IF(OR($E888="",$F888=""),"",$E888&amp;" - RT "&amp;$F888)</f>
        <v/>
      </c>
      <c r="H888" s="37"/>
      <c r="I888" s="38"/>
      <c r="J888" s="37"/>
      <c r="K888" s="39"/>
      <c r="L888" s="41"/>
      <c r="M888" s="36" t="str">
        <f aca="true">IF(OR($B888="",$L888=""),"",DATEDIF($L888,TODAY(),"Y"))</f>
        <v/>
      </c>
      <c r="N888" s="40" t="str">
        <f aca="false">IF($M888="","",INDEX(usia_label,MATCH($M888,usia_min,1)))</f>
        <v/>
      </c>
      <c r="O888" s="37"/>
      <c r="P888" s="41"/>
      <c r="Q888" s="37"/>
      <c r="R888" s="37"/>
      <c r="S888" s="40" t="str">
        <f aca="false">IF($G888="","",$G888&amp;"#"&amp;COUNTIF($G$4:$G888,$G888))</f>
        <v/>
      </c>
      <c r="T888" s="40" t="str">
        <f aca="false">IF($B888="","",IF($C888="","NIK kosong",IF(LEN($C888)&lt;&gt;16,"NIK bukan 16 digit",IF(COUNTIF($C$4:$C$2003,$C888&amp;"*")&gt;1,"NIK ganda",IF($E888="","Kadus kosong",IF($F888="","RT kosong",IF($H888="","Jabatan kosong",IF($I888="","No. HP kosong",IF($J888="","Alamat kosong",IF(AND($M888&lt;&gt;"",$M888&lt;17),"Usia di bawah 17",""))))))))))</f>
        <v/>
      </c>
      <c r="U888" s="40" t="str">
        <f aca="false">IF($B888="","",IF(AND(OR(CARI!$C$5="",ISNUMBER(SEARCH(CARI!$C$5,$B888&amp;" "&amp;$C888&amp;" "&amp;$I888&amp;" "&amp;$J888&amp;" "&amp;$Q888))),OR(CARI!$C$6="",$E888=CARI!$C$6),OR(CARI!$C$7="",$F888=CARI!$C$7),OR(CARI!$C$8="",$O888=CARI!$C$8)),MAX($U$3:U887)+1,""))</f>
        <v/>
      </c>
      <c r="V888" s="40" t="str">
        <f aca="false">IF($T888="","",MAX($V$3:V887)+1)</f>
        <v/>
      </c>
      <c r="W888" s="40" t="str">
        <f aca="false">IF($E888="","",$E888&amp;"#"&amp;COUNTIF($E$4:$E888,$E888))</f>
        <v/>
      </c>
      <c r="X888" s="40" t="str">
        <f aca="false">IF($B888="","",IF(AND(OR(CETAK!$J$10="",$E888=CETAK!$J$10),OR(CETAK!$J$11="",$F888=CETAK!$J$11),OR(CETAK!$J$12="",$K888=CETAK!$J$12),OR(CETAK!$J$13="",$H888=CETAK!$J$13),OR(CETAK!$J$14="",$O888=CETAK!$J$14)),MAX($X$3:X887)+1,""))</f>
        <v/>
      </c>
      <c r="Y888" s="40" t="str">
        <f aca="false">IF($B888="","",IF(AND(OR(ABSENSI!$H$10="",$E888=ABSENSI!$H$10),OR(ABSENSI!$H$11="",$F888=ABSENSI!$H$11),OR(ABSENSI!$H$12="",$K888=ABSENSI!$H$12)),MAX($Y$3:Y887)+1,""))</f>
        <v/>
      </c>
      <c r="Z888" s="40" t="str">
        <f aca="false">IF($B888="","",IF(AND(OR(KARTU!$K$6="",$E888=KARTU!$K$6),OR(KARTU!$K$7="",$F888=KARTU!$K$7),OR(KARTU!$K$8="",$K888=KARTU!$K$8)),MAX($Z$3:Z887)+1,""))</f>
        <v/>
      </c>
    </row>
    <row r="889" customFormat="false" ht="15" hidden="false" customHeight="false" outlineLevel="0" collapsed="false">
      <c r="A889" s="36" t="str">
        <f aca="false">IF($B889="","",COUNTA($B$4:$B889))</f>
        <v/>
      </c>
      <c r="B889" s="37"/>
      <c r="C889" s="38"/>
      <c r="D889" s="39"/>
      <c r="E889" s="37"/>
      <c r="F889" s="39"/>
      <c r="G889" s="40" t="str">
        <f aca="false">IF(OR($E889="",$F889=""),"",$E889&amp;" - RT "&amp;$F889)</f>
        <v/>
      </c>
      <c r="H889" s="37"/>
      <c r="I889" s="38"/>
      <c r="J889" s="37"/>
      <c r="K889" s="39"/>
      <c r="L889" s="41"/>
      <c r="M889" s="36" t="str">
        <f aca="true">IF(OR($B889="",$L889=""),"",DATEDIF($L889,TODAY(),"Y"))</f>
        <v/>
      </c>
      <c r="N889" s="40" t="str">
        <f aca="false">IF($M889="","",INDEX(usia_label,MATCH($M889,usia_min,1)))</f>
        <v/>
      </c>
      <c r="O889" s="37"/>
      <c r="P889" s="41"/>
      <c r="Q889" s="37"/>
      <c r="R889" s="37"/>
      <c r="S889" s="40" t="str">
        <f aca="false">IF($G889="","",$G889&amp;"#"&amp;COUNTIF($G$4:$G889,$G889))</f>
        <v/>
      </c>
      <c r="T889" s="40" t="str">
        <f aca="false">IF($B889="","",IF($C889="","NIK kosong",IF(LEN($C889)&lt;&gt;16,"NIK bukan 16 digit",IF(COUNTIF($C$4:$C$2003,$C889&amp;"*")&gt;1,"NIK ganda",IF($E889="","Kadus kosong",IF($F889="","RT kosong",IF($H889="","Jabatan kosong",IF($I889="","No. HP kosong",IF($J889="","Alamat kosong",IF(AND($M889&lt;&gt;"",$M889&lt;17),"Usia di bawah 17",""))))))))))</f>
        <v/>
      </c>
      <c r="U889" s="40" t="str">
        <f aca="false">IF($B889="","",IF(AND(OR(CARI!$C$5="",ISNUMBER(SEARCH(CARI!$C$5,$B889&amp;" "&amp;$C889&amp;" "&amp;$I889&amp;" "&amp;$J889&amp;" "&amp;$Q889))),OR(CARI!$C$6="",$E889=CARI!$C$6),OR(CARI!$C$7="",$F889=CARI!$C$7),OR(CARI!$C$8="",$O889=CARI!$C$8)),MAX($U$3:U888)+1,""))</f>
        <v/>
      </c>
      <c r="V889" s="40" t="str">
        <f aca="false">IF($T889="","",MAX($V$3:V888)+1)</f>
        <v/>
      </c>
      <c r="W889" s="40" t="str">
        <f aca="false">IF($E889="","",$E889&amp;"#"&amp;COUNTIF($E$4:$E889,$E889))</f>
        <v/>
      </c>
      <c r="X889" s="40" t="str">
        <f aca="false">IF($B889="","",IF(AND(OR(CETAK!$J$10="",$E889=CETAK!$J$10),OR(CETAK!$J$11="",$F889=CETAK!$J$11),OR(CETAK!$J$12="",$K889=CETAK!$J$12),OR(CETAK!$J$13="",$H889=CETAK!$J$13),OR(CETAK!$J$14="",$O889=CETAK!$J$14)),MAX($X$3:X888)+1,""))</f>
        <v/>
      </c>
      <c r="Y889" s="40" t="str">
        <f aca="false">IF($B889="","",IF(AND(OR(ABSENSI!$H$10="",$E889=ABSENSI!$H$10),OR(ABSENSI!$H$11="",$F889=ABSENSI!$H$11),OR(ABSENSI!$H$12="",$K889=ABSENSI!$H$12)),MAX($Y$3:Y888)+1,""))</f>
        <v/>
      </c>
      <c r="Z889" s="40" t="str">
        <f aca="false">IF($B889="","",IF(AND(OR(KARTU!$K$6="",$E889=KARTU!$K$6),OR(KARTU!$K$7="",$F889=KARTU!$K$7),OR(KARTU!$K$8="",$K889=KARTU!$K$8)),MAX($Z$3:Z888)+1,""))</f>
        <v/>
      </c>
    </row>
    <row r="890" customFormat="false" ht="15" hidden="false" customHeight="false" outlineLevel="0" collapsed="false">
      <c r="A890" s="36" t="str">
        <f aca="false">IF($B890="","",COUNTA($B$4:$B890))</f>
        <v/>
      </c>
      <c r="B890" s="37"/>
      <c r="C890" s="38"/>
      <c r="D890" s="39"/>
      <c r="E890" s="37"/>
      <c r="F890" s="39"/>
      <c r="G890" s="40" t="str">
        <f aca="false">IF(OR($E890="",$F890=""),"",$E890&amp;" - RT "&amp;$F890)</f>
        <v/>
      </c>
      <c r="H890" s="37"/>
      <c r="I890" s="38"/>
      <c r="J890" s="37"/>
      <c r="K890" s="39"/>
      <c r="L890" s="41"/>
      <c r="M890" s="36" t="str">
        <f aca="true">IF(OR($B890="",$L890=""),"",DATEDIF($L890,TODAY(),"Y"))</f>
        <v/>
      </c>
      <c r="N890" s="40" t="str">
        <f aca="false">IF($M890="","",INDEX(usia_label,MATCH($M890,usia_min,1)))</f>
        <v/>
      </c>
      <c r="O890" s="37"/>
      <c r="P890" s="41"/>
      <c r="Q890" s="37"/>
      <c r="R890" s="37"/>
      <c r="S890" s="40" t="str">
        <f aca="false">IF($G890="","",$G890&amp;"#"&amp;COUNTIF($G$4:$G890,$G890))</f>
        <v/>
      </c>
      <c r="T890" s="40" t="str">
        <f aca="false">IF($B890="","",IF($C890="","NIK kosong",IF(LEN($C890)&lt;&gt;16,"NIK bukan 16 digit",IF(COUNTIF($C$4:$C$2003,$C890&amp;"*")&gt;1,"NIK ganda",IF($E890="","Kadus kosong",IF($F890="","RT kosong",IF($H890="","Jabatan kosong",IF($I890="","No. HP kosong",IF($J890="","Alamat kosong",IF(AND($M890&lt;&gt;"",$M890&lt;17),"Usia di bawah 17",""))))))))))</f>
        <v/>
      </c>
      <c r="U890" s="40" t="str">
        <f aca="false">IF($B890="","",IF(AND(OR(CARI!$C$5="",ISNUMBER(SEARCH(CARI!$C$5,$B890&amp;" "&amp;$C890&amp;" "&amp;$I890&amp;" "&amp;$J890&amp;" "&amp;$Q890))),OR(CARI!$C$6="",$E890=CARI!$C$6),OR(CARI!$C$7="",$F890=CARI!$C$7),OR(CARI!$C$8="",$O890=CARI!$C$8)),MAX($U$3:U889)+1,""))</f>
        <v/>
      </c>
      <c r="V890" s="40" t="str">
        <f aca="false">IF($T890="","",MAX($V$3:V889)+1)</f>
        <v/>
      </c>
      <c r="W890" s="40" t="str">
        <f aca="false">IF($E890="","",$E890&amp;"#"&amp;COUNTIF($E$4:$E890,$E890))</f>
        <v/>
      </c>
      <c r="X890" s="40" t="str">
        <f aca="false">IF($B890="","",IF(AND(OR(CETAK!$J$10="",$E890=CETAK!$J$10),OR(CETAK!$J$11="",$F890=CETAK!$J$11),OR(CETAK!$J$12="",$K890=CETAK!$J$12),OR(CETAK!$J$13="",$H890=CETAK!$J$13),OR(CETAK!$J$14="",$O890=CETAK!$J$14)),MAX($X$3:X889)+1,""))</f>
        <v/>
      </c>
      <c r="Y890" s="40" t="str">
        <f aca="false">IF($B890="","",IF(AND(OR(ABSENSI!$H$10="",$E890=ABSENSI!$H$10),OR(ABSENSI!$H$11="",$F890=ABSENSI!$H$11),OR(ABSENSI!$H$12="",$K890=ABSENSI!$H$12)),MAX($Y$3:Y889)+1,""))</f>
        <v/>
      </c>
      <c r="Z890" s="40" t="str">
        <f aca="false">IF($B890="","",IF(AND(OR(KARTU!$K$6="",$E890=KARTU!$K$6),OR(KARTU!$K$7="",$F890=KARTU!$K$7),OR(KARTU!$K$8="",$K890=KARTU!$K$8)),MAX($Z$3:Z889)+1,""))</f>
        <v/>
      </c>
    </row>
    <row r="891" customFormat="false" ht="15" hidden="false" customHeight="false" outlineLevel="0" collapsed="false">
      <c r="A891" s="36" t="str">
        <f aca="false">IF($B891="","",COUNTA($B$4:$B891))</f>
        <v/>
      </c>
      <c r="B891" s="37"/>
      <c r="C891" s="38"/>
      <c r="D891" s="39"/>
      <c r="E891" s="37"/>
      <c r="F891" s="39"/>
      <c r="G891" s="40" t="str">
        <f aca="false">IF(OR($E891="",$F891=""),"",$E891&amp;" - RT "&amp;$F891)</f>
        <v/>
      </c>
      <c r="H891" s="37"/>
      <c r="I891" s="38"/>
      <c r="J891" s="37"/>
      <c r="K891" s="39"/>
      <c r="L891" s="41"/>
      <c r="M891" s="36" t="str">
        <f aca="true">IF(OR($B891="",$L891=""),"",DATEDIF($L891,TODAY(),"Y"))</f>
        <v/>
      </c>
      <c r="N891" s="40" t="str">
        <f aca="false">IF($M891="","",INDEX(usia_label,MATCH($M891,usia_min,1)))</f>
        <v/>
      </c>
      <c r="O891" s="37"/>
      <c r="P891" s="41"/>
      <c r="Q891" s="37"/>
      <c r="R891" s="37"/>
      <c r="S891" s="40" t="str">
        <f aca="false">IF($G891="","",$G891&amp;"#"&amp;COUNTIF($G$4:$G891,$G891))</f>
        <v/>
      </c>
      <c r="T891" s="40" t="str">
        <f aca="false">IF($B891="","",IF($C891="","NIK kosong",IF(LEN($C891)&lt;&gt;16,"NIK bukan 16 digit",IF(COUNTIF($C$4:$C$2003,$C891&amp;"*")&gt;1,"NIK ganda",IF($E891="","Kadus kosong",IF($F891="","RT kosong",IF($H891="","Jabatan kosong",IF($I891="","No. HP kosong",IF($J891="","Alamat kosong",IF(AND($M891&lt;&gt;"",$M891&lt;17),"Usia di bawah 17",""))))))))))</f>
        <v/>
      </c>
      <c r="U891" s="40" t="str">
        <f aca="false">IF($B891="","",IF(AND(OR(CARI!$C$5="",ISNUMBER(SEARCH(CARI!$C$5,$B891&amp;" "&amp;$C891&amp;" "&amp;$I891&amp;" "&amp;$J891&amp;" "&amp;$Q891))),OR(CARI!$C$6="",$E891=CARI!$C$6),OR(CARI!$C$7="",$F891=CARI!$C$7),OR(CARI!$C$8="",$O891=CARI!$C$8)),MAX($U$3:U890)+1,""))</f>
        <v/>
      </c>
      <c r="V891" s="40" t="str">
        <f aca="false">IF($T891="","",MAX($V$3:V890)+1)</f>
        <v/>
      </c>
      <c r="W891" s="40" t="str">
        <f aca="false">IF($E891="","",$E891&amp;"#"&amp;COUNTIF($E$4:$E891,$E891))</f>
        <v/>
      </c>
      <c r="X891" s="40" t="str">
        <f aca="false">IF($B891="","",IF(AND(OR(CETAK!$J$10="",$E891=CETAK!$J$10),OR(CETAK!$J$11="",$F891=CETAK!$J$11),OR(CETAK!$J$12="",$K891=CETAK!$J$12),OR(CETAK!$J$13="",$H891=CETAK!$J$13),OR(CETAK!$J$14="",$O891=CETAK!$J$14)),MAX($X$3:X890)+1,""))</f>
        <v/>
      </c>
      <c r="Y891" s="40" t="str">
        <f aca="false">IF($B891="","",IF(AND(OR(ABSENSI!$H$10="",$E891=ABSENSI!$H$10),OR(ABSENSI!$H$11="",$F891=ABSENSI!$H$11),OR(ABSENSI!$H$12="",$K891=ABSENSI!$H$12)),MAX($Y$3:Y890)+1,""))</f>
        <v/>
      </c>
      <c r="Z891" s="40" t="str">
        <f aca="false">IF($B891="","",IF(AND(OR(KARTU!$K$6="",$E891=KARTU!$K$6),OR(KARTU!$K$7="",$F891=KARTU!$K$7),OR(KARTU!$K$8="",$K891=KARTU!$K$8)),MAX($Z$3:Z890)+1,""))</f>
        <v/>
      </c>
    </row>
    <row r="892" customFormat="false" ht="15" hidden="false" customHeight="false" outlineLevel="0" collapsed="false">
      <c r="A892" s="36" t="str">
        <f aca="false">IF($B892="","",COUNTA($B$4:$B892))</f>
        <v/>
      </c>
      <c r="B892" s="37"/>
      <c r="C892" s="38"/>
      <c r="D892" s="39"/>
      <c r="E892" s="37"/>
      <c r="F892" s="39"/>
      <c r="G892" s="40" t="str">
        <f aca="false">IF(OR($E892="",$F892=""),"",$E892&amp;" - RT "&amp;$F892)</f>
        <v/>
      </c>
      <c r="H892" s="37"/>
      <c r="I892" s="38"/>
      <c r="J892" s="37"/>
      <c r="K892" s="39"/>
      <c r="L892" s="41"/>
      <c r="M892" s="36" t="str">
        <f aca="true">IF(OR($B892="",$L892=""),"",DATEDIF($L892,TODAY(),"Y"))</f>
        <v/>
      </c>
      <c r="N892" s="40" t="str">
        <f aca="false">IF($M892="","",INDEX(usia_label,MATCH($M892,usia_min,1)))</f>
        <v/>
      </c>
      <c r="O892" s="37"/>
      <c r="P892" s="41"/>
      <c r="Q892" s="37"/>
      <c r="R892" s="37"/>
      <c r="S892" s="40" t="str">
        <f aca="false">IF($G892="","",$G892&amp;"#"&amp;COUNTIF($G$4:$G892,$G892))</f>
        <v/>
      </c>
      <c r="T892" s="40" t="str">
        <f aca="false">IF($B892="","",IF($C892="","NIK kosong",IF(LEN($C892)&lt;&gt;16,"NIK bukan 16 digit",IF(COUNTIF($C$4:$C$2003,$C892&amp;"*")&gt;1,"NIK ganda",IF($E892="","Kadus kosong",IF($F892="","RT kosong",IF($H892="","Jabatan kosong",IF($I892="","No. HP kosong",IF($J892="","Alamat kosong",IF(AND($M892&lt;&gt;"",$M892&lt;17),"Usia di bawah 17",""))))))))))</f>
        <v/>
      </c>
      <c r="U892" s="40" t="str">
        <f aca="false">IF($B892="","",IF(AND(OR(CARI!$C$5="",ISNUMBER(SEARCH(CARI!$C$5,$B892&amp;" "&amp;$C892&amp;" "&amp;$I892&amp;" "&amp;$J892&amp;" "&amp;$Q892))),OR(CARI!$C$6="",$E892=CARI!$C$6),OR(CARI!$C$7="",$F892=CARI!$C$7),OR(CARI!$C$8="",$O892=CARI!$C$8)),MAX($U$3:U891)+1,""))</f>
        <v/>
      </c>
      <c r="V892" s="40" t="str">
        <f aca="false">IF($T892="","",MAX($V$3:V891)+1)</f>
        <v/>
      </c>
      <c r="W892" s="40" t="str">
        <f aca="false">IF($E892="","",$E892&amp;"#"&amp;COUNTIF($E$4:$E892,$E892))</f>
        <v/>
      </c>
      <c r="X892" s="40" t="str">
        <f aca="false">IF($B892="","",IF(AND(OR(CETAK!$J$10="",$E892=CETAK!$J$10),OR(CETAK!$J$11="",$F892=CETAK!$J$11),OR(CETAK!$J$12="",$K892=CETAK!$J$12),OR(CETAK!$J$13="",$H892=CETAK!$J$13),OR(CETAK!$J$14="",$O892=CETAK!$J$14)),MAX($X$3:X891)+1,""))</f>
        <v/>
      </c>
      <c r="Y892" s="40" t="str">
        <f aca="false">IF($B892="","",IF(AND(OR(ABSENSI!$H$10="",$E892=ABSENSI!$H$10),OR(ABSENSI!$H$11="",$F892=ABSENSI!$H$11),OR(ABSENSI!$H$12="",$K892=ABSENSI!$H$12)),MAX($Y$3:Y891)+1,""))</f>
        <v/>
      </c>
      <c r="Z892" s="40" t="str">
        <f aca="false">IF($B892="","",IF(AND(OR(KARTU!$K$6="",$E892=KARTU!$K$6),OR(KARTU!$K$7="",$F892=KARTU!$K$7),OR(KARTU!$K$8="",$K892=KARTU!$K$8)),MAX($Z$3:Z891)+1,""))</f>
        <v/>
      </c>
    </row>
    <row r="893" customFormat="false" ht="15" hidden="false" customHeight="false" outlineLevel="0" collapsed="false">
      <c r="A893" s="36" t="str">
        <f aca="false">IF($B893="","",COUNTA($B$4:$B893))</f>
        <v/>
      </c>
      <c r="B893" s="37"/>
      <c r="C893" s="38"/>
      <c r="D893" s="39"/>
      <c r="E893" s="37"/>
      <c r="F893" s="39"/>
      <c r="G893" s="40" t="str">
        <f aca="false">IF(OR($E893="",$F893=""),"",$E893&amp;" - RT "&amp;$F893)</f>
        <v/>
      </c>
      <c r="H893" s="37"/>
      <c r="I893" s="38"/>
      <c r="J893" s="37"/>
      <c r="K893" s="39"/>
      <c r="L893" s="41"/>
      <c r="M893" s="36" t="str">
        <f aca="true">IF(OR($B893="",$L893=""),"",DATEDIF($L893,TODAY(),"Y"))</f>
        <v/>
      </c>
      <c r="N893" s="40" t="str">
        <f aca="false">IF($M893="","",INDEX(usia_label,MATCH($M893,usia_min,1)))</f>
        <v/>
      </c>
      <c r="O893" s="37"/>
      <c r="P893" s="41"/>
      <c r="Q893" s="37"/>
      <c r="R893" s="37"/>
      <c r="S893" s="40" t="str">
        <f aca="false">IF($G893="","",$G893&amp;"#"&amp;COUNTIF($G$4:$G893,$G893))</f>
        <v/>
      </c>
      <c r="T893" s="40" t="str">
        <f aca="false">IF($B893="","",IF($C893="","NIK kosong",IF(LEN($C893)&lt;&gt;16,"NIK bukan 16 digit",IF(COUNTIF($C$4:$C$2003,$C893&amp;"*")&gt;1,"NIK ganda",IF($E893="","Kadus kosong",IF($F893="","RT kosong",IF($H893="","Jabatan kosong",IF($I893="","No. HP kosong",IF($J893="","Alamat kosong",IF(AND($M893&lt;&gt;"",$M893&lt;17),"Usia di bawah 17",""))))))))))</f>
        <v/>
      </c>
      <c r="U893" s="40" t="str">
        <f aca="false">IF($B893="","",IF(AND(OR(CARI!$C$5="",ISNUMBER(SEARCH(CARI!$C$5,$B893&amp;" "&amp;$C893&amp;" "&amp;$I893&amp;" "&amp;$J893&amp;" "&amp;$Q893))),OR(CARI!$C$6="",$E893=CARI!$C$6),OR(CARI!$C$7="",$F893=CARI!$C$7),OR(CARI!$C$8="",$O893=CARI!$C$8)),MAX($U$3:U892)+1,""))</f>
        <v/>
      </c>
      <c r="V893" s="40" t="str">
        <f aca="false">IF($T893="","",MAX($V$3:V892)+1)</f>
        <v/>
      </c>
      <c r="W893" s="40" t="str">
        <f aca="false">IF($E893="","",$E893&amp;"#"&amp;COUNTIF($E$4:$E893,$E893))</f>
        <v/>
      </c>
      <c r="X893" s="40" t="str">
        <f aca="false">IF($B893="","",IF(AND(OR(CETAK!$J$10="",$E893=CETAK!$J$10),OR(CETAK!$J$11="",$F893=CETAK!$J$11),OR(CETAK!$J$12="",$K893=CETAK!$J$12),OR(CETAK!$J$13="",$H893=CETAK!$J$13),OR(CETAK!$J$14="",$O893=CETAK!$J$14)),MAX($X$3:X892)+1,""))</f>
        <v/>
      </c>
      <c r="Y893" s="40" t="str">
        <f aca="false">IF($B893="","",IF(AND(OR(ABSENSI!$H$10="",$E893=ABSENSI!$H$10),OR(ABSENSI!$H$11="",$F893=ABSENSI!$H$11),OR(ABSENSI!$H$12="",$K893=ABSENSI!$H$12)),MAX($Y$3:Y892)+1,""))</f>
        <v/>
      </c>
      <c r="Z893" s="40" t="str">
        <f aca="false">IF($B893="","",IF(AND(OR(KARTU!$K$6="",$E893=KARTU!$K$6),OR(KARTU!$K$7="",$F893=KARTU!$K$7),OR(KARTU!$K$8="",$K893=KARTU!$K$8)),MAX($Z$3:Z892)+1,""))</f>
        <v/>
      </c>
    </row>
    <row r="894" customFormat="false" ht="15" hidden="false" customHeight="false" outlineLevel="0" collapsed="false">
      <c r="A894" s="36" t="str">
        <f aca="false">IF($B894="","",COUNTA($B$4:$B894))</f>
        <v/>
      </c>
      <c r="B894" s="37"/>
      <c r="C894" s="38"/>
      <c r="D894" s="39"/>
      <c r="E894" s="37"/>
      <c r="F894" s="39"/>
      <c r="G894" s="40" t="str">
        <f aca="false">IF(OR($E894="",$F894=""),"",$E894&amp;" - RT "&amp;$F894)</f>
        <v/>
      </c>
      <c r="H894" s="37"/>
      <c r="I894" s="38"/>
      <c r="J894" s="37"/>
      <c r="K894" s="39"/>
      <c r="L894" s="41"/>
      <c r="M894" s="36" t="str">
        <f aca="true">IF(OR($B894="",$L894=""),"",DATEDIF($L894,TODAY(),"Y"))</f>
        <v/>
      </c>
      <c r="N894" s="40" t="str">
        <f aca="false">IF($M894="","",INDEX(usia_label,MATCH($M894,usia_min,1)))</f>
        <v/>
      </c>
      <c r="O894" s="37"/>
      <c r="P894" s="41"/>
      <c r="Q894" s="37"/>
      <c r="R894" s="37"/>
      <c r="S894" s="40" t="str">
        <f aca="false">IF($G894="","",$G894&amp;"#"&amp;COUNTIF($G$4:$G894,$G894))</f>
        <v/>
      </c>
      <c r="T894" s="40" t="str">
        <f aca="false">IF($B894="","",IF($C894="","NIK kosong",IF(LEN($C894)&lt;&gt;16,"NIK bukan 16 digit",IF(COUNTIF($C$4:$C$2003,$C894&amp;"*")&gt;1,"NIK ganda",IF($E894="","Kadus kosong",IF($F894="","RT kosong",IF($H894="","Jabatan kosong",IF($I894="","No. HP kosong",IF($J894="","Alamat kosong",IF(AND($M894&lt;&gt;"",$M894&lt;17),"Usia di bawah 17",""))))))))))</f>
        <v/>
      </c>
      <c r="U894" s="40" t="str">
        <f aca="false">IF($B894="","",IF(AND(OR(CARI!$C$5="",ISNUMBER(SEARCH(CARI!$C$5,$B894&amp;" "&amp;$C894&amp;" "&amp;$I894&amp;" "&amp;$J894&amp;" "&amp;$Q894))),OR(CARI!$C$6="",$E894=CARI!$C$6),OR(CARI!$C$7="",$F894=CARI!$C$7),OR(CARI!$C$8="",$O894=CARI!$C$8)),MAX($U$3:U893)+1,""))</f>
        <v/>
      </c>
      <c r="V894" s="40" t="str">
        <f aca="false">IF($T894="","",MAX($V$3:V893)+1)</f>
        <v/>
      </c>
      <c r="W894" s="40" t="str">
        <f aca="false">IF($E894="","",$E894&amp;"#"&amp;COUNTIF($E$4:$E894,$E894))</f>
        <v/>
      </c>
      <c r="X894" s="40" t="str">
        <f aca="false">IF($B894="","",IF(AND(OR(CETAK!$J$10="",$E894=CETAK!$J$10),OR(CETAK!$J$11="",$F894=CETAK!$J$11),OR(CETAK!$J$12="",$K894=CETAK!$J$12),OR(CETAK!$J$13="",$H894=CETAK!$J$13),OR(CETAK!$J$14="",$O894=CETAK!$J$14)),MAX($X$3:X893)+1,""))</f>
        <v/>
      </c>
      <c r="Y894" s="40" t="str">
        <f aca="false">IF($B894="","",IF(AND(OR(ABSENSI!$H$10="",$E894=ABSENSI!$H$10),OR(ABSENSI!$H$11="",$F894=ABSENSI!$H$11),OR(ABSENSI!$H$12="",$K894=ABSENSI!$H$12)),MAX($Y$3:Y893)+1,""))</f>
        <v/>
      </c>
      <c r="Z894" s="40" t="str">
        <f aca="false">IF($B894="","",IF(AND(OR(KARTU!$K$6="",$E894=KARTU!$K$6),OR(KARTU!$K$7="",$F894=KARTU!$K$7),OR(KARTU!$K$8="",$K894=KARTU!$K$8)),MAX($Z$3:Z893)+1,""))</f>
        <v/>
      </c>
    </row>
    <row r="895" customFormat="false" ht="15" hidden="false" customHeight="false" outlineLevel="0" collapsed="false">
      <c r="A895" s="36" t="str">
        <f aca="false">IF($B895="","",COUNTA($B$4:$B895))</f>
        <v/>
      </c>
      <c r="B895" s="37"/>
      <c r="C895" s="38"/>
      <c r="D895" s="39"/>
      <c r="E895" s="37"/>
      <c r="F895" s="39"/>
      <c r="G895" s="40" t="str">
        <f aca="false">IF(OR($E895="",$F895=""),"",$E895&amp;" - RT "&amp;$F895)</f>
        <v/>
      </c>
      <c r="H895" s="37"/>
      <c r="I895" s="38"/>
      <c r="J895" s="37"/>
      <c r="K895" s="39"/>
      <c r="L895" s="41"/>
      <c r="M895" s="36" t="str">
        <f aca="true">IF(OR($B895="",$L895=""),"",DATEDIF($L895,TODAY(),"Y"))</f>
        <v/>
      </c>
      <c r="N895" s="40" t="str">
        <f aca="false">IF($M895="","",INDEX(usia_label,MATCH($M895,usia_min,1)))</f>
        <v/>
      </c>
      <c r="O895" s="37"/>
      <c r="P895" s="41"/>
      <c r="Q895" s="37"/>
      <c r="R895" s="37"/>
      <c r="S895" s="40" t="str">
        <f aca="false">IF($G895="","",$G895&amp;"#"&amp;COUNTIF($G$4:$G895,$G895))</f>
        <v/>
      </c>
      <c r="T895" s="40" t="str">
        <f aca="false">IF($B895="","",IF($C895="","NIK kosong",IF(LEN($C895)&lt;&gt;16,"NIK bukan 16 digit",IF(COUNTIF($C$4:$C$2003,$C895&amp;"*")&gt;1,"NIK ganda",IF($E895="","Kadus kosong",IF($F895="","RT kosong",IF($H895="","Jabatan kosong",IF($I895="","No. HP kosong",IF($J895="","Alamat kosong",IF(AND($M895&lt;&gt;"",$M895&lt;17),"Usia di bawah 17",""))))))))))</f>
        <v/>
      </c>
      <c r="U895" s="40" t="str">
        <f aca="false">IF($B895="","",IF(AND(OR(CARI!$C$5="",ISNUMBER(SEARCH(CARI!$C$5,$B895&amp;" "&amp;$C895&amp;" "&amp;$I895&amp;" "&amp;$J895&amp;" "&amp;$Q895))),OR(CARI!$C$6="",$E895=CARI!$C$6),OR(CARI!$C$7="",$F895=CARI!$C$7),OR(CARI!$C$8="",$O895=CARI!$C$8)),MAX($U$3:U894)+1,""))</f>
        <v/>
      </c>
      <c r="V895" s="40" t="str">
        <f aca="false">IF($T895="","",MAX($V$3:V894)+1)</f>
        <v/>
      </c>
      <c r="W895" s="40" t="str">
        <f aca="false">IF($E895="","",$E895&amp;"#"&amp;COUNTIF($E$4:$E895,$E895))</f>
        <v/>
      </c>
      <c r="X895" s="40" t="str">
        <f aca="false">IF($B895="","",IF(AND(OR(CETAK!$J$10="",$E895=CETAK!$J$10),OR(CETAK!$J$11="",$F895=CETAK!$J$11),OR(CETAK!$J$12="",$K895=CETAK!$J$12),OR(CETAK!$J$13="",$H895=CETAK!$J$13),OR(CETAK!$J$14="",$O895=CETAK!$J$14)),MAX($X$3:X894)+1,""))</f>
        <v/>
      </c>
      <c r="Y895" s="40" t="str">
        <f aca="false">IF($B895="","",IF(AND(OR(ABSENSI!$H$10="",$E895=ABSENSI!$H$10),OR(ABSENSI!$H$11="",$F895=ABSENSI!$H$11),OR(ABSENSI!$H$12="",$K895=ABSENSI!$H$12)),MAX($Y$3:Y894)+1,""))</f>
        <v/>
      </c>
      <c r="Z895" s="40" t="str">
        <f aca="false">IF($B895="","",IF(AND(OR(KARTU!$K$6="",$E895=KARTU!$K$6),OR(KARTU!$K$7="",$F895=KARTU!$K$7),OR(KARTU!$K$8="",$K895=KARTU!$K$8)),MAX($Z$3:Z894)+1,""))</f>
        <v/>
      </c>
    </row>
    <row r="896" customFormat="false" ht="15" hidden="false" customHeight="false" outlineLevel="0" collapsed="false">
      <c r="A896" s="36" t="str">
        <f aca="false">IF($B896="","",COUNTA($B$4:$B896))</f>
        <v/>
      </c>
      <c r="B896" s="37"/>
      <c r="C896" s="38"/>
      <c r="D896" s="39"/>
      <c r="E896" s="37"/>
      <c r="F896" s="39"/>
      <c r="G896" s="40" t="str">
        <f aca="false">IF(OR($E896="",$F896=""),"",$E896&amp;" - RT "&amp;$F896)</f>
        <v/>
      </c>
      <c r="H896" s="37"/>
      <c r="I896" s="38"/>
      <c r="J896" s="37"/>
      <c r="K896" s="39"/>
      <c r="L896" s="41"/>
      <c r="M896" s="36" t="str">
        <f aca="true">IF(OR($B896="",$L896=""),"",DATEDIF($L896,TODAY(),"Y"))</f>
        <v/>
      </c>
      <c r="N896" s="40" t="str">
        <f aca="false">IF($M896="","",INDEX(usia_label,MATCH($M896,usia_min,1)))</f>
        <v/>
      </c>
      <c r="O896" s="37"/>
      <c r="P896" s="41"/>
      <c r="Q896" s="37"/>
      <c r="R896" s="37"/>
      <c r="S896" s="40" t="str">
        <f aca="false">IF($G896="","",$G896&amp;"#"&amp;COUNTIF($G$4:$G896,$G896))</f>
        <v/>
      </c>
      <c r="T896" s="40" t="str">
        <f aca="false">IF($B896="","",IF($C896="","NIK kosong",IF(LEN($C896)&lt;&gt;16,"NIK bukan 16 digit",IF(COUNTIF($C$4:$C$2003,$C896&amp;"*")&gt;1,"NIK ganda",IF($E896="","Kadus kosong",IF($F896="","RT kosong",IF($H896="","Jabatan kosong",IF($I896="","No. HP kosong",IF($J896="","Alamat kosong",IF(AND($M896&lt;&gt;"",$M896&lt;17),"Usia di bawah 17",""))))))))))</f>
        <v/>
      </c>
      <c r="U896" s="40" t="str">
        <f aca="false">IF($B896="","",IF(AND(OR(CARI!$C$5="",ISNUMBER(SEARCH(CARI!$C$5,$B896&amp;" "&amp;$C896&amp;" "&amp;$I896&amp;" "&amp;$J896&amp;" "&amp;$Q896))),OR(CARI!$C$6="",$E896=CARI!$C$6),OR(CARI!$C$7="",$F896=CARI!$C$7),OR(CARI!$C$8="",$O896=CARI!$C$8)),MAX($U$3:U895)+1,""))</f>
        <v/>
      </c>
      <c r="V896" s="40" t="str">
        <f aca="false">IF($T896="","",MAX($V$3:V895)+1)</f>
        <v/>
      </c>
      <c r="W896" s="40" t="str">
        <f aca="false">IF($E896="","",$E896&amp;"#"&amp;COUNTIF($E$4:$E896,$E896))</f>
        <v/>
      </c>
      <c r="X896" s="40" t="str">
        <f aca="false">IF($B896="","",IF(AND(OR(CETAK!$J$10="",$E896=CETAK!$J$10),OR(CETAK!$J$11="",$F896=CETAK!$J$11),OR(CETAK!$J$12="",$K896=CETAK!$J$12),OR(CETAK!$J$13="",$H896=CETAK!$J$13),OR(CETAK!$J$14="",$O896=CETAK!$J$14)),MAX($X$3:X895)+1,""))</f>
        <v/>
      </c>
      <c r="Y896" s="40" t="str">
        <f aca="false">IF($B896="","",IF(AND(OR(ABSENSI!$H$10="",$E896=ABSENSI!$H$10),OR(ABSENSI!$H$11="",$F896=ABSENSI!$H$11),OR(ABSENSI!$H$12="",$K896=ABSENSI!$H$12)),MAX($Y$3:Y895)+1,""))</f>
        <v/>
      </c>
      <c r="Z896" s="40" t="str">
        <f aca="false">IF($B896="","",IF(AND(OR(KARTU!$K$6="",$E896=KARTU!$K$6),OR(KARTU!$K$7="",$F896=KARTU!$K$7),OR(KARTU!$K$8="",$K896=KARTU!$K$8)),MAX($Z$3:Z895)+1,""))</f>
        <v/>
      </c>
    </row>
    <row r="897" customFormat="false" ht="15" hidden="false" customHeight="false" outlineLevel="0" collapsed="false">
      <c r="A897" s="36" t="str">
        <f aca="false">IF($B897="","",COUNTA($B$4:$B897))</f>
        <v/>
      </c>
      <c r="B897" s="37"/>
      <c r="C897" s="38"/>
      <c r="D897" s="39"/>
      <c r="E897" s="37"/>
      <c r="F897" s="39"/>
      <c r="G897" s="40" t="str">
        <f aca="false">IF(OR($E897="",$F897=""),"",$E897&amp;" - RT "&amp;$F897)</f>
        <v/>
      </c>
      <c r="H897" s="37"/>
      <c r="I897" s="38"/>
      <c r="J897" s="37"/>
      <c r="K897" s="39"/>
      <c r="L897" s="41"/>
      <c r="M897" s="36" t="str">
        <f aca="true">IF(OR($B897="",$L897=""),"",DATEDIF($L897,TODAY(),"Y"))</f>
        <v/>
      </c>
      <c r="N897" s="40" t="str">
        <f aca="false">IF($M897="","",INDEX(usia_label,MATCH($M897,usia_min,1)))</f>
        <v/>
      </c>
      <c r="O897" s="37"/>
      <c r="P897" s="41"/>
      <c r="Q897" s="37"/>
      <c r="R897" s="37"/>
      <c r="S897" s="40" t="str">
        <f aca="false">IF($G897="","",$G897&amp;"#"&amp;COUNTIF($G$4:$G897,$G897))</f>
        <v/>
      </c>
      <c r="T897" s="40" t="str">
        <f aca="false">IF($B897="","",IF($C897="","NIK kosong",IF(LEN($C897)&lt;&gt;16,"NIK bukan 16 digit",IF(COUNTIF($C$4:$C$2003,$C897&amp;"*")&gt;1,"NIK ganda",IF($E897="","Kadus kosong",IF($F897="","RT kosong",IF($H897="","Jabatan kosong",IF($I897="","No. HP kosong",IF($J897="","Alamat kosong",IF(AND($M897&lt;&gt;"",$M897&lt;17),"Usia di bawah 17",""))))))))))</f>
        <v/>
      </c>
      <c r="U897" s="40" t="str">
        <f aca="false">IF($B897="","",IF(AND(OR(CARI!$C$5="",ISNUMBER(SEARCH(CARI!$C$5,$B897&amp;" "&amp;$C897&amp;" "&amp;$I897&amp;" "&amp;$J897&amp;" "&amp;$Q897))),OR(CARI!$C$6="",$E897=CARI!$C$6),OR(CARI!$C$7="",$F897=CARI!$C$7),OR(CARI!$C$8="",$O897=CARI!$C$8)),MAX($U$3:U896)+1,""))</f>
        <v/>
      </c>
      <c r="V897" s="40" t="str">
        <f aca="false">IF($T897="","",MAX($V$3:V896)+1)</f>
        <v/>
      </c>
      <c r="W897" s="40" t="str">
        <f aca="false">IF($E897="","",$E897&amp;"#"&amp;COUNTIF($E$4:$E897,$E897))</f>
        <v/>
      </c>
      <c r="X897" s="40" t="str">
        <f aca="false">IF($B897="","",IF(AND(OR(CETAK!$J$10="",$E897=CETAK!$J$10),OR(CETAK!$J$11="",$F897=CETAK!$J$11),OR(CETAK!$J$12="",$K897=CETAK!$J$12),OR(CETAK!$J$13="",$H897=CETAK!$J$13),OR(CETAK!$J$14="",$O897=CETAK!$J$14)),MAX($X$3:X896)+1,""))</f>
        <v/>
      </c>
      <c r="Y897" s="40" t="str">
        <f aca="false">IF($B897="","",IF(AND(OR(ABSENSI!$H$10="",$E897=ABSENSI!$H$10),OR(ABSENSI!$H$11="",$F897=ABSENSI!$H$11),OR(ABSENSI!$H$12="",$K897=ABSENSI!$H$12)),MAX($Y$3:Y896)+1,""))</f>
        <v/>
      </c>
      <c r="Z897" s="40" t="str">
        <f aca="false">IF($B897="","",IF(AND(OR(KARTU!$K$6="",$E897=KARTU!$K$6),OR(KARTU!$K$7="",$F897=KARTU!$K$7),OR(KARTU!$K$8="",$K897=KARTU!$K$8)),MAX($Z$3:Z896)+1,""))</f>
        <v/>
      </c>
    </row>
    <row r="898" customFormat="false" ht="15" hidden="false" customHeight="false" outlineLevel="0" collapsed="false">
      <c r="A898" s="36" t="str">
        <f aca="false">IF($B898="","",COUNTA($B$4:$B898))</f>
        <v/>
      </c>
      <c r="B898" s="37"/>
      <c r="C898" s="38"/>
      <c r="D898" s="39"/>
      <c r="E898" s="37"/>
      <c r="F898" s="39"/>
      <c r="G898" s="40" t="str">
        <f aca="false">IF(OR($E898="",$F898=""),"",$E898&amp;" - RT "&amp;$F898)</f>
        <v/>
      </c>
      <c r="H898" s="37"/>
      <c r="I898" s="38"/>
      <c r="J898" s="37"/>
      <c r="K898" s="39"/>
      <c r="L898" s="41"/>
      <c r="M898" s="36" t="str">
        <f aca="true">IF(OR($B898="",$L898=""),"",DATEDIF($L898,TODAY(),"Y"))</f>
        <v/>
      </c>
      <c r="N898" s="40" t="str">
        <f aca="false">IF($M898="","",INDEX(usia_label,MATCH($M898,usia_min,1)))</f>
        <v/>
      </c>
      <c r="O898" s="37"/>
      <c r="P898" s="41"/>
      <c r="Q898" s="37"/>
      <c r="R898" s="37"/>
      <c r="S898" s="40" t="str">
        <f aca="false">IF($G898="","",$G898&amp;"#"&amp;COUNTIF($G$4:$G898,$G898))</f>
        <v/>
      </c>
      <c r="T898" s="40" t="str">
        <f aca="false">IF($B898="","",IF($C898="","NIK kosong",IF(LEN($C898)&lt;&gt;16,"NIK bukan 16 digit",IF(COUNTIF($C$4:$C$2003,$C898&amp;"*")&gt;1,"NIK ganda",IF($E898="","Kadus kosong",IF($F898="","RT kosong",IF($H898="","Jabatan kosong",IF($I898="","No. HP kosong",IF($J898="","Alamat kosong",IF(AND($M898&lt;&gt;"",$M898&lt;17),"Usia di bawah 17",""))))))))))</f>
        <v/>
      </c>
      <c r="U898" s="40" t="str">
        <f aca="false">IF($B898="","",IF(AND(OR(CARI!$C$5="",ISNUMBER(SEARCH(CARI!$C$5,$B898&amp;" "&amp;$C898&amp;" "&amp;$I898&amp;" "&amp;$J898&amp;" "&amp;$Q898))),OR(CARI!$C$6="",$E898=CARI!$C$6),OR(CARI!$C$7="",$F898=CARI!$C$7),OR(CARI!$C$8="",$O898=CARI!$C$8)),MAX($U$3:U897)+1,""))</f>
        <v/>
      </c>
      <c r="V898" s="40" t="str">
        <f aca="false">IF($T898="","",MAX($V$3:V897)+1)</f>
        <v/>
      </c>
      <c r="W898" s="40" t="str">
        <f aca="false">IF($E898="","",$E898&amp;"#"&amp;COUNTIF($E$4:$E898,$E898))</f>
        <v/>
      </c>
      <c r="X898" s="40" t="str">
        <f aca="false">IF($B898="","",IF(AND(OR(CETAK!$J$10="",$E898=CETAK!$J$10),OR(CETAK!$J$11="",$F898=CETAK!$J$11),OR(CETAK!$J$12="",$K898=CETAK!$J$12),OR(CETAK!$J$13="",$H898=CETAK!$J$13),OR(CETAK!$J$14="",$O898=CETAK!$J$14)),MAX($X$3:X897)+1,""))</f>
        <v/>
      </c>
      <c r="Y898" s="40" t="str">
        <f aca="false">IF($B898="","",IF(AND(OR(ABSENSI!$H$10="",$E898=ABSENSI!$H$10),OR(ABSENSI!$H$11="",$F898=ABSENSI!$H$11),OR(ABSENSI!$H$12="",$K898=ABSENSI!$H$12)),MAX($Y$3:Y897)+1,""))</f>
        <v/>
      </c>
      <c r="Z898" s="40" t="str">
        <f aca="false">IF($B898="","",IF(AND(OR(KARTU!$K$6="",$E898=KARTU!$K$6),OR(KARTU!$K$7="",$F898=KARTU!$K$7),OR(KARTU!$K$8="",$K898=KARTU!$K$8)),MAX($Z$3:Z897)+1,""))</f>
        <v/>
      </c>
    </row>
    <row r="899" customFormat="false" ht="15" hidden="false" customHeight="false" outlineLevel="0" collapsed="false">
      <c r="A899" s="36" t="str">
        <f aca="false">IF($B899="","",COUNTA($B$4:$B899))</f>
        <v/>
      </c>
      <c r="B899" s="37"/>
      <c r="C899" s="38"/>
      <c r="D899" s="39"/>
      <c r="E899" s="37"/>
      <c r="F899" s="39"/>
      <c r="G899" s="40" t="str">
        <f aca="false">IF(OR($E899="",$F899=""),"",$E899&amp;" - RT "&amp;$F899)</f>
        <v/>
      </c>
      <c r="H899" s="37"/>
      <c r="I899" s="38"/>
      <c r="J899" s="37"/>
      <c r="K899" s="39"/>
      <c r="L899" s="41"/>
      <c r="M899" s="36" t="str">
        <f aca="true">IF(OR($B899="",$L899=""),"",DATEDIF($L899,TODAY(),"Y"))</f>
        <v/>
      </c>
      <c r="N899" s="40" t="str">
        <f aca="false">IF($M899="","",INDEX(usia_label,MATCH($M899,usia_min,1)))</f>
        <v/>
      </c>
      <c r="O899" s="37"/>
      <c r="P899" s="41"/>
      <c r="Q899" s="37"/>
      <c r="R899" s="37"/>
      <c r="S899" s="40" t="str">
        <f aca="false">IF($G899="","",$G899&amp;"#"&amp;COUNTIF($G$4:$G899,$G899))</f>
        <v/>
      </c>
      <c r="T899" s="40" t="str">
        <f aca="false">IF($B899="","",IF($C899="","NIK kosong",IF(LEN($C899)&lt;&gt;16,"NIK bukan 16 digit",IF(COUNTIF($C$4:$C$2003,$C899&amp;"*")&gt;1,"NIK ganda",IF($E899="","Kadus kosong",IF($F899="","RT kosong",IF($H899="","Jabatan kosong",IF($I899="","No. HP kosong",IF($J899="","Alamat kosong",IF(AND($M899&lt;&gt;"",$M899&lt;17),"Usia di bawah 17",""))))))))))</f>
        <v/>
      </c>
      <c r="U899" s="40" t="str">
        <f aca="false">IF($B899="","",IF(AND(OR(CARI!$C$5="",ISNUMBER(SEARCH(CARI!$C$5,$B899&amp;" "&amp;$C899&amp;" "&amp;$I899&amp;" "&amp;$J899&amp;" "&amp;$Q899))),OR(CARI!$C$6="",$E899=CARI!$C$6),OR(CARI!$C$7="",$F899=CARI!$C$7),OR(CARI!$C$8="",$O899=CARI!$C$8)),MAX($U$3:U898)+1,""))</f>
        <v/>
      </c>
      <c r="V899" s="40" t="str">
        <f aca="false">IF($T899="","",MAX($V$3:V898)+1)</f>
        <v/>
      </c>
      <c r="W899" s="40" t="str">
        <f aca="false">IF($E899="","",$E899&amp;"#"&amp;COUNTIF($E$4:$E899,$E899))</f>
        <v/>
      </c>
      <c r="X899" s="40" t="str">
        <f aca="false">IF($B899="","",IF(AND(OR(CETAK!$J$10="",$E899=CETAK!$J$10),OR(CETAK!$J$11="",$F899=CETAK!$J$11),OR(CETAK!$J$12="",$K899=CETAK!$J$12),OR(CETAK!$J$13="",$H899=CETAK!$J$13),OR(CETAK!$J$14="",$O899=CETAK!$J$14)),MAX($X$3:X898)+1,""))</f>
        <v/>
      </c>
      <c r="Y899" s="40" t="str">
        <f aca="false">IF($B899="","",IF(AND(OR(ABSENSI!$H$10="",$E899=ABSENSI!$H$10),OR(ABSENSI!$H$11="",$F899=ABSENSI!$H$11),OR(ABSENSI!$H$12="",$K899=ABSENSI!$H$12)),MAX($Y$3:Y898)+1,""))</f>
        <v/>
      </c>
      <c r="Z899" s="40" t="str">
        <f aca="false">IF($B899="","",IF(AND(OR(KARTU!$K$6="",$E899=KARTU!$K$6),OR(KARTU!$K$7="",$F899=KARTU!$K$7),OR(KARTU!$K$8="",$K899=KARTU!$K$8)),MAX($Z$3:Z898)+1,""))</f>
        <v/>
      </c>
    </row>
    <row r="900" customFormat="false" ht="15" hidden="false" customHeight="false" outlineLevel="0" collapsed="false">
      <c r="A900" s="36" t="str">
        <f aca="false">IF($B900="","",COUNTA($B$4:$B900))</f>
        <v/>
      </c>
      <c r="B900" s="37"/>
      <c r="C900" s="38"/>
      <c r="D900" s="39"/>
      <c r="E900" s="37"/>
      <c r="F900" s="39"/>
      <c r="G900" s="40" t="str">
        <f aca="false">IF(OR($E900="",$F900=""),"",$E900&amp;" - RT "&amp;$F900)</f>
        <v/>
      </c>
      <c r="H900" s="37"/>
      <c r="I900" s="38"/>
      <c r="J900" s="37"/>
      <c r="K900" s="39"/>
      <c r="L900" s="41"/>
      <c r="M900" s="36" t="str">
        <f aca="true">IF(OR($B900="",$L900=""),"",DATEDIF($L900,TODAY(),"Y"))</f>
        <v/>
      </c>
      <c r="N900" s="40" t="str">
        <f aca="false">IF($M900="","",INDEX(usia_label,MATCH($M900,usia_min,1)))</f>
        <v/>
      </c>
      <c r="O900" s="37"/>
      <c r="P900" s="41"/>
      <c r="Q900" s="37"/>
      <c r="R900" s="37"/>
      <c r="S900" s="40" t="str">
        <f aca="false">IF($G900="","",$G900&amp;"#"&amp;COUNTIF($G$4:$G900,$G900))</f>
        <v/>
      </c>
      <c r="T900" s="40" t="str">
        <f aca="false">IF($B900="","",IF($C900="","NIK kosong",IF(LEN($C900)&lt;&gt;16,"NIK bukan 16 digit",IF(COUNTIF($C$4:$C$2003,$C900&amp;"*")&gt;1,"NIK ganda",IF($E900="","Kadus kosong",IF($F900="","RT kosong",IF($H900="","Jabatan kosong",IF($I900="","No. HP kosong",IF($J900="","Alamat kosong",IF(AND($M900&lt;&gt;"",$M900&lt;17),"Usia di bawah 17",""))))))))))</f>
        <v/>
      </c>
      <c r="U900" s="40" t="str">
        <f aca="false">IF($B900="","",IF(AND(OR(CARI!$C$5="",ISNUMBER(SEARCH(CARI!$C$5,$B900&amp;" "&amp;$C900&amp;" "&amp;$I900&amp;" "&amp;$J900&amp;" "&amp;$Q900))),OR(CARI!$C$6="",$E900=CARI!$C$6),OR(CARI!$C$7="",$F900=CARI!$C$7),OR(CARI!$C$8="",$O900=CARI!$C$8)),MAX($U$3:U899)+1,""))</f>
        <v/>
      </c>
      <c r="V900" s="40" t="str">
        <f aca="false">IF($T900="","",MAX($V$3:V899)+1)</f>
        <v/>
      </c>
      <c r="W900" s="40" t="str">
        <f aca="false">IF($E900="","",$E900&amp;"#"&amp;COUNTIF($E$4:$E900,$E900))</f>
        <v/>
      </c>
      <c r="X900" s="40" t="str">
        <f aca="false">IF($B900="","",IF(AND(OR(CETAK!$J$10="",$E900=CETAK!$J$10),OR(CETAK!$J$11="",$F900=CETAK!$J$11),OR(CETAK!$J$12="",$K900=CETAK!$J$12),OR(CETAK!$J$13="",$H900=CETAK!$J$13),OR(CETAK!$J$14="",$O900=CETAK!$J$14)),MAX($X$3:X899)+1,""))</f>
        <v/>
      </c>
      <c r="Y900" s="40" t="str">
        <f aca="false">IF($B900="","",IF(AND(OR(ABSENSI!$H$10="",$E900=ABSENSI!$H$10),OR(ABSENSI!$H$11="",$F900=ABSENSI!$H$11),OR(ABSENSI!$H$12="",$K900=ABSENSI!$H$12)),MAX($Y$3:Y899)+1,""))</f>
        <v/>
      </c>
      <c r="Z900" s="40" t="str">
        <f aca="false">IF($B900="","",IF(AND(OR(KARTU!$K$6="",$E900=KARTU!$K$6),OR(KARTU!$K$7="",$F900=KARTU!$K$7),OR(KARTU!$K$8="",$K900=KARTU!$K$8)),MAX($Z$3:Z899)+1,""))</f>
        <v/>
      </c>
    </row>
    <row r="901" customFormat="false" ht="15" hidden="false" customHeight="false" outlineLevel="0" collapsed="false">
      <c r="A901" s="36" t="str">
        <f aca="false">IF($B901="","",COUNTA($B$4:$B901))</f>
        <v/>
      </c>
      <c r="B901" s="37"/>
      <c r="C901" s="38"/>
      <c r="D901" s="39"/>
      <c r="E901" s="37"/>
      <c r="F901" s="39"/>
      <c r="G901" s="40" t="str">
        <f aca="false">IF(OR($E901="",$F901=""),"",$E901&amp;" - RT "&amp;$F901)</f>
        <v/>
      </c>
      <c r="H901" s="37"/>
      <c r="I901" s="38"/>
      <c r="J901" s="37"/>
      <c r="K901" s="39"/>
      <c r="L901" s="41"/>
      <c r="M901" s="36" t="str">
        <f aca="true">IF(OR($B901="",$L901=""),"",DATEDIF($L901,TODAY(),"Y"))</f>
        <v/>
      </c>
      <c r="N901" s="40" t="str">
        <f aca="false">IF($M901="","",INDEX(usia_label,MATCH($M901,usia_min,1)))</f>
        <v/>
      </c>
      <c r="O901" s="37"/>
      <c r="P901" s="41"/>
      <c r="Q901" s="37"/>
      <c r="R901" s="37"/>
      <c r="S901" s="40" t="str">
        <f aca="false">IF($G901="","",$G901&amp;"#"&amp;COUNTIF($G$4:$G901,$G901))</f>
        <v/>
      </c>
      <c r="T901" s="40" t="str">
        <f aca="false">IF($B901="","",IF($C901="","NIK kosong",IF(LEN($C901)&lt;&gt;16,"NIK bukan 16 digit",IF(COUNTIF($C$4:$C$2003,$C901&amp;"*")&gt;1,"NIK ganda",IF($E901="","Kadus kosong",IF($F901="","RT kosong",IF($H901="","Jabatan kosong",IF($I901="","No. HP kosong",IF($J901="","Alamat kosong",IF(AND($M901&lt;&gt;"",$M901&lt;17),"Usia di bawah 17",""))))))))))</f>
        <v/>
      </c>
      <c r="U901" s="40" t="str">
        <f aca="false">IF($B901="","",IF(AND(OR(CARI!$C$5="",ISNUMBER(SEARCH(CARI!$C$5,$B901&amp;" "&amp;$C901&amp;" "&amp;$I901&amp;" "&amp;$J901&amp;" "&amp;$Q901))),OR(CARI!$C$6="",$E901=CARI!$C$6),OR(CARI!$C$7="",$F901=CARI!$C$7),OR(CARI!$C$8="",$O901=CARI!$C$8)),MAX($U$3:U900)+1,""))</f>
        <v/>
      </c>
      <c r="V901" s="40" t="str">
        <f aca="false">IF($T901="","",MAX($V$3:V900)+1)</f>
        <v/>
      </c>
      <c r="W901" s="40" t="str">
        <f aca="false">IF($E901="","",$E901&amp;"#"&amp;COUNTIF($E$4:$E901,$E901))</f>
        <v/>
      </c>
      <c r="X901" s="40" t="str">
        <f aca="false">IF($B901="","",IF(AND(OR(CETAK!$J$10="",$E901=CETAK!$J$10),OR(CETAK!$J$11="",$F901=CETAK!$J$11),OR(CETAK!$J$12="",$K901=CETAK!$J$12),OR(CETAK!$J$13="",$H901=CETAK!$J$13),OR(CETAK!$J$14="",$O901=CETAK!$J$14)),MAX($X$3:X900)+1,""))</f>
        <v/>
      </c>
      <c r="Y901" s="40" t="str">
        <f aca="false">IF($B901="","",IF(AND(OR(ABSENSI!$H$10="",$E901=ABSENSI!$H$10),OR(ABSENSI!$H$11="",$F901=ABSENSI!$H$11),OR(ABSENSI!$H$12="",$K901=ABSENSI!$H$12)),MAX($Y$3:Y900)+1,""))</f>
        <v/>
      </c>
      <c r="Z901" s="40" t="str">
        <f aca="false">IF($B901="","",IF(AND(OR(KARTU!$K$6="",$E901=KARTU!$K$6),OR(KARTU!$K$7="",$F901=KARTU!$K$7),OR(KARTU!$K$8="",$K901=KARTU!$K$8)),MAX($Z$3:Z900)+1,""))</f>
        <v/>
      </c>
    </row>
    <row r="902" customFormat="false" ht="15" hidden="false" customHeight="false" outlineLevel="0" collapsed="false">
      <c r="A902" s="36" t="str">
        <f aca="false">IF($B902="","",COUNTA($B$4:$B902))</f>
        <v/>
      </c>
      <c r="B902" s="37"/>
      <c r="C902" s="38"/>
      <c r="D902" s="39"/>
      <c r="E902" s="37"/>
      <c r="F902" s="39"/>
      <c r="G902" s="40" t="str">
        <f aca="false">IF(OR($E902="",$F902=""),"",$E902&amp;" - RT "&amp;$F902)</f>
        <v/>
      </c>
      <c r="H902" s="37"/>
      <c r="I902" s="38"/>
      <c r="J902" s="37"/>
      <c r="K902" s="39"/>
      <c r="L902" s="41"/>
      <c r="M902" s="36" t="str">
        <f aca="true">IF(OR($B902="",$L902=""),"",DATEDIF($L902,TODAY(),"Y"))</f>
        <v/>
      </c>
      <c r="N902" s="40" t="str">
        <f aca="false">IF($M902="","",INDEX(usia_label,MATCH($M902,usia_min,1)))</f>
        <v/>
      </c>
      <c r="O902" s="37"/>
      <c r="P902" s="41"/>
      <c r="Q902" s="37"/>
      <c r="R902" s="37"/>
      <c r="S902" s="40" t="str">
        <f aca="false">IF($G902="","",$G902&amp;"#"&amp;COUNTIF($G$4:$G902,$G902))</f>
        <v/>
      </c>
      <c r="T902" s="40" t="str">
        <f aca="false">IF($B902="","",IF($C902="","NIK kosong",IF(LEN($C902)&lt;&gt;16,"NIK bukan 16 digit",IF(COUNTIF($C$4:$C$2003,$C902&amp;"*")&gt;1,"NIK ganda",IF($E902="","Kadus kosong",IF($F902="","RT kosong",IF($H902="","Jabatan kosong",IF($I902="","No. HP kosong",IF($J902="","Alamat kosong",IF(AND($M902&lt;&gt;"",$M902&lt;17),"Usia di bawah 17",""))))))))))</f>
        <v/>
      </c>
      <c r="U902" s="40" t="str">
        <f aca="false">IF($B902="","",IF(AND(OR(CARI!$C$5="",ISNUMBER(SEARCH(CARI!$C$5,$B902&amp;" "&amp;$C902&amp;" "&amp;$I902&amp;" "&amp;$J902&amp;" "&amp;$Q902))),OR(CARI!$C$6="",$E902=CARI!$C$6),OR(CARI!$C$7="",$F902=CARI!$C$7),OR(CARI!$C$8="",$O902=CARI!$C$8)),MAX($U$3:U901)+1,""))</f>
        <v/>
      </c>
      <c r="V902" s="40" t="str">
        <f aca="false">IF($T902="","",MAX($V$3:V901)+1)</f>
        <v/>
      </c>
      <c r="W902" s="40" t="str">
        <f aca="false">IF($E902="","",$E902&amp;"#"&amp;COUNTIF($E$4:$E902,$E902))</f>
        <v/>
      </c>
      <c r="X902" s="40" t="str">
        <f aca="false">IF($B902="","",IF(AND(OR(CETAK!$J$10="",$E902=CETAK!$J$10),OR(CETAK!$J$11="",$F902=CETAK!$J$11),OR(CETAK!$J$12="",$K902=CETAK!$J$12),OR(CETAK!$J$13="",$H902=CETAK!$J$13),OR(CETAK!$J$14="",$O902=CETAK!$J$14)),MAX($X$3:X901)+1,""))</f>
        <v/>
      </c>
      <c r="Y902" s="40" t="str">
        <f aca="false">IF($B902="","",IF(AND(OR(ABSENSI!$H$10="",$E902=ABSENSI!$H$10),OR(ABSENSI!$H$11="",$F902=ABSENSI!$H$11),OR(ABSENSI!$H$12="",$K902=ABSENSI!$H$12)),MAX($Y$3:Y901)+1,""))</f>
        <v/>
      </c>
      <c r="Z902" s="40" t="str">
        <f aca="false">IF($B902="","",IF(AND(OR(KARTU!$K$6="",$E902=KARTU!$K$6),OR(KARTU!$K$7="",$F902=KARTU!$K$7),OR(KARTU!$K$8="",$K902=KARTU!$K$8)),MAX($Z$3:Z901)+1,""))</f>
        <v/>
      </c>
    </row>
    <row r="903" customFormat="false" ht="15" hidden="false" customHeight="false" outlineLevel="0" collapsed="false">
      <c r="A903" s="36" t="str">
        <f aca="false">IF($B903="","",COUNTA($B$4:$B903))</f>
        <v/>
      </c>
      <c r="B903" s="37"/>
      <c r="C903" s="38"/>
      <c r="D903" s="39"/>
      <c r="E903" s="37"/>
      <c r="F903" s="39"/>
      <c r="G903" s="40" t="str">
        <f aca="false">IF(OR($E903="",$F903=""),"",$E903&amp;" - RT "&amp;$F903)</f>
        <v/>
      </c>
      <c r="H903" s="37"/>
      <c r="I903" s="38"/>
      <c r="J903" s="37"/>
      <c r="K903" s="39"/>
      <c r="L903" s="41"/>
      <c r="M903" s="36" t="str">
        <f aca="true">IF(OR($B903="",$L903=""),"",DATEDIF($L903,TODAY(),"Y"))</f>
        <v/>
      </c>
      <c r="N903" s="40" t="str">
        <f aca="false">IF($M903="","",INDEX(usia_label,MATCH($M903,usia_min,1)))</f>
        <v/>
      </c>
      <c r="O903" s="37"/>
      <c r="P903" s="41"/>
      <c r="Q903" s="37"/>
      <c r="R903" s="37"/>
      <c r="S903" s="40" t="str">
        <f aca="false">IF($G903="","",$G903&amp;"#"&amp;COUNTIF($G$4:$G903,$G903))</f>
        <v/>
      </c>
      <c r="T903" s="40" t="str">
        <f aca="false">IF($B903="","",IF($C903="","NIK kosong",IF(LEN($C903)&lt;&gt;16,"NIK bukan 16 digit",IF(COUNTIF($C$4:$C$2003,$C903&amp;"*")&gt;1,"NIK ganda",IF($E903="","Kadus kosong",IF($F903="","RT kosong",IF($H903="","Jabatan kosong",IF($I903="","No. HP kosong",IF($J903="","Alamat kosong",IF(AND($M903&lt;&gt;"",$M903&lt;17),"Usia di bawah 17",""))))))))))</f>
        <v/>
      </c>
      <c r="U903" s="40" t="str">
        <f aca="false">IF($B903="","",IF(AND(OR(CARI!$C$5="",ISNUMBER(SEARCH(CARI!$C$5,$B903&amp;" "&amp;$C903&amp;" "&amp;$I903&amp;" "&amp;$J903&amp;" "&amp;$Q903))),OR(CARI!$C$6="",$E903=CARI!$C$6),OR(CARI!$C$7="",$F903=CARI!$C$7),OR(CARI!$C$8="",$O903=CARI!$C$8)),MAX($U$3:U902)+1,""))</f>
        <v/>
      </c>
      <c r="V903" s="40" t="str">
        <f aca="false">IF($T903="","",MAX($V$3:V902)+1)</f>
        <v/>
      </c>
      <c r="W903" s="40" t="str">
        <f aca="false">IF($E903="","",$E903&amp;"#"&amp;COUNTIF($E$4:$E903,$E903))</f>
        <v/>
      </c>
      <c r="X903" s="40" t="str">
        <f aca="false">IF($B903="","",IF(AND(OR(CETAK!$J$10="",$E903=CETAK!$J$10),OR(CETAK!$J$11="",$F903=CETAK!$J$11),OR(CETAK!$J$12="",$K903=CETAK!$J$12),OR(CETAK!$J$13="",$H903=CETAK!$J$13),OR(CETAK!$J$14="",$O903=CETAK!$J$14)),MAX($X$3:X902)+1,""))</f>
        <v/>
      </c>
      <c r="Y903" s="40" t="str">
        <f aca="false">IF($B903="","",IF(AND(OR(ABSENSI!$H$10="",$E903=ABSENSI!$H$10),OR(ABSENSI!$H$11="",$F903=ABSENSI!$H$11),OR(ABSENSI!$H$12="",$K903=ABSENSI!$H$12)),MAX($Y$3:Y902)+1,""))</f>
        <v/>
      </c>
      <c r="Z903" s="40" t="str">
        <f aca="false">IF($B903="","",IF(AND(OR(KARTU!$K$6="",$E903=KARTU!$K$6),OR(KARTU!$K$7="",$F903=KARTU!$K$7),OR(KARTU!$K$8="",$K903=KARTU!$K$8)),MAX($Z$3:Z902)+1,""))</f>
        <v/>
      </c>
    </row>
    <row r="904" customFormat="false" ht="15" hidden="false" customHeight="false" outlineLevel="0" collapsed="false">
      <c r="A904" s="36" t="str">
        <f aca="false">IF($B904="","",COUNTA($B$4:$B904))</f>
        <v/>
      </c>
      <c r="B904" s="37"/>
      <c r="C904" s="38"/>
      <c r="D904" s="39"/>
      <c r="E904" s="37"/>
      <c r="F904" s="39"/>
      <c r="G904" s="40" t="str">
        <f aca="false">IF(OR($E904="",$F904=""),"",$E904&amp;" - RT "&amp;$F904)</f>
        <v/>
      </c>
      <c r="H904" s="37"/>
      <c r="I904" s="38"/>
      <c r="J904" s="37"/>
      <c r="K904" s="39"/>
      <c r="L904" s="41"/>
      <c r="M904" s="36" t="str">
        <f aca="true">IF(OR($B904="",$L904=""),"",DATEDIF($L904,TODAY(),"Y"))</f>
        <v/>
      </c>
      <c r="N904" s="40" t="str">
        <f aca="false">IF($M904="","",INDEX(usia_label,MATCH($M904,usia_min,1)))</f>
        <v/>
      </c>
      <c r="O904" s="37"/>
      <c r="P904" s="41"/>
      <c r="Q904" s="37"/>
      <c r="R904" s="37"/>
      <c r="S904" s="40" t="str">
        <f aca="false">IF($G904="","",$G904&amp;"#"&amp;COUNTIF($G$4:$G904,$G904))</f>
        <v/>
      </c>
      <c r="T904" s="40" t="str">
        <f aca="false">IF($B904="","",IF($C904="","NIK kosong",IF(LEN($C904)&lt;&gt;16,"NIK bukan 16 digit",IF(COUNTIF($C$4:$C$2003,$C904&amp;"*")&gt;1,"NIK ganda",IF($E904="","Kadus kosong",IF($F904="","RT kosong",IF($H904="","Jabatan kosong",IF($I904="","No. HP kosong",IF($J904="","Alamat kosong",IF(AND($M904&lt;&gt;"",$M904&lt;17),"Usia di bawah 17",""))))))))))</f>
        <v/>
      </c>
      <c r="U904" s="40" t="str">
        <f aca="false">IF($B904="","",IF(AND(OR(CARI!$C$5="",ISNUMBER(SEARCH(CARI!$C$5,$B904&amp;" "&amp;$C904&amp;" "&amp;$I904&amp;" "&amp;$J904&amp;" "&amp;$Q904))),OR(CARI!$C$6="",$E904=CARI!$C$6),OR(CARI!$C$7="",$F904=CARI!$C$7),OR(CARI!$C$8="",$O904=CARI!$C$8)),MAX($U$3:U903)+1,""))</f>
        <v/>
      </c>
      <c r="V904" s="40" t="str">
        <f aca="false">IF($T904="","",MAX($V$3:V903)+1)</f>
        <v/>
      </c>
      <c r="W904" s="40" t="str">
        <f aca="false">IF($E904="","",$E904&amp;"#"&amp;COUNTIF($E$4:$E904,$E904))</f>
        <v/>
      </c>
      <c r="X904" s="40" t="str">
        <f aca="false">IF($B904="","",IF(AND(OR(CETAK!$J$10="",$E904=CETAK!$J$10),OR(CETAK!$J$11="",$F904=CETAK!$J$11),OR(CETAK!$J$12="",$K904=CETAK!$J$12),OR(CETAK!$J$13="",$H904=CETAK!$J$13),OR(CETAK!$J$14="",$O904=CETAK!$J$14)),MAX($X$3:X903)+1,""))</f>
        <v/>
      </c>
      <c r="Y904" s="40" t="str">
        <f aca="false">IF($B904="","",IF(AND(OR(ABSENSI!$H$10="",$E904=ABSENSI!$H$10),OR(ABSENSI!$H$11="",$F904=ABSENSI!$H$11),OR(ABSENSI!$H$12="",$K904=ABSENSI!$H$12)),MAX($Y$3:Y903)+1,""))</f>
        <v/>
      </c>
      <c r="Z904" s="40" t="str">
        <f aca="false">IF($B904="","",IF(AND(OR(KARTU!$K$6="",$E904=KARTU!$K$6),OR(KARTU!$K$7="",$F904=KARTU!$K$7),OR(KARTU!$K$8="",$K904=KARTU!$K$8)),MAX($Z$3:Z903)+1,""))</f>
        <v/>
      </c>
    </row>
    <row r="905" customFormat="false" ht="15" hidden="false" customHeight="false" outlineLevel="0" collapsed="false">
      <c r="A905" s="36" t="str">
        <f aca="false">IF($B905="","",COUNTA($B$4:$B905))</f>
        <v/>
      </c>
      <c r="B905" s="37"/>
      <c r="C905" s="38"/>
      <c r="D905" s="39"/>
      <c r="E905" s="37"/>
      <c r="F905" s="39"/>
      <c r="G905" s="40" t="str">
        <f aca="false">IF(OR($E905="",$F905=""),"",$E905&amp;" - RT "&amp;$F905)</f>
        <v/>
      </c>
      <c r="H905" s="37"/>
      <c r="I905" s="38"/>
      <c r="J905" s="37"/>
      <c r="K905" s="39"/>
      <c r="L905" s="41"/>
      <c r="M905" s="36" t="str">
        <f aca="true">IF(OR($B905="",$L905=""),"",DATEDIF($L905,TODAY(),"Y"))</f>
        <v/>
      </c>
      <c r="N905" s="40" t="str">
        <f aca="false">IF($M905="","",INDEX(usia_label,MATCH($M905,usia_min,1)))</f>
        <v/>
      </c>
      <c r="O905" s="37"/>
      <c r="P905" s="41"/>
      <c r="Q905" s="37"/>
      <c r="R905" s="37"/>
      <c r="S905" s="40" t="str">
        <f aca="false">IF($G905="","",$G905&amp;"#"&amp;COUNTIF($G$4:$G905,$G905))</f>
        <v/>
      </c>
      <c r="T905" s="40" t="str">
        <f aca="false">IF($B905="","",IF($C905="","NIK kosong",IF(LEN($C905)&lt;&gt;16,"NIK bukan 16 digit",IF(COUNTIF($C$4:$C$2003,$C905&amp;"*")&gt;1,"NIK ganda",IF($E905="","Kadus kosong",IF($F905="","RT kosong",IF($H905="","Jabatan kosong",IF($I905="","No. HP kosong",IF($J905="","Alamat kosong",IF(AND($M905&lt;&gt;"",$M905&lt;17),"Usia di bawah 17",""))))))))))</f>
        <v/>
      </c>
      <c r="U905" s="40" t="str">
        <f aca="false">IF($B905="","",IF(AND(OR(CARI!$C$5="",ISNUMBER(SEARCH(CARI!$C$5,$B905&amp;" "&amp;$C905&amp;" "&amp;$I905&amp;" "&amp;$J905&amp;" "&amp;$Q905))),OR(CARI!$C$6="",$E905=CARI!$C$6),OR(CARI!$C$7="",$F905=CARI!$C$7),OR(CARI!$C$8="",$O905=CARI!$C$8)),MAX($U$3:U904)+1,""))</f>
        <v/>
      </c>
      <c r="V905" s="40" t="str">
        <f aca="false">IF($T905="","",MAX($V$3:V904)+1)</f>
        <v/>
      </c>
      <c r="W905" s="40" t="str">
        <f aca="false">IF($E905="","",$E905&amp;"#"&amp;COUNTIF($E$4:$E905,$E905))</f>
        <v/>
      </c>
      <c r="X905" s="40" t="str">
        <f aca="false">IF($B905="","",IF(AND(OR(CETAK!$J$10="",$E905=CETAK!$J$10),OR(CETAK!$J$11="",$F905=CETAK!$J$11),OR(CETAK!$J$12="",$K905=CETAK!$J$12),OR(CETAK!$J$13="",$H905=CETAK!$J$13),OR(CETAK!$J$14="",$O905=CETAK!$J$14)),MAX($X$3:X904)+1,""))</f>
        <v/>
      </c>
      <c r="Y905" s="40" t="str">
        <f aca="false">IF($B905="","",IF(AND(OR(ABSENSI!$H$10="",$E905=ABSENSI!$H$10),OR(ABSENSI!$H$11="",$F905=ABSENSI!$H$11),OR(ABSENSI!$H$12="",$K905=ABSENSI!$H$12)),MAX($Y$3:Y904)+1,""))</f>
        <v/>
      </c>
      <c r="Z905" s="40" t="str">
        <f aca="false">IF($B905="","",IF(AND(OR(KARTU!$K$6="",$E905=KARTU!$K$6),OR(KARTU!$K$7="",$F905=KARTU!$K$7),OR(KARTU!$K$8="",$K905=KARTU!$K$8)),MAX($Z$3:Z904)+1,""))</f>
        <v/>
      </c>
    </row>
    <row r="906" customFormat="false" ht="15" hidden="false" customHeight="false" outlineLevel="0" collapsed="false">
      <c r="A906" s="36" t="str">
        <f aca="false">IF($B906="","",COUNTA($B$4:$B906))</f>
        <v/>
      </c>
      <c r="B906" s="37"/>
      <c r="C906" s="38"/>
      <c r="D906" s="39"/>
      <c r="E906" s="37"/>
      <c r="F906" s="39"/>
      <c r="G906" s="40" t="str">
        <f aca="false">IF(OR($E906="",$F906=""),"",$E906&amp;" - RT "&amp;$F906)</f>
        <v/>
      </c>
      <c r="H906" s="37"/>
      <c r="I906" s="38"/>
      <c r="J906" s="37"/>
      <c r="K906" s="39"/>
      <c r="L906" s="41"/>
      <c r="M906" s="36" t="str">
        <f aca="true">IF(OR($B906="",$L906=""),"",DATEDIF($L906,TODAY(),"Y"))</f>
        <v/>
      </c>
      <c r="N906" s="40" t="str">
        <f aca="false">IF($M906="","",INDEX(usia_label,MATCH($M906,usia_min,1)))</f>
        <v/>
      </c>
      <c r="O906" s="37"/>
      <c r="P906" s="41"/>
      <c r="Q906" s="37"/>
      <c r="R906" s="37"/>
      <c r="S906" s="40" t="str">
        <f aca="false">IF($G906="","",$G906&amp;"#"&amp;COUNTIF($G$4:$G906,$G906))</f>
        <v/>
      </c>
      <c r="T906" s="40" t="str">
        <f aca="false">IF($B906="","",IF($C906="","NIK kosong",IF(LEN($C906)&lt;&gt;16,"NIK bukan 16 digit",IF(COUNTIF($C$4:$C$2003,$C906&amp;"*")&gt;1,"NIK ganda",IF($E906="","Kadus kosong",IF($F906="","RT kosong",IF($H906="","Jabatan kosong",IF($I906="","No. HP kosong",IF($J906="","Alamat kosong",IF(AND($M906&lt;&gt;"",$M906&lt;17),"Usia di bawah 17",""))))))))))</f>
        <v/>
      </c>
      <c r="U906" s="40" t="str">
        <f aca="false">IF($B906="","",IF(AND(OR(CARI!$C$5="",ISNUMBER(SEARCH(CARI!$C$5,$B906&amp;" "&amp;$C906&amp;" "&amp;$I906&amp;" "&amp;$J906&amp;" "&amp;$Q906))),OR(CARI!$C$6="",$E906=CARI!$C$6),OR(CARI!$C$7="",$F906=CARI!$C$7),OR(CARI!$C$8="",$O906=CARI!$C$8)),MAX($U$3:U905)+1,""))</f>
        <v/>
      </c>
      <c r="V906" s="40" t="str">
        <f aca="false">IF($T906="","",MAX($V$3:V905)+1)</f>
        <v/>
      </c>
      <c r="W906" s="40" t="str">
        <f aca="false">IF($E906="","",$E906&amp;"#"&amp;COUNTIF($E$4:$E906,$E906))</f>
        <v/>
      </c>
      <c r="X906" s="40" t="str">
        <f aca="false">IF($B906="","",IF(AND(OR(CETAK!$J$10="",$E906=CETAK!$J$10),OR(CETAK!$J$11="",$F906=CETAK!$J$11),OR(CETAK!$J$12="",$K906=CETAK!$J$12),OR(CETAK!$J$13="",$H906=CETAK!$J$13),OR(CETAK!$J$14="",$O906=CETAK!$J$14)),MAX($X$3:X905)+1,""))</f>
        <v/>
      </c>
      <c r="Y906" s="40" t="str">
        <f aca="false">IF($B906="","",IF(AND(OR(ABSENSI!$H$10="",$E906=ABSENSI!$H$10),OR(ABSENSI!$H$11="",$F906=ABSENSI!$H$11),OR(ABSENSI!$H$12="",$K906=ABSENSI!$H$12)),MAX($Y$3:Y905)+1,""))</f>
        <v/>
      </c>
      <c r="Z906" s="40" t="str">
        <f aca="false">IF($B906="","",IF(AND(OR(KARTU!$K$6="",$E906=KARTU!$K$6),OR(KARTU!$K$7="",$F906=KARTU!$K$7),OR(KARTU!$K$8="",$K906=KARTU!$K$8)),MAX($Z$3:Z905)+1,""))</f>
        <v/>
      </c>
    </row>
    <row r="907" customFormat="false" ht="15" hidden="false" customHeight="false" outlineLevel="0" collapsed="false">
      <c r="A907" s="36" t="str">
        <f aca="false">IF($B907="","",COUNTA($B$4:$B907))</f>
        <v/>
      </c>
      <c r="B907" s="37"/>
      <c r="C907" s="38"/>
      <c r="D907" s="39"/>
      <c r="E907" s="37"/>
      <c r="F907" s="39"/>
      <c r="G907" s="40" t="str">
        <f aca="false">IF(OR($E907="",$F907=""),"",$E907&amp;" - RT "&amp;$F907)</f>
        <v/>
      </c>
      <c r="H907" s="37"/>
      <c r="I907" s="38"/>
      <c r="J907" s="37"/>
      <c r="K907" s="39"/>
      <c r="L907" s="41"/>
      <c r="M907" s="36" t="str">
        <f aca="true">IF(OR($B907="",$L907=""),"",DATEDIF($L907,TODAY(),"Y"))</f>
        <v/>
      </c>
      <c r="N907" s="40" t="str">
        <f aca="false">IF($M907="","",INDEX(usia_label,MATCH($M907,usia_min,1)))</f>
        <v/>
      </c>
      <c r="O907" s="37"/>
      <c r="P907" s="41"/>
      <c r="Q907" s="37"/>
      <c r="R907" s="37"/>
      <c r="S907" s="40" t="str">
        <f aca="false">IF($G907="","",$G907&amp;"#"&amp;COUNTIF($G$4:$G907,$G907))</f>
        <v/>
      </c>
      <c r="T907" s="40" t="str">
        <f aca="false">IF($B907="","",IF($C907="","NIK kosong",IF(LEN($C907)&lt;&gt;16,"NIK bukan 16 digit",IF(COUNTIF($C$4:$C$2003,$C907&amp;"*")&gt;1,"NIK ganda",IF($E907="","Kadus kosong",IF($F907="","RT kosong",IF($H907="","Jabatan kosong",IF($I907="","No. HP kosong",IF($J907="","Alamat kosong",IF(AND($M907&lt;&gt;"",$M907&lt;17),"Usia di bawah 17",""))))))))))</f>
        <v/>
      </c>
      <c r="U907" s="40" t="str">
        <f aca="false">IF($B907="","",IF(AND(OR(CARI!$C$5="",ISNUMBER(SEARCH(CARI!$C$5,$B907&amp;" "&amp;$C907&amp;" "&amp;$I907&amp;" "&amp;$J907&amp;" "&amp;$Q907))),OR(CARI!$C$6="",$E907=CARI!$C$6),OR(CARI!$C$7="",$F907=CARI!$C$7),OR(CARI!$C$8="",$O907=CARI!$C$8)),MAX($U$3:U906)+1,""))</f>
        <v/>
      </c>
      <c r="V907" s="40" t="str">
        <f aca="false">IF($T907="","",MAX($V$3:V906)+1)</f>
        <v/>
      </c>
      <c r="W907" s="40" t="str">
        <f aca="false">IF($E907="","",$E907&amp;"#"&amp;COUNTIF($E$4:$E907,$E907))</f>
        <v/>
      </c>
      <c r="X907" s="40" t="str">
        <f aca="false">IF($B907="","",IF(AND(OR(CETAK!$J$10="",$E907=CETAK!$J$10),OR(CETAK!$J$11="",$F907=CETAK!$J$11),OR(CETAK!$J$12="",$K907=CETAK!$J$12),OR(CETAK!$J$13="",$H907=CETAK!$J$13),OR(CETAK!$J$14="",$O907=CETAK!$J$14)),MAX($X$3:X906)+1,""))</f>
        <v/>
      </c>
      <c r="Y907" s="40" t="str">
        <f aca="false">IF($B907="","",IF(AND(OR(ABSENSI!$H$10="",$E907=ABSENSI!$H$10),OR(ABSENSI!$H$11="",$F907=ABSENSI!$H$11),OR(ABSENSI!$H$12="",$K907=ABSENSI!$H$12)),MAX($Y$3:Y906)+1,""))</f>
        <v/>
      </c>
      <c r="Z907" s="40" t="str">
        <f aca="false">IF($B907="","",IF(AND(OR(KARTU!$K$6="",$E907=KARTU!$K$6),OR(KARTU!$K$7="",$F907=KARTU!$K$7),OR(KARTU!$K$8="",$K907=KARTU!$K$8)),MAX($Z$3:Z906)+1,""))</f>
        <v/>
      </c>
    </row>
    <row r="908" customFormat="false" ht="15" hidden="false" customHeight="false" outlineLevel="0" collapsed="false">
      <c r="A908" s="36" t="str">
        <f aca="false">IF($B908="","",COUNTA($B$4:$B908))</f>
        <v/>
      </c>
      <c r="B908" s="37"/>
      <c r="C908" s="38"/>
      <c r="D908" s="39"/>
      <c r="E908" s="37"/>
      <c r="F908" s="39"/>
      <c r="G908" s="40" t="str">
        <f aca="false">IF(OR($E908="",$F908=""),"",$E908&amp;" - RT "&amp;$F908)</f>
        <v/>
      </c>
      <c r="H908" s="37"/>
      <c r="I908" s="38"/>
      <c r="J908" s="37"/>
      <c r="K908" s="39"/>
      <c r="L908" s="41"/>
      <c r="M908" s="36" t="str">
        <f aca="true">IF(OR($B908="",$L908=""),"",DATEDIF($L908,TODAY(),"Y"))</f>
        <v/>
      </c>
      <c r="N908" s="40" t="str">
        <f aca="false">IF($M908="","",INDEX(usia_label,MATCH($M908,usia_min,1)))</f>
        <v/>
      </c>
      <c r="O908" s="37"/>
      <c r="P908" s="41"/>
      <c r="Q908" s="37"/>
      <c r="R908" s="37"/>
      <c r="S908" s="40" t="str">
        <f aca="false">IF($G908="","",$G908&amp;"#"&amp;COUNTIF($G$4:$G908,$G908))</f>
        <v/>
      </c>
      <c r="T908" s="40" t="str">
        <f aca="false">IF($B908="","",IF($C908="","NIK kosong",IF(LEN($C908)&lt;&gt;16,"NIK bukan 16 digit",IF(COUNTIF($C$4:$C$2003,$C908&amp;"*")&gt;1,"NIK ganda",IF($E908="","Kadus kosong",IF($F908="","RT kosong",IF($H908="","Jabatan kosong",IF($I908="","No. HP kosong",IF($J908="","Alamat kosong",IF(AND($M908&lt;&gt;"",$M908&lt;17),"Usia di bawah 17",""))))))))))</f>
        <v/>
      </c>
      <c r="U908" s="40" t="str">
        <f aca="false">IF($B908="","",IF(AND(OR(CARI!$C$5="",ISNUMBER(SEARCH(CARI!$C$5,$B908&amp;" "&amp;$C908&amp;" "&amp;$I908&amp;" "&amp;$J908&amp;" "&amp;$Q908))),OR(CARI!$C$6="",$E908=CARI!$C$6),OR(CARI!$C$7="",$F908=CARI!$C$7),OR(CARI!$C$8="",$O908=CARI!$C$8)),MAX($U$3:U907)+1,""))</f>
        <v/>
      </c>
      <c r="V908" s="40" t="str">
        <f aca="false">IF($T908="","",MAX($V$3:V907)+1)</f>
        <v/>
      </c>
      <c r="W908" s="40" t="str">
        <f aca="false">IF($E908="","",$E908&amp;"#"&amp;COUNTIF($E$4:$E908,$E908))</f>
        <v/>
      </c>
      <c r="X908" s="40" t="str">
        <f aca="false">IF($B908="","",IF(AND(OR(CETAK!$J$10="",$E908=CETAK!$J$10),OR(CETAK!$J$11="",$F908=CETAK!$J$11),OR(CETAK!$J$12="",$K908=CETAK!$J$12),OR(CETAK!$J$13="",$H908=CETAK!$J$13),OR(CETAK!$J$14="",$O908=CETAK!$J$14)),MAX($X$3:X907)+1,""))</f>
        <v/>
      </c>
      <c r="Y908" s="40" t="str">
        <f aca="false">IF($B908="","",IF(AND(OR(ABSENSI!$H$10="",$E908=ABSENSI!$H$10),OR(ABSENSI!$H$11="",$F908=ABSENSI!$H$11),OR(ABSENSI!$H$12="",$K908=ABSENSI!$H$12)),MAX($Y$3:Y907)+1,""))</f>
        <v/>
      </c>
      <c r="Z908" s="40" t="str">
        <f aca="false">IF($B908="","",IF(AND(OR(KARTU!$K$6="",$E908=KARTU!$K$6),OR(KARTU!$K$7="",$F908=KARTU!$K$7),OR(KARTU!$K$8="",$K908=KARTU!$K$8)),MAX($Z$3:Z907)+1,""))</f>
        <v/>
      </c>
    </row>
    <row r="909" customFormat="false" ht="15" hidden="false" customHeight="false" outlineLevel="0" collapsed="false">
      <c r="A909" s="36" t="str">
        <f aca="false">IF($B909="","",COUNTA($B$4:$B909))</f>
        <v/>
      </c>
      <c r="B909" s="37"/>
      <c r="C909" s="38"/>
      <c r="D909" s="39"/>
      <c r="E909" s="37"/>
      <c r="F909" s="39"/>
      <c r="G909" s="40" t="str">
        <f aca="false">IF(OR($E909="",$F909=""),"",$E909&amp;" - RT "&amp;$F909)</f>
        <v/>
      </c>
      <c r="H909" s="37"/>
      <c r="I909" s="38"/>
      <c r="J909" s="37"/>
      <c r="K909" s="39"/>
      <c r="L909" s="41"/>
      <c r="M909" s="36" t="str">
        <f aca="true">IF(OR($B909="",$L909=""),"",DATEDIF($L909,TODAY(),"Y"))</f>
        <v/>
      </c>
      <c r="N909" s="40" t="str">
        <f aca="false">IF($M909="","",INDEX(usia_label,MATCH($M909,usia_min,1)))</f>
        <v/>
      </c>
      <c r="O909" s="37"/>
      <c r="P909" s="41"/>
      <c r="Q909" s="37"/>
      <c r="R909" s="37"/>
      <c r="S909" s="40" t="str">
        <f aca="false">IF($G909="","",$G909&amp;"#"&amp;COUNTIF($G$4:$G909,$G909))</f>
        <v/>
      </c>
      <c r="T909" s="40" t="str">
        <f aca="false">IF($B909="","",IF($C909="","NIK kosong",IF(LEN($C909)&lt;&gt;16,"NIK bukan 16 digit",IF(COUNTIF($C$4:$C$2003,$C909&amp;"*")&gt;1,"NIK ganda",IF($E909="","Kadus kosong",IF($F909="","RT kosong",IF($H909="","Jabatan kosong",IF($I909="","No. HP kosong",IF($J909="","Alamat kosong",IF(AND($M909&lt;&gt;"",$M909&lt;17),"Usia di bawah 17",""))))))))))</f>
        <v/>
      </c>
      <c r="U909" s="40" t="str">
        <f aca="false">IF($B909="","",IF(AND(OR(CARI!$C$5="",ISNUMBER(SEARCH(CARI!$C$5,$B909&amp;" "&amp;$C909&amp;" "&amp;$I909&amp;" "&amp;$J909&amp;" "&amp;$Q909))),OR(CARI!$C$6="",$E909=CARI!$C$6),OR(CARI!$C$7="",$F909=CARI!$C$7),OR(CARI!$C$8="",$O909=CARI!$C$8)),MAX($U$3:U908)+1,""))</f>
        <v/>
      </c>
      <c r="V909" s="40" t="str">
        <f aca="false">IF($T909="","",MAX($V$3:V908)+1)</f>
        <v/>
      </c>
      <c r="W909" s="40" t="str">
        <f aca="false">IF($E909="","",$E909&amp;"#"&amp;COUNTIF($E$4:$E909,$E909))</f>
        <v/>
      </c>
      <c r="X909" s="40" t="str">
        <f aca="false">IF($B909="","",IF(AND(OR(CETAK!$J$10="",$E909=CETAK!$J$10),OR(CETAK!$J$11="",$F909=CETAK!$J$11),OR(CETAK!$J$12="",$K909=CETAK!$J$12),OR(CETAK!$J$13="",$H909=CETAK!$J$13),OR(CETAK!$J$14="",$O909=CETAK!$J$14)),MAX($X$3:X908)+1,""))</f>
        <v/>
      </c>
      <c r="Y909" s="40" t="str">
        <f aca="false">IF($B909="","",IF(AND(OR(ABSENSI!$H$10="",$E909=ABSENSI!$H$10),OR(ABSENSI!$H$11="",$F909=ABSENSI!$H$11),OR(ABSENSI!$H$12="",$K909=ABSENSI!$H$12)),MAX($Y$3:Y908)+1,""))</f>
        <v/>
      </c>
      <c r="Z909" s="40" t="str">
        <f aca="false">IF($B909="","",IF(AND(OR(KARTU!$K$6="",$E909=KARTU!$K$6),OR(KARTU!$K$7="",$F909=KARTU!$K$7),OR(KARTU!$K$8="",$K909=KARTU!$K$8)),MAX($Z$3:Z908)+1,""))</f>
        <v/>
      </c>
    </row>
    <row r="910" customFormat="false" ht="15" hidden="false" customHeight="false" outlineLevel="0" collapsed="false">
      <c r="A910" s="36" t="str">
        <f aca="false">IF($B910="","",COUNTA($B$4:$B910))</f>
        <v/>
      </c>
      <c r="B910" s="37"/>
      <c r="C910" s="38"/>
      <c r="D910" s="39"/>
      <c r="E910" s="37"/>
      <c r="F910" s="39"/>
      <c r="G910" s="40" t="str">
        <f aca="false">IF(OR($E910="",$F910=""),"",$E910&amp;" - RT "&amp;$F910)</f>
        <v/>
      </c>
      <c r="H910" s="37"/>
      <c r="I910" s="38"/>
      <c r="J910" s="37"/>
      <c r="K910" s="39"/>
      <c r="L910" s="41"/>
      <c r="M910" s="36" t="str">
        <f aca="true">IF(OR($B910="",$L910=""),"",DATEDIF($L910,TODAY(),"Y"))</f>
        <v/>
      </c>
      <c r="N910" s="40" t="str">
        <f aca="false">IF($M910="","",INDEX(usia_label,MATCH($M910,usia_min,1)))</f>
        <v/>
      </c>
      <c r="O910" s="37"/>
      <c r="P910" s="41"/>
      <c r="Q910" s="37"/>
      <c r="R910" s="37"/>
      <c r="S910" s="40" t="str">
        <f aca="false">IF($G910="","",$G910&amp;"#"&amp;COUNTIF($G$4:$G910,$G910))</f>
        <v/>
      </c>
      <c r="T910" s="40" t="str">
        <f aca="false">IF($B910="","",IF($C910="","NIK kosong",IF(LEN($C910)&lt;&gt;16,"NIK bukan 16 digit",IF(COUNTIF($C$4:$C$2003,$C910&amp;"*")&gt;1,"NIK ganda",IF($E910="","Kadus kosong",IF($F910="","RT kosong",IF($H910="","Jabatan kosong",IF($I910="","No. HP kosong",IF($J910="","Alamat kosong",IF(AND($M910&lt;&gt;"",$M910&lt;17),"Usia di bawah 17",""))))))))))</f>
        <v/>
      </c>
      <c r="U910" s="40" t="str">
        <f aca="false">IF($B910="","",IF(AND(OR(CARI!$C$5="",ISNUMBER(SEARCH(CARI!$C$5,$B910&amp;" "&amp;$C910&amp;" "&amp;$I910&amp;" "&amp;$J910&amp;" "&amp;$Q910))),OR(CARI!$C$6="",$E910=CARI!$C$6),OR(CARI!$C$7="",$F910=CARI!$C$7),OR(CARI!$C$8="",$O910=CARI!$C$8)),MAX($U$3:U909)+1,""))</f>
        <v/>
      </c>
      <c r="V910" s="40" t="str">
        <f aca="false">IF($T910="","",MAX($V$3:V909)+1)</f>
        <v/>
      </c>
      <c r="W910" s="40" t="str">
        <f aca="false">IF($E910="","",$E910&amp;"#"&amp;COUNTIF($E$4:$E910,$E910))</f>
        <v/>
      </c>
      <c r="X910" s="40" t="str">
        <f aca="false">IF($B910="","",IF(AND(OR(CETAK!$J$10="",$E910=CETAK!$J$10),OR(CETAK!$J$11="",$F910=CETAK!$J$11),OR(CETAK!$J$12="",$K910=CETAK!$J$12),OR(CETAK!$J$13="",$H910=CETAK!$J$13),OR(CETAK!$J$14="",$O910=CETAK!$J$14)),MAX($X$3:X909)+1,""))</f>
        <v/>
      </c>
      <c r="Y910" s="40" t="str">
        <f aca="false">IF($B910="","",IF(AND(OR(ABSENSI!$H$10="",$E910=ABSENSI!$H$10),OR(ABSENSI!$H$11="",$F910=ABSENSI!$H$11),OR(ABSENSI!$H$12="",$K910=ABSENSI!$H$12)),MAX($Y$3:Y909)+1,""))</f>
        <v/>
      </c>
      <c r="Z910" s="40" t="str">
        <f aca="false">IF($B910="","",IF(AND(OR(KARTU!$K$6="",$E910=KARTU!$K$6),OR(KARTU!$K$7="",$F910=KARTU!$K$7),OR(KARTU!$K$8="",$K910=KARTU!$K$8)),MAX($Z$3:Z909)+1,""))</f>
        <v/>
      </c>
    </row>
    <row r="911" customFormat="false" ht="15" hidden="false" customHeight="false" outlineLevel="0" collapsed="false">
      <c r="A911" s="36" t="str">
        <f aca="false">IF($B911="","",COUNTA($B$4:$B911))</f>
        <v/>
      </c>
      <c r="B911" s="37"/>
      <c r="C911" s="38"/>
      <c r="D911" s="39"/>
      <c r="E911" s="37"/>
      <c r="F911" s="39"/>
      <c r="G911" s="40" t="str">
        <f aca="false">IF(OR($E911="",$F911=""),"",$E911&amp;" - RT "&amp;$F911)</f>
        <v/>
      </c>
      <c r="H911" s="37"/>
      <c r="I911" s="38"/>
      <c r="J911" s="37"/>
      <c r="K911" s="39"/>
      <c r="L911" s="41"/>
      <c r="M911" s="36" t="str">
        <f aca="true">IF(OR($B911="",$L911=""),"",DATEDIF($L911,TODAY(),"Y"))</f>
        <v/>
      </c>
      <c r="N911" s="40" t="str">
        <f aca="false">IF($M911="","",INDEX(usia_label,MATCH($M911,usia_min,1)))</f>
        <v/>
      </c>
      <c r="O911" s="37"/>
      <c r="P911" s="41"/>
      <c r="Q911" s="37"/>
      <c r="R911" s="37"/>
      <c r="S911" s="40" t="str">
        <f aca="false">IF($G911="","",$G911&amp;"#"&amp;COUNTIF($G$4:$G911,$G911))</f>
        <v/>
      </c>
      <c r="T911" s="40" t="str">
        <f aca="false">IF($B911="","",IF($C911="","NIK kosong",IF(LEN($C911)&lt;&gt;16,"NIK bukan 16 digit",IF(COUNTIF($C$4:$C$2003,$C911&amp;"*")&gt;1,"NIK ganda",IF($E911="","Kadus kosong",IF($F911="","RT kosong",IF($H911="","Jabatan kosong",IF($I911="","No. HP kosong",IF($J911="","Alamat kosong",IF(AND($M911&lt;&gt;"",$M911&lt;17),"Usia di bawah 17",""))))))))))</f>
        <v/>
      </c>
      <c r="U911" s="40" t="str">
        <f aca="false">IF($B911="","",IF(AND(OR(CARI!$C$5="",ISNUMBER(SEARCH(CARI!$C$5,$B911&amp;" "&amp;$C911&amp;" "&amp;$I911&amp;" "&amp;$J911&amp;" "&amp;$Q911))),OR(CARI!$C$6="",$E911=CARI!$C$6),OR(CARI!$C$7="",$F911=CARI!$C$7),OR(CARI!$C$8="",$O911=CARI!$C$8)),MAX($U$3:U910)+1,""))</f>
        <v/>
      </c>
      <c r="V911" s="40" t="str">
        <f aca="false">IF($T911="","",MAX($V$3:V910)+1)</f>
        <v/>
      </c>
      <c r="W911" s="40" t="str">
        <f aca="false">IF($E911="","",$E911&amp;"#"&amp;COUNTIF($E$4:$E911,$E911))</f>
        <v/>
      </c>
      <c r="X911" s="40" t="str">
        <f aca="false">IF($B911="","",IF(AND(OR(CETAK!$J$10="",$E911=CETAK!$J$10),OR(CETAK!$J$11="",$F911=CETAK!$J$11),OR(CETAK!$J$12="",$K911=CETAK!$J$12),OR(CETAK!$J$13="",$H911=CETAK!$J$13),OR(CETAK!$J$14="",$O911=CETAK!$J$14)),MAX($X$3:X910)+1,""))</f>
        <v/>
      </c>
      <c r="Y911" s="40" t="str">
        <f aca="false">IF($B911="","",IF(AND(OR(ABSENSI!$H$10="",$E911=ABSENSI!$H$10),OR(ABSENSI!$H$11="",$F911=ABSENSI!$H$11),OR(ABSENSI!$H$12="",$K911=ABSENSI!$H$12)),MAX($Y$3:Y910)+1,""))</f>
        <v/>
      </c>
      <c r="Z911" s="40" t="str">
        <f aca="false">IF($B911="","",IF(AND(OR(KARTU!$K$6="",$E911=KARTU!$K$6),OR(KARTU!$K$7="",$F911=KARTU!$K$7),OR(KARTU!$K$8="",$K911=KARTU!$K$8)),MAX($Z$3:Z910)+1,""))</f>
        <v/>
      </c>
    </row>
    <row r="912" customFormat="false" ht="15" hidden="false" customHeight="false" outlineLevel="0" collapsed="false">
      <c r="A912" s="36" t="str">
        <f aca="false">IF($B912="","",COUNTA($B$4:$B912))</f>
        <v/>
      </c>
      <c r="B912" s="37"/>
      <c r="C912" s="38"/>
      <c r="D912" s="39"/>
      <c r="E912" s="37"/>
      <c r="F912" s="39"/>
      <c r="G912" s="40" t="str">
        <f aca="false">IF(OR($E912="",$F912=""),"",$E912&amp;" - RT "&amp;$F912)</f>
        <v/>
      </c>
      <c r="H912" s="37"/>
      <c r="I912" s="38"/>
      <c r="J912" s="37"/>
      <c r="K912" s="39"/>
      <c r="L912" s="41"/>
      <c r="M912" s="36" t="str">
        <f aca="true">IF(OR($B912="",$L912=""),"",DATEDIF($L912,TODAY(),"Y"))</f>
        <v/>
      </c>
      <c r="N912" s="40" t="str">
        <f aca="false">IF($M912="","",INDEX(usia_label,MATCH($M912,usia_min,1)))</f>
        <v/>
      </c>
      <c r="O912" s="37"/>
      <c r="P912" s="41"/>
      <c r="Q912" s="37"/>
      <c r="R912" s="37"/>
      <c r="S912" s="40" t="str">
        <f aca="false">IF($G912="","",$G912&amp;"#"&amp;COUNTIF($G$4:$G912,$G912))</f>
        <v/>
      </c>
      <c r="T912" s="40" t="str">
        <f aca="false">IF($B912="","",IF($C912="","NIK kosong",IF(LEN($C912)&lt;&gt;16,"NIK bukan 16 digit",IF(COUNTIF($C$4:$C$2003,$C912&amp;"*")&gt;1,"NIK ganda",IF($E912="","Kadus kosong",IF($F912="","RT kosong",IF($H912="","Jabatan kosong",IF($I912="","No. HP kosong",IF($J912="","Alamat kosong",IF(AND($M912&lt;&gt;"",$M912&lt;17),"Usia di bawah 17",""))))))))))</f>
        <v/>
      </c>
      <c r="U912" s="40" t="str">
        <f aca="false">IF($B912="","",IF(AND(OR(CARI!$C$5="",ISNUMBER(SEARCH(CARI!$C$5,$B912&amp;" "&amp;$C912&amp;" "&amp;$I912&amp;" "&amp;$J912&amp;" "&amp;$Q912))),OR(CARI!$C$6="",$E912=CARI!$C$6),OR(CARI!$C$7="",$F912=CARI!$C$7),OR(CARI!$C$8="",$O912=CARI!$C$8)),MAX($U$3:U911)+1,""))</f>
        <v/>
      </c>
      <c r="V912" s="40" t="str">
        <f aca="false">IF($T912="","",MAX($V$3:V911)+1)</f>
        <v/>
      </c>
      <c r="W912" s="40" t="str">
        <f aca="false">IF($E912="","",$E912&amp;"#"&amp;COUNTIF($E$4:$E912,$E912))</f>
        <v/>
      </c>
      <c r="X912" s="40" t="str">
        <f aca="false">IF($B912="","",IF(AND(OR(CETAK!$J$10="",$E912=CETAK!$J$10),OR(CETAK!$J$11="",$F912=CETAK!$J$11),OR(CETAK!$J$12="",$K912=CETAK!$J$12),OR(CETAK!$J$13="",$H912=CETAK!$J$13),OR(CETAK!$J$14="",$O912=CETAK!$J$14)),MAX($X$3:X911)+1,""))</f>
        <v/>
      </c>
      <c r="Y912" s="40" t="str">
        <f aca="false">IF($B912="","",IF(AND(OR(ABSENSI!$H$10="",$E912=ABSENSI!$H$10),OR(ABSENSI!$H$11="",$F912=ABSENSI!$H$11),OR(ABSENSI!$H$12="",$K912=ABSENSI!$H$12)),MAX($Y$3:Y911)+1,""))</f>
        <v/>
      </c>
      <c r="Z912" s="40" t="str">
        <f aca="false">IF($B912="","",IF(AND(OR(KARTU!$K$6="",$E912=KARTU!$K$6),OR(KARTU!$K$7="",$F912=KARTU!$K$7),OR(KARTU!$K$8="",$K912=KARTU!$K$8)),MAX($Z$3:Z911)+1,""))</f>
        <v/>
      </c>
    </row>
    <row r="913" customFormat="false" ht="15" hidden="false" customHeight="false" outlineLevel="0" collapsed="false">
      <c r="A913" s="36" t="str">
        <f aca="false">IF($B913="","",COUNTA($B$4:$B913))</f>
        <v/>
      </c>
      <c r="B913" s="37"/>
      <c r="C913" s="38"/>
      <c r="D913" s="39"/>
      <c r="E913" s="37"/>
      <c r="F913" s="39"/>
      <c r="G913" s="40" t="str">
        <f aca="false">IF(OR($E913="",$F913=""),"",$E913&amp;" - RT "&amp;$F913)</f>
        <v/>
      </c>
      <c r="H913" s="37"/>
      <c r="I913" s="38"/>
      <c r="J913" s="37"/>
      <c r="K913" s="39"/>
      <c r="L913" s="41"/>
      <c r="M913" s="36" t="str">
        <f aca="true">IF(OR($B913="",$L913=""),"",DATEDIF($L913,TODAY(),"Y"))</f>
        <v/>
      </c>
      <c r="N913" s="40" t="str">
        <f aca="false">IF($M913="","",INDEX(usia_label,MATCH($M913,usia_min,1)))</f>
        <v/>
      </c>
      <c r="O913" s="37"/>
      <c r="P913" s="41"/>
      <c r="Q913" s="37"/>
      <c r="R913" s="37"/>
      <c r="S913" s="40" t="str">
        <f aca="false">IF($G913="","",$G913&amp;"#"&amp;COUNTIF($G$4:$G913,$G913))</f>
        <v/>
      </c>
      <c r="T913" s="40" t="str">
        <f aca="false">IF($B913="","",IF($C913="","NIK kosong",IF(LEN($C913)&lt;&gt;16,"NIK bukan 16 digit",IF(COUNTIF($C$4:$C$2003,$C913&amp;"*")&gt;1,"NIK ganda",IF($E913="","Kadus kosong",IF($F913="","RT kosong",IF($H913="","Jabatan kosong",IF($I913="","No. HP kosong",IF($J913="","Alamat kosong",IF(AND($M913&lt;&gt;"",$M913&lt;17),"Usia di bawah 17",""))))))))))</f>
        <v/>
      </c>
      <c r="U913" s="40" t="str">
        <f aca="false">IF($B913="","",IF(AND(OR(CARI!$C$5="",ISNUMBER(SEARCH(CARI!$C$5,$B913&amp;" "&amp;$C913&amp;" "&amp;$I913&amp;" "&amp;$J913&amp;" "&amp;$Q913))),OR(CARI!$C$6="",$E913=CARI!$C$6),OR(CARI!$C$7="",$F913=CARI!$C$7),OR(CARI!$C$8="",$O913=CARI!$C$8)),MAX($U$3:U912)+1,""))</f>
        <v/>
      </c>
      <c r="V913" s="40" t="str">
        <f aca="false">IF($T913="","",MAX($V$3:V912)+1)</f>
        <v/>
      </c>
      <c r="W913" s="40" t="str">
        <f aca="false">IF($E913="","",$E913&amp;"#"&amp;COUNTIF($E$4:$E913,$E913))</f>
        <v/>
      </c>
      <c r="X913" s="40" t="str">
        <f aca="false">IF($B913="","",IF(AND(OR(CETAK!$J$10="",$E913=CETAK!$J$10),OR(CETAK!$J$11="",$F913=CETAK!$J$11),OR(CETAK!$J$12="",$K913=CETAK!$J$12),OR(CETAK!$J$13="",$H913=CETAK!$J$13),OR(CETAK!$J$14="",$O913=CETAK!$J$14)),MAX($X$3:X912)+1,""))</f>
        <v/>
      </c>
      <c r="Y913" s="40" t="str">
        <f aca="false">IF($B913="","",IF(AND(OR(ABSENSI!$H$10="",$E913=ABSENSI!$H$10),OR(ABSENSI!$H$11="",$F913=ABSENSI!$H$11),OR(ABSENSI!$H$12="",$K913=ABSENSI!$H$12)),MAX($Y$3:Y912)+1,""))</f>
        <v/>
      </c>
      <c r="Z913" s="40" t="str">
        <f aca="false">IF($B913="","",IF(AND(OR(KARTU!$K$6="",$E913=KARTU!$K$6),OR(KARTU!$K$7="",$F913=KARTU!$K$7),OR(KARTU!$K$8="",$K913=KARTU!$K$8)),MAX($Z$3:Z912)+1,""))</f>
        <v/>
      </c>
    </row>
    <row r="914" customFormat="false" ht="15" hidden="false" customHeight="false" outlineLevel="0" collapsed="false">
      <c r="A914" s="36" t="str">
        <f aca="false">IF($B914="","",COUNTA($B$4:$B914))</f>
        <v/>
      </c>
      <c r="B914" s="37"/>
      <c r="C914" s="38"/>
      <c r="D914" s="39"/>
      <c r="E914" s="37"/>
      <c r="F914" s="39"/>
      <c r="G914" s="40" t="str">
        <f aca="false">IF(OR($E914="",$F914=""),"",$E914&amp;" - RT "&amp;$F914)</f>
        <v/>
      </c>
      <c r="H914" s="37"/>
      <c r="I914" s="38"/>
      <c r="J914" s="37"/>
      <c r="K914" s="39"/>
      <c r="L914" s="41"/>
      <c r="M914" s="36" t="str">
        <f aca="true">IF(OR($B914="",$L914=""),"",DATEDIF($L914,TODAY(),"Y"))</f>
        <v/>
      </c>
      <c r="N914" s="40" t="str">
        <f aca="false">IF($M914="","",INDEX(usia_label,MATCH($M914,usia_min,1)))</f>
        <v/>
      </c>
      <c r="O914" s="37"/>
      <c r="P914" s="41"/>
      <c r="Q914" s="37"/>
      <c r="R914" s="37"/>
      <c r="S914" s="40" t="str">
        <f aca="false">IF($G914="","",$G914&amp;"#"&amp;COUNTIF($G$4:$G914,$G914))</f>
        <v/>
      </c>
      <c r="T914" s="40" t="str">
        <f aca="false">IF($B914="","",IF($C914="","NIK kosong",IF(LEN($C914)&lt;&gt;16,"NIK bukan 16 digit",IF(COUNTIF($C$4:$C$2003,$C914&amp;"*")&gt;1,"NIK ganda",IF($E914="","Kadus kosong",IF($F914="","RT kosong",IF($H914="","Jabatan kosong",IF($I914="","No. HP kosong",IF($J914="","Alamat kosong",IF(AND($M914&lt;&gt;"",$M914&lt;17),"Usia di bawah 17",""))))))))))</f>
        <v/>
      </c>
      <c r="U914" s="40" t="str">
        <f aca="false">IF($B914="","",IF(AND(OR(CARI!$C$5="",ISNUMBER(SEARCH(CARI!$C$5,$B914&amp;" "&amp;$C914&amp;" "&amp;$I914&amp;" "&amp;$J914&amp;" "&amp;$Q914))),OR(CARI!$C$6="",$E914=CARI!$C$6),OR(CARI!$C$7="",$F914=CARI!$C$7),OR(CARI!$C$8="",$O914=CARI!$C$8)),MAX($U$3:U913)+1,""))</f>
        <v/>
      </c>
      <c r="V914" s="40" t="str">
        <f aca="false">IF($T914="","",MAX($V$3:V913)+1)</f>
        <v/>
      </c>
      <c r="W914" s="40" t="str">
        <f aca="false">IF($E914="","",$E914&amp;"#"&amp;COUNTIF($E$4:$E914,$E914))</f>
        <v/>
      </c>
      <c r="X914" s="40" t="str">
        <f aca="false">IF($B914="","",IF(AND(OR(CETAK!$J$10="",$E914=CETAK!$J$10),OR(CETAK!$J$11="",$F914=CETAK!$J$11),OR(CETAK!$J$12="",$K914=CETAK!$J$12),OR(CETAK!$J$13="",$H914=CETAK!$J$13),OR(CETAK!$J$14="",$O914=CETAK!$J$14)),MAX($X$3:X913)+1,""))</f>
        <v/>
      </c>
      <c r="Y914" s="40" t="str">
        <f aca="false">IF($B914="","",IF(AND(OR(ABSENSI!$H$10="",$E914=ABSENSI!$H$10),OR(ABSENSI!$H$11="",$F914=ABSENSI!$H$11),OR(ABSENSI!$H$12="",$K914=ABSENSI!$H$12)),MAX($Y$3:Y913)+1,""))</f>
        <v/>
      </c>
      <c r="Z914" s="40" t="str">
        <f aca="false">IF($B914="","",IF(AND(OR(KARTU!$K$6="",$E914=KARTU!$K$6),OR(KARTU!$K$7="",$F914=KARTU!$K$7),OR(KARTU!$K$8="",$K914=KARTU!$K$8)),MAX($Z$3:Z913)+1,""))</f>
        <v/>
      </c>
    </row>
    <row r="915" customFormat="false" ht="15" hidden="false" customHeight="false" outlineLevel="0" collapsed="false">
      <c r="A915" s="36" t="str">
        <f aca="false">IF($B915="","",COUNTA($B$4:$B915))</f>
        <v/>
      </c>
      <c r="B915" s="37"/>
      <c r="C915" s="38"/>
      <c r="D915" s="39"/>
      <c r="E915" s="37"/>
      <c r="F915" s="39"/>
      <c r="G915" s="40" t="str">
        <f aca="false">IF(OR($E915="",$F915=""),"",$E915&amp;" - RT "&amp;$F915)</f>
        <v/>
      </c>
      <c r="H915" s="37"/>
      <c r="I915" s="38"/>
      <c r="J915" s="37"/>
      <c r="K915" s="39"/>
      <c r="L915" s="41"/>
      <c r="M915" s="36" t="str">
        <f aca="true">IF(OR($B915="",$L915=""),"",DATEDIF($L915,TODAY(),"Y"))</f>
        <v/>
      </c>
      <c r="N915" s="40" t="str">
        <f aca="false">IF($M915="","",INDEX(usia_label,MATCH($M915,usia_min,1)))</f>
        <v/>
      </c>
      <c r="O915" s="37"/>
      <c r="P915" s="41"/>
      <c r="Q915" s="37"/>
      <c r="R915" s="37"/>
      <c r="S915" s="40" t="str">
        <f aca="false">IF($G915="","",$G915&amp;"#"&amp;COUNTIF($G$4:$G915,$G915))</f>
        <v/>
      </c>
      <c r="T915" s="40" t="str">
        <f aca="false">IF($B915="","",IF($C915="","NIK kosong",IF(LEN($C915)&lt;&gt;16,"NIK bukan 16 digit",IF(COUNTIF($C$4:$C$2003,$C915&amp;"*")&gt;1,"NIK ganda",IF($E915="","Kadus kosong",IF($F915="","RT kosong",IF($H915="","Jabatan kosong",IF($I915="","No. HP kosong",IF($J915="","Alamat kosong",IF(AND($M915&lt;&gt;"",$M915&lt;17),"Usia di bawah 17",""))))))))))</f>
        <v/>
      </c>
      <c r="U915" s="40" t="str">
        <f aca="false">IF($B915="","",IF(AND(OR(CARI!$C$5="",ISNUMBER(SEARCH(CARI!$C$5,$B915&amp;" "&amp;$C915&amp;" "&amp;$I915&amp;" "&amp;$J915&amp;" "&amp;$Q915))),OR(CARI!$C$6="",$E915=CARI!$C$6),OR(CARI!$C$7="",$F915=CARI!$C$7),OR(CARI!$C$8="",$O915=CARI!$C$8)),MAX($U$3:U914)+1,""))</f>
        <v/>
      </c>
      <c r="V915" s="40" t="str">
        <f aca="false">IF($T915="","",MAX($V$3:V914)+1)</f>
        <v/>
      </c>
      <c r="W915" s="40" t="str">
        <f aca="false">IF($E915="","",$E915&amp;"#"&amp;COUNTIF($E$4:$E915,$E915))</f>
        <v/>
      </c>
      <c r="X915" s="40" t="str">
        <f aca="false">IF($B915="","",IF(AND(OR(CETAK!$J$10="",$E915=CETAK!$J$10),OR(CETAK!$J$11="",$F915=CETAK!$J$11),OR(CETAK!$J$12="",$K915=CETAK!$J$12),OR(CETAK!$J$13="",$H915=CETAK!$J$13),OR(CETAK!$J$14="",$O915=CETAK!$J$14)),MAX($X$3:X914)+1,""))</f>
        <v/>
      </c>
      <c r="Y915" s="40" t="str">
        <f aca="false">IF($B915="","",IF(AND(OR(ABSENSI!$H$10="",$E915=ABSENSI!$H$10),OR(ABSENSI!$H$11="",$F915=ABSENSI!$H$11),OR(ABSENSI!$H$12="",$K915=ABSENSI!$H$12)),MAX($Y$3:Y914)+1,""))</f>
        <v/>
      </c>
      <c r="Z915" s="40" t="str">
        <f aca="false">IF($B915="","",IF(AND(OR(KARTU!$K$6="",$E915=KARTU!$K$6),OR(KARTU!$K$7="",$F915=KARTU!$K$7),OR(KARTU!$K$8="",$K915=KARTU!$K$8)),MAX($Z$3:Z914)+1,""))</f>
        <v/>
      </c>
    </row>
    <row r="916" customFormat="false" ht="15" hidden="false" customHeight="false" outlineLevel="0" collapsed="false">
      <c r="A916" s="36" t="str">
        <f aca="false">IF($B916="","",COUNTA($B$4:$B916))</f>
        <v/>
      </c>
      <c r="B916" s="37"/>
      <c r="C916" s="38"/>
      <c r="D916" s="39"/>
      <c r="E916" s="37"/>
      <c r="F916" s="39"/>
      <c r="G916" s="40" t="str">
        <f aca="false">IF(OR($E916="",$F916=""),"",$E916&amp;" - RT "&amp;$F916)</f>
        <v/>
      </c>
      <c r="H916" s="37"/>
      <c r="I916" s="38"/>
      <c r="J916" s="37"/>
      <c r="K916" s="39"/>
      <c r="L916" s="41"/>
      <c r="M916" s="36" t="str">
        <f aca="true">IF(OR($B916="",$L916=""),"",DATEDIF($L916,TODAY(),"Y"))</f>
        <v/>
      </c>
      <c r="N916" s="40" t="str">
        <f aca="false">IF($M916="","",INDEX(usia_label,MATCH($M916,usia_min,1)))</f>
        <v/>
      </c>
      <c r="O916" s="37"/>
      <c r="P916" s="41"/>
      <c r="Q916" s="37"/>
      <c r="R916" s="37"/>
      <c r="S916" s="40" t="str">
        <f aca="false">IF($G916="","",$G916&amp;"#"&amp;COUNTIF($G$4:$G916,$G916))</f>
        <v/>
      </c>
      <c r="T916" s="40" t="str">
        <f aca="false">IF($B916="","",IF($C916="","NIK kosong",IF(LEN($C916)&lt;&gt;16,"NIK bukan 16 digit",IF(COUNTIF($C$4:$C$2003,$C916&amp;"*")&gt;1,"NIK ganda",IF($E916="","Kadus kosong",IF($F916="","RT kosong",IF($H916="","Jabatan kosong",IF($I916="","No. HP kosong",IF($J916="","Alamat kosong",IF(AND($M916&lt;&gt;"",$M916&lt;17),"Usia di bawah 17",""))))))))))</f>
        <v/>
      </c>
      <c r="U916" s="40" t="str">
        <f aca="false">IF($B916="","",IF(AND(OR(CARI!$C$5="",ISNUMBER(SEARCH(CARI!$C$5,$B916&amp;" "&amp;$C916&amp;" "&amp;$I916&amp;" "&amp;$J916&amp;" "&amp;$Q916))),OR(CARI!$C$6="",$E916=CARI!$C$6),OR(CARI!$C$7="",$F916=CARI!$C$7),OR(CARI!$C$8="",$O916=CARI!$C$8)),MAX($U$3:U915)+1,""))</f>
        <v/>
      </c>
      <c r="V916" s="40" t="str">
        <f aca="false">IF($T916="","",MAX($V$3:V915)+1)</f>
        <v/>
      </c>
      <c r="W916" s="40" t="str">
        <f aca="false">IF($E916="","",$E916&amp;"#"&amp;COUNTIF($E$4:$E916,$E916))</f>
        <v/>
      </c>
      <c r="X916" s="40" t="str">
        <f aca="false">IF($B916="","",IF(AND(OR(CETAK!$J$10="",$E916=CETAK!$J$10),OR(CETAK!$J$11="",$F916=CETAK!$J$11),OR(CETAK!$J$12="",$K916=CETAK!$J$12),OR(CETAK!$J$13="",$H916=CETAK!$J$13),OR(CETAK!$J$14="",$O916=CETAK!$J$14)),MAX($X$3:X915)+1,""))</f>
        <v/>
      </c>
      <c r="Y916" s="40" t="str">
        <f aca="false">IF($B916="","",IF(AND(OR(ABSENSI!$H$10="",$E916=ABSENSI!$H$10),OR(ABSENSI!$H$11="",$F916=ABSENSI!$H$11),OR(ABSENSI!$H$12="",$K916=ABSENSI!$H$12)),MAX($Y$3:Y915)+1,""))</f>
        <v/>
      </c>
      <c r="Z916" s="40" t="str">
        <f aca="false">IF($B916="","",IF(AND(OR(KARTU!$K$6="",$E916=KARTU!$K$6),OR(KARTU!$K$7="",$F916=KARTU!$K$7),OR(KARTU!$K$8="",$K916=KARTU!$K$8)),MAX($Z$3:Z915)+1,""))</f>
        <v/>
      </c>
    </row>
    <row r="917" customFormat="false" ht="15" hidden="false" customHeight="false" outlineLevel="0" collapsed="false">
      <c r="A917" s="36" t="str">
        <f aca="false">IF($B917="","",COUNTA($B$4:$B917))</f>
        <v/>
      </c>
      <c r="B917" s="37"/>
      <c r="C917" s="38"/>
      <c r="D917" s="39"/>
      <c r="E917" s="37"/>
      <c r="F917" s="39"/>
      <c r="G917" s="40" t="str">
        <f aca="false">IF(OR($E917="",$F917=""),"",$E917&amp;" - RT "&amp;$F917)</f>
        <v/>
      </c>
      <c r="H917" s="37"/>
      <c r="I917" s="38"/>
      <c r="J917" s="37"/>
      <c r="K917" s="39"/>
      <c r="L917" s="41"/>
      <c r="M917" s="36" t="str">
        <f aca="true">IF(OR($B917="",$L917=""),"",DATEDIF($L917,TODAY(),"Y"))</f>
        <v/>
      </c>
      <c r="N917" s="40" t="str">
        <f aca="false">IF($M917="","",INDEX(usia_label,MATCH($M917,usia_min,1)))</f>
        <v/>
      </c>
      <c r="O917" s="37"/>
      <c r="P917" s="41"/>
      <c r="Q917" s="37"/>
      <c r="R917" s="37"/>
      <c r="S917" s="40" t="str">
        <f aca="false">IF($G917="","",$G917&amp;"#"&amp;COUNTIF($G$4:$G917,$G917))</f>
        <v/>
      </c>
      <c r="T917" s="40" t="str">
        <f aca="false">IF($B917="","",IF($C917="","NIK kosong",IF(LEN($C917)&lt;&gt;16,"NIK bukan 16 digit",IF(COUNTIF($C$4:$C$2003,$C917&amp;"*")&gt;1,"NIK ganda",IF($E917="","Kadus kosong",IF($F917="","RT kosong",IF($H917="","Jabatan kosong",IF($I917="","No. HP kosong",IF($J917="","Alamat kosong",IF(AND($M917&lt;&gt;"",$M917&lt;17),"Usia di bawah 17",""))))))))))</f>
        <v/>
      </c>
      <c r="U917" s="40" t="str">
        <f aca="false">IF($B917="","",IF(AND(OR(CARI!$C$5="",ISNUMBER(SEARCH(CARI!$C$5,$B917&amp;" "&amp;$C917&amp;" "&amp;$I917&amp;" "&amp;$J917&amp;" "&amp;$Q917))),OR(CARI!$C$6="",$E917=CARI!$C$6),OR(CARI!$C$7="",$F917=CARI!$C$7),OR(CARI!$C$8="",$O917=CARI!$C$8)),MAX($U$3:U916)+1,""))</f>
        <v/>
      </c>
      <c r="V917" s="40" t="str">
        <f aca="false">IF($T917="","",MAX($V$3:V916)+1)</f>
        <v/>
      </c>
      <c r="W917" s="40" t="str">
        <f aca="false">IF($E917="","",$E917&amp;"#"&amp;COUNTIF($E$4:$E917,$E917))</f>
        <v/>
      </c>
      <c r="X917" s="40" t="str">
        <f aca="false">IF($B917="","",IF(AND(OR(CETAK!$J$10="",$E917=CETAK!$J$10),OR(CETAK!$J$11="",$F917=CETAK!$J$11),OR(CETAK!$J$12="",$K917=CETAK!$J$12),OR(CETAK!$J$13="",$H917=CETAK!$J$13),OR(CETAK!$J$14="",$O917=CETAK!$J$14)),MAX($X$3:X916)+1,""))</f>
        <v/>
      </c>
      <c r="Y917" s="40" t="str">
        <f aca="false">IF($B917="","",IF(AND(OR(ABSENSI!$H$10="",$E917=ABSENSI!$H$10),OR(ABSENSI!$H$11="",$F917=ABSENSI!$H$11),OR(ABSENSI!$H$12="",$K917=ABSENSI!$H$12)),MAX($Y$3:Y916)+1,""))</f>
        <v/>
      </c>
      <c r="Z917" s="40" t="str">
        <f aca="false">IF($B917="","",IF(AND(OR(KARTU!$K$6="",$E917=KARTU!$K$6),OR(KARTU!$K$7="",$F917=KARTU!$K$7),OR(KARTU!$K$8="",$K917=KARTU!$K$8)),MAX($Z$3:Z916)+1,""))</f>
        <v/>
      </c>
    </row>
    <row r="918" customFormat="false" ht="15" hidden="false" customHeight="false" outlineLevel="0" collapsed="false">
      <c r="A918" s="36" t="str">
        <f aca="false">IF($B918="","",COUNTA($B$4:$B918))</f>
        <v/>
      </c>
      <c r="B918" s="37"/>
      <c r="C918" s="38"/>
      <c r="D918" s="39"/>
      <c r="E918" s="37"/>
      <c r="F918" s="39"/>
      <c r="G918" s="40" t="str">
        <f aca="false">IF(OR($E918="",$F918=""),"",$E918&amp;" - RT "&amp;$F918)</f>
        <v/>
      </c>
      <c r="H918" s="37"/>
      <c r="I918" s="38"/>
      <c r="J918" s="37"/>
      <c r="K918" s="39"/>
      <c r="L918" s="41"/>
      <c r="M918" s="36" t="str">
        <f aca="true">IF(OR($B918="",$L918=""),"",DATEDIF($L918,TODAY(),"Y"))</f>
        <v/>
      </c>
      <c r="N918" s="40" t="str">
        <f aca="false">IF($M918="","",INDEX(usia_label,MATCH($M918,usia_min,1)))</f>
        <v/>
      </c>
      <c r="O918" s="37"/>
      <c r="P918" s="41"/>
      <c r="Q918" s="37"/>
      <c r="R918" s="37"/>
      <c r="S918" s="40" t="str">
        <f aca="false">IF($G918="","",$G918&amp;"#"&amp;COUNTIF($G$4:$G918,$G918))</f>
        <v/>
      </c>
      <c r="T918" s="40" t="str">
        <f aca="false">IF($B918="","",IF($C918="","NIK kosong",IF(LEN($C918)&lt;&gt;16,"NIK bukan 16 digit",IF(COUNTIF($C$4:$C$2003,$C918&amp;"*")&gt;1,"NIK ganda",IF($E918="","Kadus kosong",IF($F918="","RT kosong",IF($H918="","Jabatan kosong",IF($I918="","No. HP kosong",IF($J918="","Alamat kosong",IF(AND($M918&lt;&gt;"",$M918&lt;17),"Usia di bawah 17",""))))))))))</f>
        <v/>
      </c>
      <c r="U918" s="40" t="str">
        <f aca="false">IF($B918="","",IF(AND(OR(CARI!$C$5="",ISNUMBER(SEARCH(CARI!$C$5,$B918&amp;" "&amp;$C918&amp;" "&amp;$I918&amp;" "&amp;$J918&amp;" "&amp;$Q918))),OR(CARI!$C$6="",$E918=CARI!$C$6),OR(CARI!$C$7="",$F918=CARI!$C$7),OR(CARI!$C$8="",$O918=CARI!$C$8)),MAX($U$3:U917)+1,""))</f>
        <v/>
      </c>
      <c r="V918" s="40" t="str">
        <f aca="false">IF($T918="","",MAX($V$3:V917)+1)</f>
        <v/>
      </c>
      <c r="W918" s="40" t="str">
        <f aca="false">IF($E918="","",$E918&amp;"#"&amp;COUNTIF($E$4:$E918,$E918))</f>
        <v/>
      </c>
      <c r="X918" s="40" t="str">
        <f aca="false">IF($B918="","",IF(AND(OR(CETAK!$J$10="",$E918=CETAK!$J$10),OR(CETAK!$J$11="",$F918=CETAK!$J$11),OR(CETAK!$J$12="",$K918=CETAK!$J$12),OR(CETAK!$J$13="",$H918=CETAK!$J$13),OR(CETAK!$J$14="",$O918=CETAK!$J$14)),MAX($X$3:X917)+1,""))</f>
        <v/>
      </c>
      <c r="Y918" s="40" t="str">
        <f aca="false">IF($B918="","",IF(AND(OR(ABSENSI!$H$10="",$E918=ABSENSI!$H$10),OR(ABSENSI!$H$11="",$F918=ABSENSI!$H$11),OR(ABSENSI!$H$12="",$K918=ABSENSI!$H$12)),MAX($Y$3:Y917)+1,""))</f>
        <v/>
      </c>
      <c r="Z918" s="40" t="str">
        <f aca="false">IF($B918="","",IF(AND(OR(KARTU!$K$6="",$E918=KARTU!$K$6),OR(KARTU!$K$7="",$F918=KARTU!$K$7),OR(KARTU!$K$8="",$K918=KARTU!$K$8)),MAX($Z$3:Z917)+1,""))</f>
        <v/>
      </c>
    </row>
    <row r="919" customFormat="false" ht="15" hidden="false" customHeight="false" outlineLevel="0" collapsed="false">
      <c r="A919" s="36" t="str">
        <f aca="false">IF($B919="","",COUNTA($B$4:$B919))</f>
        <v/>
      </c>
      <c r="B919" s="37"/>
      <c r="C919" s="38"/>
      <c r="D919" s="39"/>
      <c r="E919" s="37"/>
      <c r="F919" s="39"/>
      <c r="G919" s="40" t="str">
        <f aca="false">IF(OR($E919="",$F919=""),"",$E919&amp;" - RT "&amp;$F919)</f>
        <v/>
      </c>
      <c r="H919" s="37"/>
      <c r="I919" s="38"/>
      <c r="J919" s="37"/>
      <c r="K919" s="39"/>
      <c r="L919" s="41"/>
      <c r="M919" s="36" t="str">
        <f aca="true">IF(OR($B919="",$L919=""),"",DATEDIF($L919,TODAY(),"Y"))</f>
        <v/>
      </c>
      <c r="N919" s="40" t="str">
        <f aca="false">IF($M919="","",INDEX(usia_label,MATCH($M919,usia_min,1)))</f>
        <v/>
      </c>
      <c r="O919" s="37"/>
      <c r="P919" s="41"/>
      <c r="Q919" s="37"/>
      <c r="R919" s="37"/>
      <c r="S919" s="40" t="str">
        <f aca="false">IF($G919="","",$G919&amp;"#"&amp;COUNTIF($G$4:$G919,$G919))</f>
        <v/>
      </c>
      <c r="T919" s="40" t="str">
        <f aca="false">IF($B919="","",IF($C919="","NIK kosong",IF(LEN($C919)&lt;&gt;16,"NIK bukan 16 digit",IF(COUNTIF($C$4:$C$2003,$C919&amp;"*")&gt;1,"NIK ganda",IF($E919="","Kadus kosong",IF($F919="","RT kosong",IF($H919="","Jabatan kosong",IF($I919="","No. HP kosong",IF($J919="","Alamat kosong",IF(AND($M919&lt;&gt;"",$M919&lt;17),"Usia di bawah 17",""))))))))))</f>
        <v/>
      </c>
      <c r="U919" s="40" t="str">
        <f aca="false">IF($B919="","",IF(AND(OR(CARI!$C$5="",ISNUMBER(SEARCH(CARI!$C$5,$B919&amp;" "&amp;$C919&amp;" "&amp;$I919&amp;" "&amp;$J919&amp;" "&amp;$Q919))),OR(CARI!$C$6="",$E919=CARI!$C$6),OR(CARI!$C$7="",$F919=CARI!$C$7),OR(CARI!$C$8="",$O919=CARI!$C$8)),MAX($U$3:U918)+1,""))</f>
        <v/>
      </c>
      <c r="V919" s="40" t="str">
        <f aca="false">IF($T919="","",MAX($V$3:V918)+1)</f>
        <v/>
      </c>
      <c r="W919" s="40" t="str">
        <f aca="false">IF($E919="","",$E919&amp;"#"&amp;COUNTIF($E$4:$E919,$E919))</f>
        <v/>
      </c>
      <c r="X919" s="40" t="str">
        <f aca="false">IF($B919="","",IF(AND(OR(CETAK!$J$10="",$E919=CETAK!$J$10),OR(CETAK!$J$11="",$F919=CETAK!$J$11),OR(CETAK!$J$12="",$K919=CETAK!$J$12),OR(CETAK!$J$13="",$H919=CETAK!$J$13),OR(CETAK!$J$14="",$O919=CETAK!$J$14)),MAX($X$3:X918)+1,""))</f>
        <v/>
      </c>
      <c r="Y919" s="40" t="str">
        <f aca="false">IF($B919="","",IF(AND(OR(ABSENSI!$H$10="",$E919=ABSENSI!$H$10),OR(ABSENSI!$H$11="",$F919=ABSENSI!$H$11),OR(ABSENSI!$H$12="",$K919=ABSENSI!$H$12)),MAX($Y$3:Y918)+1,""))</f>
        <v/>
      </c>
      <c r="Z919" s="40" t="str">
        <f aca="false">IF($B919="","",IF(AND(OR(KARTU!$K$6="",$E919=KARTU!$K$6),OR(KARTU!$K$7="",$F919=KARTU!$K$7),OR(KARTU!$K$8="",$K919=KARTU!$K$8)),MAX($Z$3:Z918)+1,""))</f>
        <v/>
      </c>
    </row>
    <row r="920" customFormat="false" ht="15" hidden="false" customHeight="false" outlineLevel="0" collapsed="false">
      <c r="A920" s="36" t="str">
        <f aca="false">IF($B920="","",COUNTA($B$4:$B920))</f>
        <v/>
      </c>
      <c r="B920" s="37"/>
      <c r="C920" s="38"/>
      <c r="D920" s="39"/>
      <c r="E920" s="37"/>
      <c r="F920" s="39"/>
      <c r="G920" s="40" t="str">
        <f aca="false">IF(OR($E920="",$F920=""),"",$E920&amp;" - RT "&amp;$F920)</f>
        <v/>
      </c>
      <c r="H920" s="37"/>
      <c r="I920" s="38"/>
      <c r="J920" s="37"/>
      <c r="K920" s="39"/>
      <c r="L920" s="41"/>
      <c r="M920" s="36" t="str">
        <f aca="true">IF(OR($B920="",$L920=""),"",DATEDIF($L920,TODAY(),"Y"))</f>
        <v/>
      </c>
      <c r="N920" s="40" t="str">
        <f aca="false">IF($M920="","",INDEX(usia_label,MATCH($M920,usia_min,1)))</f>
        <v/>
      </c>
      <c r="O920" s="37"/>
      <c r="P920" s="41"/>
      <c r="Q920" s="37"/>
      <c r="R920" s="37"/>
      <c r="S920" s="40" t="str">
        <f aca="false">IF($G920="","",$G920&amp;"#"&amp;COUNTIF($G$4:$G920,$G920))</f>
        <v/>
      </c>
      <c r="T920" s="40" t="str">
        <f aca="false">IF($B920="","",IF($C920="","NIK kosong",IF(LEN($C920)&lt;&gt;16,"NIK bukan 16 digit",IF(COUNTIF($C$4:$C$2003,$C920&amp;"*")&gt;1,"NIK ganda",IF($E920="","Kadus kosong",IF($F920="","RT kosong",IF($H920="","Jabatan kosong",IF($I920="","No. HP kosong",IF($J920="","Alamat kosong",IF(AND($M920&lt;&gt;"",$M920&lt;17),"Usia di bawah 17",""))))))))))</f>
        <v/>
      </c>
      <c r="U920" s="40" t="str">
        <f aca="false">IF($B920="","",IF(AND(OR(CARI!$C$5="",ISNUMBER(SEARCH(CARI!$C$5,$B920&amp;" "&amp;$C920&amp;" "&amp;$I920&amp;" "&amp;$J920&amp;" "&amp;$Q920))),OR(CARI!$C$6="",$E920=CARI!$C$6),OR(CARI!$C$7="",$F920=CARI!$C$7),OR(CARI!$C$8="",$O920=CARI!$C$8)),MAX($U$3:U919)+1,""))</f>
        <v/>
      </c>
      <c r="V920" s="40" t="str">
        <f aca="false">IF($T920="","",MAX($V$3:V919)+1)</f>
        <v/>
      </c>
      <c r="W920" s="40" t="str">
        <f aca="false">IF($E920="","",$E920&amp;"#"&amp;COUNTIF($E$4:$E920,$E920))</f>
        <v/>
      </c>
      <c r="X920" s="40" t="str">
        <f aca="false">IF($B920="","",IF(AND(OR(CETAK!$J$10="",$E920=CETAK!$J$10),OR(CETAK!$J$11="",$F920=CETAK!$J$11),OR(CETAK!$J$12="",$K920=CETAK!$J$12),OR(CETAK!$J$13="",$H920=CETAK!$J$13),OR(CETAK!$J$14="",$O920=CETAK!$J$14)),MAX($X$3:X919)+1,""))</f>
        <v/>
      </c>
      <c r="Y920" s="40" t="str">
        <f aca="false">IF($B920="","",IF(AND(OR(ABSENSI!$H$10="",$E920=ABSENSI!$H$10),OR(ABSENSI!$H$11="",$F920=ABSENSI!$H$11),OR(ABSENSI!$H$12="",$K920=ABSENSI!$H$12)),MAX($Y$3:Y919)+1,""))</f>
        <v/>
      </c>
      <c r="Z920" s="40" t="str">
        <f aca="false">IF($B920="","",IF(AND(OR(KARTU!$K$6="",$E920=KARTU!$K$6),OR(KARTU!$K$7="",$F920=KARTU!$K$7),OR(KARTU!$K$8="",$K920=KARTU!$K$8)),MAX($Z$3:Z919)+1,""))</f>
        <v/>
      </c>
    </row>
    <row r="921" customFormat="false" ht="15" hidden="false" customHeight="false" outlineLevel="0" collapsed="false">
      <c r="A921" s="36" t="str">
        <f aca="false">IF($B921="","",COUNTA($B$4:$B921))</f>
        <v/>
      </c>
      <c r="B921" s="37"/>
      <c r="C921" s="38"/>
      <c r="D921" s="39"/>
      <c r="E921" s="37"/>
      <c r="F921" s="39"/>
      <c r="G921" s="40" t="str">
        <f aca="false">IF(OR($E921="",$F921=""),"",$E921&amp;" - RT "&amp;$F921)</f>
        <v/>
      </c>
      <c r="H921" s="37"/>
      <c r="I921" s="38"/>
      <c r="J921" s="37"/>
      <c r="K921" s="39"/>
      <c r="L921" s="41"/>
      <c r="M921" s="36" t="str">
        <f aca="true">IF(OR($B921="",$L921=""),"",DATEDIF($L921,TODAY(),"Y"))</f>
        <v/>
      </c>
      <c r="N921" s="40" t="str">
        <f aca="false">IF($M921="","",INDEX(usia_label,MATCH($M921,usia_min,1)))</f>
        <v/>
      </c>
      <c r="O921" s="37"/>
      <c r="P921" s="41"/>
      <c r="Q921" s="37"/>
      <c r="R921" s="37"/>
      <c r="S921" s="40" t="str">
        <f aca="false">IF($G921="","",$G921&amp;"#"&amp;COUNTIF($G$4:$G921,$G921))</f>
        <v/>
      </c>
      <c r="T921" s="40" t="str">
        <f aca="false">IF($B921="","",IF($C921="","NIK kosong",IF(LEN($C921)&lt;&gt;16,"NIK bukan 16 digit",IF(COUNTIF($C$4:$C$2003,$C921&amp;"*")&gt;1,"NIK ganda",IF($E921="","Kadus kosong",IF($F921="","RT kosong",IF($H921="","Jabatan kosong",IF($I921="","No. HP kosong",IF($J921="","Alamat kosong",IF(AND($M921&lt;&gt;"",$M921&lt;17),"Usia di bawah 17",""))))))))))</f>
        <v/>
      </c>
      <c r="U921" s="40" t="str">
        <f aca="false">IF($B921="","",IF(AND(OR(CARI!$C$5="",ISNUMBER(SEARCH(CARI!$C$5,$B921&amp;" "&amp;$C921&amp;" "&amp;$I921&amp;" "&amp;$J921&amp;" "&amp;$Q921))),OR(CARI!$C$6="",$E921=CARI!$C$6),OR(CARI!$C$7="",$F921=CARI!$C$7),OR(CARI!$C$8="",$O921=CARI!$C$8)),MAX($U$3:U920)+1,""))</f>
        <v/>
      </c>
      <c r="V921" s="40" t="str">
        <f aca="false">IF($T921="","",MAX($V$3:V920)+1)</f>
        <v/>
      </c>
      <c r="W921" s="40" t="str">
        <f aca="false">IF($E921="","",$E921&amp;"#"&amp;COUNTIF($E$4:$E921,$E921))</f>
        <v/>
      </c>
      <c r="X921" s="40" t="str">
        <f aca="false">IF($B921="","",IF(AND(OR(CETAK!$J$10="",$E921=CETAK!$J$10),OR(CETAK!$J$11="",$F921=CETAK!$J$11),OR(CETAK!$J$12="",$K921=CETAK!$J$12),OR(CETAK!$J$13="",$H921=CETAK!$J$13),OR(CETAK!$J$14="",$O921=CETAK!$J$14)),MAX($X$3:X920)+1,""))</f>
        <v/>
      </c>
      <c r="Y921" s="40" t="str">
        <f aca="false">IF($B921="","",IF(AND(OR(ABSENSI!$H$10="",$E921=ABSENSI!$H$10),OR(ABSENSI!$H$11="",$F921=ABSENSI!$H$11),OR(ABSENSI!$H$12="",$K921=ABSENSI!$H$12)),MAX($Y$3:Y920)+1,""))</f>
        <v/>
      </c>
      <c r="Z921" s="40" t="str">
        <f aca="false">IF($B921="","",IF(AND(OR(KARTU!$K$6="",$E921=KARTU!$K$6),OR(KARTU!$K$7="",$F921=KARTU!$K$7),OR(KARTU!$K$8="",$K921=KARTU!$K$8)),MAX($Z$3:Z920)+1,""))</f>
        <v/>
      </c>
    </row>
    <row r="922" customFormat="false" ht="15" hidden="false" customHeight="false" outlineLevel="0" collapsed="false">
      <c r="A922" s="36" t="str">
        <f aca="false">IF($B922="","",COUNTA($B$4:$B922))</f>
        <v/>
      </c>
      <c r="B922" s="37"/>
      <c r="C922" s="38"/>
      <c r="D922" s="39"/>
      <c r="E922" s="37"/>
      <c r="F922" s="39"/>
      <c r="G922" s="40" t="str">
        <f aca="false">IF(OR($E922="",$F922=""),"",$E922&amp;" - RT "&amp;$F922)</f>
        <v/>
      </c>
      <c r="H922" s="37"/>
      <c r="I922" s="38"/>
      <c r="J922" s="37"/>
      <c r="K922" s="39"/>
      <c r="L922" s="41"/>
      <c r="M922" s="36" t="str">
        <f aca="true">IF(OR($B922="",$L922=""),"",DATEDIF($L922,TODAY(),"Y"))</f>
        <v/>
      </c>
      <c r="N922" s="40" t="str">
        <f aca="false">IF($M922="","",INDEX(usia_label,MATCH($M922,usia_min,1)))</f>
        <v/>
      </c>
      <c r="O922" s="37"/>
      <c r="P922" s="41"/>
      <c r="Q922" s="37"/>
      <c r="R922" s="37"/>
      <c r="S922" s="40" t="str">
        <f aca="false">IF($G922="","",$G922&amp;"#"&amp;COUNTIF($G$4:$G922,$G922))</f>
        <v/>
      </c>
      <c r="T922" s="40" t="str">
        <f aca="false">IF($B922="","",IF($C922="","NIK kosong",IF(LEN($C922)&lt;&gt;16,"NIK bukan 16 digit",IF(COUNTIF($C$4:$C$2003,$C922&amp;"*")&gt;1,"NIK ganda",IF($E922="","Kadus kosong",IF($F922="","RT kosong",IF($H922="","Jabatan kosong",IF($I922="","No. HP kosong",IF($J922="","Alamat kosong",IF(AND($M922&lt;&gt;"",$M922&lt;17),"Usia di bawah 17",""))))))))))</f>
        <v/>
      </c>
      <c r="U922" s="40" t="str">
        <f aca="false">IF($B922="","",IF(AND(OR(CARI!$C$5="",ISNUMBER(SEARCH(CARI!$C$5,$B922&amp;" "&amp;$C922&amp;" "&amp;$I922&amp;" "&amp;$J922&amp;" "&amp;$Q922))),OR(CARI!$C$6="",$E922=CARI!$C$6),OR(CARI!$C$7="",$F922=CARI!$C$7),OR(CARI!$C$8="",$O922=CARI!$C$8)),MAX($U$3:U921)+1,""))</f>
        <v/>
      </c>
      <c r="V922" s="40" t="str">
        <f aca="false">IF($T922="","",MAX($V$3:V921)+1)</f>
        <v/>
      </c>
      <c r="W922" s="40" t="str">
        <f aca="false">IF($E922="","",$E922&amp;"#"&amp;COUNTIF($E$4:$E922,$E922))</f>
        <v/>
      </c>
      <c r="X922" s="40" t="str">
        <f aca="false">IF($B922="","",IF(AND(OR(CETAK!$J$10="",$E922=CETAK!$J$10),OR(CETAK!$J$11="",$F922=CETAK!$J$11),OR(CETAK!$J$12="",$K922=CETAK!$J$12),OR(CETAK!$J$13="",$H922=CETAK!$J$13),OR(CETAK!$J$14="",$O922=CETAK!$J$14)),MAX($X$3:X921)+1,""))</f>
        <v/>
      </c>
      <c r="Y922" s="40" t="str">
        <f aca="false">IF($B922="","",IF(AND(OR(ABSENSI!$H$10="",$E922=ABSENSI!$H$10),OR(ABSENSI!$H$11="",$F922=ABSENSI!$H$11),OR(ABSENSI!$H$12="",$K922=ABSENSI!$H$12)),MAX($Y$3:Y921)+1,""))</f>
        <v/>
      </c>
      <c r="Z922" s="40" t="str">
        <f aca="false">IF($B922="","",IF(AND(OR(KARTU!$K$6="",$E922=KARTU!$K$6),OR(KARTU!$K$7="",$F922=KARTU!$K$7),OR(KARTU!$K$8="",$K922=KARTU!$K$8)),MAX($Z$3:Z921)+1,""))</f>
        <v/>
      </c>
    </row>
    <row r="923" customFormat="false" ht="15" hidden="false" customHeight="false" outlineLevel="0" collapsed="false">
      <c r="A923" s="36" t="str">
        <f aca="false">IF($B923="","",COUNTA($B$4:$B923))</f>
        <v/>
      </c>
      <c r="B923" s="37"/>
      <c r="C923" s="38"/>
      <c r="D923" s="39"/>
      <c r="E923" s="37"/>
      <c r="F923" s="39"/>
      <c r="G923" s="40" t="str">
        <f aca="false">IF(OR($E923="",$F923=""),"",$E923&amp;" - RT "&amp;$F923)</f>
        <v/>
      </c>
      <c r="H923" s="37"/>
      <c r="I923" s="38"/>
      <c r="J923" s="37"/>
      <c r="K923" s="39"/>
      <c r="L923" s="41"/>
      <c r="M923" s="36" t="str">
        <f aca="true">IF(OR($B923="",$L923=""),"",DATEDIF($L923,TODAY(),"Y"))</f>
        <v/>
      </c>
      <c r="N923" s="40" t="str">
        <f aca="false">IF($M923="","",INDEX(usia_label,MATCH($M923,usia_min,1)))</f>
        <v/>
      </c>
      <c r="O923" s="37"/>
      <c r="P923" s="41"/>
      <c r="Q923" s="37"/>
      <c r="R923" s="37"/>
      <c r="S923" s="40" t="str">
        <f aca="false">IF($G923="","",$G923&amp;"#"&amp;COUNTIF($G$4:$G923,$G923))</f>
        <v/>
      </c>
      <c r="T923" s="40" t="str">
        <f aca="false">IF($B923="","",IF($C923="","NIK kosong",IF(LEN($C923)&lt;&gt;16,"NIK bukan 16 digit",IF(COUNTIF($C$4:$C$2003,$C923&amp;"*")&gt;1,"NIK ganda",IF($E923="","Kadus kosong",IF($F923="","RT kosong",IF($H923="","Jabatan kosong",IF($I923="","No. HP kosong",IF($J923="","Alamat kosong",IF(AND($M923&lt;&gt;"",$M923&lt;17),"Usia di bawah 17",""))))))))))</f>
        <v/>
      </c>
      <c r="U923" s="40" t="str">
        <f aca="false">IF($B923="","",IF(AND(OR(CARI!$C$5="",ISNUMBER(SEARCH(CARI!$C$5,$B923&amp;" "&amp;$C923&amp;" "&amp;$I923&amp;" "&amp;$J923&amp;" "&amp;$Q923))),OR(CARI!$C$6="",$E923=CARI!$C$6),OR(CARI!$C$7="",$F923=CARI!$C$7),OR(CARI!$C$8="",$O923=CARI!$C$8)),MAX($U$3:U922)+1,""))</f>
        <v/>
      </c>
      <c r="V923" s="40" t="str">
        <f aca="false">IF($T923="","",MAX($V$3:V922)+1)</f>
        <v/>
      </c>
      <c r="W923" s="40" t="str">
        <f aca="false">IF($E923="","",$E923&amp;"#"&amp;COUNTIF($E$4:$E923,$E923))</f>
        <v/>
      </c>
      <c r="X923" s="40" t="str">
        <f aca="false">IF($B923="","",IF(AND(OR(CETAK!$J$10="",$E923=CETAK!$J$10),OR(CETAK!$J$11="",$F923=CETAK!$J$11),OR(CETAK!$J$12="",$K923=CETAK!$J$12),OR(CETAK!$J$13="",$H923=CETAK!$J$13),OR(CETAK!$J$14="",$O923=CETAK!$J$14)),MAX($X$3:X922)+1,""))</f>
        <v/>
      </c>
      <c r="Y923" s="40" t="str">
        <f aca="false">IF($B923="","",IF(AND(OR(ABSENSI!$H$10="",$E923=ABSENSI!$H$10),OR(ABSENSI!$H$11="",$F923=ABSENSI!$H$11),OR(ABSENSI!$H$12="",$K923=ABSENSI!$H$12)),MAX($Y$3:Y922)+1,""))</f>
        <v/>
      </c>
      <c r="Z923" s="40" t="str">
        <f aca="false">IF($B923="","",IF(AND(OR(KARTU!$K$6="",$E923=KARTU!$K$6),OR(KARTU!$K$7="",$F923=KARTU!$K$7),OR(KARTU!$K$8="",$K923=KARTU!$K$8)),MAX($Z$3:Z922)+1,""))</f>
        <v/>
      </c>
    </row>
    <row r="924" customFormat="false" ht="15" hidden="false" customHeight="false" outlineLevel="0" collapsed="false">
      <c r="A924" s="36" t="str">
        <f aca="false">IF($B924="","",COUNTA($B$4:$B924))</f>
        <v/>
      </c>
      <c r="B924" s="37"/>
      <c r="C924" s="38"/>
      <c r="D924" s="39"/>
      <c r="E924" s="37"/>
      <c r="F924" s="39"/>
      <c r="G924" s="40" t="str">
        <f aca="false">IF(OR($E924="",$F924=""),"",$E924&amp;" - RT "&amp;$F924)</f>
        <v/>
      </c>
      <c r="H924" s="37"/>
      <c r="I924" s="38"/>
      <c r="J924" s="37"/>
      <c r="K924" s="39"/>
      <c r="L924" s="41"/>
      <c r="M924" s="36" t="str">
        <f aca="true">IF(OR($B924="",$L924=""),"",DATEDIF($L924,TODAY(),"Y"))</f>
        <v/>
      </c>
      <c r="N924" s="40" t="str">
        <f aca="false">IF($M924="","",INDEX(usia_label,MATCH($M924,usia_min,1)))</f>
        <v/>
      </c>
      <c r="O924" s="37"/>
      <c r="P924" s="41"/>
      <c r="Q924" s="37"/>
      <c r="R924" s="37"/>
      <c r="S924" s="40" t="str">
        <f aca="false">IF($G924="","",$G924&amp;"#"&amp;COUNTIF($G$4:$G924,$G924))</f>
        <v/>
      </c>
      <c r="T924" s="40" t="str">
        <f aca="false">IF($B924="","",IF($C924="","NIK kosong",IF(LEN($C924)&lt;&gt;16,"NIK bukan 16 digit",IF(COUNTIF($C$4:$C$2003,$C924&amp;"*")&gt;1,"NIK ganda",IF($E924="","Kadus kosong",IF($F924="","RT kosong",IF($H924="","Jabatan kosong",IF($I924="","No. HP kosong",IF($J924="","Alamat kosong",IF(AND($M924&lt;&gt;"",$M924&lt;17),"Usia di bawah 17",""))))))))))</f>
        <v/>
      </c>
      <c r="U924" s="40" t="str">
        <f aca="false">IF($B924="","",IF(AND(OR(CARI!$C$5="",ISNUMBER(SEARCH(CARI!$C$5,$B924&amp;" "&amp;$C924&amp;" "&amp;$I924&amp;" "&amp;$J924&amp;" "&amp;$Q924))),OR(CARI!$C$6="",$E924=CARI!$C$6),OR(CARI!$C$7="",$F924=CARI!$C$7),OR(CARI!$C$8="",$O924=CARI!$C$8)),MAX($U$3:U923)+1,""))</f>
        <v/>
      </c>
      <c r="V924" s="40" t="str">
        <f aca="false">IF($T924="","",MAX($V$3:V923)+1)</f>
        <v/>
      </c>
      <c r="W924" s="40" t="str">
        <f aca="false">IF($E924="","",$E924&amp;"#"&amp;COUNTIF($E$4:$E924,$E924))</f>
        <v/>
      </c>
      <c r="X924" s="40" t="str">
        <f aca="false">IF($B924="","",IF(AND(OR(CETAK!$J$10="",$E924=CETAK!$J$10),OR(CETAK!$J$11="",$F924=CETAK!$J$11),OR(CETAK!$J$12="",$K924=CETAK!$J$12),OR(CETAK!$J$13="",$H924=CETAK!$J$13),OR(CETAK!$J$14="",$O924=CETAK!$J$14)),MAX($X$3:X923)+1,""))</f>
        <v/>
      </c>
      <c r="Y924" s="40" t="str">
        <f aca="false">IF($B924="","",IF(AND(OR(ABSENSI!$H$10="",$E924=ABSENSI!$H$10),OR(ABSENSI!$H$11="",$F924=ABSENSI!$H$11),OR(ABSENSI!$H$12="",$K924=ABSENSI!$H$12)),MAX($Y$3:Y923)+1,""))</f>
        <v/>
      </c>
      <c r="Z924" s="40" t="str">
        <f aca="false">IF($B924="","",IF(AND(OR(KARTU!$K$6="",$E924=KARTU!$K$6),OR(KARTU!$K$7="",$F924=KARTU!$K$7),OR(KARTU!$K$8="",$K924=KARTU!$K$8)),MAX($Z$3:Z923)+1,""))</f>
        <v/>
      </c>
    </row>
    <row r="925" customFormat="false" ht="15" hidden="false" customHeight="false" outlineLevel="0" collapsed="false">
      <c r="A925" s="36" t="str">
        <f aca="false">IF($B925="","",COUNTA($B$4:$B925))</f>
        <v/>
      </c>
      <c r="B925" s="37"/>
      <c r="C925" s="38"/>
      <c r="D925" s="39"/>
      <c r="E925" s="37"/>
      <c r="F925" s="39"/>
      <c r="G925" s="40" t="str">
        <f aca="false">IF(OR($E925="",$F925=""),"",$E925&amp;" - RT "&amp;$F925)</f>
        <v/>
      </c>
      <c r="H925" s="37"/>
      <c r="I925" s="38"/>
      <c r="J925" s="37"/>
      <c r="K925" s="39"/>
      <c r="L925" s="41"/>
      <c r="M925" s="36" t="str">
        <f aca="true">IF(OR($B925="",$L925=""),"",DATEDIF($L925,TODAY(),"Y"))</f>
        <v/>
      </c>
      <c r="N925" s="40" t="str">
        <f aca="false">IF($M925="","",INDEX(usia_label,MATCH($M925,usia_min,1)))</f>
        <v/>
      </c>
      <c r="O925" s="37"/>
      <c r="P925" s="41"/>
      <c r="Q925" s="37"/>
      <c r="R925" s="37"/>
      <c r="S925" s="40" t="str">
        <f aca="false">IF($G925="","",$G925&amp;"#"&amp;COUNTIF($G$4:$G925,$G925))</f>
        <v/>
      </c>
      <c r="T925" s="40" t="str">
        <f aca="false">IF($B925="","",IF($C925="","NIK kosong",IF(LEN($C925)&lt;&gt;16,"NIK bukan 16 digit",IF(COUNTIF($C$4:$C$2003,$C925&amp;"*")&gt;1,"NIK ganda",IF($E925="","Kadus kosong",IF($F925="","RT kosong",IF($H925="","Jabatan kosong",IF($I925="","No. HP kosong",IF($J925="","Alamat kosong",IF(AND($M925&lt;&gt;"",$M925&lt;17),"Usia di bawah 17",""))))))))))</f>
        <v/>
      </c>
      <c r="U925" s="40" t="str">
        <f aca="false">IF($B925="","",IF(AND(OR(CARI!$C$5="",ISNUMBER(SEARCH(CARI!$C$5,$B925&amp;" "&amp;$C925&amp;" "&amp;$I925&amp;" "&amp;$J925&amp;" "&amp;$Q925))),OR(CARI!$C$6="",$E925=CARI!$C$6),OR(CARI!$C$7="",$F925=CARI!$C$7),OR(CARI!$C$8="",$O925=CARI!$C$8)),MAX($U$3:U924)+1,""))</f>
        <v/>
      </c>
      <c r="V925" s="40" t="str">
        <f aca="false">IF($T925="","",MAX($V$3:V924)+1)</f>
        <v/>
      </c>
      <c r="W925" s="40" t="str">
        <f aca="false">IF($E925="","",$E925&amp;"#"&amp;COUNTIF($E$4:$E925,$E925))</f>
        <v/>
      </c>
      <c r="X925" s="40" t="str">
        <f aca="false">IF($B925="","",IF(AND(OR(CETAK!$J$10="",$E925=CETAK!$J$10),OR(CETAK!$J$11="",$F925=CETAK!$J$11),OR(CETAK!$J$12="",$K925=CETAK!$J$12),OR(CETAK!$J$13="",$H925=CETAK!$J$13),OR(CETAK!$J$14="",$O925=CETAK!$J$14)),MAX($X$3:X924)+1,""))</f>
        <v/>
      </c>
      <c r="Y925" s="40" t="str">
        <f aca="false">IF($B925="","",IF(AND(OR(ABSENSI!$H$10="",$E925=ABSENSI!$H$10),OR(ABSENSI!$H$11="",$F925=ABSENSI!$H$11),OR(ABSENSI!$H$12="",$K925=ABSENSI!$H$12)),MAX($Y$3:Y924)+1,""))</f>
        <v/>
      </c>
      <c r="Z925" s="40" t="str">
        <f aca="false">IF($B925="","",IF(AND(OR(KARTU!$K$6="",$E925=KARTU!$K$6),OR(KARTU!$K$7="",$F925=KARTU!$K$7),OR(KARTU!$K$8="",$K925=KARTU!$K$8)),MAX($Z$3:Z924)+1,""))</f>
        <v/>
      </c>
    </row>
    <row r="926" customFormat="false" ht="15" hidden="false" customHeight="false" outlineLevel="0" collapsed="false">
      <c r="A926" s="36" t="str">
        <f aca="false">IF($B926="","",COUNTA($B$4:$B926))</f>
        <v/>
      </c>
      <c r="B926" s="37"/>
      <c r="C926" s="38"/>
      <c r="D926" s="39"/>
      <c r="E926" s="37"/>
      <c r="F926" s="39"/>
      <c r="G926" s="40" t="str">
        <f aca="false">IF(OR($E926="",$F926=""),"",$E926&amp;" - RT "&amp;$F926)</f>
        <v/>
      </c>
      <c r="H926" s="37"/>
      <c r="I926" s="38"/>
      <c r="J926" s="37"/>
      <c r="K926" s="39"/>
      <c r="L926" s="41"/>
      <c r="M926" s="36" t="str">
        <f aca="true">IF(OR($B926="",$L926=""),"",DATEDIF($L926,TODAY(),"Y"))</f>
        <v/>
      </c>
      <c r="N926" s="40" t="str">
        <f aca="false">IF($M926="","",INDEX(usia_label,MATCH($M926,usia_min,1)))</f>
        <v/>
      </c>
      <c r="O926" s="37"/>
      <c r="P926" s="41"/>
      <c r="Q926" s="37"/>
      <c r="R926" s="37"/>
      <c r="S926" s="40" t="str">
        <f aca="false">IF($G926="","",$G926&amp;"#"&amp;COUNTIF($G$4:$G926,$G926))</f>
        <v/>
      </c>
      <c r="T926" s="40" t="str">
        <f aca="false">IF($B926="","",IF($C926="","NIK kosong",IF(LEN($C926)&lt;&gt;16,"NIK bukan 16 digit",IF(COUNTIF($C$4:$C$2003,$C926&amp;"*")&gt;1,"NIK ganda",IF($E926="","Kadus kosong",IF($F926="","RT kosong",IF($H926="","Jabatan kosong",IF($I926="","No. HP kosong",IF($J926="","Alamat kosong",IF(AND($M926&lt;&gt;"",$M926&lt;17),"Usia di bawah 17",""))))))))))</f>
        <v/>
      </c>
      <c r="U926" s="40" t="str">
        <f aca="false">IF($B926="","",IF(AND(OR(CARI!$C$5="",ISNUMBER(SEARCH(CARI!$C$5,$B926&amp;" "&amp;$C926&amp;" "&amp;$I926&amp;" "&amp;$J926&amp;" "&amp;$Q926))),OR(CARI!$C$6="",$E926=CARI!$C$6),OR(CARI!$C$7="",$F926=CARI!$C$7),OR(CARI!$C$8="",$O926=CARI!$C$8)),MAX($U$3:U925)+1,""))</f>
        <v/>
      </c>
      <c r="V926" s="40" t="str">
        <f aca="false">IF($T926="","",MAX($V$3:V925)+1)</f>
        <v/>
      </c>
      <c r="W926" s="40" t="str">
        <f aca="false">IF($E926="","",$E926&amp;"#"&amp;COUNTIF($E$4:$E926,$E926))</f>
        <v/>
      </c>
      <c r="X926" s="40" t="str">
        <f aca="false">IF($B926="","",IF(AND(OR(CETAK!$J$10="",$E926=CETAK!$J$10),OR(CETAK!$J$11="",$F926=CETAK!$J$11),OR(CETAK!$J$12="",$K926=CETAK!$J$12),OR(CETAK!$J$13="",$H926=CETAK!$J$13),OR(CETAK!$J$14="",$O926=CETAK!$J$14)),MAX($X$3:X925)+1,""))</f>
        <v/>
      </c>
      <c r="Y926" s="40" t="str">
        <f aca="false">IF($B926="","",IF(AND(OR(ABSENSI!$H$10="",$E926=ABSENSI!$H$10),OR(ABSENSI!$H$11="",$F926=ABSENSI!$H$11),OR(ABSENSI!$H$12="",$K926=ABSENSI!$H$12)),MAX($Y$3:Y925)+1,""))</f>
        <v/>
      </c>
      <c r="Z926" s="40" t="str">
        <f aca="false">IF($B926="","",IF(AND(OR(KARTU!$K$6="",$E926=KARTU!$K$6),OR(KARTU!$K$7="",$F926=KARTU!$K$7),OR(KARTU!$K$8="",$K926=KARTU!$K$8)),MAX($Z$3:Z925)+1,""))</f>
        <v/>
      </c>
    </row>
    <row r="927" customFormat="false" ht="15" hidden="false" customHeight="false" outlineLevel="0" collapsed="false">
      <c r="A927" s="36" t="str">
        <f aca="false">IF($B927="","",COUNTA($B$4:$B927))</f>
        <v/>
      </c>
      <c r="B927" s="37"/>
      <c r="C927" s="38"/>
      <c r="D927" s="39"/>
      <c r="E927" s="37"/>
      <c r="F927" s="39"/>
      <c r="G927" s="40" t="str">
        <f aca="false">IF(OR($E927="",$F927=""),"",$E927&amp;" - RT "&amp;$F927)</f>
        <v/>
      </c>
      <c r="H927" s="37"/>
      <c r="I927" s="38"/>
      <c r="J927" s="37"/>
      <c r="K927" s="39"/>
      <c r="L927" s="41"/>
      <c r="M927" s="36" t="str">
        <f aca="true">IF(OR($B927="",$L927=""),"",DATEDIF($L927,TODAY(),"Y"))</f>
        <v/>
      </c>
      <c r="N927" s="40" t="str">
        <f aca="false">IF($M927="","",INDEX(usia_label,MATCH($M927,usia_min,1)))</f>
        <v/>
      </c>
      <c r="O927" s="37"/>
      <c r="P927" s="41"/>
      <c r="Q927" s="37"/>
      <c r="R927" s="37"/>
      <c r="S927" s="40" t="str">
        <f aca="false">IF($G927="","",$G927&amp;"#"&amp;COUNTIF($G$4:$G927,$G927))</f>
        <v/>
      </c>
      <c r="T927" s="40" t="str">
        <f aca="false">IF($B927="","",IF($C927="","NIK kosong",IF(LEN($C927)&lt;&gt;16,"NIK bukan 16 digit",IF(COUNTIF($C$4:$C$2003,$C927&amp;"*")&gt;1,"NIK ganda",IF($E927="","Kadus kosong",IF($F927="","RT kosong",IF($H927="","Jabatan kosong",IF($I927="","No. HP kosong",IF($J927="","Alamat kosong",IF(AND($M927&lt;&gt;"",$M927&lt;17),"Usia di bawah 17",""))))))))))</f>
        <v/>
      </c>
      <c r="U927" s="40" t="str">
        <f aca="false">IF($B927="","",IF(AND(OR(CARI!$C$5="",ISNUMBER(SEARCH(CARI!$C$5,$B927&amp;" "&amp;$C927&amp;" "&amp;$I927&amp;" "&amp;$J927&amp;" "&amp;$Q927))),OR(CARI!$C$6="",$E927=CARI!$C$6),OR(CARI!$C$7="",$F927=CARI!$C$7),OR(CARI!$C$8="",$O927=CARI!$C$8)),MAX($U$3:U926)+1,""))</f>
        <v/>
      </c>
      <c r="V927" s="40" t="str">
        <f aca="false">IF($T927="","",MAX($V$3:V926)+1)</f>
        <v/>
      </c>
      <c r="W927" s="40" t="str">
        <f aca="false">IF($E927="","",$E927&amp;"#"&amp;COUNTIF($E$4:$E927,$E927))</f>
        <v/>
      </c>
      <c r="X927" s="40" t="str">
        <f aca="false">IF($B927="","",IF(AND(OR(CETAK!$J$10="",$E927=CETAK!$J$10),OR(CETAK!$J$11="",$F927=CETAK!$J$11),OR(CETAK!$J$12="",$K927=CETAK!$J$12),OR(CETAK!$J$13="",$H927=CETAK!$J$13),OR(CETAK!$J$14="",$O927=CETAK!$J$14)),MAX($X$3:X926)+1,""))</f>
        <v/>
      </c>
      <c r="Y927" s="40" t="str">
        <f aca="false">IF($B927="","",IF(AND(OR(ABSENSI!$H$10="",$E927=ABSENSI!$H$10),OR(ABSENSI!$H$11="",$F927=ABSENSI!$H$11),OR(ABSENSI!$H$12="",$K927=ABSENSI!$H$12)),MAX($Y$3:Y926)+1,""))</f>
        <v/>
      </c>
      <c r="Z927" s="40" t="str">
        <f aca="false">IF($B927="","",IF(AND(OR(KARTU!$K$6="",$E927=KARTU!$K$6),OR(KARTU!$K$7="",$F927=KARTU!$K$7),OR(KARTU!$K$8="",$K927=KARTU!$K$8)),MAX($Z$3:Z926)+1,""))</f>
        <v/>
      </c>
    </row>
    <row r="928" customFormat="false" ht="15" hidden="false" customHeight="false" outlineLevel="0" collapsed="false">
      <c r="A928" s="36" t="str">
        <f aca="false">IF($B928="","",COUNTA($B$4:$B928))</f>
        <v/>
      </c>
      <c r="B928" s="37"/>
      <c r="C928" s="38"/>
      <c r="D928" s="39"/>
      <c r="E928" s="37"/>
      <c r="F928" s="39"/>
      <c r="G928" s="40" t="str">
        <f aca="false">IF(OR($E928="",$F928=""),"",$E928&amp;" - RT "&amp;$F928)</f>
        <v/>
      </c>
      <c r="H928" s="37"/>
      <c r="I928" s="38"/>
      <c r="J928" s="37"/>
      <c r="K928" s="39"/>
      <c r="L928" s="41"/>
      <c r="M928" s="36" t="str">
        <f aca="true">IF(OR($B928="",$L928=""),"",DATEDIF($L928,TODAY(),"Y"))</f>
        <v/>
      </c>
      <c r="N928" s="40" t="str">
        <f aca="false">IF($M928="","",INDEX(usia_label,MATCH($M928,usia_min,1)))</f>
        <v/>
      </c>
      <c r="O928" s="37"/>
      <c r="P928" s="41"/>
      <c r="Q928" s="37"/>
      <c r="R928" s="37"/>
      <c r="S928" s="40" t="str">
        <f aca="false">IF($G928="","",$G928&amp;"#"&amp;COUNTIF($G$4:$G928,$G928))</f>
        <v/>
      </c>
      <c r="T928" s="40" t="str">
        <f aca="false">IF($B928="","",IF($C928="","NIK kosong",IF(LEN($C928)&lt;&gt;16,"NIK bukan 16 digit",IF(COUNTIF($C$4:$C$2003,$C928&amp;"*")&gt;1,"NIK ganda",IF($E928="","Kadus kosong",IF($F928="","RT kosong",IF($H928="","Jabatan kosong",IF($I928="","No. HP kosong",IF($J928="","Alamat kosong",IF(AND($M928&lt;&gt;"",$M928&lt;17),"Usia di bawah 17",""))))))))))</f>
        <v/>
      </c>
      <c r="U928" s="40" t="str">
        <f aca="false">IF($B928="","",IF(AND(OR(CARI!$C$5="",ISNUMBER(SEARCH(CARI!$C$5,$B928&amp;" "&amp;$C928&amp;" "&amp;$I928&amp;" "&amp;$J928&amp;" "&amp;$Q928))),OR(CARI!$C$6="",$E928=CARI!$C$6),OR(CARI!$C$7="",$F928=CARI!$C$7),OR(CARI!$C$8="",$O928=CARI!$C$8)),MAX($U$3:U927)+1,""))</f>
        <v/>
      </c>
      <c r="V928" s="40" t="str">
        <f aca="false">IF($T928="","",MAX($V$3:V927)+1)</f>
        <v/>
      </c>
      <c r="W928" s="40" t="str">
        <f aca="false">IF($E928="","",$E928&amp;"#"&amp;COUNTIF($E$4:$E928,$E928))</f>
        <v/>
      </c>
      <c r="X928" s="40" t="str">
        <f aca="false">IF($B928="","",IF(AND(OR(CETAK!$J$10="",$E928=CETAK!$J$10),OR(CETAK!$J$11="",$F928=CETAK!$J$11),OR(CETAK!$J$12="",$K928=CETAK!$J$12),OR(CETAK!$J$13="",$H928=CETAK!$J$13),OR(CETAK!$J$14="",$O928=CETAK!$J$14)),MAX($X$3:X927)+1,""))</f>
        <v/>
      </c>
      <c r="Y928" s="40" t="str">
        <f aca="false">IF($B928="","",IF(AND(OR(ABSENSI!$H$10="",$E928=ABSENSI!$H$10),OR(ABSENSI!$H$11="",$F928=ABSENSI!$H$11),OR(ABSENSI!$H$12="",$K928=ABSENSI!$H$12)),MAX($Y$3:Y927)+1,""))</f>
        <v/>
      </c>
      <c r="Z928" s="40" t="str">
        <f aca="false">IF($B928="","",IF(AND(OR(KARTU!$K$6="",$E928=KARTU!$K$6),OR(KARTU!$K$7="",$F928=KARTU!$K$7),OR(KARTU!$K$8="",$K928=KARTU!$K$8)),MAX($Z$3:Z927)+1,""))</f>
        <v/>
      </c>
    </row>
    <row r="929" customFormat="false" ht="15" hidden="false" customHeight="false" outlineLevel="0" collapsed="false">
      <c r="A929" s="36" t="str">
        <f aca="false">IF($B929="","",COUNTA($B$4:$B929))</f>
        <v/>
      </c>
      <c r="B929" s="37"/>
      <c r="C929" s="38"/>
      <c r="D929" s="39"/>
      <c r="E929" s="37"/>
      <c r="F929" s="39"/>
      <c r="G929" s="40" t="str">
        <f aca="false">IF(OR($E929="",$F929=""),"",$E929&amp;" - RT "&amp;$F929)</f>
        <v/>
      </c>
      <c r="H929" s="37"/>
      <c r="I929" s="38"/>
      <c r="J929" s="37"/>
      <c r="K929" s="39"/>
      <c r="L929" s="41"/>
      <c r="M929" s="36" t="str">
        <f aca="true">IF(OR($B929="",$L929=""),"",DATEDIF($L929,TODAY(),"Y"))</f>
        <v/>
      </c>
      <c r="N929" s="40" t="str">
        <f aca="false">IF($M929="","",INDEX(usia_label,MATCH($M929,usia_min,1)))</f>
        <v/>
      </c>
      <c r="O929" s="37"/>
      <c r="P929" s="41"/>
      <c r="Q929" s="37"/>
      <c r="R929" s="37"/>
      <c r="S929" s="40" t="str">
        <f aca="false">IF($G929="","",$G929&amp;"#"&amp;COUNTIF($G$4:$G929,$G929))</f>
        <v/>
      </c>
      <c r="T929" s="40" t="str">
        <f aca="false">IF($B929="","",IF($C929="","NIK kosong",IF(LEN($C929)&lt;&gt;16,"NIK bukan 16 digit",IF(COUNTIF($C$4:$C$2003,$C929&amp;"*")&gt;1,"NIK ganda",IF($E929="","Kadus kosong",IF($F929="","RT kosong",IF($H929="","Jabatan kosong",IF($I929="","No. HP kosong",IF($J929="","Alamat kosong",IF(AND($M929&lt;&gt;"",$M929&lt;17),"Usia di bawah 17",""))))))))))</f>
        <v/>
      </c>
      <c r="U929" s="40" t="str">
        <f aca="false">IF($B929="","",IF(AND(OR(CARI!$C$5="",ISNUMBER(SEARCH(CARI!$C$5,$B929&amp;" "&amp;$C929&amp;" "&amp;$I929&amp;" "&amp;$J929&amp;" "&amp;$Q929))),OR(CARI!$C$6="",$E929=CARI!$C$6),OR(CARI!$C$7="",$F929=CARI!$C$7),OR(CARI!$C$8="",$O929=CARI!$C$8)),MAX($U$3:U928)+1,""))</f>
        <v/>
      </c>
      <c r="V929" s="40" t="str">
        <f aca="false">IF($T929="","",MAX($V$3:V928)+1)</f>
        <v/>
      </c>
      <c r="W929" s="40" t="str">
        <f aca="false">IF($E929="","",$E929&amp;"#"&amp;COUNTIF($E$4:$E929,$E929))</f>
        <v/>
      </c>
      <c r="X929" s="40" t="str">
        <f aca="false">IF($B929="","",IF(AND(OR(CETAK!$J$10="",$E929=CETAK!$J$10),OR(CETAK!$J$11="",$F929=CETAK!$J$11),OR(CETAK!$J$12="",$K929=CETAK!$J$12),OR(CETAK!$J$13="",$H929=CETAK!$J$13),OR(CETAK!$J$14="",$O929=CETAK!$J$14)),MAX($X$3:X928)+1,""))</f>
        <v/>
      </c>
      <c r="Y929" s="40" t="str">
        <f aca="false">IF($B929="","",IF(AND(OR(ABSENSI!$H$10="",$E929=ABSENSI!$H$10),OR(ABSENSI!$H$11="",$F929=ABSENSI!$H$11),OR(ABSENSI!$H$12="",$K929=ABSENSI!$H$12)),MAX($Y$3:Y928)+1,""))</f>
        <v/>
      </c>
      <c r="Z929" s="40" t="str">
        <f aca="false">IF($B929="","",IF(AND(OR(KARTU!$K$6="",$E929=KARTU!$K$6),OR(KARTU!$K$7="",$F929=KARTU!$K$7),OR(KARTU!$K$8="",$K929=KARTU!$K$8)),MAX($Z$3:Z928)+1,""))</f>
        <v/>
      </c>
    </row>
    <row r="930" customFormat="false" ht="15" hidden="false" customHeight="false" outlineLevel="0" collapsed="false">
      <c r="A930" s="36" t="str">
        <f aca="false">IF($B930="","",COUNTA($B$4:$B930))</f>
        <v/>
      </c>
      <c r="B930" s="37"/>
      <c r="C930" s="38"/>
      <c r="D930" s="39"/>
      <c r="E930" s="37"/>
      <c r="F930" s="39"/>
      <c r="G930" s="40" t="str">
        <f aca="false">IF(OR($E930="",$F930=""),"",$E930&amp;" - RT "&amp;$F930)</f>
        <v/>
      </c>
      <c r="H930" s="37"/>
      <c r="I930" s="38"/>
      <c r="J930" s="37"/>
      <c r="K930" s="39"/>
      <c r="L930" s="41"/>
      <c r="M930" s="36" t="str">
        <f aca="true">IF(OR($B930="",$L930=""),"",DATEDIF($L930,TODAY(),"Y"))</f>
        <v/>
      </c>
      <c r="N930" s="40" t="str">
        <f aca="false">IF($M930="","",INDEX(usia_label,MATCH($M930,usia_min,1)))</f>
        <v/>
      </c>
      <c r="O930" s="37"/>
      <c r="P930" s="41"/>
      <c r="Q930" s="37"/>
      <c r="R930" s="37"/>
      <c r="S930" s="40" t="str">
        <f aca="false">IF($G930="","",$G930&amp;"#"&amp;COUNTIF($G$4:$G930,$G930))</f>
        <v/>
      </c>
      <c r="T930" s="40" t="str">
        <f aca="false">IF($B930="","",IF($C930="","NIK kosong",IF(LEN($C930)&lt;&gt;16,"NIK bukan 16 digit",IF(COUNTIF($C$4:$C$2003,$C930&amp;"*")&gt;1,"NIK ganda",IF($E930="","Kadus kosong",IF($F930="","RT kosong",IF($H930="","Jabatan kosong",IF($I930="","No. HP kosong",IF($J930="","Alamat kosong",IF(AND($M930&lt;&gt;"",$M930&lt;17),"Usia di bawah 17",""))))))))))</f>
        <v/>
      </c>
      <c r="U930" s="40" t="str">
        <f aca="false">IF($B930="","",IF(AND(OR(CARI!$C$5="",ISNUMBER(SEARCH(CARI!$C$5,$B930&amp;" "&amp;$C930&amp;" "&amp;$I930&amp;" "&amp;$J930&amp;" "&amp;$Q930))),OR(CARI!$C$6="",$E930=CARI!$C$6),OR(CARI!$C$7="",$F930=CARI!$C$7),OR(CARI!$C$8="",$O930=CARI!$C$8)),MAX($U$3:U929)+1,""))</f>
        <v/>
      </c>
      <c r="V930" s="40" t="str">
        <f aca="false">IF($T930="","",MAX($V$3:V929)+1)</f>
        <v/>
      </c>
      <c r="W930" s="40" t="str">
        <f aca="false">IF($E930="","",$E930&amp;"#"&amp;COUNTIF($E$4:$E930,$E930))</f>
        <v/>
      </c>
      <c r="X930" s="40" t="str">
        <f aca="false">IF($B930="","",IF(AND(OR(CETAK!$J$10="",$E930=CETAK!$J$10),OR(CETAK!$J$11="",$F930=CETAK!$J$11),OR(CETAK!$J$12="",$K930=CETAK!$J$12),OR(CETAK!$J$13="",$H930=CETAK!$J$13),OR(CETAK!$J$14="",$O930=CETAK!$J$14)),MAX($X$3:X929)+1,""))</f>
        <v/>
      </c>
      <c r="Y930" s="40" t="str">
        <f aca="false">IF($B930="","",IF(AND(OR(ABSENSI!$H$10="",$E930=ABSENSI!$H$10),OR(ABSENSI!$H$11="",$F930=ABSENSI!$H$11),OR(ABSENSI!$H$12="",$K930=ABSENSI!$H$12)),MAX($Y$3:Y929)+1,""))</f>
        <v/>
      </c>
      <c r="Z930" s="40" t="str">
        <f aca="false">IF($B930="","",IF(AND(OR(KARTU!$K$6="",$E930=KARTU!$K$6),OR(KARTU!$K$7="",$F930=KARTU!$K$7),OR(KARTU!$K$8="",$K930=KARTU!$K$8)),MAX($Z$3:Z929)+1,""))</f>
        <v/>
      </c>
    </row>
    <row r="931" customFormat="false" ht="15" hidden="false" customHeight="false" outlineLevel="0" collapsed="false">
      <c r="A931" s="36" t="str">
        <f aca="false">IF($B931="","",COUNTA($B$4:$B931))</f>
        <v/>
      </c>
      <c r="B931" s="37"/>
      <c r="C931" s="38"/>
      <c r="D931" s="39"/>
      <c r="E931" s="37"/>
      <c r="F931" s="39"/>
      <c r="G931" s="40" t="str">
        <f aca="false">IF(OR($E931="",$F931=""),"",$E931&amp;" - RT "&amp;$F931)</f>
        <v/>
      </c>
      <c r="H931" s="37"/>
      <c r="I931" s="38"/>
      <c r="J931" s="37"/>
      <c r="K931" s="39"/>
      <c r="L931" s="41"/>
      <c r="M931" s="36" t="str">
        <f aca="true">IF(OR($B931="",$L931=""),"",DATEDIF($L931,TODAY(),"Y"))</f>
        <v/>
      </c>
      <c r="N931" s="40" t="str">
        <f aca="false">IF($M931="","",INDEX(usia_label,MATCH($M931,usia_min,1)))</f>
        <v/>
      </c>
      <c r="O931" s="37"/>
      <c r="P931" s="41"/>
      <c r="Q931" s="37"/>
      <c r="R931" s="37"/>
      <c r="S931" s="40" t="str">
        <f aca="false">IF($G931="","",$G931&amp;"#"&amp;COUNTIF($G$4:$G931,$G931))</f>
        <v/>
      </c>
      <c r="T931" s="40" t="str">
        <f aca="false">IF($B931="","",IF($C931="","NIK kosong",IF(LEN($C931)&lt;&gt;16,"NIK bukan 16 digit",IF(COUNTIF($C$4:$C$2003,$C931&amp;"*")&gt;1,"NIK ganda",IF($E931="","Kadus kosong",IF($F931="","RT kosong",IF($H931="","Jabatan kosong",IF($I931="","No. HP kosong",IF($J931="","Alamat kosong",IF(AND($M931&lt;&gt;"",$M931&lt;17),"Usia di bawah 17",""))))))))))</f>
        <v/>
      </c>
      <c r="U931" s="40" t="str">
        <f aca="false">IF($B931="","",IF(AND(OR(CARI!$C$5="",ISNUMBER(SEARCH(CARI!$C$5,$B931&amp;" "&amp;$C931&amp;" "&amp;$I931&amp;" "&amp;$J931&amp;" "&amp;$Q931))),OR(CARI!$C$6="",$E931=CARI!$C$6),OR(CARI!$C$7="",$F931=CARI!$C$7),OR(CARI!$C$8="",$O931=CARI!$C$8)),MAX($U$3:U930)+1,""))</f>
        <v/>
      </c>
      <c r="V931" s="40" t="str">
        <f aca="false">IF($T931="","",MAX($V$3:V930)+1)</f>
        <v/>
      </c>
      <c r="W931" s="40" t="str">
        <f aca="false">IF($E931="","",$E931&amp;"#"&amp;COUNTIF($E$4:$E931,$E931))</f>
        <v/>
      </c>
      <c r="X931" s="40" t="str">
        <f aca="false">IF($B931="","",IF(AND(OR(CETAK!$J$10="",$E931=CETAK!$J$10),OR(CETAK!$J$11="",$F931=CETAK!$J$11),OR(CETAK!$J$12="",$K931=CETAK!$J$12),OR(CETAK!$J$13="",$H931=CETAK!$J$13),OR(CETAK!$J$14="",$O931=CETAK!$J$14)),MAX($X$3:X930)+1,""))</f>
        <v/>
      </c>
      <c r="Y931" s="40" t="str">
        <f aca="false">IF($B931="","",IF(AND(OR(ABSENSI!$H$10="",$E931=ABSENSI!$H$10),OR(ABSENSI!$H$11="",$F931=ABSENSI!$H$11),OR(ABSENSI!$H$12="",$K931=ABSENSI!$H$12)),MAX($Y$3:Y930)+1,""))</f>
        <v/>
      </c>
      <c r="Z931" s="40" t="str">
        <f aca="false">IF($B931="","",IF(AND(OR(KARTU!$K$6="",$E931=KARTU!$K$6),OR(KARTU!$K$7="",$F931=KARTU!$K$7),OR(KARTU!$K$8="",$K931=KARTU!$K$8)),MAX($Z$3:Z930)+1,""))</f>
        <v/>
      </c>
    </row>
    <row r="932" customFormat="false" ht="15" hidden="false" customHeight="false" outlineLevel="0" collapsed="false">
      <c r="A932" s="36" t="str">
        <f aca="false">IF($B932="","",COUNTA($B$4:$B932))</f>
        <v/>
      </c>
      <c r="B932" s="37"/>
      <c r="C932" s="38"/>
      <c r="D932" s="39"/>
      <c r="E932" s="37"/>
      <c r="F932" s="39"/>
      <c r="G932" s="40" t="str">
        <f aca="false">IF(OR($E932="",$F932=""),"",$E932&amp;" - RT "&amp;$F932)</f>
        <v/>
      </c>
      <c r="H932" s="37"/>
      <c r="I932" s="38"/>
      <c r="J932" s="37"/>
      <c r="K932" s="39"/>
      <c r="L932" s="41"/>
      <c r="M932" s="36" t="str">
        <f aca="true">IF(OR($B932="",$L932=""),"",DATEDIF($L932,TODAY(),"Y"))</f>
        <v/>
      </c>
      <c r="N932" s="40" t="str">
        <f aca="false">IF($M932="","",INDEX(usia_label,MATCH($M932,usia_min,1)))</f>
        <v/>
      </c>
      <c r="O932" s="37"/>
      <c r="P932" s="41"/>
      <c r="Q932" s="37"/>
      <c r="R932" s="37"/>
      <c r="S932" s="40" t="str">
        <f aca="false">IF($G932="","",$G932&amp;"#"&amp;COUNTIF($G$4:$G932,$G932))</f>
        <v/>
      </c>
      <c r="T932" s="40" t="str">
        <f aca="false">IF($B932="","",IF($C932="","NIK kosong",IF(LEN($C932)&lt;&gt;16,"NIK bukan 16 digit",IF(COUNTIF($C$4:$C$2003,$C932&amp;"*")&gt;1,"NIK ganda",IF($E932="","Kadus kosong",IF($F932="","RT kosong",IF($H932="","Jabatan kosong",IF($I932="","No. HP kosong",IF($J932="","Alamat kosong",IF(AND($M932&lt;&gt;"",$M932&lt;17),"Usia di bawah 17",""))))))))))</f>
        <v/>
      </c>
      <c r="U932" s="40" t="str">
        <f aca="false">IF($B932="","",IF(AND(OR(CARI!$C$5="",ISNUMBER(SEARCH(CARI!$C$5,$B932&amp;" "&amp;$C932&amp;" "&amp;$I932&amp;" "&amp;$J932&amp;" "&amp;$Q932))),OR(CARI!$C$6="",$E932=CARI!$C$6),OR(CARI!$C$7="",$F932=CARI!$C$7),OR(CARI!$C$8="",$O932=CARI!$C$8)),MAX($U$3:U931)+1,""))</f>
        <v/>
      </c>
      <c r="V932" s="40" t="str">
        <f aca="false">IF($T932="","",MAX($V$3:V931)+1)</f>
        <v/>
      </c>
      <c r="W932" s="40" t="str">
        <f aca="false">IF($E932="","",$E932&amp;"#"&amp;COUNTIF($E$4:$E932,$E932))</f>
        <v/>
      </c>
      <c r="X932" s="40" t="str">
        <f aca="false">IF($B932="","",IF(AND(OR(CETAK!$J$10="",$E932=CETAK!$J$10),OR(CETAK!$J$11="",$F932=CETAK!$J$11),OR(CETAK!$J$12="",$K932=CETAK!$J$12),OR(CETAK!$J$13="",$H932=CETAK!$J$13),OR(CETAK!$J$14="",$O932=CETAK!$J$14)),MAX($X$3:X931)+1,""))</f>
        <v/>
      </c>
      <c r="Y932" s="40" t="str">
        <f aca="false">IF($B932="","",IF(AND(OR(ABSENSI!$H$10="",$E932=ABSENSI!$H$10),OR(ABSENSI!$H$11="",$F932=ABSENSI!$H$11),OR(ABSENSI!$H$12="",$K932=ABSENSI!$H$12)),MAX($Y$3:Y931)+1,""))</f>
        <v/>
      </c>
      <c r="Z932" s="40" t="str">
        <f aca="false">IF($B932="","",IF(AND(OR(KARTU!$K$6="",$E932=KARTU!$K$6),OR(KARTU!$K$7="",$F932=KARTU!$K$7),OR(KARTU!$K$8="",$K932=KARTU!$K$8)),MAX($Z$3:Z931)+1,""))</f>
        <v/>
      </c>
    </row>
    <row r="933" customFormat="false" ht="15" hidden="false" customHeight="false" outlineLevel="0" collapsed="false">
      <c r="A933" s="36" t="str">
        <f aca="false">IF($B933="","",COUNTA($B$4:$B933))</f>
        <v/>
      </c>
      <c r="B933" s="37"/>
      <c r="C933" s="38"/>
      <c r="D933" s="39"/>
      <c r="E933" s="37"/>
      <c r="F933" s="39"/>
      <c r="G933" s="40" t="str">
        <f aca="false">IF(OR($E933="",$F933=""),"",$E933&amp;" - RT "&amp;$F933)</f>
        <v/>
      </c>
      <c r="H933" s="37"/>
      <c r="I933" s="38"/>
      <c r="J933" s="37"/>
      <c r="K933" s="39"/>
      <c r="L933" s="41"/>
      <c r="M933" s="36" t="str">
        <f aca="true">IF(OR($B933="",$L933=""),"",DATEDIF($L933,TODAY(),"Y"))</f>
        <v/>
      </c>
      <c r="N933" s="40" t="str">
        <f aca="false">IF($M933="","",INDEX(usia_label,MATCH($M933,usia_min,1)))</f>
        <v/>
      </c>
      <c r="O933" s="37"/>
      <c r="P933" s="41"/>
      <c r="Q933" s="37"/>
      <c r="R933" s="37"/>
      <c r="S933" s="40" t="str">
        <f aca="false">IF($G933="","",$G933&amp;"#"&amp;COUNTIF($G$4:$G933,$G933))</f>
        <v/>
      </c>
      <c r="T933" s="40" t="str">
        <f aca="false">IF($B933="","",IF($C933="","NIK kosong",IF(LEN($C933)&lt;&gt;16,"NIK bukan 16 digit",IF(COUNTIF($C$4:$C$2003,$C933&amp;"*")&gt;1,"NIK ganda",IF($E933="","Kadus kosong",IF($F933="","RT kosong",IF($H933="","Jabatan kosong",IF($I933="","No. HP kosong",IF($J933="","Alamat kosong",IF(AND($M933&lt;&gt;"",$M933&lt;17),"Usia di bawah 17",""))))))))))</f>
        <v/>
      </c>
      <c r="U933" s="40" t="str">
        <f aca="false">IF($B933="","",IF(AND(OR(CARI!$C$5="",ISNUMBER(SEARCH(CARI!$C$5,$B933&amp;" "&amp;$C933&amp;" "&amp;$I933&amp;" "&amp;$J933&amp;" "&amp;$Q933))),OR(CARI!$C$6="",$E933=CARI!$C$6),OR(CARI!$C$7="",$F933=CARI!$C$7),OR(CARI!$C$8="",$O933=CARI!$C$8)),MAX($U$3:U932)+1,""))</f>
        <v/>
      </c>
      <c r="V933" s="40" t="str">
        <f aca="false">IF($T933="","",MAX($V$3:V932)+1)</f>
        <v/>
      </c>
      <c r="W933" s="40" t="str">
        <f aca="false">IF($E933="","",$E933&amp;"#"&amp;COUNTIF($E$4:$E933,$E933))</f>
        <v/>
      </c>
      <c r="X933" s="40" t="str">
        <f aca="false">IF($B933="","",IF(AND(OR(CETAK!$J$10="",$E933=CETAK!$J$10),OR(CETAK!$J$11="",$F933=CETAK!$J$11),OR(CETAK!$J$12="",$K933=CETAK!$J$12),OR(CETAK!$J$13="",$H933=CETAK!$J$13),OR(CETAK!$J$14="",$O933=CETAK!$J$14)),MAX($X$3:X932)+1,""))</f>
        <v/>
      </c>
      <c r="Y933" s="40" t="str">
        <f aca="false">IF($B933="","",IF(AND(OR(ABSENSI!$H$10="",$E933=ABSENSI!$H$10),OR(ABSENSI!$H$11="",$F933=ABSENSI!$H$11),OR(ABSENSI!$H$12="",$K933=ABSENSI!$H$12)),MAX($Y$3:Y932)+1,""))</f>
        <v/>
      </c>
      <c r="Z933" s="40" t="str">
        <f aca="false">IF($B933="","",IF(AND(OR(KARTU!$K$6="",$E933=KARTU!$K$6),OR(KARTU!$K$7="",$F933=KARTU!$K$7),OR(KARTU!$K$8="",$K933=KARTU!$K$8)),MAX($Z$3:Z932)+1,""))</f>
        <v/>
      </c>
    </row>
    <row r="934" customFormat="false" ht="15" hidden="false" customHeight="false" outlineLevel="0" collapsed="false">
      <c r="A934" s="36" t="str">
        <f aca="false">IF($B934="","",COUNTA($B$4:$B934))</f>
        <v/>
      </c>
      <c r="B934" s="37"/>
      <c r="C934" s="38"/>
      <c r="D934" s="39"/>
      <c r="E934" s="37"/>
      <c r="F934" s="39"/>
      <c r="G934" s="40" t="str">
        <f aca="false">IF(OR($E934="",$F934=""),"",$E934&amp;" - RT "&amp;$F934)</f>
        <v/>
      </c>
      <c r="H934" s="37"/>
      <c r="I934" s="38"/>
      <c r="J934" s="37"/>
      <c r="K934" s="39"/>
      <c r="L934" s="41"/>
      <c r="M934" s="36" t="str">
        <f aca="true">IF(OR($B934="",$L934=""),"",DATEDIF($L934,TODAY(),"Y"))</f>
        <v/>
      </c>
      <c r="N934" s="40" t="str">
        <f aca="false">IF($M934="","",INDEX(usia_label,MATCH($M934,usia_min,1)))</f>
        <v/>
      </c>
      <c r="O934" s="37"/>
      <c r="P934" s="41"/>
      <c r="Q934" s="37"/>
      <c r="R934" s="37"/>
      <c r="S934" s="40" t="str">
        <f aca="false">IF($G934="","",$G934&amp;"#"&amp;COUNTIF($G$4:$G934,$G934))</f>
        <v/>
      </c>
      <c r="T934" s="40" t="str">
        <f aca="false">IF($B934="","",IF($C934="","NIK kosong",IF(LEN($C934)&lt;&gt;16,"NIK bukan 16 digit",IF(COUNTIF($C$4:$C$2003,$C934&amp;"*")&gt;1,"NIK ganda",IF($E934="","Kadus kosong",IF($F934="","RT kosong",IF($H934="","Jabatan kosong",IF($I934="","No. HP kosong",IF($J934="","Alamat kosong",IF(AND($M934&lt;&gt;"",$M934&lt;17),"Usia di bawah 17",""))))))))))</f>
        <v/>
      </c>
      <c r="U934" s="40" t="str">
        <f aca="false">IF($B934="","",IF(AND(OR(CARI!$C$5="",ISNUMBER(SEARCH(CARI!$C$5,$B934&amp;" "&amp;$C934&amp;" "&amp;$I934&amp;" "&amp;$J934&amp;" "&amp;$Q934))),OR(CARI!$C$6="",$E934=CARI!$C$6),OR(CARI!$C$7="",$F934=CARI!$C$7),OR(CARI!$C$8="",$O934=CARI!$C$8)),MAX($U$3:U933)+1,""))</f>
        <v/>
      </c>
      <c r="V934" s="40" t="str">
        <f aca="false">IF($T934="","",MAX($V$3:V933)+1)</f>
        <v/>
      </c>
      <c r="W934" s="40" t="str">
        <f aca="false">IF($E934="","",$E934&amp;"#"&amp;COUNTIF($E$4:$E934,$E934))</f>
        <v/>
      </c>
      <c r="X934" s="40" t="str">
        <f aca="false">IF($B934="","",IF(AND(OR(CETAK!$J$10="",$E934=CETAK!$J$10),OR(CETAK!$J$11="",$F934=CETAK!$J$11),OR(CETAK!$J$12="",$K934=CETAK!$J$12),OR(CETAK!$J$13="",$H934=CETAK!$J$13),OR(CETAK!$J$14="",$O934=CETAK!$J$14)),MAX($X$3:X933)+1,""))</f>
        <v/>
      </c>
      <c r="Y934" s="40" t="str">
        <f aca="false">IF($B934="","",IF(AND(OR(ABSENSI!$H$10="",$E934=ABSENSI!$H$10),OR(ABSENSI!$H$11="",$F934=ABSENSI!$H$11),OR(ABSENSI!$H$12="",$K934=ABSENSI!$H$12)),MAX($Y$3:Y933)+1,""))</f>
        <v/>
      </c>
      <c r="Z934" s="40" t="str">
        <f aca="false">IF($B934="","",IF(AND(OR(KARTU!$K$6="",$E934=KARTU!$K$6),OR(KARTU!$K$7="",$F934=KARTU!$K$7),OR(KARTU!$K$8="",$K934=KARTU!$K$8)),MAX($Z$3:Z933)+1,""))</f>
        <v/>
      </c>
    </row>
    <row r="935" customFormat="false" ht="15" hidden="false" customHeight="false" outlineLevel="0" collapsed="false">
      <c r="A935" s="36" t="str">
        <f aca="false">IF($B935="","",COUNTA($B$4:$B935))</f>
        <v/>
      </c>
      <c r="B935" s="37"/>
      <c r="C935" s="38"/>
      <c r="D935" s="39"/>
      <c r="E935" s="37"/>
      <c r="F935" s="39"/>
      <c r="G935" s="40" t="str">
        <f aca="false">IF(OR($E935="",$F935=""),"",$E935&amp;" - RT "&amp;$F935)</f>
        <v/>
      </c>
      <c r="H935" s="37"/>
      <c r="I935" s="38"/>
      <c r="J935" s="37"/>
      <c r="K935" s="39"/>
      <c r="L935" s="41"/>
      <c r="M935" s="36" t="str">
        <f aca="true">IF(OR($B935="",$L935=""),"",DATEDIF($L935,TODAY(),"Y"))</f>
        <v/>
      </c>
      <c r="N935" s="40" t="str">
        <f aca="false">IF($M935="","",INDEX(usia_label,MATCH($M935,usia_min,1)))</f>
        <v/>
      </c>
      <c r="O935" s="37"/>
      <c r="P935" s="41"/>
      <c r="Q935" s="37"/>
      <c r="R935" s="37"/>
      <c r="S935" s="40" t="str">
        <f aca="false">IF($G935="","",$G935&amp;"#"&amp;COUNTIF($G$4:$G935,$G935))</f>
        <v/>
      </c>
      <c r="T935" s="40" t="str">
        <f aca="false">IF($B935="","",IF($C935="","NIK kosong",IF(LEN($C935)&lt;&gt;16,"NIK bukan 16 digit",IF(COUNTIF($C$4:$C$2003,$C935&amp;"*")&gt;1,"NIK ganda",IF($E935="","Kadus kosong",IF($F935="","RT kosong",IF($H935="","Jabatan kosong",IF($I935="","No. HP kosong",IF($J935="","Alamat kosong",IF(AND($M935&lt;&gt;"",$M935&lt;17),"Usia di bawah 17",""))))))))))</f>
        <v/>
      </c>
      <c r="U935" s="40" t="str">
        <f aca="false">IF($B935="","",IF(AND(OR(CARI!$C$5="",ISNUMBER(SEARCH(CARI!$C$5,$B935&amp;" "&amp;$C935&amp;" "&amp;$I935&amp;" "&amp;$J935&amp;" "&amp;$Q935))),OR(CARI!$C$6="",$E935=CARI!$C$6),OR(CARI!$C$7="",$F935=CARI!$C$7),OR(CARI!$C$8="",$O935=CARI!$C$8)),MAX($U$3:U934)+1,""))</f>
        <v/>
      </c>
      <c r="V935" s="40" t="str">
        <f aca="false">IF($T935="","",MAX($V$3:V934)+1)</f>
        <v/>
      </c>
      <c r="W935" s="40" t="str">
        <f aca="false">IF($E935="","",$E935&amp;"#"&amp;COUNTIF($E$4:$E935,$E935))</f>
        <v/>
      </c>
      <c r="X935" s="40" t="str">
        <f aca="false">IF($B935="","",IF(AND(OR(CETAK!$J$10="",$E935=CETAK!$J$10),OR(CETAK!$J$11="",$F935=CETAK!$J$11),OR(CETAK!$J$12="",$K935=CETAK!$J$12),OR(CETAK!$J$13="",$H935=CETAK!$J$13),OR(CETAK!$J$14="",$O935=CETAK!$J$14)),MAX($X$3:X934)+1,""))</f>
        <v/>
      </c>
      <c r="Y935" s="40" t="str">
        <f aca="false">IF($B935="","",IF(AND(OR(ABSENSI!$H$10="",$E935=ABSENSI!$H$10),OR(ABSENSI!$H$11="",$F935=ABSENSI!$H$11),OR(ABSENSI!$H$12="",$K935=ABSENSI!$H$12)),MAX($Y$3:Y934)+1,""))</f>
        <v/>
      </c>
      <c r="Z935" s="40" t="str">
        <f aca="false">IF($B935="","",IF(AND(OR(KARTU!$K$6="",$E935=KARTU!$K$6),OR(KARTU!$K$7="",$F935=KARTU!$K$7),OR(KARTU!$K$8="",$K935=KARTU!$K$8)),MAX($Z$3:Z934)+1,""))</f>
        <v/>
      </c>
    </row>
    <row r="936" customFormat="false" ht="15" hidden="false" customHeight="false" outlineLevel="0" collapsed="false">
      <c r="A936" s="36" t="str">
        <f aca="false">IF($B936="","",COUNTA($B$4:$B936))</f>
        <v/>
      </c>
      <c r="B936" s="37"/>
      <c r="C936" s="38"/>
      <c r="D936" s="39"/>
      <c r="E936" s="37"/>
      <c r="F936" s="39"/>
      <c r="G936" s="40" t="str">
        <f aca="false">IF(OR($E936="",$F936=""),"",$E936&amp;" - RT "&amp;$F936)</f>
        <v/>
      </c>
      <c r="H936" s="37"/>
      <c r="I936" s="38"/>
      <c r="J936" s="37"/>
      <c r="K936" s="39"/>
      <c r="L936" s="41"/>
      <c r="M936" s="36" t="str">
        <f aca="true">IF(OR($B936="",$L936=""),"",DATEDIF($L936,TODAY(),"Y"))</f>
        <v/>
      </c>
      <c r="N936" s="40" t="str">
        <f aca="false">IF($M936="","",INDEX(usia_label,MATCH($M936,usia_min,1)))</f>
        <v/>
      </c>
      <c r="O936" s="37"/>
      <c r="P936" s="41"/>
      <c r="Q936" s="37"/>
      <c r="R936" s="37"/>
      <c r="S936" s="40" t="str">
        <f aca="false">IF($G936="","",$G936&amp;"#"&amp;COUNTIF($G$4:$G936,$G936))</f>
        <v/>
      </c>
      <c r="T936" s="40" t="str">
        <f aca="false">IF($B936="","",IF($C936="","NIK kosong",IF(LEN($C936)&lt;&gt;16,"NIK bukan 16 digit",IF(COUNTIF($C$4:$C$2003,$C936&amp;"*")&gt;1,"NIK ganda",IF($E936="","Kadus kosong",IF($F936="","RT kosong",IF($H936="","Jabatan kosong",IF($I936="","No. HP kosong",IF($J936="","Alamat kosong",IF(AND($M936&lt;&gt;"",$M936&lt;17),"Usia di bawah 17",""))))))))))</f>
        <v/>
      </c>
      <c r="U936" s="40" t="str">
        <f aca="false">IF($B936="","",IF(AND(OR(CARI!$C$5="",ISNUMBER(SEARCH(CARI!$C$5,$B936&amp;" "&amp;$C936&amp;" "&amp;$I936&amp;" "&amp;$J936&amp;" "&amp;$Q936))),OR(CARI!$C$6="",$E936=CARI!$C$6),OR(CARI!$C$7="",$F936=CARI!$C$7),OR(CARI!$C$8="",$O936=CARI!$C$8)),MAX($U$3:U935)+1,""))</f>
        <v/>
      </c>
      <c r="V936" s="40" t="str">
        <f aca="false">IF($T936="","",MAX($V$3:V935)+1)</f>
        <v/>
      </c>
      <c r="W936" s="40" t="str">
        <f aca="false">IF($E936="","",$E936&amp;"#"&amp;COUNTIF($E$4:$E936,$E936))</f>
        <v/>
      </c>
      <c r="X936" s="40" t="str">
        <f aca="false">IF($B936="","",IF(AND(OR(CETAK!$J$10="",$E936=CETAK!$J$10),OR(CETAK!$J$11="",$F936=CETAK!$J$11),OR(CETAK!$J$12="",$K936=CETAK!$J$12),OR(CETAK!$J$13="",$H936=CETAK!$J$13),OR(CETAK!$J$14="",$O936=CETAK!$J$14)),MAX($X$3:X935)+1,""))</f>
        <v/>
      </c>
      <c r="Y936" s="40" t="str">
        <f aca="false">IF($B936="","",IF(AND(OR(ABSENSI!$H$10="",$E936=ABSENSI!$H$10),OR(ABSENSI!$H$11="",$F936=ABSENSI!$H$11),OR(ABSENSI!$H$12="",$K936=ABSENSI!$H$12)),MAX($Y$3:Y935)+1,""))</f>
        <v/>
      </c>
      <c r="Z936" s="40" t="str">
        <f aca="false">IF($B936="","",IF(AND(OR(KARTU!$K$6="",$E936=KARTU!$K$6),OR(KARTU!$K$7="",$F936=KARTU!$K$7),OR(KARTU!$K$8="",$K936=KARTU!$K$8)),MAX($Z$3:Z935)+1,""))</f>
        <v/>
      </c>
    </row>
    <row r="937" customFormat="false" ht="15" hidden="false" customHeight="false" outlineLevel="0" collapsed="false">
      <c r="A937" s="36" t="str">
        <f aca="false">IF($B937="","",COUNTA($B$4:$B937))</f>
        <v/>
      </c>
      <c r="B937" s="37"/>
      <c r="C937" s="38"/>
      <c r="D937" s="39"/>
      <c r="E937" s="37"/>
      <c r="F937" s="39"/>
      <c r="G937" s="40" t="str">
        <f aca="false">IF(OR($E937="",$F937=""),"",$E937&amp;" - RT "&amp;$F937)</f>
        <v/>
      </c>
      <c r="H937" s="37"/>
      <c r="I937" s="38"/>
      <c r="J937" s="37"/>
      <c r="K937" s="39"/>
      <c r="L937" s="41"/>
      <c r="M937" s="36" t="str">
        <f aca="true">IF(OR($B937="",$L937=""),"",DATEDIF($L937,TODAY(),"Y"))</f>
        <v/>
      </c>
      <c r="N937" s="40" t="str">
        <f aca="false">IF($M937="","",INDEX(usia_label,MATCH($M937,usia_min,1)))</f>
        <v/>
      </c>
      <c r="O937" s="37"/>
      <c r="P937" s="41"/>
      <c r="Q937" s="37"/>
      <c r="R937" s="37"/>
      <c r="S937" s="40" t="str">
        <f aca="false">IF($G937="","",$G937&amp;"#"&amp;COUNTIF($G$4:$G937,$G937))</f>
        <v/>
      </c>
      <c r="T937" s="40" t="str">
        <f aca="false">IF($B937="","",IF($C937="","NIK kosong",IF(LEN($C937)&lt;&gt;16,"NIK bukan 16 digit",IF(COUNTIF($C$4:$C$2003,$C937&amp;"*")&gt;1,"NIK ganda",IF($E937="","Kadus kosong",IF($F937="","RT kosong",IF($H937="","Jabatan kosong",IF($I937="","No. HP kosong",IF($J937="","Alamat kosong",IF(AND($M937&lt;&gt;"",$M937&lt;17),"Usia di bawah 17",""))))))))))</f>
        <v/>
      </c>
      <c r="U937" s="40" t="str">
        <f aca="false">IF($B937="","",IF(AND(OR(CARI!$C$5="",ISNUMBER(SEARCH(CARI!$C$5,$B937&amp;" "&amp;$C937&amp;" "&amp;$I937&amp;" "&amp;$J937&amp;" "&amp;$Q937))),OR(CARI!$C$6="",$E937=CARI!$C$6),OR(CARI!$C$7="",$F937=CARI!$C$7),OR(CARI!$C$8="",$O937=CARI!$C$8)),MAX($U$3:U936)+1,""))</f>
        <v/>
      </c>
      <c r="V937" s="40" t="str">
        <f aca="false">IF($T937="","",MAX($V$3:V936)+1)</f>
        <v/>
      </c>
      <c r="W937" s="40" t="str">
        <f aca="false">IF($E937="","",$E937&amp;"#"&amp;COUNTIF($E$4:$E937,$E937))</f>
        <v/>
      </c>
      <c r="X937" s="40" t="str">
        <f aca="false">IF($B937="","",IF(AND(OR(CETAK!$J$10="",$E937=CETAK!$J$10),OR(CETAK!$J$11="",$F937=CETAK!$J$11),OR(CETAK!$J$12="",$K937=CETAK!$J$12),OR(CETAK!$J$13="",$H937=CETAK!$J$13),OR(CETAK!$J$14="",$O937=CETAK!$J$14)),MAX($X$3:X936)+1,""))</f>
        <v/>
      </c>
      <c r="Y937" s="40" t="str">
        <f aca="false">IF($B937="","",IF(AND(OR(ABSENSI!$H$10="",$E937=ABSENSI!$H$10),OR(ABSENSI!$H$11="",$F937=ABSENSI!$H$11),OR(ABSENSI!$H$12="",$K937=ABSENSI!$H$12)),MAX($Y$3:Y936)+1,""))</f>
        <v/>
      </c>
      <c r="Z937" s="40" t="str">
        <f aca="false">IF($B937="","",IF(AND(OR(KARTU!$K$6="",$E937=KARTU!$K$6),OR(KARTU!$K$7="",$F937=KARTU!$K$7),OR(KARTU!$K$8="",$K937=KARTU!$K$8)),MAX($Z$3:Z936)+1,""))</f>
        <v/>
      </c>
    </row>
    <row r="938" customFormat="false" ht="15" hidden="false" customHeight="false" outlineLevel="0" collapsed="false">
      <c r="A938" s="36" t="str">
        <f aca="false">IF($B938="","",COUNTA($B$4:$B938))</f>
        <v/>
      </c>
      <c r="B938" s="37"/>
      <c r="C938" s="38"/>
      <c r="D938" s="39"/>
      <c r="E938" s="37"/>
      <c r="F938" s="39"/>
      <c r="G938" s="40" t="str">
        <f aca="false">IF(OR($E938="",$F938=""),"",$E938&amp;" - RT "&amp;$F938)</f>
        <v/>
      </c>
      <c r="H938" s="37"/>
      <c r="I938" s="38"/>
      <c r="J938" s="37"/>
      <c r="K938" s="39"/>
      <c r="L938" s="41"/>
      <c r="M938" s="36" t="str">
        <f aca="true">IF(OR($B938="",$L938=""),"",DATEDIF($L938,TODAY(),"Y"))</f>
        <v/>
      </c>
      <c r="N938" s="40" t="str">
        <f aca="false">IF($M938="","",INDEX(usia_label,MATCH($M938,usia_min,1)))</f>
        <v/>
      </c>
      <c r="O938" s="37"/>
      <c r="P938" s="41"/>
      <c r="Q938" s="37"/>
      <c r="R938" s="37"/>
      <c r="S938" s="40" t="str">
        <f aca="false">IF($G938="","",$G938&amp;"#"&amp;COUNTIF($G$4:$G938,$G938))</f>
        <v/>
      </c>
      <c r="T938" s="40" t="str">
        <f aca="false">IF($B938="","",IF($C938="","NIK kosong",IF(LEN($C938)&lt;&gt;16,"NIK bukan 16 digit",IF(COUNTIF($C$4:$C$2003,$C938&amp;"*")&gt;1,"NIK ganda",IF($E938="","Kadus kosong",IF($F938="","RT kosong",IF($H938="","Jabatan kosong",IF($I938="","No. HP kosong",IF($J938="","Alamat kosong",IF(AND($M938&lt;&gt;"",$M938&lt;17),"Usia di bawah 17",""))))))))))</f>
        <v/>
      </c>
      <c r="U938" s="40" t="str">
        <f aca="false">IF($B938="","",IF(AND(OR(CARI!$C$5="",ISNUMBER(SEARCH(CARI!$C$5,$B938&amp;" "&amp;$C938&amp;" "&amp;$I938&amp;" "&amp;$J938&amp;" "&amp;$Q938))),OR(CARI!$C$6="",$E938=CARI!$C$6),OR(CARI!$C$7="",$F938=CARI!$C$7),OR(CARI!$C$8="",$O938=CARI!$C$8)),MAX($U$3:U937)+1,""))</f>
        <v/>
      </c>
      <c r="V938" s="40" t="str">
        <f aca="false">IF($T938="","",MAX($V$3:V937)+1)</f>
        <v/>
      </c>
      <c r="W938" s="40" t="str">
        <f aca="false">IF($E938="","",$E938&amp;"#"&amp;COUNTIF($E$4:$E938,$E938))</f>
        <v/>
      </c>
      <c r="X938" s="40" t="str">
        <f aca="false">IF($B938="","",IF(AND(OR(CETAK!$J$10="",$E938=CETAK!$J$10),OR(CETAK!$J$11="",$F938=CETAK!$J$11),OR(CETAK!$J$12="",$K938=CETAK!$J$12),OR(CETAK!$J$13="",$H938=CETAK!$J$13),OR(CETAK!$J$14="",$O938=CETAK!$J$14)),MAX($X$3:X937)+1,""))</f>
        <v/>
      </c>
      <c r="Y938" s="40" t="str">
        <f aca="false">IF($B938="","",IF(AND(OR(ABSENSI!$H$10="",$E938=ABSENSI!$H$10),OR(ABSENSI!$H$11="",$F938=ABSENSI!$H$11),OR(ABSENSI!$H$12="",$K938=ABSENSI!$H$12)),MAX($Y$3:Y937)+1,""))</f>
        <v/>
      </c>
      <c r="Z938" s="40" t="str">
        <f aca="false">IF($B938="","",IF(AND(OR(KARTU!$K$6="",$E938=KARTU!$K$6),OR(KARTU!$K$7="",$F938=KARTU!$K$7),OR(KARTU!$K$8="",$K938=KARTU!$K$8)),MAX($Z$3:Z937)+1,""))</f>
        <v/>
      </c>
    </row>
    <row r="939" customFormat="false" ht="15" hidden="false" customHeight="false" outlineLevel="0" collapsed="false">
      <c r="A939" s="36" t="str">
        <f aca="false">IF($B939="","",COUNTA($B$4:$B939))</f>
        <v/>
      </c>
      <c r="B939" s="37"/>
      <c r="C939" s="38"/>
      <c r="D939" s="39"/>
      <c r="E939" s="37"/>
      <c r="F939" s="39"/>
      <c r="G939" s="40" t="str">
        <f aca="false">IF(OR($E939="",$F939=""),"",$E939&amp;" - RT "&amp;$F939)</f>
        <v/>
      </c>
      <c r="H939" s="37"/>
      <c r="I939" s="38"/>
      <c r="J939" s="37"/>
      <c r="K939" s="39"/>
      <c r="L939" s="41"/>
      <c r="M939" s="36" t="str">
        <f aca="true">IF(OR($B939="",$L939=""),"",DATEDIF($L939,TODAY(),"Y"))</f>
        <v/>
      </c>
      <c r="N939" s="40" t="str">
        <f aca="false">IF($M939="","",INDEX(usia_label,MATCH($M939,usia_min,1)))</f>
        <v/>
      </c>
      <c r="O939" s="37"/>
      <c r="P939" s="41"/>
      <c r="Q939" s="37"/>
      <c r="R939" s="37"/>
      <c r="S939" s="40" t="str">
        <f aca="false">IF($G939="","",$G939&amp;"#"&amp;COUNTIF($G$4:$G939,$G939))</f>
        <v/>
      </c>
      <c r="T939" s="40" t="str">
        <f aca="false">IF($B939="","",IF($C939="","NIK kosong",IF(LEN($C939)&lt;&gt;16,"NIK bukan 16 digit",IF(COUNTIF($C$4:$C$2003,$C939&amp;"*")&gt;1,"NIK ganda",IF($E939="","Kadus kosong",IF($F939="","RT kosong",IF($H939="","Jabatan kosong",IF($I939="","No. HP kosong",IF($J939="","Alamat kosong",IF(AND($M939&lt;&gt;"",$M939&lt;17),"Usia di bawah 17",""))))))))))</f>
        <v/>
      </c>
      <c r="U939" s="40" t="str">
        <f aca="false">IF($B939="","",IF(AND(OR(CARI!$C$5="",ISNUMBER(SEARCH(CARI!$C$5,$B939&amp;" "&amp;$C939&amp;" "&amp;$I939&amp;" "&amp;$J939&amp;" "&amp;$Q939))),OR(CARI!$C$6="",$E939=CARI!$C$6),OR(CARI!$C$7="",$F939=CARI!$C$7),OR(CARI!$C$8="",$O939=CARI!$C$8)),MAX($U$3:U938)+1,""))</f>
        <v/>
      </c>
      <c r="V939" s="40" t="str">
        <f aca="false">IF($T939="","",MAX($V$3:V938)+1)</f>
        <v/>
      </c>
      <c r="W939" s="40" t="str">
        <f aca="false">IF($E939="","",$E939&amp;"#"&amp;COUNTIF($E$4:$E939,$E939))</f>
        <v/>
      </c>
      <c r="X939" s="40" t="str">
        <f aca="false">IF($B939="","",IF(AND(OR(CETAK!$J$10="",$E939=CETAK!$J$10),OR(CETAK!$J$11="",$F939=CETAK!$J$11),OR(CETAK!$J$12="",$K939=CETAK!$J$12),OR(CETAK!$J$13="",$H939=CETAK!$J$13),OR(CETAK!$J$14="",$O939=CETAK!$J$14)),MAX($X$3:X938)+1,""))</f>
        <v/>
      </c>
      <c r="Y939" s="40" t="str">
        <f aca="false">IF($B939="","",IF(AND(OR(ABSENSI!$H$10="",$E939=ABSENSI!$H$10),OR(ABSENSI!$H$11="",$F939=ABSENSI!$H$11),OR(ABSENSI!$H$12="",$K939=ABSENSI!$H$12)),MAX($Y$3:Y938)+1,""))</f>
        <v/>
      </c>
      <c r="Z939" s="40" t="str">
        <f aca="false">IF($B939="","",IF(AND(OR(KARTU!$K$6="",$E939=KARTU!$K$6),OR(KARTU!$K$7="",$F939=KARTU!$K$7),OR(KARTU!$K$8="",$K939=KARTU!$K$8)),MAX($Z$3:Z938)+1,""))</f>
        <v/>
      </c>
    </row>
    <row r="940" customFormat="false" ht="15" hidden="false" customHeight="false" outlineLevel="0" collapsed="false">
      <c r="A940" s="36" t="str">
        <f aca="false">IF($B940="","",COUNTA($B$4:$B940))</f>
        <v/>
      </c>
      <c r="B940" s="37"/>
      <c r="C940" s="38"/>
      <c r="D940" s="39"/>
      <c r="E940" s="37"/>
      <c r="F940" s="39"/>
      <c r="G940" s="40" t="str">
        <f aca="false">IF(OR($E940="",$F940=""),"",$E940&amp;" - RT "&amp;$F940)</f>
        <v/>
      </c>
      <c r="H940" s="37"/>
      <c r="I940" s="38"/>
      <c r="J940" s="37"/>
      <c r="K940" s="39"/>
      <c r="L940" s="41"/>
      <c r="M940" s="36" t="str">
        <f aca="true">IF(OR($B940="",$L940=""),"",DATEDIF($L940,TODAY(),"Y"))</f>
        <v/>
      </c>
      <c r="N940" s="40" t="str">
        <f aca="false">IF($M940="","",INDEX(usia_label,MATCH($M940,usia_min,1)))</f>
        <v/>
      </c>
      <c r="O940" s="37"/>
      <c r="P940" s="41"/>
      <c r="Q940" s="37"/>
      <c r="R940" s="37"/>
      <c r="S940" s="40" t="str">
        <f aca="false">IF($G940="","",$G940&amp;"#"&amp;COUNTIF($G$4:$G940,$G940))</f>
        <v/>
      </c>
      <c r="T940" s="40" t="str">
        <f aca="false">IF($B940="","",IF($C940="","NIK kosong",IF(LEN($C940)&lt;&gt;16,"NIK bukan 16 digit",IF(COUNTIF($C$4:$C$2003,$C940&amp;"*")&gt;1,"NIK ganda",IF($E940="","Kadus kosong",IF($F940="","RT kosong",IF($H940="","Jabatan kosong",IF($I940="","No. HP kosong",IF($J940="","Alamat kosong",IF(AND($M940&lt;&gt;"",$M940&lt;17),"Usia di bawah 17",""))))))))))</f>
        <v/>
      </c>
      <c r="U940" s="40" t="str">
        <f aca="false">IF($B940="","",IF(AND(OR(CARI!$C$5="",ISNUMBER(SEARCH(CARI!$C$5,$B940&amp;" "&amp;$C940&amp;" "&amp;$I940&amp;" "&amp;$J940&amp;" "&amp;$Q940))),OR(CARI!$C$6="",$E940=CARI!$C$6),OR(CARI!$C$7="",$F940=CARI!$C$7),OR(CARI!$C$8="",$O940=CARI!$C$8)),MAX($U$3:U939)+1,""))</f>
        <v/>
      </c>
      <c r="V940" s="40" t="str">
        <f aca="false">IF($T940="","",MAX($V$3:V939)+1)</f>
        <v/>
      </c>
      <c r="W940" s="40" t="str">
        <f aca="false">IF($E940="","",$E940&amp;"#"&amp;COUNTIF($E$4:$E940,$E940))</f>
        <v/>
      </c>
      <c r="X940" s="40" t="str">
        <f aca="false">IF($B940="","",IF(AND(OR(CETAK!$J$10="",$E940=CETAK!$J$10),OR(CETAK!$J$11="",$F940=CETAK!$J$11),OR(CETAK!$J$12="",$K940=CETAK!$J$12),OR(CETAK!$J$13="",$H940=CETAK!$J$13),OR(CETAK!$J$14="",$O940=CETAK!$J$14)),MAX($X$3:X939)+1,""))</f>
        <v/>
      </c>
      <c r="Y940" s="40" t="str">
        <f aca="false">IF($B940="","",IF(AND(OR(ABSENSI!$H$10="",$E940=ABSENSI!$H$10),OR(ABSENSI!$H$11="",$F940=ABSENSI!$H$11),OR(ABSENSI!$H$12="",$K940=ABSENSI!$H$12)),MAX($Y$3:Y939)+1,""))</f>
        <v/>
      </c>
      <c r="Z940" s="40" t="str">
        <f aca="false">IF($B940="","",IF(AND(OR(KARTU!$K$6="",$E940=KARTU!$K$6),OR(KARTU!$K$7="",$F940=KARTU!$K$7),OR(KARTU!$K$8="",$K940=KARTU!$K$8)),MAX($Z$3:Z939)+1,""))</f>
        <v/>
      </c>
    </row>
    <row r="941" customFormat="false" ht="15" hidden="false" customHeight="false" outlineLevel="0" collapsed="false">
      <c r="A941" s="36" t="str">
        <f aca="false">IF($B941="","",COUNTA($B$4:$B941))</f>
        <v/>
      </c>
      <c r="B941" s="37"/>
      <c r="C941" s="38"/>
      <c r="D941" s="39"/>
      <c r="E941" s="37"/>
      <c r="F941" s="39"/>
      <c r="G941" s="40" t="str">
        <f aca="false">IF(OR($E941="",$F941=""),"",$E941&amp;" - RT "&amp;$F941)</f>
        <v/>
      </c>
      <c r="H941" s="37"/>
      <c r="I941" s="38"/>
      <c r="J941" s="37"/>
      <c r="K941" s="39"/>
      <c r="L941" s="41"/>
      <c r="M941" s="36" t="str">
        <f aca="true">IF(OR($B941="",$L941=""),"",DATEDIF($L941,TODAY(),"Y"))</f>
        <v/>
      </c>
      <c r="N941" s="40" t="str">
        <f aca="false">IF($M941="","",INDEX(usia_label,MATCH($M941,usia_min,1)))</f>
        <v/>
      </c>
      <c r="O941" s="37"/>
      <c r="P941" s="41"/>
      <c r="Q941" s="37"/>
      <c r="R941" s="37"/>
      <c r="S941" s="40" t="str">
        <f aca="false">IF($G941="","",$G941&amp;"#"&amp;COUNTIF($G$4:$G941,$G941))</f>
        <v/>
      </c>
      <c r="T941" s="40" t="str">
        <f aca="false">IF($B941="","",IF($C941="","NIK kosong",IF(LEN($C941)&lt;&gt;16,"NIK bukan 16 digit",IF(COUNTIF($C$4:$C$2003,$C941&amp;"*")&gt;1,"NIK ganda",IF($E941="","Kadus kosong",IF($F941="","RT kosong",IF($H941="","Jabatan kosong",IF($I941="","No. HP kosong",IF($J941="","Alamat kosong",IF(AND($M941&lt;&gt;"",$M941&lt;17),"Usia di bawah 17",""))))))))))</f>
        <v/>
      </c>
      <c r="U941" s="40" t="str">
        <f aca="false">IF($B941="","",IF(AND(OR(CARI!$C$5="",ISNUMBER(SEARCH(CARI!$C$5,$B941&amp;" "&amp;$C941&amp;" "&amp;$I941&amp;" "&amp;$J941&amp;" "&amp;$Q941))),OR(CARI!$C$6="",$E941=CARI!$C$6),OR(CARI!$C$7="",$F941=CARI!$C$7),OR(CARI!$C$8="",$O941=CARI!$C$8)),MAX($U$3:U940)+1,""))</f>
        <v/>
      </c>
      <c r="V941" s="40" t="str">
        <f aca="false">IF($T941="","",MAX($V$3:V940)+1)</f>
        <v/>
      </c>
      <c r="W941" s="40" t="str">
        <f aca="false">IF($E941="","",$E941&amp;"#"&amp;COUNTIF($E$4:$E941,$E941))</f>
        <v/>
      </c>
      <c r="X941" s="40" t="str">
        <f aca="false">IF($B941="","",IF(AND(OR(CETAK!$J$10="",$E941=CETAK!$J$10),OR(CETAK!$J$11="",$F941=CETAK!$J$11),OR(CETAK!$J$12="",$K941=CETAK!$J$12),OR(CETAK!$J$13="",$H941=CETAK!$J$13),OR(CETAK!$J$14="",$O941=CETAK!$J$14)),MAX($X$3:X940)+1,""))</f>
        <v/>
      </c>
      <c r="Y941" s="40" t="str">
        <f aca="false">IF($B941="","",IF(AND(OR(ABSENSI!$H$10="",$E941=ABSENSI!$H$10),OR(ABSENSI!$H$11="",$F941=ABSENSI!$H$11),OR(ABSENSI!$H$12="",$K941=ABSENSI!$H$12)),MAX($Y$3:Y940)+1,""))</f>
        <v/>
      </c>
      <c r="Z941" s="40" t="str">
        <f aca="false">IF($B941="","",IF(AND(OR(KARTU!$K$6="",$E941=KARTU!$K$6),OR(KARTU!$K$7="",$F941=KARTU!$K$7),OR(KARTU!$K$8="",$K941=KARTU!$K$8)),MAX($Z$3:Z940)+1,""))</f>
        <v/>
      </c>
    </row>
    <row r="942" customFormat="false" ht="15" hidden="false" customHeight="false" outlineLevel="0" collapsed="false">
      <c r="A942" s="36" t="str">
        <f aca="false">IF($B942="","",COUNTA($B$4:$B942))</f>
        <v/>
      </c>
      <c r="B942" s="37"/>
      <c r="C942" s="38"/>
      <c r="D942" s="39"/>
      <c r="E942" s="37"/>
      <c r="F942" s="39"/>
      <c r="G942" s="40" t="str">
        <f aca="false">IF(OR($E942="",$F942=""),"",$E942&amp;" - RT "&amp;$F942)</f>
        <v/>
      </c>
      <c r="H942" s="37"/>
      <c r="I942" s="38"/>
      <c r="J942" s="37"/>
      <c r="K942" s="39"/>
      <c r="L942" s="41"/>
      <c r="M942" s="36" t="str">
        <f aca="true">IF(OR($B942="",$L942=""),"",DATEDIF($L942,TODAY(),"Y"))</f>
        <v/>
      </c>
      <c r="N942" s="40" t="str">
        <f aca="false">IF($M942="","",INDEX(usia_label,MATCH($M942,usia_min,1)))</f>
        <v/>
      </c>
      <c r="O942" s="37"/>
      <c r="P942" s="41"/>
      <c r="Q942" s="37"/>
      <c r="R942" s="37"/>
      <c r="S942" s="40" t="str">
        <f aca="false">IF($G942="","",$G942&amp;"#"&amp;COUNTIF($G$4:$G942,$G942))</f>
        <v/>
      </c>
      <c r="T942" s="40" t="str">
        <f aca="false">IF($B942="","",IF($C942="","NIK kosong",IF(LEN($C942)&lt;&gt;16,"NIK bukan 16 digit",IF(COUNTIF($C$4:$C$2003,$C942&amp;"*")&gt;1,"NIK ganda",IF($E942="","Kadus kosong",IF($F942="","RT kosong",IF($H942="","Jabatan kosong",IF($I942="","No. HP kosong",IF($J942="","Alamat kosong",IF(AND($M942&lt;&gt;"",$M942&lt;17),"Usia di bawah 17",""))))))))))</f>
        <v/>
      </c>
      <c r="U942" s="40" t="str">
        <f aca="false">IF($B942="","",IF(AND(OR(CARI!$C$5="",ISNUMBER(SEARCH(CARI!$C$5,$B942&amp;" "&amp;$C942&amp;" "&amp;$I942&amp;" "&amp;$J942&amp;" "&amp;$Q942))),OR(CARI!$C$6="",$E942=CARI!$C$6),OR(CARI!$C$7="",$F942=CARI!$C$7),OR(CARI!$C$8="",$O942=CARI!$C$8)),MAX($U$3:U941)+1,""))</f>
        <v/>
      </c>
      <c r="V942" s="40" t="str">
        <f aca="false">IF($T942="","",MAX($V$3:V941)+1)</f>
        <v/>
      </c>
      <c r="W942" s="40" t="str">
        <f aca="false">IF($E942="","",$E942&amp;"#"&amp;COUNTIF($E$4:$E942,$E942))</f>
        <v/>
      </c>
      <c r="X942" s="40" t="str">
        <f aca="false">IF($B942="","",IF(AND(OR(CETAK!$J$10="",$E942=CETAK!$J$10),OR(CETAK!$J$11="",$F942=CETAK!$J$11),OR(CETAK!$J$12="",$K942=CETAK!$J$12),OR(CETAK!$J$13="",$H942=CETAK!$J$13),OR(CETAK!$J$14="",$O942=CETAK!$J$14)),MAX($X$3:X941)+1,""))</f>
        <v/>
      </c>
      <c r="Y942" s="40" t="str">
        <f aca="false">IF($B942="","",IF(AND(OR(ABSENSI!$H$10="",$E942=ABSENSI!$H$10),OR(ABSENSI!$H$11="",$F942=ABSENSI!$H$11),OR(ABSENSI!$H$12="",$K942=ABSENSI!$H$12)),MAX($Y$3:Y941)+1,""))</f>
        <v/>
      </c>
      <c r="Z942" s="40" t="str">
        <f aca="false">IF($B942="","",IF(AND(OR(KARTU!$K$6="",$E942=KARTU!$K$6),OR(KARTU!$K$7="",$F942=KARTU!$K$7),OR(KARTU!$K$8="",$K942=KARTU!$K$8)),MAX($Z$3:Z941)+1,""))</f>
        <v/>
      </c>
    </row>
    <row r="943" customFormat="false" ht="15" hidden="false" customHeight="false" outlineLevel="0" collapsed="false">
      <c r="A943" s="36" t="str">
        <f aca="false">IF($B943="","",COUNTA($B$4:$B943))</f>
        <v/>
      </c>
      <c r="B943" s="37"/>
      <c r="C943" s="38"/>
      <c r="D943" s="39"/>
      <c r="E943" s="37"/>
      <c r="F943" s="39"/>
      <c r="G943" s="40" t="str">
        <f aca="false">IF(OR($E943="",$F943=""),"",$E943&amp;" - RT "&amp;$F943)</f>
        <v/>
      </c>
      <c r="H943" s="37"/>
      <c r="I943" s="38"/>
      <c r="J943" s="37"/>
      <c r="K943" s="39"/>
      <c r="L943" s="41"/>
      <c r="M943" s="36" t="str">
        <f aca="true">IF(OR($B943="",$L943=""),"",DATEDIF($L943,TODAY(),"Y"))</f>
        <v/>
      </c>
      <c r="N943" s="40" t="str">
        <f aca="false">IF($M943="","",INDEX(usia_label,MATCH($M943,usia_min,1)))</f>
        <v/>
      </c>
      <c r="O943" s="37"/>
      <c r="P943" s="41"/>
      <c r="Q943" s="37"/>
      <c r="R943" s="37"/>
      <c r="S943" s="40" t="str">
        <f aca="false">IF($G943="","",$G943&amp;"#"&amp;COUNTIF($G$4:$G943,$G943))</f>
        <v/>
      </c>
      <c r="T943" s="40" t="str">
        <f aca="false">IF($B943="","",IF($C943="","NIK kosong",IF(LEN($C943)&lt;&gt;16,"NIK bukan 16 digit",IF(COUNTIF($C$4:$C$2003,$C943&amp;"*")&gt;1,"NIK ganda",IF($E943="","Kadus kosong",IF($F943="","RT kosong",IF($H943="","Jabatan kosong",IF($I943="","No. HP kosong",IF($J943="","Alamat kosong",IF(AND($M943&lt;&gt;"",$M943&lt;17),"Usia di bawah 17",""))))))))))</f>
        <v/>
      </c>
      <c r="U943" s="40" t="str">
        <f aca="false">IF($B943="","",IF(AND(OR(CARI!$C$5="",ISNUMBER(SEARCH(CARI!$C$5,$B943&amp;" "&amp;$C943&amp;" "&amp;$I943&amp;" "&amp;$J943&amp;" "&amp;$Q943))),OR(CARI!$C$6="",$E943=CARI!$C$6),OR(CARI!$C$7="",$F943=CARI!$C$7),OR(CARI!$C$8="",$O943=CARI!$C$8)),MAX($U$3:U942)+1,""))</f>
        <v/>
      </c>
      <c r="V943" s="40" t="str">
        <f aca="false">IF($T943="","",MAX($V$3:V942)+1)</f>
        <v/>
      </c>
      <c r="W943" s="40" t="str">
        <f aca="false">IF($E943="","",$E943&amp;"#"&amp;COUNTIF($E$4:$E943,$E943))</f>
        <v/>
      </c>
      <c r="X943" s="40" t="str">
        <f aca="false">IF($B943="","",IF(AND(OR(CETAK!$J$10="",$E943=CETAK!$J$10),OR(CETAK!$J$11="",$F943=CETAK!$J$11),OR(CETAK!$J$12="",$K943=CETAK!$J$12),OR(CETAK!$J$13="",$H943=CETAK!$J$13),OR(CETAK!$J$14="",$O943=CETAK!$J$14)),MAX($X$3:X942)+1,""))</f>
        <v/>
      </c>
      <c r="Y943" s="40" t="str">
        <f aca="false">IF($B943="","",IF(AND(OR(ABSENSI!$H$10="",$E943=ABSENSI!$H$10),OR(ABSENSI!$H$11="",$F943=ABSENSI!$H$11),OR(ABSENSI!$H$12="",$K943=ABSENSI!$H$12)),MAX($Y$3:Y942)+1,""))</f>
        <v/>
      </c>
      <c r="Z943" s="40" t="str">
        <f aca="false">IF($B943="","",IF(AND(OR(KARTU!$K$6="",$E943=KARTU!$K$6),OR(KARTU!$K$7="",$F943=KARTU!$K$7),OR(KARTU!$K$8="",$K943=KARTU!$K$8)),MAX($Z$3:Z942)+1,""))</f>
        <v/>
      </c>
    </row>
    <row r="944" customFormat="false" ht="15" hidden="false" customHeight="false" outlineLevel="0" collapsed="false">
      <c r="A944" s="36" t="str">
        <f aca="false">IF($B944="","",COUNTA($B$4:$B944))</f>
        <v/>
      </c>
      <c r="B944" s="37"/>
      <c r="C944" s="38"/>
      <c r="D944" s="39"/>
      <c r="E944" s="37"/>
      <c r="F944" s="39"/>
      <c r="G944" s="40" t="str">
        <f aca="false">IF(OR($E944="",$F944=""),"",$E944&amp;" - RT "&amp;$F944)</f>
        <v/>
      </c>
      <c r="H944" s="37"/>
      <c r="I944" s="38"/>
      <c r="J944" s="37"/>
      <c r="K944" s="39"/>
      <c r="L944" s="41"/>
      <c r="M944" s="36" t="str">
        <f aca="true">IF(OR($B944="",$L944=""),"",DATEDIF($L944,TODAY(),"Y"))</f>
        <v/>
      </c>
      <c r="N944" s="40" t="str">
        <f aca="false">IF($M944="","",INDEX(usia_label,MATCH($M944,usia_min,1)))</f>
        <v/>
      </c>
      <c r="O944" s="37"/>
      <c r="P944" s="41"/>
      <c r="Q944" s="37"/>
      <c r="R944" s="37"/>
      <c r="S944" s="40" t="str">
        <f aca="false">IF($G944="","",$G944&amp;"#"&amp;COUNTIF($G$4:$G944,$G944))</f>
        <v/>
      </c>
      <c r="T944" s="40" t="str">
        <f aca="false">IF($B944="","",IF($C944="","NIK kosong",IF(LEN($C944)&lt;&gt;16,"NIK bukan 16 digit",IF(COUNTIF($C$4:$C$2003,$C944&amp;"*")&gt;1,"NIK ganda",IF($E944="","Kadus kosong",IF($F944="","RT kosong",IF($H944="","Jabatan kosong",IF($I944="","No. HP kosong",IF($J944="","Alamat kosong",IF(AND($M944&lt;&gt;"",$M944&lt;17),"Usia di bawah 17",""))))))))))</f>
        <v/>
      </c>
      <c r="U944" s="40" t="str">
        <f aca="false">IF($B944="","",IF(AND(OR(CARI!$C$5="",ISNUMBER(SEARCH(CARI!$C$5,$B944&amp;" "&amp;$C944&amp;" "&amp;$I944&amp;" "&amp;$J944&amp;" "&amp;$Q944))),OR(CARI!$C$6="",$E944=CARI!$C$6),OR(CARI!$C$7="",$F944=CARI!$C$7),OR(CARI!$C$8="",$O944=CARI!$C$8)),MAX($U$3:U943)+1,""))</f>
        <v/>
      </c>
      <c r="V944" s="40" t="str">
        <f aca="false">IF($T944="","",MAX($V$3:V943)+1)</f>
        <v/>
      </c>
      <c r="W944" s="40" t="str">
        <f aca="false">IF($E944="","",$E944&amp;"#"&amp;COUNTIF($E$4:$E944,$E944))</f>
        <v/>
      </c>
      <c r="X944" s="40" t="str">
        <f aca="false">IF($B944="","",IF(AND(OR(CETAK!$J$10="",$E944=CETAK!$J$10),OR(CETAK!$J$11="",$F944=CETAK!$J$11),OR(CETAK!$J$12="",$K944=CETAK!$J$12),OR(CETAK!$J$13="",$H944=CETAK!$J$13),OR(CETAK!$J$14="",$O944=CETAK!$J$14)),MAX($X$3:X943)+1,""))</f>
        <v/>
      </c>
      <c r="Y944" s="40" t="str">
        <f aca="false">IF($B944="","",IF(AND(OR(ABSENSI!$H$10="",$E944=ABSENSI!$H$10),OR(ABSENSI!$H$11="",$F944=ABSENSI!$H$11),OR(ABSENSI!$H$12="",$K944=ABSENSI!$H$12)),MAX($Y$3:Y943)+1,""))</f>
        <v/>
      </c>
      <c r="Z944" s="40" t="str">
        <f aca="false">IF($B944="","",IF(AND(OR(KARTU!$K$6="",$E944=KARTU!$K$6),OR(KARTU!$K$7="",$F944=KARTU!$K$7),OR(KARTU!$K$8="",$K944=KARTU!$K$8)),MAX($Z$3:Z943)+1,""))</f>
        <v/>
      </c>
    </row>
    <row r="945" customFormat="false" ht="15" hidden="false" customHeight="false" outlineLevel="0" collapsed="false">
      <c r="A945" s="36" t="str">
        <f aca="false">IF($B945="","",COUNTA($B$4:$B945))</f>
        <v/>
      </c>
      <c r="B945" s="37"/>
      <c r="C945" s="38"/>
      <c r="D945" s="39"/>
      <c r="E945" s="37"/>
      <c r="F945" s="39"/>
      <c r="G945" s="40" t="str">
        <f aca="false">IF(OR($E945="",$F945=""),"",$E945&amp;" - RT "&amp;$F945)</f>
        <v/>
      </c>
      <c r="H945" s="37"/>
      <c r="I945" s="38"/>
      <c r="J945" s="37"/>
      <c r="K945" s="39"/>
      <c r="L945" s="41"/>
      <c r="M945" s="36" t="str">
        <f aca="true">IF(OR($B945="",$L945=""),"",DATEDIF($L945,TODAY(),"Y"))</f>
        <v/>
      </c>
      <c r="N945" s="40" t="str">
        <f aca="false">IF($M945="","",INDEX(usia_label,MATCH($M945,usia_min,1)))</f>
        <v/>
      </c>
      <c r="O945" s="37"/>
      <c r="P945" s="41"/>
      <c r="Q945" s="37"/>
      <c r="R945" s="37"/>
      <c r="S945" s="40" t="str">
        <f aca="false">IF($G945="","",$G945&amp;"#"&amp;COUNTIF($G$4:$G945,$G945))</f>
        <v/>
      </c>
      <c r="T945" s="40" t="str">
        <f aca="false">IF($B945="","",IF($C945="","NIK kosong",IF(LEN($C945)&lt;&gt;16,"NIK bukan 16 digit",IF(COUNTIF($C$4:$C$2003,$C945&amp;"*")&gt;1,"NIK ganda",IF($E945="","Kadus kosong",IF($F945="","RT kosong",IF($H945="","Jabatan kosong",IF($I945="","No. HP kosong",IF($J945="","Alamat kosong",IF(AND($M945&lt;&gt;"",$M945&lt;17),"Usia di bawah 17",""))))))))))</f>
        <v/>
      </c>
      <c r="U945" s="40" t="str">
        <f aca="false">IF($B945="","",IF(AND(OR(CARI!$C$5="",ISNUMBER(SEARCH(CARI!$C$5,$B945&amp;" "&amp;$C945&amp;" "&amp;$I945&amp;" "&amp;$J945&amp;" "&amp;$Q945))),OR(CARI!$C$6="",$E945=CARI!$C$6),OR(CARI!$C$7="",$F945=CARI!$C$7),OR(CARI!$C$8="",$O945=CARI!$C$8)),MAX($U$3:U944)+1,""))</f>
        <v/>
      </c>
      <c r="V945" s="40" t="str">
        <f aca="false">IF($T945="","",MAX($V$3:V944)+1)</f>
        <v/>
      </c>
      <c r="W945" s="40" t="str">
        <f aca="false">IF($E945="","",$E945&amp;"#"&amp;COUNTIF($E$4:$E945,$E945))</f>
        <v/>
      </c>
      <c r="X945" s="40" t="str">
        <f aca="false">IF($B945="","",IF(AND(OR(CETAK!$J$10="",$E945=CETAK!$J$10),OR(CETAK!$J$11="",$F945=CETAK!$J$11),OR(CETAK!$J$12="",$K945=CETAK!$J$12),OR(CETAK!$J$13="",$H945=CETAK!$J$13),OR(CETAK!$J$14="",$O945=CETAK!$J$14)),MAX($X$3:X944)+1,""))</f>
        <v/>
      </c>
      <c r="Y945" s="40" t="str">
        <f aca="false">IF($B945="","",IF(AND(OR(ABSENSI!$H$10="",$E945=ABSENSI!$H$10),OR(ABSENSI!$H$11="",$F945=ABSENSI!$H$11),OR(ABSENSI!$H$12="",$K945=ABSENSI!$H$12)),MAX($Y$3:Y944)+1,""))</f>
        <v/>
      </c>
      <c r="Z945" s="40" t="str">
        <f aca="false">IF($B945="","",IF(AND(OR(KARTU!$K$6="",$E945=KARTU!$K$6),OR(KARTU!$K$7="",$F945=KARTU!$K$7),OR(KARTU!$K$8="",$K945=KARTU!$K$8)),MAX($Z$3:Z944)+1,""))</f>
        <v/>
      </c>
    </row>
    <row r="946" customFormat="false" ht="15" hidden="false" customHeight="false" outlineLevel="0" collapsed="false">
      <c r="A946" s="36" t="str">
        <f aca="false">IF($B946="","",COUNTA($B$4:$B946))</f>
        <v/>
      </c>
      <c r="B946" s="37"/>
      <c r="C946" s="38"/>
      <c r="D946" s="39"/>
      <c r="E946" s="37"/>
      <c r="F946" s="39"/>
      <c r="G946" s="40" t="str">
        <f aca="false">IF(OR($E946="",$F946=""),"",$E946&amp;" - RT "&amp;$F946)</f>
        <v/>
      </c>
      <c r="H946" s="37"/>
      <c r="I946" s="38"/>
      <c r="J946" s="37"/>
      <c r="K946" s="39"/>
      <c r="L946" s="41"/>
      <c r="M946" s="36" t="str">
        <f aca="true">IF(OR($B946="",$L946=""),"",DATEDIF($L946,TODAY(),"Y"))</f>
        <v/>
      </c>
      <c r="N946" s="40" t="str">
        <f aca="false">IF($M946="","",INDEX(usia_label,MATCH($M946,usia_min,1)))</f>
        <v/>
      </c>
      <c r="O946" s="37"/>
      <c r="P946" s="41"/>
      <c r="Q946" s="37"/>
      <c r="R946" s="37"/>
      <c r="S946" s="40" t="str">
        <f aca="false">IF($G946="","",$G946&amp;"#"&amp;COUNTIF($G$4:$G946,$G946))</f>
        <v/>
      </c>
      <c r="T946" s="40" t="str">
        <f aca="false">IF($B946="","",IF($C946="","NIK kosong",IF(LEN($C946)&lt;&gt;16,"NIK bukan 16 digit",IF(COUNTIF($C$4:$C$2003,$C946&amp;"*")&gt;1,"NIK ganda",IF($E946="","Kadus kosong",IF($F946="","RT kosong",IF($H946="","Jabatan kosong",IF($I946="","No. HP kosong",IF($J946="","Alamat kosong",IF(AND($M946&lt;&gt;"",$M946&lt;17),"Usia di bawah 17",""))))))))))</f>
        <v/>
      </c>
      <c r="U946" s="40" t="str">
        <f aca="false">IF($B946="","",IF(AND(OR(CARI!$C$5="",ISNUMBER(SEARCH(CARI!$C$5,$B946&amp;" "&amp;$C946&amp;" "&amp;$I946&amp;" "&amp;$J946&amp;" "&amp;$Q946))),OR(CARI!$C$6="",$E946=CARI!$C$6),OR(CARI!$C$7="",$F946=CARI!$C$7),OR(CARI!$C$8="",$O946=CARI!$C$8)),MAX($U$3:U945)+1,""))</f>
        <v/>
      </c>
      <c r="V946" s="40" t="str">
        <f aca="false">IF($T946="","",MAX($V$3:V945)+1)</f>
        <v/>
      </c>
      <c r="W946" s="40" t="str">
        <f aca="false">IF($E946="","",$E946&amp;"#"&amp;COUNTIF($E$4:$E946,$E946))</f>
        <v/>
      </c>
      <c r="X946" s="40" t="str">
        <f aca="false">IF($B946="","",IF(AND(OR(CETAK!$J$10="",$E946=CETAK!$J$10),OR(CETAK!$J$11="",$F946=CETAK!$J$11),OR(CETAK!$J$12="",$K946=CETAK!$J$12),OR(CETAK!$J$13="",$H946=CETAK!$J$13),OR(CETAK!$J$14="",$O946=CETAK!$J$14)),MAX($X$3:X945)+1,""))</f>
        <v/>
      </c>
      <c r="Y946" s="40" t="str">
        <f aca="false">IF($B946="","",IF(AND(OR(ABSENSI!$H$10="",$E946=ABSENSI!$H$10),OR(ABSENSI!$H$11="",$F946=ABSENSI!$H$11),OR(ABSENSI!$H$12="",$K946=ABSENSI!$H$12)),MAX($Y$3:Y945)+1,""))</f>
        <v/>
      </c>
      <c r="Z946" s="40" t="str">
        <f aca="false">IF($B946="","",IF(AND(OR(KARTU!$K$6="",$E946=KARTU!$K$6),OR(KARTU!$K$7="",$F946=KARTU!$K$7),OR(KARTU!$K$8="",$K946=KARTU!$K$8)),MAX($Z$3:Z945)+1,""))</f>
        <v/>
      </c>
    </row>
    <row r="947" customFormat="false" ht="15" hidden="false" customHeight="false" outlineLevel="0" collapsed="false">
      <c r="A947" s="36" t="str">
        <f aca="false">IF($B947="","",COUNTA($B$4:$B947))</f>
        <v/>
      </c>
      <c r="B947" s="37"/>
      <c r="C947" s="38"/>
      <c r="D947" s="39"/>
      <c r="E947" s="37"/>
      <c r="F947" s="39"/>
      <c r="G947" s="40" t="str">
        <f aca="false">IF(OR($E947="",$F947=""),"",$E947&amp;" - RT "&amp;$F947)</f>
        <v/>
      </c>
      <c r="H947" s="37"/>
      <c r="I947" s="38"/>
      <c r="J947" s="37"/>
      <c r="K947" s="39"/>
      <c r="L947" s="41"/>
      <c r="M947" s="36" t="str">
        <f aca="true">IF(OR($B947="",$L947=""),"",DATEDIF($L947,TODAY(),"Y"))</f>
        <v/>
      </c>
      <c r="N947" s="40" t="str">
        <f aca="false">IF($M947="","",INDEX(usia_label,MATCH($M947,usia_min,1)))</f>
        <v/>
      </c>
      <c r="O947" s="37"/>
      <c r="P947" s="41"/>
      <c r="Q947" s="37"/>
      <c r="R947" s="37"/>
      <c r="S947" s="40" t="str">
        <f aca="false">IF($G947="","",$G947&amp;"#"&amp;COUNTIF($G$4:$G947,$G947))</f>
        <v/>
      </c>
      <c r="T947" s="40" t="str">
        <f aca="false">IF($B947="","",IF($C947="","NIK kosong",IF(LEN($C947)&lt;&gt;16,"NIK bukan 16 digit",IF(COUNTIF($C$4:$C$2003,$C947&amp;"*")&gt;1,"NIK ganda",IF($E947="","Kadus kosong",IF($F947="","RT kosong",IF($H947="","Jabatan kosong",IF($I947="","No. HP kosong",IF($J947="","Alamat kosong",IF(AND($M947&lt;&gt;"",$M947&lt;17),"Usia di bawah 17",""))))))))))</f>
        <v/>
      </c>
      <c r="U947" s="40" t="str">
        <f aca="false">IF($B947="","",IF(AND(OR(CARI!$C$5="",ISNUMBER(SEARCH(CARI!$C$5,$B947&amp;" "&amp;$C947&amp;" "&amp;$I947&amp;" "&amp;$J947&amp;" "&amp;$Q947))),OR(CARI!$C$6="",$E947=CARI!$C$6),OR(CARI!$C$7="",$F947=CARI!$C$7),OR(CARI!$C$8="",$O947=CARI!$C$8)),MAX($U$3:U946)+1,""))</f>
        <v/>
      </c>
      <c r="V947" s="40" t="str">
        <f aca="false">IF($T947="","",MAX($V$3:V946)+1)</f>
        <v/>
      </c>
      <c r="W947" s="40" t="str">
        <f aca="false">IF($E947="","",$E947&amp;"#"&amp;COUNTIF($E$4:$E947,$E947))</f>
        <v/>
      </c>
      <c r="X947" s="40" t="str">
        <f aca="false">IF($B947="","",IF(AND(OR(CETAK!$J$10="",$E947=CETAK!$J$10),OR(CETAK!$J$11="",$F947=CETAK!$J$11),OR(CETAK!$J$12="",$K947=CETAK!$J$12),OR(CETAK!$J$13="",$H947=CETAK!$J$13),OR(CETAK!$J$14="",$O947=CETAK!$J$14)),MAX($X$3:X946)+1,""))</f>
        <v/>
      </c>
      <c r="Y947" s="40" t="str">
        <f aca="false">IF($B947="","",IF(AND(OR(ABSENSI!$H$10="",$E947=ABSENSI!$H$10),OR(ABSENSI!$H$11="",$F947=ABSENSI!$H$11),OR(ABSENSI!$H$12="",$K947=ABSENSI!$H$12)),MAX($Y$3:Y946)+1,""))</f>
        <v/>
      </c>
      <c r="Z947" s="40" t="str">
        <f aca="false">IF($B947="","",IF(AND(OR(KARTU!$K$6="",$E947=KARTU!$K$6),OR(KARTU!$K$7="",$F947=KARTU!$K$7),OR(KARTU!$K$8="",$K947=KARTU!$K$8)),MAX($Z$3:Z946)+1,""))</f>
        <v/>
      </c>
    </row>
    <row r="948" customFormat="false" ht="15" hidden="false" customHeight="false" outlineLevel="0" collapsed="false">
      <c r="A948" s="36" t="str">
        <f aca="false">IF($B948="","",COUNTA($B$4:$B948))</f>
        <v/>
      </c>
      <c r="B948" s="37"/>
      <c r="C948" s="38"/>
      <c r="D948" s="39"/>
      <c r="E948" s="37"/>
      <c r="F948" s="39"/>
      <c r="G948" s="40" t="str">
        <f aca="false">IF(OR($E948="",$F948=""),"",$E948&amp;" - RT "&amp;$F948)</f>
        <v/>
      </c>
      <c r="H948" s="37"/>
      <c r="I948" s="38"/>
      <c r="J948" s="37"/>
      <c r="K948" s="39"/>
      <c r="L948" s="41"/>
      <c r="M948" s="36" t="str">
        <f aca="true">IF(OR($B948="",$L948=""),"",DATEDIF($L948,TODAY(),"Y"))</f>
        <v/>
      </c>
      <c r="N948" s="40" t="str">
        <f aca="false">IF($M948="","",INDEX(usia_label,MATCH($M948,usia_min,1)))</f>
        <v/>
      </c>
      <c r="O948" s="37"/>
      <c r="P948" s="41"/>
      <c r="Q948" s="37"/>
      <c r="R948" s="37"/>
      <c r="S948" s="40" t="str">
        <f aca="false">IF($G948="","",$G948&amp;"#"&amp;COUNTIF($G$4:$G948,$G948))</f>
        <v/>
      </c>
      <c r="T948" s="40" t="str">
        <f aca="false">IF($B948="","",IF($C948="","NIK kosong",IF(LEN($C948)&lt;&gt;16,"NIK bukan 16 digit",IF(COUNTIF($C$4:$C$2003,$C948&amp;"*")&gt;1,"NIK ganda",IF($E948="","Kadus kosong",IF($F948="","RT kosong",IF($H948="","Jabatan kosong",IF($I948="","No. HP kosong",IF($J948="","Alamat kosong",IF(AND($M948&lt;&gt;"",$M948&lt;17),"Usia di bawah 17",""))))))))))</f>
        <v/>
      </c>
      <c r="U948" s="40" t="str">
        <f aca="false">IF($B948="","",IF(AND(OR(CARI!$C$5="",ISNUMBER(SEARCH(CARI!$C$5,$B948&amp;" "&amp;$C948&amp;" "&amp;$I948&amp;" "&amp;$J948&amp;" "&amp;$Q948))),OR(CARI!$C$6="",$E948=CARI!$C$6),OR(CARI!$C$7="",$F948=CARI!$C$7),OR(CARI!$C$8="",$O948=CARI!$C$8)),MAX($U$3:U947)+1,""))</f>
        <v/>
      </c>
      <c r="V948" s="40" t="str">
        <f aca="false">IF($T948="","",MAX($V$3:V947)+1)</f>
        <v/>
      </c>
      <c r="W948" s="40" t="str">
        <f aca="false">IF($E948="","",$E948&amp;"#"&amp;COUNTIF($E$4:$E948,$E948))</f>
        <v/>
      </c>
      <c r="X948" s="40" t="str">
        <f aca="false">IF($B948="","",IF(AND(OR(CETAK!$J$10="",$E948=CETAK!$J$10),OR(CETAK!$J$11="",$F948=CETAK!$J$11),OR(CETAK!$J$12="",$K948=CETAK!$J$12),OR(CETAK!$J$13="",$H948=CETAK!$J$13),OR(CETAK!$J$14="",$O948=CETAK!$J$14)),MAX($X$3:X947)+1,""))</f>
        <v/>
      </c>
      <c r="Y948" s="40" t="str">
        <f aca="false">IF($B948="","",IF(AND(OR(ABSENSI!$H$10="",$E948=ABSENSI!$H$10),OR(ABSENSI!$H$11="",$F948=ABSENSI!$H$11),OR(ABSENSI!$H$12="",$K948=ABSENSI!$H$12)),MAX($Y$3:Y947)+1,""))</f>
        <v/>
      </c>
      <c r="Z948" s="40" t="str">
        <f aca="false">IF($B948="","",IF(AND(OR(KARTU!$K$6="",$E948=KARTU!$K$6),OR(KARTU!$K$7="",$F948=KARTU!$K$7),OR(KARTU!$K$8="",$K948=KARTU!$K$8)),MAX($Z$3:Z947)+1,""))</f>
        <v/>
      </c>
    </row>
    <row r="949" customFormat="false" ht="15" hidden="false" customHeight="false" outlineLevel="0" collapsed="false">
      <c r="A949" s="36" t="str">
        <f aca="false">IF($B949="","",COUNTA($B$4:$B949))</f>
        <v/>
      </c>
      <c r="B949" s="37"/>
      <c r="C949" s="38"/>
      <c r="D949" s="39"/>
      <c r="E949" s="37"/>
      <c r="F949" s="39"/>
      <c r="G949" s="40" t="str">
        <f aca="false">IF(OR($E949="",$F949=""),"",$E949&amp;" - RT "&amp;$F949)</f>
        <v/>
      </c>
      <c r="H949" s="37"/>
      <c r="I949" s="38"/>
      <c r="J949" s="37"/>
      <c r="K949" s="39"/>
      <c r="L949" s="41"/>
      <c r="M949" s="36" t="str">
        <f aca="true">IF(OR($B949="",$L949=""),"",DATEDIF($L949,TODAY(),"Y"))</f>
        <v/>
      </c>
      <c r="N949" s="40" t="str">
        <f aca="false">IF($M949="","",INDEX(usia_label,MATCH($M949,usia_min,1)))</f>
        <v/>
      </c>
      <c r="O949" s="37"/>
      <c r="P949" s="41"/>
      <c r="Q949" s="37"/>
      <c r="R949" s="37"/>
      <c r="S949" s="40" t="str">
        <f aca="false">IF($G949="","",$G949&amp;"#"&amp;COUNTIF($G$4:$G949,$G949))</f>
        <v/>
      </c>
      <c r="T949" s="40" t="str">
        <f aca="false">IF($B949="","",IF($C949="","NIK kosong",IF(LEN($C949)&lt;&gt;16,"NIK bukan 16 digit",IF(COUNTIF($C$4:$C$2003,$C949&amp;"*")&gt;1,"NIK ganda",IF($E949="","Kadus kosong",IF($F949="","RT kosong",IF($H949="","Jabatan kosong",IF($I949="","No. HP kosong",IF($J949="","Alamat kosong",IF(AND($M949&lt;&gt;"",$M949&lt;17),"Usia di bawah 17",""))))))))))</f>
        <v/>
      </c>
      <c r="U949" s="40" t="str">
        <f aca="false">IF($B949="","",IF(AND(OR(CARI!$C$5="",ISNUMBER(SEARCH(CARI!$C$5,$B949&amp;" "&amp;$C949&amp;" "&amp;$I949&amp;" "&amp;$J949&amp;" "&amp;$Q949))),OR(CARI!$C$6="",$E949=CARI!$C$6),OR(CARI!$C$7="",$F949=CARI!$C$7),OR(CARI!$C$8="",$O949=CARI!$C$8)),MAX($U$3:U948)+1,""))</f>
        <v/>
      </c>
      <c r="V949" s="40" t="str">
        <f aca="false">IF($T949="","",MAX($V$3:V948)+1)</f>
        <v/>
      </c>
      <c r="W949" s="40" t="str">
        <f aca="false">IF($E949="","",$E949&amp;"#"&amp;COUNTIF($E$4:$E949,$E949))</f>
        <v/>
      </c>
      <c r="X949" s="40" t="str">
        <f aca="false">IF($B949="","",IF(AND(OR(CETAK!$J$10="",$E949=CETAK!$J$10),OR(CETAK!$J$11="",$F949=CETAK!$J$11),OR(CETAK!$J$12="",$K949=CETAK!$J$12),OR(CETAK!$J$13="",$H949=CETAK!$J$13),OR(CETAK!$J$14="",$O949=CETAK!$J$14)),MAX($X$3:X948)+1,""))</f>
        <v/>
      </c>
      <c r="Y949" s="40" t="str">
        <f aca="false">IF($B949="","",IF(AND(OR(ABSENSI!$H$10="",$E949=ABSENSI!$H$10),OR(ABSENSI!$H$11="",$F949=ABSENSI!$H$11),OR(ABSENSI!$H$12="",$K949=ABSENSI!$H$12)),MAX($Y$3:Y948)+1,""))</f>
        <v/>
      </c>
      <c r="Z949" s="40" t="str">
        <f aca="false">IF($B949="","",IF(AND(OR(KARTU!$K$6="",$E949=KARTU!$K$6),OR(KARTU!$K$7="",$F949=KARTU!$K$7),OR(KARTU!$K$8="",$K949=KARTU!$K$8)),MAX($Z$3:Z948)+1,""))</f>
        <v/>
      </c>
    </row>
    <row r="950" customFormat="false" ht="15" hidden="false" customHeight="false" outlineLevel="0" collapsed="false">
      <c r="A950" s="36" t="str">
        <f aca="false">IF($B950="","",COUNTA($B$4:$B950))</f>
        <v/>
      </c>
      <c r="B950" s="37"/>
      <c r="C950" s="38"/>
      <c r="D950" s="39"/>
      <c r="E950" s="37"/>
      <c r="F950" s="39"/>
      <c r="G950" s="40" t="str">
        <f aca="false">IF(OR($E950="",$F950=""),"",$E950&amp;" - RT "&amp;$F950)</f>
        <v/>
      </c>
      <c r="H950" s="37"/>
      <c r="I950" s="38"/>
      <c r="J950" s="37"/>
      <c r="K950" s="39"/>
      <c r="L950" s="41"/>
      <c r="M950" s="36" t="str">
        <f aca="true">IF(OR($B950="",$L950=""),"",DATEDIF($L950,TODAY(),"Y"))</f>
        <v/>
      </c>
      <c r="N950" s="40" t="str">
        <f aca="false">IF($M950="","",INDEX(usia_label,MATCH($M950,usia_min,1)))</f>
        <v/>
      </c>
      <c r="O950" s="37"/>
      <c r="P950" s="41"/>
      <c r="Q950" s="37"/>
      <c r="R950" s="37"/>
      <c r="S950" s="40" t="str">
        <f aca="false">IF($G950="","",$G950&amp;"#"&amp;COUNTIF($G$4:$G950,$G950))</f>
        <v/>
      </c>
      <c r="T950" s="40" t="str">
        <f aca="false">IF($B950="","",IF($C950="","NIK kosong",IF(LEN($C950)&lt;&gt;16,"NIK bukan 16 digit",IF(COUNTIF($C$4:$C$2003,$C950&amp;"*")&gt;1,"NIK ganda",IF($E950="","Kadus kosong",IF($F950="","RT kosong",IF($H950="","Jabatan kosong",IF($I950="","No. HP kosong",IF($J950="","Alamat kosong",IF(AND($M950&lt;&gt;"",$M950&lt;17),"Usia di bawah 17",""))))))))))</f>
        <v/>
      </c>
      <c r="U950" s="40" t="str">
        <f aca="false">IF($B950="","",IF(AND(OR(CARI!$C$5="",ISNUMBER(SEARCH(CARI!$C$5,$B950&amp;" "&amp;$C950&amp;" "&amp;$I950&amp;" "&amp;$J950&amp;" "&amp;$Q950))),OR(CARI!$C$6="",$E950=CARI!$C$6),OR(CARI!$C$7="",$F950=CARI!$C$7),OR(CARI!$C$8="",$O950=CARI!$C$8)),MAX($U$3:U949)+1,""))</f>
        <v/>
      </c>
      <c r="V950" s="40" t="str">
        <f aca="false">IF($T950="","",MAX($V$3:V949)+1)</f>
        <v/>
      </c>
      <c r="W950" s="40" t="str">
        <f aca="false">IF($E950="","",$E950&amp;"#"&amp;COUNTIF($E$4:$E950,$E950))</f>
        <v/>
      </c>
      <c r="X950" s="40" t="str">
        <f aca="false">IF($B950="","",IF(AND(OR(CETAK!$J$10="",$E950=CETAK!$J$10),OR(CETAK!$J$11="",$F950=CETAK!$J$11),OR(CETAK!$J$12="",$K950=CETAK!$J$12),OR(CETAK!$J$13="",$H950=CETAK!$J$13),OR(CETAK!$J$14="",$O950=CETAK!$J$14)),MAX($X$3:X949)+1,""))</f>
        <v/>
      </c>
      <c r="Y950" s="40" t="str">
        <f aca="false">IF($B950="","",IF(AND(OR(ABSENSI!$H$10="",$E950=ABSENSI!$H$10),OR(ABSENSI!$H$11="",$F950=ABSENSI!$H$11),OR(ABSENSI!$H$12="",$K950=ABSENSI!$H$12)),MAX($Y$3:Y949)+1,""))</f>
        <v/>
      </c>
      <c r="Z950" s="40" t="str">
        <f aca="false">IF($B950="","",IF(AND(OR(KARTU!$K$6="",$E950=KARTU!$K$6),OR(KARTU!$K$7="",$F950=KARTU!$K$7),OR(KARTU!$K$8="",$K950=KARTU!$K$8)),MAX($Z$3:Z949)+1,""))</f>
        <v/>
      </c>
    </row>
    <row r="951" customFormat="false" ht="15" hidden="false" customHeight="false" outlineLevel="0" collapsed="false">
      <c r="A951" s="36" t="str">
        <f aca="false">IF($B951="","",COUNTA($B$4:$B951))</f>
        <v/>
      </c>
      <c r="B951" s="37"/>
      <c r="C951" s="38"/>
      <c r="D951" s="39"/>
      <c r="E951" s="37"/>
      <c r="F951" s="39"/>
      <c r="G951" s="40" t="str">
        <f aca="false">IF(OR($E951="",$F951=""),"",$E951&amp;" - RT "&amp;$F951)</f>
        <v/>
      </c>
      <c r="H951" s="37"/>
      <c r="I951" s="38"/>
      <c r="J951" s="37"/>
      <c r="K951" s="39"/>
      <c r="L951" s="41"/>
      <c r="M951" s="36" t="str">
        <f aca="true">IF(OR($B951="",$L951=""),"",DATEDIF($L951,TODAY(),"Y"))</f>
        <v/>
      </c>
      <c r="N951" s="40" t="str">
        <f aca="false">IF($M951="","",INDEX(usia_label,MATCH($M951,usia_min,1)))</f>
        <v/>
      </c>
      <c r="O951" s="37"/>
      <c r="P951" s="41"/>
      <c r="Q951" s="37"/>
      <c r="R951" s="37"/>
      <c r="S951" s="40" t="str">
        <f aca="false">IF($G951="","",$G951&amp;"#"&amp;COUNTIF($G$4:$G951,$G951))</f>
        <v/>
      </c>
      <c r="T951" s="40" t="str">
        <f aca="false">IF($B951="","",IF($C951="","NIK kosong",IF(LEN($C951)&lt;&gt;16,"NIK bukan 16 digit",IF(COUNTIF($C$4:$C$2003,$C951&amp;"*")&gt;1,"NIK ganda",IF($E951="","Kadus kosong",IF($F951="","RT kosong",IF($H951="","Jabatan kosong",IF($I951="","No. HP kosong",IF($J951="","Alamat kosong",IF(AND($M951&lt;&gt;"",$M951&lt;17),"Usia di bawah 17",""))))))))))</f>
        <v/>
      </c>
      <c r="U951" s="40" t="str">
        <f aca="false">IF($B951="","",IF(AND(OR(CARI!$C$5="",ISNUMBER(SEARCH(CARI!$C$5,$B951&amp;" "&amp;$C951&amp;" "&amp;$I951&amp;" "&amp;$J951&amp;" "&amp;$Q951))),OR(CARI!$C$6="",$E951=CARI!$C$6),OR(CARI!$C$7="",$F951=CARI!$C$7),OR(CARI!$C$8="",$O951=CARI!$C$8)),MAX($U$3:U950)+1,""))</f>
        <v/>
      </c>
      <c r="V951" s="40" t="str">
        <f aca="false">IF($T951="","",MAX($V$3:V950)+1)</f>
        <v/>
      </c>
      <c r="W951" s="40" t="str">
        <f aca="false">IF($E951="","",$E951&amp;"#"&amp;COUNTIF($E$4:$E951,$E951))</f>
        <v/>
      </c>
      <c r="X951" s="40" t="str">
        <f aca="false">IF($B951="","",IF(AND(OR(CETAK!$J$10="",$E951=CETAK!$J$10),OR(CETAK!$J$11="",$F951=CETAK!$J$11),OR(CETAK!$J$12="",$K951=CETAK!$J$12),OR(CETAK!$J$13="",$H951=CETAK!$J$13),OR(CETAK!$J$14="",$O951=CETAK!$J$14)),MAX($X$3:X950)+1,""))</f>
        <v/>
      </c>
      <c r="Y951" s="40" t="str">
        <f aca="false">IF($B951="","",IF(AND(OR(ABSENSI!$H$10="",$E951=ABSENSI!$H$10),OR(ABSENSI!$H$11="",$F951=ABSENSI!$H$11),OR(ABSENSI!$H$12="",$K951=ABSENSI!$H$12)),MAX($Y$3:Y950)+1,""))</f>
        <v/>
      </c>
      <c r="Z951" s="40" t="str">
        <f aca="false">IF($B951="","",IF(AND(OR(KARTU!$K$6="",$E951=KARTU!$K$6),OR(KARTU!$K$7="",$F951=KARTU!$K$7),OR(KARTU!$K$8="",$K951=KARTU!$K$8)),MAX($Z$3:Z950)+1,""))</f>
        <v/>
      </c>
    </row>
    <row r="952" customFormat="false" ht="15" hidden="false" customHeight="false" outlineLevel="0" collapsed="false">
      <c r="A952" s="36" t="str">
        <f aca="false">IF($B952="","",COUNTA($B$4:$B952))</f>
        <v/>
      </c>
      <c r="B952" s="37"/>
      <c r="C952" s="38"/>
      <c r="D952" s="39"/>
      <c r="E952" s="37"/>
      <c r="F952" s="39"/>
      <c r="G952" s="40" t="str">
        <f aca="false">IF(OR($E952="",$F952=""),"",$E952&amp;" - RT "&amp;$F952)</f>
        <v/>
      </c>
      <c r="H952" s="37"/>
      <c r="I952" s="38"/>
      <c r="J952" s="37"/>
      <c r="K952" s="39"/>
      <c r="L952" s="41"/>
      <c r="M952" s="36" t="str">
        <f aca="true">IF(OR($B952="",$L952=""),"",DATEDIF($L952,TODAY(),"Y"))</f>
        <v/>
      </c>
      <c r="N952" s="40" t="str">
        <f aca="false">IF($M952="","",INDEX(usia_label,MATCH($M952,usia_min,1)))</f>
        <v/>
      </c>
      <c r="O952" s="37"/>
      <c r="P952" s="41"/>
      <c r="Q952" s="37"/>
      <c r="R952" s="37"/>
      <c r="S952" s="40" t="str">
        <f aca="false">IF($G952="","",$G952&amp;"#"&amp;COUNTIF($G$4:$G952,$G952))</f>
        <v/>
      </c>
      <c r="T952" s="40" t="str">
        <f aca="false">IF($B952="","",IF($C952="","NIK kosong",IF(LEN($C952)&lt;&gt;16,"NIK bukan 16 digit",IF(COUNTIF($C$4:$C$2003,$C952&amp;"*")&gt;1,"NIK ganda",IF($E952="","Kadus kosong",IF($F952="","RT kosong",IF($H952="","Jabatan kosong",IF($I952="","No. HP kosong",IF($J952="","Alamat kosong",IF(AND($M952&lt;&gt;"",$M952&lt;17),"Usia di bawah 17",""))))))))))</f>
        <v/>
      </c>
      <c r="U952" s="40" t="str">
        <f aca="false">IF($B952="","",IF(AND(OR(CARI!$C$5="",ISNUMBER(SEARCH(CARI!$C$5,$B952&amp;" "&amp;$C952&amp;" "&amp;$I952&amp;" "&amp;$J952&amp;" "&amp;$Q952))),OR(CARI!$C$6="",$E952=CARI!$C$6),OR(CARI!$C$7="",$F952=CARI!$C$7),OR(CARI!$C$8="",$O952=CARI!$C$8)),MAX($U$3:U951)+1,""))</f>
        <v/>
      </c>
      <c r="V952" s="40" t="str">
        <f aca="false">IF($T952="","",MAX($V$3:V951)+1)</f>
        <v/>
      </c>
      <c r="W952" s="40" t="str">
        <f aca="false">IF($E952="","",$E952&amp;"#"&amp;COUNTIF($E$4:$E952,$E952))</f>
        <v/>
      </c>
      <c r="X952" s="40" t="str">
        <f aca="false">IF($B952="","",IF(AND(OR(CETAK!$J$10="",$E952=CETAK!$J$10),OR(CETAK!$J$11="",$F952=CETAK!$J$11),OR(CETAK!$J$12="",$K952=CETAK!$J$12),OR(CETAK!$J$13="",$H952=CETAK!$J$13),OR(CETAK!$J$14="",$O952=CETAK!$J$14)),MAX($X$3:X951)+1,""))</f>
        <v/>
      </c>
      <c r="Y952" s="40" t="str">
        <f aca="false">IF($B952="","",IF(AND(OR(ABSENSI!$H$10="",$E952=ABSENSI!$H$10),OR(ABSENSI!$H$11="",$F952=ABSENSI!$H$11),OR(ABSENSI!$H$12="",$K952=ABSENSI!$H$12)),MAX($Y$3:Y951)+1,""))</f>
        <v/>
      </c>
      <c r="Z952" s="40" t="str">
        <f aca="false">IF($B952="","",IF(AND(OR(KARTU!$K$6="",$E952=KARTU!$K$6),OR(KARTU!$K$7="",$F952=KARTU!$K$7),OR(KARTU!$K$8="",$K952=KARTU!$K$8)),MAX($Z$3:Z951)+1,""))</f>
        <v/>
      </c>
    </row>
    <row r="953" customFormat="false" ht="15" hidden="false" customHeight="false" outlineLevel="0" collapsed="false">
      <c r="A953" s="36" t="str">
        <f aca="false">IF($B953="","",COUNTA($B$4:$B953))</f>
        <v/>
      </c>
      <c r="B953" s="37"/>
      <c r="C953" s="38"/>
      <c r="D953" s="39"/>
      <c r="E953" s="37"/>
      <c r="F953" s="39"/>
      <c r="G953" s="40" t="str">
        <f aca="false">IF(OR($E953="",$F953=""),"",$E953&amp;" - RT "&amp;$F953)</f>
        <v/>
      </c>
      <c r="H953" s="37"/>
      <c r="I953" s="38"/>
      <c r="J953" s="37"/>
      <c r="K953" s="39"/>
      <c r="L953" s="41"/>
      <c r="M953" s="36" t="str">
        <f aca="true">IF(OR($B953="",$L953=""),"",DATEDIF($L953,TODAY(),"Y"))</f>
        <v/>
      </c>
      <c r="N953" s="40" t="str">
        <f aca="false">IF($M953="","",INDEX(usia_label,MATCH($M953,usia_min,1)))</f>
        <v/>
      </c>
      <c r="O953" s="37"/>
      <c r="P953" s="41"/>
      <c r="Q953" s="37"/>
      <c r="R953" s="37"/>
      <c r="S953" s="40" t="str">
        <f aca="false">IF($G953="","",$G953&amp;"#"&amp;COUNTIF($G$4:$G953,$G953))</f>
        <v/>
      </c>
      <c r="T953" s="40" t="str">
        <f aca="false">IF($B953="","",IF($C953="","NIK kosong",IF(LEN($C953)&lt;&gt;16,"NIK bukan 16 digit",IF(COUNTIF($C$4:$C$2003,$C953&amp;"*")&gt;1,"NIK ganda",IF($E953="","Kadus kosong",IF($F953="","RT kosong",IF($H953="","Jabatan kosong",IF($I953="","No. HP kosong",IF($J953="","Alamat kosong",IF(AND($M953&lt;&gt;"",$M953&lt;17),"Usia di bawah 17",""))))))))))</f>
        <v/>
      </c>
      <c r="U953" s="40" t="str">
        <f aca="false">IF($B953="","",IF(AND(OR(CARI!$C$5="",ISNUMBER(SEARCH(CARI!$C$5,$B953&amp;" "&amp;$C953&amp;" "&amp;$I953&amp;" "&amp;$J953&amp;" "&amp;$Q953))),OR(CARI!$C$6="",$E953=CARI!$C$6),OR(CARI!$C$7="",$F953=CARI!$C$7),OR(CARI!$C$8="",$O953=CARI!$C$8)),MAX($U$3:U952)+1,""))</f>
        <v/>
      </c>
      <c r="V953" s="40" t="str">
        <f aca="false">IF($T953="","",MAX($V$3:V952)+1)</f>
        <v/>
      </c>
      <c r="W953" s="40" t="str">
        <f aca="false">IF($E953="","",$E953&amp;"#"&amp;COUNTIF($E$4:$E953,$E953))</f>
        <v/>
      </c>
      <c r="X953" s="40" t="str">
        <f aca="false">IF($B953="","",IF(AND(OR(CETAK!$J$10="",$E953=CETAK!$J$10),OR(CETAK!$J$11="",$F953=CETAK!$J$11),OR(CETAK!$J$12="",$K953=CETAK!$J$12),OR(CETAK!$J$13="",$H953=CETAK!$J$13),OR(CETAK!$J$14="",$O953=CETAK!$J$14)),MAX($X$3:X952)+1,""))</f>
        <v/>
      </c>
      <c r="Y953" s="40" t="str">
        <f aca="false">IF($B953="","",IF(AND(OR(ABSENSI!$H$10="",$E953=ABSENSI!$H$10),OR(ABSENSI!$H$11="",$F953=ABSENSI!$H$11),OR(ABSENSI!$H$12="",$K953=ABSENSI!$H$12)),MAX($Y$3:Y952)+1,""))</f>
        <v/>
      </c>
      <c r="Z953" s="40" t="str">
        <f aca="false">IF($B953="","",IF(AND(OR(KARTU!$K$6="",$E953=KARTU!$K$6),OR(KARTU!$K$7="",$F953=KARTU!$K$7),OR(KARTU!$K$8="",$K953=KARTU!$K$8)),MAX($Z$3:Z952)+1,""))</f>
        <v/>
      </c>
    </row>
    <row r="954" customFormat="false" ht="15" hidden="false" customHeight="false" outlineLevel="0" collapsed="false">
      <c r="A954" s="36" t="str">
        <f aca="false">IF($B954="","",COUNTA($B$4:$B954))</f>
        <v/>
      </c>
      <c r="B954" s="37"/>
      <c r="C954" s="38"/>
      <c r="D954" s="39"/>
      <c r="E954" s="37"/>
      <c r="F954" s="39"/>
      <c r="G954" s="40" t="str">
        <f aca="false">IF(OR($E954="",$F954=""),"",$E954&amp;" - RT "&amp;$F954)</f>
        <v/>
      </c>
      <c r="H954" s="37"/>
      <c r="I954" s="38"/>
      <c r="J954" s="37"/>
      <c r="K954" s="39"/>
      <c r="L954" s="41"/>
      <c r="M954" s="36" t="str">
        <f aca="true">IF(OR($B954="",$L954=""),"",DATEDIF($L954,TODAY(),"Y"))</f>
        <v/>
      </c>
      <c r="N954" s="40" t="str">
        <f aca="false">IF($M954="","",INDEX(usia_label,MATCH($M954,usia_min,1)))</f>
        <v/>
      </c>
      <c r="O954" s="37"/>
      <c r="P954" s="41"/>
      <c r="Q954" s="37"/>
      <c r="R954" s="37"/>
      <c r="S954" s="40" t="str">
        <f aca="false">IF($G954="","",$G954&amp;"#"&amp;COUNTIF($G$4:$G954,$G954))</f>
        <v/>
      </c>
      <c r="T954" s="40" t="str">
        <f aca="false">IF($B954="","",IF($C954="","NIK kosong",IF(LEN($C954)&lt;&gt;16,"NIK bukan 16 digit",IF(COUNTIF($C$4:$C$2003,$C954&amp;"*")&gt;1,"NIK ganda",IF($E954="","Kadus kosong",IF($F954="","RT kosong",IF($H954="","Jabatan kosong",IF($I954="","No. HP kosong",IF($J954="","Alamat kosong",IF(AND($M954&lt;&gt;"",$M954&lt;17),"Usia di bawah 17",""))))))))))</f>
        <v/>
      </c>
      <c r="U954" s="40" t="str">
        <f aca="false">IF($B954="","",IF(AND(OR(CARI!$C$5="",ISNUMBER(SEARCH(CARI!$C$5,$B954&amp;" "&amp;$C954&amp;" "&amp;$I954&amp;" "&amp;$J954&amp;" "&amp;$Q954))),OR(CARI!$C$6="",$E954=CARI!$C$6),OR(CARI!$C$7="",$F954=CARI!$C$7),OR(CARI!$C$8="",$O954=CARI!$C$8)),MAX($U$3:U953)+1,""))</f>
        <v/>
      </c>
      <c r="V954" s="40" t="str">
        <f aca="false">IF($T954="","",MAX($V$3:V953)+1)</f>
        <v/>
      </c>
      <c r="W954" s="40" t="str">
        <f aca="false">IF($E954="","",$E954&amp;"#"&amp;COUNTIF($E$4:$E954,$E954))</f>
        <v/>
      </c>
      <c r="X954" s="40" t="str">
        <f aca="false">IF($B954="","",IF(AND(OR(CETAK!$J$10="",$E954=CETAK!$J$10),OR(CETAK!$J$11="",$F954=CETAK!$J$11),OR(CETAK!$J$12="",$K954=CETAK!$J$12),OR(CETAK!$J$13="",$H954=CETAK!$J$13),OR(CETAK!$J$14="",$O954=CETAK!$J$14)),MAX($X$3:X953)+1,""))</f>
        <v/>
      </c>
      <c r="Y954" s="40" t="str">
        <f aca="false">IF($B954="","",IF(AND(OR(ABSENSI!$H$10="",$E954=ABSENSI!$H$10),OR(ABSENSI!$H$11="",$F954=ABSENSI!$H$11),OR(ABSENSI!$H$12="",$K954=ABSENSI!$H$12)),MAX($Y$3:Y953)+1,""))</f>
        <v/>
      </c>
      <c r="Z954" s="40" t="str">
        <f aca="false">IF($B954="","",IF(AND(OR(KARTU!$K$6="",$E954=KARTU!$K$6),OR(KARTU!$K$7="",$F954=KARTU!$K$7),OR(KARTU!$K$8="",$K954=KARTU!$K$8)),MAX($Z$3:Z953)+1,""))</f>
        <v/>
      </c>
    </row>
    <row r="955" customFormat="false" ht="15" hidden="false" customHeight="false" outlineLevel="0" collapsed="false">
      <c r="A955" s="36" t="str">
        <f aca="false">IF($B955="","",COUNTA($B$4:$B955))</f>
        <v/>
      </c>
      <c r="B955" s="37"/>
      <c r="C955" s="38"/>
      <c r="D955" s="39"/>
      <c r="E955" s="37"/>
      <c r="F955" s="39"/>
      <c r="G955" s="40" t="str">
        <f aca="false">IF(OR($E955="",$F955=""),"",$E955&amp;" - RT "&amp;$F955)</f>
        <v/>
      </c>
      <c r="H955" s="37"/>
      <c r="I955" s="38"/>
      <c r="J955" s="37"/>
      <c r="K955" s="39"/>
      <c r="L955" s="41"/>
      <c r="M955" s="36" t="str">
        <f aca="true">IF(OR($B955="",$L955=""),"",DATEDIF($L955,TODAY(),"Y"))</f>
        <v/>
      </c>
      <c r="N955" s="40" t="str">
        <f aca="false">IF($M955="","",INDEX(usia_label,MATCH($M955,usia_min,1)))</f>
        <v/>
      </c>
      <c r="O955" s="37"/>
      <c r="P955" s="41"/>
      <c r="Q955" s="37"/>
      <c r="R955" s="37"/>
      <c r="S955" s="40" t="str">
        <f aca="false">IF($G955="","",$G955&amp;"#"&amp;COUNTIF($G$4:$G955,$G955))</f>
        <v/>
      </c>
      <c r="T955" s="40" t="str">
        <f aca="false">IF($B955="","",IF($C955="","NIK kosong",IF(LEN($C955)&lt;&gt;16,"NIK bukan 16 digit",IF(COUNTIF($C$4:$C$2003,$C955&amp;"*")&gt;1,"NIK ganda",IF($E955="","Kadus kosong",IF($F955="","RT kosong",IF($H955="","Jabatan kosong",IF($I955="","No. HP kosong",IF($J955="","Alamat kosong",IF(AND($M955&lt;&gt;"",$M955&lt;17),"Usia di bawah 17",""))))))))))</f>
        <v/>
      </c>
      <c r="U955" s="40" t="str">
        <f aca="false">IF($B955="","",IF(AND(OR(CARI!$C$5="",ISNUMBER(SEARCH(CARI!$C$5,$B955&amp;" "&amp;$C955&amp;" "&amp;$I955&amp;" "&amp;$J955&amp;" "&amp;$Q955))),OR(CARI!$C$6="",$E955=CARI!$C$6),OR(CARI!$C$7="",$F955=CARI!$C$7),OR(CARI!$C$8="",$O955=CARI!$C$8)),MAX($U$3:U954)+1,""))</f>
        <v/>
      </c>
      <c r="V955" s="40" t="str">
        <f aca="false">IF($T955="","",MAX($V$3:V954)+1)</f>
        <v/>
      </c>
      <c r="W955" s="40" t="str">
        <f aca="false">IF($E955="","",$E955&amp;"#"&amp;COUNTIF($E$4:$E955,$E955))</f>
        <v/>
      </c>
      <c r="X955" s="40" t="str">
        <f aca="false">IF($B955="","",IF(AND(OR(CETAK!$J$10="",$E955=CETAK!$J$10),OR(CETAK!$J$11="",$F955=CETAK!$J$11),OR(CETAK!$J$12="",$K955=CETAK!$J$12),OR(CETAK!$J$13="",$H955=CETAK!$J$13),OR(CETAK!$J$14="",$O955=CETAK!$J$14)),MAX($X$3:X954)+1,""))</f>
        <v/>
      </c>
      <c r="Y955" s="40" t="str">
        <f aca="false">IF($B955="","",IF(AND(OR(ABSENSI!$H$10="",$E955=ABSENSI!$H$10),OR(ABSENSI!$H$11="",$F955=ABSENSI!$H$11),OR(ABSENSI!$H$12="",$K955=ABSENSI!$H$12)),MAX($Y$3:Y954)+1,""))</f>
        <v/>
      </c>
      <c r="Z955" s="40" t="str">
        <f aca="false">IF($B955="","",IF(AND(OR(KARTU!$K$6="",$E955=KARTU!$K$6),OR(KARTU!$K$7="",$F955=KARTU!$K$7),OR(KARTU!$K$8="",$K955=KARTU!$K$8)),MAX($Z$3:Z954)+1,""))</f>
        <v/>
      </c>
    </row>
    <row r="956" customFormat="false" ht="15" hidden="false" customHeight="false" outlineLevel="0" collapsed="false">
      <c r="A956" s="36" t="str">
        <f aca="false">IF($B956="","",COUNTA($B$4:$B956))</f>
        <v/>
      </c>
      <c r="B956" s="37"/>
      <c r="C956" s="38"/>
      <c r="D956" s="39"/>
      <c r="E956" s="37"/>
      <c r="F956" s="39"/>
      <c r="G956" s="40" t="str">
        <f aca="false">IF(OR($E956="",$F956=""),"",$E956&amp;" - RT "&amp;$F956)</f>
        <v/>
      </c>
      <c r="H956" s="37"/>
      <c r="I956" s="38"/>
      <c r="J956" s="37"/>
      <c r="K956" s="39"/>
      <c r="L956" s="41"/>
      <c r="M956" s="36" t="str">
        <f aca="true">IF(OR($B956="",$L956=""),"",DATEDIF($L956,TODAY(),"Y"))</f>
        <v/>
      </c>
      <c r="N956" s="40" t="str">
        <f aca="false">IF($M956="","",INDEX(usia_label,MATCH($M956,usia_min,1)))</f>
        <v/>
      </c>
      <c r="O956" s="37"/>
      <c r="P956" s="41"/>
      <c r="Q956" s="37"/>
      <c r="R956" s="37"/>
      <c r="S956" s="40" t="str">
        <f aca="false">IF($G956="","",$G956&amp;"#"&amp;COUNTIF($G$4:$G956,$G956))</f>
        <v/>
      </c>
      <c r="T956" s="40" t="str">
        <f aca="false">IF($B956="","",IF($C956="","NIK kosong",IF(LEN($C956)&lt;&gt;16,"NIK bukan 16 digit",IF(COUNTIF($C$4:$C$2003,$C956&amp;"*")&gt;1,"NIK ganda",IF($E956="","Kadus kosong",IF($F956="","RT kosong",IF($H956="","Jabatan kosong",IF($I956="","No. HP kosong",IF($J956="","Alamat kosong",IF(AND($M956&lt;&gt;"",$M956&lt;17),"Usia di bawah 17",""))))))))))</f>
        <v/>
      </c>
      <c r="U956" s="40" t="str">
        <f aca="false">IF($B956="","",IF(AND(OR(CARI!$C$5="",ISNUMBER(SEARCH(CARI!$C$5,$B956&amp;" "&amp;$C956&amp;" "&amp;$I956&amp;" "&amp;$J956&amp;" "&amp;$Q956))),OR(CARI!$C$6="",$E956=CARI!$C$6),OR(CARI!$C$7="",$F956=CARI!$C$7),OR(CARI!$C$8="",$O956=CARI!$C$8)),MAX($U$3:U955)+1,""))</f>
        <v/>
      </c>
      <c r="V956" s="40" t="str">
        <f aca="false">IF($T956="","",MAX($V$3:V955)+1)</f>
        <v/>
      </c>
      <c r="W956" s="40" t="str">
        <f aca="false">IF($E956="","",$E956&amp;"#"&amp;COUNTIF($E$4:$E956,$E956))</f>
        <v/>
      </c>
      <c r="X956" s="40" t="str">
        <f aca="false">IF($B956="","",IF(AND(OR(CETAK!$J$10="",$E956=CETAK!$J$10),OR(CETAK!$J$11="",$F956=CETAK!$J$11),OR(CETAK!$J$12="",$K956=CETAK!$J$12),OR(CETAK!$J$13="",$H956=CETAK!$J$13),OR(CETAK!$J$14="",$O956=CETAK!$J$14)),MAX($X$3:X955)+1,""))</f>
        <v/>
      </c>
      <c r="Y956" s="40" t="str">
        <f aca="false">IF($B956="","",IF(AND(OR(ABSENSI!$H$10="",$E956=ABSENSI!$H$10),OR(ABSENSI!$H$11="",$F956=ABSENSI!$H$11),OR(ABSENSI!$H$12="",$K956=ABSENSI!$H$12)),MAX($Y$3:Y955)+1,""))</f>
        <v/>
      </c>
      <c r="Z956" s="40" t="str">
        <f aca="false">IF($B956="","",IF(AND(OR(KARTU!$K$6="",$E956=KARTU!$K$6),OR(KARTU!$K$7="",$F956=KARTU!$K$7),OR(KARTU!$K$8="",$K956=KARTU!$K$8)),MAX($Z$3:Z955)+1,""))</f>
        <v/>
      </c>
    </row>
    <row r="957" customFormat="false" ht="15" hidden="false" customHeight="false" outlineLevel="0" collapsed="false">
      <c r="A957" s="36" t="str">
        <f aca="false">IF($B957="","",COUNTA($B$4:$B957))</f>
        <v/>
      </c>
      <c r="B957" s="37"/>
      <c r="C957" s="38"/>
      <c r="D957" s="39"/>
      <c r="E957" s="37"/>
      <c r="F957" s="39"/>
      <c r="G957" s="40" t="str">
        <f aca="false">IF(OR($E957="",$F957=""),"",$E957&amp;" - RT "&amp;$F957)</f>
        <v/>
      </c>
      <c r="H957" s="37"/>
      <c r="I957" s="38"/>
      <c r="J957" s="37"/>
      <c r="K957" s="39"/>
      <c r="L957" s="41"/>
      <c r="M957" s="36" t="str">
        <f aca="true">IF(OR($B957="",$L957=""),"",DATEDIF($L957,TODAY(),"Y"))</f>
        <v/>
      </c>
      <c r="N957" s="40" t="str">
        <f aca="false">IF($M957="","",INDEX(usia_label,MATCH($M957,usia_min,1)))</f>
        <v/>
      </c>
      <c r="O957" s="37"/>
      <c r="P957" s="41"/>
      <c r="Q957" s="37"/>
      <c r="R957" s="37"/>
      <c r="S957" s="40" t="str">
        <f aca="false">IF($G957="","",$G957&amp;"#"&amp;COUNTIF($G$4:$G957,$G957))</f>
        <v/>
      </c>
      <c r="T957" s="40" t="str">
        <f aca="false">IF($B957="","",IF($C957="","NIK kosong",IF(LEN($C957)&lt;&gt;16,"NIK bukan 16 digit",IF(COUNTIF($C$4:$C$2003,$C957&amp;"*")&gt;1,"NIK ganda",IF($E957="","Kadus kosong",IF($F957="","RT kosong",IF($H957="","Jabatan kosong",IF($I957="","No. HP kosong",IF($J957="","Alamat kosong",IF(AND($M957&lt;&gt;"",$M957&lt;17),"Usia di bawah 17",""))))))))))</f>
        <v/>
      </c>
      <c r="U957" s="40" t="str">
        <f aca="false">IF($B957="","",IF(AND(OR(CARI!$C$5="",ISNUMBER(SEARCH(CARI!$C$5,$B957&amp;" "&amp;$C957&amp;" "&amp;$I957&amp;" "&amp;$J957&amp;" "&amp;$Q957))),OR(CARI!$C$6="",$E957=CARI!$C$6),OR(CARI!$C$7="",$F957=CARI!$C$7),OR(CARI!$C$8="",$O957=CARI!$C$8)),MAX($U$3:U956)+1,""))</f>
        <v/>
      </c>
      <c r="V957" s="40" t="str">
        <f aca="false">IF($T957="","",MAX($V$3:V956)+1)</f>
        <v/>
      </c>
      <c r="W957" s="40" t="str">
        <f aca="false">IF($E957="","",$E957&amp;"#"&amp;COUNTIF($E$4:$E957,$E957))</f>
        <v/>
      </c>
      <c r="X957" s="40" t="str">
        <f aca="false">IF($B957="","",IF(AND(OR(CETAK!$J$10="",$E957=CETAK!$J$10),OR(CETAK!$J$11="",$F957=CETAK!$J$11),OR(CETAK!$J$12="",$K957=CETAK!$J$12),OR(CETAK!$J$13="",$H957=CETAK!$J$13),OR(CETAK!$J$14="",$O957=CETAK!$J$14)),MAX($X$3:X956)+1,""))</f>
        <v/>
      </c>
      <c r="Y957" s="40" t="str">
        <f aca="false">IF($B957="","",IF(AND(OR(ABSENSI!$H$10="",$E957=ABSENSI!$H$10),OR(ABSENSI!$H$11="",$F957=ABSENSI!$H$11),OR(ABSENSI!$H$12="",$K957=ABSENSI!$H$12)),MAX($Y$3:Y956)+1,""))</f>
        <v/>
      </c>
      <c r="Z957" s="40" t="str">
        <f aca="false">IF($B957="","",IF(AND(OR(KARTU!$K$6="",$E957=KARTU!$K$6),OR(KARTU!$K$7="",$F957=KARTU!$K$7),OR(KARTU!$K$8="",$K957=KARTU!$K$8)),MAX($Z$3:Z956)+1,""))</f>
        <v/>
      </c>
    </row>
    <row r="958" customFormat="false" ht="15" hidden="false" customHeight="false" outlineLevel="0" collapsed="false">
      <c r="A958" s="36" t="str">
        <f aca="false">IF($B958="","",COUNTA($B$4:$B958))</f>
        <v/>
      </c>
      <c r="B958" s="37"/>
      <c r="C958" s="38"/>
      <c r="D958" s="39"/>
      <c r="E958" s="37"/>
      <c r="F958" s="39"/>
      <c r="G958" s="40" t="str">
        <f aca="false">IF(OR($E958="",$F958=""),"",$E958&amp;" - RT "&amp;$F958)</f>
        <v/>
      </c>
      <c r="H958" s="37"/>
      <c r="I958" s="38"/>
      <c r="J958" s="37"/>
      <c r="K958" s="39"/>
      <c r="L958" s="41"/>
      <c r="M958" s="36" t="str">
        <f aca="true">IF(OR($B958="",$L958=""),"",DATEDIF($L958,TODAY(),"Y"))</f>
        <v/>
      </c>
      <c r="N958" s="40" t="str">
        <f aca="false">IF($M958="","",INDEX(usia_label,MATCH($M958,usia_min,1)))</f>
        <v/>
      </c>
      <c r="O958" s="37"/>
      <c r="P958" s="41"/>
      <c r="Q958" s="37"/>
      <c r="R958" s="37"/>
      <c r="S958" s="40" t="str">
        <f aca="false">IF($G958="","",$G958&amp;"#"&amp;COUNTIF($G$4:$G958,$G958))</f>
        <v/>
      </c>
      <c r="T958" s="40" t="str">
        <f aca="false">IF($B958="","",IF($C958="","NIK kosong",IF(LEN($C958)&lt;&gt;16,"NIK bukan 16 digit",IF(COUNTIF($C$4:$C$2003,$C958&amp;"*")&gt;1,"NIK ganda",IF($E958="","Kadus kosong",IF($F958="","RT kosong",IF($H958="","Jabatan kosong",IF($I958="","No. HP kosong",IF($J958="","Alamat kosong",IF(AND($M958&lt;&gt;"",$M958&lt;17),"Usia di bawah 17",""))))))))))</f>
        <v/>
      </c>
      <c r="U958" s="40" t="str">
        <f aca="false">IF($B958="","",IF(AND(OR(CARI!$C$5="",ISNUMBER(SEARCH(CARI!$C$5,$B958&amp;" "&amp;$C958&amp;" "&amp;$I958&amp;" "&amp;$J958&amp;" "&amp;$Q958))),OR(CARI!$C$6="",$E958=CARI!$C$6),OR(CARI!$C$7="",$F958=CARI!$C$7),OR(CARI!$C$8="",$O958=CARI!$C$8)),MAX($U$3:U957)+1,""))</f>
        <v/>
      </c>
      <c r="V958" s="40" t="str">
        <f aca="false">IF($T958="","",MAX($V$3:V957)+1)</f>
        <v/>
      </c>
      <c r="W958" s="40" t="str">
        <f aca="false">IF($E958="","",$E958&amp;"#"&amp;COUNTIF($E$4:$E958,$E958))</f>
        <v/>
      </c>
      <c r="X958" s="40" t="str">
        <f aca="false">IF($B958="","",IF(AND(OR(CETAK!$J$10="",$E958=CETAK!$J$10),OR(CETAK!$J$11="",$F958=CETAK!$J$11),OR(CETAK!$J$12="",$K958=CETAK!$J$12),OR(CETAK!$J$13="",$H958=CETAK!$J$13),OR(CETAK!$J$14="",$O958=CETAK!$J$14)),MAX($X$3:X957)+1,""))</f>
        <v/>
      </c>
      <c r="Y958" s="40" t="str">
        <f aca="false">IF($B958="","",IF(AND(OR(ABSENSI!$H$10="",$E958=ABSENSI!$H$10),OR(ABSENSI!$H$11="",$F958=ABSENSI!$H$11),OR(ABSENSI!$H$12="",$K958=ABSENSI!$H$12)),MAX($Y$3:Y957)+1,""))</f>
        <v/>
      </c>
      <c r="Z958" s="40" t="str">
        <f aca="false">IF($B958="","",IF(AND(OR(KARTU!$K$6="",$E958=KARTU!$K$6),OR(KARTU!$K$7="",$F958=KARTU!$K$7),OR(KARTU!$K$8="",$K958=KARTU!$K$8)),MAX($Z$3:Z957)+1,""))</f>
        <v/>
      </c>
    </row>
    <row r="959" customFormat="false" ht="15" hidden="false" customHeight="false" outlineLevel="0" collapsed="false">
      <c r="A959" s="36" t="str">
        <f aca="false">IF($B959="","",COUNTA($B$4:$B959))</f>
        <v/>
      </c>
      <c r="B959" s="37"/>
      <c r="C959" s="38"/>
      <c r="D959" s="39"/>
      <c r="E959" s="37"/>
      <c r="F959" s="39"/>
      <c r="G959" s="40" t="str">
        <f aca="false">IF(OR($E959="",$F959=""),"",$E959&amp;" - RT "&amp;$F959)</f>
        <v/>
      </c>
      <c r="H959" s="37"/>
      <c r="I959" s="38"/>
      <c r="J959" s="37"/>
      <c r="K959" s="39"/>
      <c r="L959" s="41"/>
      <c r="M959" s="36" t="str">
        <f aca="true">IF(OR($B959="",$L959=""),"",DATEDIF($L959,TODAY(),"Y"))</f>
        <v/>
      </c>
      <c r="N959" s="40" t="str">
        <f aca="false">IF($M959="","",INDEX(usia_label,MATCH($M959,usia_min,1)))</f>
        <v/>
      </c>
      <c r="O959" s="37"/>
      <c r="P959" s="41"/>
      <c r="Q959" s="37"/>
      <c r="R959" s="37"/>
      <c r="S959" s="40" t="str">
        <f aca="false">IF($G959="","",$G959&amp;"#"&amp;COUNTIF($G$4:$G959,$G959))</f>
        <v/>
      </c>
      <c r="T959" s="40" t="str">
        <f aca="false">IF($B959="","",IF($C959="","NIK kosong",IF(LEN($C959)&lt;&gt;16,"NIK bukan 16 digit",IF(COUNTIF($C$4:$C$2003,$C959&amp;"*")&gt;1,"NIK ganda",IF($E959="","Kadus kosong",IF($F959="","RT kosong",IF($H959="","Jabatan kosong",IF($I959="","No. HP kosong",IF($J959="","Alamat kosong",IF(AND($M959&lt;&gt;"",$M959&lt;17),"Usia di bawah 17",""))))))))))</f>
        <v/>
      </c>
      <c r="U959" s="40" t="str">
        <f aca="false">IF($B959="","",IF(AND(OR(CARI!$C$5="",ISNUMBER(SEARCH(CARI!$C$5,$B959&amp;" "&amp;$C959&amp;" "&amp;$I959&amp;" "&amp;$J959&amp;" "&amp;$Q959))),OR(CARI!$C$6="",$E959=CARI!$C$6),OR(CARI!$C$7="",$F959=CARI!$C$7),OR(CARI!$C$8="",$O959=CARI!$C$8)),MAX($U$3:U958)+1,""))</f>
        <v/>
      </c>
      <c r="V959" s="40" t="str">
        <f aca="false">IF($T959="","",MAX($V$3:V958)+1)</f>
        <v/>
      </c>
      <c r="W959" s="40" t="str">
        <f aca="false">IF($E959="","",$E959&amp;"#"&amp;COUNTIF($E$4:$E959,$E959))</f>
        <v/>
      </c>
      <c r="X959" s="40" t="str">
        <f aca="false">IF($B959="","",IF(AND(OR(CETAK!$J$10="",$E959=CETAK!$J$10),OR(CETAK!$J$11="",$F959=CETAK!$J$11),OR(CETAK!$J$12="",$K959=CETAK!$J$12),OR(CETAK!$J$13="",$H959=CETAK!$J$13),OR(CETAK!$J$14="",$O959=CETAK!$J$14)),MAX($X$3:X958)+1,""))</f>
        <v/>
      </c>
      <c r="Y959" s="40" t="str">
        <f aca="false">IF($B959="","",IF(AND(OR(ABSENSI!$H$10="",$E959=ABSENSI!$H$10),OR(ABSENSI!$H$11="",$F959=ABSENSI!$H$11),OR(ABSENSI!$H$12="",$K959=ABSENSI!$H$12)),MAX($Y$3:Y958)+1,""))</f>
        <v/>
      </c>
      <c r="Z959" s="40" t="str">
        <f aca="false">IF($B959="","",IF(AND(OR(KARTU!$K$6="",$E959=KARTU!$K$6),OR(KARTU!$K$7="",$F959=KARTU!$K$7),OR(KARTU!$K$8="",$K959=KARTU!$K$8)),MAX($Z$3:Z958)+1,""))</f>
        <v/>
      </c>
    </row>
    <row r="960" customFormat="false" ht="15" hidden="false" customHeight="false" outlineLevel="0" collapsed="false">
      <c r="A960" s="36" t="str">
        <f aca="false">IF($B960="","",COUNTA($B$4:$B960))</f>
        <v/>
      </c>
      <c r="B960" s="37"/>
      <c r="C960" s="38"/>
      <c r="D960" s="39"/>
      <c r="E960" s="37"/>
      <c r="F960" s="39"/>
      <c r="G960" s="40" t="str">
        <f aca="false">IF(OR($E960="",$F960=""),"",$E960&amp;" - RT "&amp;$F960)</f>
        <v/>
      </c>
      <c r="H960" s="37"/>
      <c r="I960" s="38"/>
      <c r="J960" s="37"/>
      <c r="K960" s="39"/>
      <c r="L960" s="41"/>
      <c r="M960" s="36" t="str">
        <f aca="true">IF(OR($B960="",$L960=""),"",DATEDIF($L960,TODAY(),"Y"))</f>
        <v/>
      </c>
      <c r="N960" s="40" t="str">
        <f aca="false">IF($M960="","",INDEX(usia_label,MATCH($M960,usia_min,1)))</f>
        <v/>
      </c>
      <c r="O960" s="37"/>
      <c r="P960" s="41"/>
      <c r="Q960" s="37"/>
      <c r="R960" s="37"/>
      <c r="S960" s="40" t="str">
        <f aca="false">IF($G960="","",$G960&amp;"#"&amp;COUNTIF($G$4:$G960,$G960))</f>
        <v/>
      </c>
      <c r="T960" s="40" t="str">
        <f aca="false">IF($B960="","",IF($C960="","NIK kosong",IF(LEN($C960)&lt;&gt;16,"NIK bukan 16 digit",IF(COUNTIF($C$4:$C$2003,$C960&amp;"*")&gt;1,"NIK ganda",IF($E960="","Kadus kosong",IF($F960="","RT kosong",IF($H960="","Jabatan kosong",IF($I960="","No. HP kosong",IF($J960="","Alamat kosong",IF(AND($M960&lt;&gt;"",$M960&lt;17),"Usia di bawah 17",""))))))))))</f>
        <v/>
      </c>
      <c r="U960" s="40" t="str">
        <f aca="false">IF($B960="","",IF(AND(OR(CARI!$C$5="",ISNUMBER(SEARCH(CARI!$C$5,$B960&amp;" "&amp;$C960&amp;" "&amp;$I960&amp;" "&amp;$J960&amp;" "&amp;$Q960))),OR(CARI!$C$6="",$E960=CARI!$C$6),OR(CARI!$C$7="",$F960=CARI!$C$7),OR(CARI!$C$8="",$O960=CARI!$C$8)),MAX($U$3:U959)+1,""))</f>
        <v/>
      </c>
      <c r="V960" s="40" t="str">
        <f aca="false">IF($T960="","",MAX($V$3:V959)+1)</f>
        <v/>
      </c>
      <c r="W960" s="40" t="str">
        <f aca="false">IF($E960="","",$E960&amp;"#"&amp;COUNTIF($E$4:$E960,$E960))</f>
        <v/>
      </c>
      <c r="X960" s="40" t="str">
        <f aca="false">IF($B960="","",IF(AND(OR(CETAK!$J$10="",$E960=CETAK!$J$10),OR(CETAK!$J$11="",$F960=CETAK!$J$11),OR(CETAK!$J$12="",$K960=CETAK!$J$12),OR(CETAK!$J$13="",$H960=CETAK!$J$13),OR(CETAK!$J$14="",$O960=CETAK!$J$14)),MAX($X$3:X959)+1,""))</f>
        <v/>
      </c>
      <c r="Y960" s="40" t="str">
        <f aca="false">IF($B960="","",IF(AND(OR(ABSENSI!$H$10="",$E960=ABSENSI!$H$10),OR(ABSENSI!$H$11="",$F960=ABSENSI!$H$11),OR(ABSENSI!$H$12="",$K960=ABSENSI!$H$12)),MAX($Y$3:Y959)+1,""))</f>
        <v/>
      </c>
      <c r="Z960" s="40" t="str">
        <f aca="false">IF($B960="","",IF(AND(OR(KARTU!$K$6="",$E960=KARTU!$K$6),OR(KARTU!$K$7="",$F960=KARTU!$K$7),OR(KARTU!$K$8="",$K960=KARTU!$K$8)),MAX($Z$3:Z959)+1,""))</f>
        <v/>
      </c>
    </row>
    <row r="961" customFormat="false" ht="15" hidden="false" customHeight="false" outlineLevel="0" collapsed="false">
      <c r="A961" s="36" t="str">
        <f aca="false">IF($B961="","",COUNTA($B$4:$B961))</f>
        <v/>
      </c>
      <c r="B961" s="37"/>
      <c r="C961" s="38"/>
      <c r="D961" s="39"/>
      <c r="E961" s="37"/>
      <c r="F961" s="39"/>
      <c r="G961" s="40" t="str">
        <f aca="false">IF(OR($E961="",$F961=""),"",$E961&amp;" - RT "&amp;$F961)</f>
        <v/>
      </c>
      <c r="H961" s="37"/>
      <c r="I961" s="38"/>
      <c r="J961" s="37"/>
      <c r="K961" s="39"/>
      <c r="L961" s="41"/>
      <c r="M961" s="36" t="str">
        <f aca="true">IF(OR($B961="",$L961=""),"",DATEDIF($L961,TODAY(),"Y"))</f>
        <v/>
      </c>
      <c r="N961" s="40" t="str">
        <f aca="false">IF($M961="","",INDEX(usia_label,MATCH($M961,usia_min,1)))</f>
        <v/>
      </c>
      <c r="O961" s="37"/>
      <c r="P961" s="41"/>
      <c r="Q961" s="37"/>
      <c r="R961" s="37"/>
      <c r="S961" s="40" t="str">
        <f aca="false">IF($G961="","",$G961&amp;"#"&amp;COUNTIF($G$4:$G961,$G961))</f>
        <v/>
      </c>
      <c r="T961" s="40" t="str">
        <f aca="false">IF($B961="","",IF($C961="","NIK kosong",IF(LEN($C961)&lt;&gt;16,"NIK bukan 16 digit",IF(COUNTIF($C$4:$C$2003,$C961&amp;"*")&gt;1,"NIK ganda",IF($E961="","Kadus kosong",IF($F961="","RT kosong",IF($H961="","Jabatan kosong",IF($I961="","No. HP kosong",IF($J961="","Alamat kosong",IF(AND($M961&lt;&gt;"",$M961&lt;17),"Usia di bawah 17",""))))))))))</f>
        <v/>
      </c>
      <c r="U961" s="40" t="str">
        <f aca="false">IF($B961="","",IF(AND(OR(CARI!$C$5="",ISNUMBER(SEARCH(CARI!$C$5,$B961&amp;" "&amp;$C961&amp;" "&amp;$I961&amp;" "&amp;$J961&amp;" "&amp;$Q961))),OR(CARI!$C$6="",$E961=CARI!$C$6),OR(CARI!$C$7="",$F961=CARI!$C$7),OR(CARI!$C$8="",$O961=CARI!$C$8)),MAX($U$3:U960)+1,""))</f>
        <v/>
      </c>
      <c r="V961" s="40" t="str">
        <f aca="false">IF($T961="","",MAX($V$3:V960)+1)</f>
        <v/>
      </c>
      <c r="W961" s="40" t="str">
        <f aca="false">IF($E961="","",$E961&amp;"#"&amp;COUNTIF($E$4:$E961,$E961))</f>
        <v/>
      </c>
      <c r="X961" s="40" t="str">
        <f aca="false">IF($B961="","",IF(AND(OR(CETAK!$J$10="",$E961=CETAK!$J$10),OR(CETAK!$J$11="",$F961=CETAK!$J$11),OR(CETAK!$J$12="",$K961=CETAK!$J$12),OR(CETAK!$J$13="",$H961=CETAK!$J$13),OR(CETAK!$J$14="",$O961=CETAK!$J$14)),MAX($X$3:X960)+1,""))</f>
        <v/>
      </c>
      <c r="Y961" s="40" t="str">
        <f aca="false">IF($B961="","",IF(AND(OR(ABSENSI!$H$10="",$E961=ABSENSI!$H$10),OR(ABSENSI!$H$11="",$F961=ABSENSI!$H$11),OR(ABSENSI!$H$12="",$K961=ABSENSI!$H$12)),MAX($Y$3:Y960)+1,""))</f>
        <v/>
      </c>
      <c r="Z961" s="40" t="str">
        <f aca="false">IF($B961="","",IF(AND(OR(KARTU!$K$6="",$E961=KARTU!$K$6),OR(KARTU!$K$7="",$F961=KARTU!$K$7),OR(KARTU!$K$8="",$K961=KARTU!$K$8)),MAX($Z$3:Z960)+1,""))</f>
        <v/>
      </c>
    </row>
    <row r="962" customFormat="false" ht="15" hidden="false" customHeight="false" outlineLevel="0" collapsed="false">
      <c r="A962" s="36" t="str">
        <f aca="false">IF($B962="","",COUNTA($B$4:$B962))</f>
        <v/>
      </c>
      <c r="B962" s="37"/>
      <c r="C962" s="38"/>
      <c r="D962" s="39"/>
      <c r="E962" s="37"/>
      <c r="F962" s="39"/>
      <c r="G962" s="40" t="str">
        <f aca="false">IF(OR($E962="",$F962=""),"",$E962&amp;" - RT "&amp;$F962)</f>
        <v/>
      </c>
      <c r="H962" s="37"/>
      <c r="I962" s="38"/>
      <c r="J962" s="37"/>
      <c r="K962" s="39"/>
      <c r="L962" s="41"/>
      <c r="M962" s="36" t="str">
        <f aca="true">IF(OR($B962="",$L962=""),"",DATEDIF($L962,TODAY(),"Y"))</f>
        <v/>
      </c>
      <c r="N962" s="40" t="str">
        <f aca="false">IF($M962="","",INDEX(usia_label,MATCH($M962,usia_min,1)))</f>
        <v/>
      </c>
      <c r="O962" s="37"/>
      <c r="P962" s="41"/>
      <c r="Q962" s="37"/>
      <c r="R962" s="37"/>
      <c r="S962" s="40" t="str">
        <f aca="false">IF($G962="","",$G962&amp;"#"&amp;COUNTIF($G$4:$G962,$G962))</f>
        <v/>
      </c>
      <c r="T962" s="40" t="str">
        <f aca="false">IF($B962="","",IF($C962="","NIK kosong",IF(LEN($C962)&lt;&gt;16,"NIK bukan 16 digit",IF(COUNTIF($C$4:$C$2003,$C962&amp;"*")&gt;1,"NIK ganda",IF($E962="","Kadus kosong",IF($F962="","RT kosong",IF($H962="","Jabatan kosong",IF($I962="","No. HP kosong",IF($J962="","Alamat kosong",IF(AND($M962&lt;&gt;"",$M962&lt;17),"Usia di bawah 17",""))))))))))</f>
        <v/>
      </c>
      <c r="U962" s="40" t="str">
        <f aca="false">IF($B962="","",IF(AND(OR(CARI!$C$5="",ISNUMBER(SEARCH(CARI!$C$5,$B962&amp;" "&amp;$C962&amp;" "&amp;$I962&amp;" "&amp;$J962&amp;" "&amp;$Q962))),OR(CARI!$C$6="",$E962=CARI!$C$6),OR(CARI!$C$7="",$F962=CARI!$C$7),OR(CARI!$C$8="",$O962=CARI!$C$8)),MAX($U$3:U961)+1,""))</f>
        <v/>
      </c>
      <c r="V962" s="40" t="str">
        <f aca="false">IF($T962="","",MAX($V$3:V961)+1)</f>
        <v/>
      </c>
      <c r="W962" s="40" t="str">
        <f aca="false">IF($E962="","",$E962&amp;"#"&amp;COUNTIF($E$4:$E962,$E962))</f>
        <v/>
      </c>
      <c r="X962" s="40" t="str">
        <f aca="false">IF($B962="","",IF(AND(OR(CETAK!$J$10="",$E962=CETAK!$J$10),OR(CETAK!$J$11="",$F962=CETAK!$J$11),OR(CETAK!$J$12="",$K962=CETAK!$J$12),OR(CETAK!$J$13="",$H962=CETAK!$J$13),OR(CETAK!$J$14="",$O962=CETAK!$J$14)),MAX($X$3:X961)+1,""))</f>
        <v/>
      </c>
      <c r="Y962" s="40" t="str">
        <f aca="false">IF($B962="","",IF(AND(OR(ABSENSI!$H$10="",$E962=ABSENSI!$H$10),OR(ABSENSI!$H$11="",$F962=ABSENSI!$H$11),OR(ABSENSI!$H$12="",$K962=ABSENSI!$H$12)),MAX($Y$3:Y961)+1,""))</f>
        <v/>
      </c>
      <c r="Z962" s="40" t="str">
        <f aca="false">IF($B962="","",IF(AND(OR(KARTU!$K$6="",$E962=KARTU!$K$6),OR(KARTU!$K$7="",$F962=KARTU!$K$7),OR(KARTU!$K$8="",$K962=KARTU!$K$8)),MAX($Z$3:Z961)+1,""))</f>
        <v/>
      </c>
    </row>
    <row r="963" customFormat="false" ht="15" hidden="false" customHeight="false" outlineLevel="0" collapsed="false">
      <c r="A963" s="36" t="str">
        <f aca="false">IF($B963="","",COUNTA($B$4:$B963))</f>
        <v/>
      </c>
      <c r="B963" s="37"/>
      <c r="C963" s="38"/>
      <c r="D963" s="39"/>
      <c r="E963" s="37"/>
      <c r="F963" s="39"/>
      <c r="G963" s="40" t="str">
        <f aca="false">IF(OR($E963="",$F963=""),"",$E963&amp;" - RT "&amp;$F963)</f>
        <v/>
      </c>
      <c r="H963" s="37"/>
      <c r="I963" s="38"/>
      <c r="J963" s="37"/>
      <c r="K963" s="39"/>
      <c r="L963" s="41"/>
      <c r="M963" s="36" t="str">
        <f aca="true">IF(OR($B963="",$L963=""),"",DATEDIF($L963,TODAY(),"Y"))</f>
        <v/>
      </c>
      <c r="N963" s="40" t="str">
        <f aca="false">IF($M963="","",INDEX(usia_label,MATCH($M963,usia_min,1)))</f>
        <v/>
      </c>
      <c r="O963" s="37"/>
      <c r="P963" s="41"/>
      <c r="Q963" s="37"/>
      <c r="R963" s="37"/>
      <c r="S963" s="40" t="str">
        <f aca="false">IF($G963="","",$G963&amp;"#"&amp;COUNTIF($G$4:$G963,$G963))</f>
        <v/>
      </c>
      <c r="T963" s="40" t="str">
        <f aca="false">IF($B963="","",IF($C963="","NIK kosong",IF(LEN($C963)&lt;&gt;16,"NIK bukan 16 digit",IF(COUNTIF($C$4:$C$2003,$C963&amp;"*")&gt;1,"NIK ganda",IF($E963="","Kadus kosong",IF($F963="","RT kosong",IF($H963="","Jabatan kosong",IF($I963="","No. HP kosong",IF($J963="","Alamat kosong",IF(AND($M963&lt;&gt;"",$M963&lt;17),"Usia di bawah 17",""))))))))))</f>
        <v/>
      </c>
      <c r="U963" s="40" t="str">
        <f aca="false">IF($B963="","",IF(AND(OR(CARI!$C$5="",ISNUMBER(SEARCH(CARI!$C$5,$B963&amp;" "&amp;$C963&amp;" "&amp;$I963&amp;" "&amp;$J963&amp;" "&amp;$Q963))),OR(CARI!$C$6="",$E963=CARI!$C$6),OR(CARI!$C$7="",$F963=CARI!$C$7),OR(CARI!$C$8="",$O963=CARI!$C$8)),MAX($U$3:U962)+1,""))</f>
        <v/>
      </c>
      <c r="V963" s="40" t="str">
        <f aca="false">IF($T963="","",MAX($V$3:V962)+1)</f>
        <v/>
      </c>
      <c r="W963" s="40" t="str">
        <f aca="false">IF($E963="","",$E963&amp;"#"&amp;COUNTIF($E$4:$E963,$E963))</f>
        <v/>
      </c>
      <c r="X963" s="40" t="str">
        <f aca="false">IF($B963="","",IF(AND(OR(CETAK!$J$10="",$E963=CETAK!$J$10),OR(CETAK!$J$11="",$F963=CETAK!$J$11),OR(CETAK!$J$12="",$K963=CETAK!$J$12),OR(CETAK!$J$13="",$H963=CETAK!$J$13),OR(CETAK!$J$14="",$O963=CETAK!$J$14)),MAX($X$3:X962)+1,""))</f>
        <v/>
      </c>
      <c r="Y963" s="40" t="str">
        <f aca="false">IF($B963="","",IF(AND(OR(ABSENSI!$H$10="",$E963=ABSENSI!$H$10),OR(ABSENSI!$H$11="",$F963=ABSENSI!$H$11),OR(ABSENSI!$H$12="",$K963=ABSENSI!$H$12)),MAX($Y$3:Y962)+1,""))</f>
        <v/>
      </c>
      <c r="Z963" s="40" t="str">
        <f aca="false">IF($B963="","",IF(AND(OR(KARTU!$K$6="",$E963=KARTU!$K$6),OR(KARTU!$K$7="",$F963=KARTU!$K$7),OR(KARTU!$K$8="",$K963=KARTU!$K$8)),MAX($Z$3:Z962)+1,""))</f>
        <v/>
      </c>
    </row>
    <row r="964" customFormat="false" ht="15" hidden="false" customHeight="false" outlineLevel="0" collapsed="false">
      <c r="A964" s="36" t="str">
        <f aca="false">IF($B964="","",COUNTA($B$4:$B964))</f>
        <v/>
      </c>
      <c r="B964" s="37"/>
      <c r="C964" s="38"/>
      <c r="D964" s="39"/>
      <c r="E964" s="37"/>
      <c r="F964" s="39"/>
      <c r="G964" s="40" t="str">
        <f aca="false">IF(OR($E964="",$F964=""),"",$E964&amp;" - RT "&amp;$F964)</f>
        <v/>
      </c>
      <c r="H964" s="37"/>
      <c r="I964" s="38"/>
      <c r="J964" s="37"/>
      <c r="K964" s="39"/>
      <c r="L964" s="41"/>
      <c r="M964" s="36" t="str">
        <f aca="true">IF(OR($B964="",$L964=""),"",DATEDIF($L964,TODAY(),"Y"))</f>
        <v/>
      </c>
      <c r="N964" s="40" t="str">
        <f aca="false">IF($M964="","",INDEX(usia_label,MATCH($M964,usia_min,1)))</f>
        <v/>
      </c>
      <c r="O964" s="37"/>
      <c r="P964" s="41"/>
      <c r="Q964" s="37"/>
      <c r="R964" s="37"/>
      <c r="S964" s="40" t="str">
        <f aca="false">IF($G964="","",$G964&amp;"#"&amp;COUNTIF($G$4:$G964,$G964))</f>
        <v/>
      </c>
      <c r="T964" s="40" t="str">
        <f aca="false">IF($B964="","",IF($C964="","NIK kosong",IF(LEN($C964)&lt;&gt;16,"NIK bukan 16 digit",IF(COUNTIF($C$4:$C$2003,$C964&amp;"*")&gt;1,"NIK ganda",IF($E964="","Kadus kosong",IF($F964="","RT kosong",IF($H964="","Jabatan kosong",IF($I964="","No. HP kosong",IF($J964="","Alamat kosong",IF(AND($M964&lt;&gt;"",$M964&lt;17),"Usia di bawah 17",""))))))))))</f>
        <v/>
      </c>
      <c r="U964" s="40" t="str">
        <f aca="false">IF($B964="","",IF(AND(OR(CARI!$C$5="",ISNUMBER(SEARCH(CARI!$C$5,$B964&amp;" "&amp;$C964&amp;" "&amp;$I964&amp;" "&amp;$J964&amp;" "&amp;$Q964))),OR(CARI!$C$6="",$E964=CARI!$C$6),OR(CARI!$C$7="",$F964=CARI!$C$7),OR(CARI!$C$8="",$O964=CARI!$C$8)),MAX($U$3:U963)+1,""))</f>
        <v/>
      </c>
      <c r="V964" s="40" t="str">
        <f aca="false">IF($T964="","",MAX($V$3:V963)+1)</f>
        <v/>
      </c>
      <c r="W964" s="40" t="str">
        <f aca="false">IF($E964="","",$E964&amp;"#"&amp;COUNTIF($E$4:$E964,$E964))</f>
        <v/>
      </c>
      <c r="X964" s="40" t="str">
        <f aca="false">IF($B964="","",IF(AND(OR(CETAK!$J$10="",$E964=CETAK!$J$10),OR(CETAK!$J$11="",$F964=CETAK!$J$11),OR(CETAK!$J$12="",$K964=CETAK!$J$12),OR(CETAK!$J$13="",$H964=CETAK!$J$13),OR(CETAK!$J$14="",$O964=CETAK!$J$14)),MAX($X$3:X963)+1,""))</f>
        <v/>
      </c>
      <c r="Y964" s="40" t="str">
        <f aca="false">IF($B964="","",IF(AND(OR(ABSENSI!$H$10="",$E964=ABSENSI!$H$10),OR(ABSENSI!$H$11="",$F964=ABSENSI!$H$11),OR(ABSENSI!$H$12="",$K964=ABSENSI!$H$12)),MAX($Y$3:Y963)+1,""))</f>
        <v/>
      </c>
      <c r="Z964" s="40" t="str">
        <f aca="false">IF($B964="","",IF(AND(OR(KARTU!$K$6="",$E964=KARTU!$K$6),OR(KARTU!$K$7="",$F964=KARTU!$K$7),OR(KARTU!$K$8="",$K964=KARTU!$K$8)),MAX($Z$3:Z963)+1,""))</f>
        <v/>
      </c>
    </row>
    <row r="965" customFormat="false" ht="15" hidden="false" customHeight="false" outlineLevel="0" collapsed="false">
      <c r="A965" s="36" t="str">
        <f aca="false">IF($B965="","",COUNTA($B$4:$B965))</f>
        <v/>
      </c>
      <c r="B965" s="37"/>
      <c r="C965" s="38"/>
      <c r="D965" s="39"/>
      <c r="E965" s="37"/>
      <c r="F965" s="39"/>
      <c r="G965" s="40" t="str">
        <f aca="false">IF(OR($E965="",$F965=""),"",$E965&amp;" - RT "&amp;$F965)</f>
        <v/>
      </c>
      <c r="H965" s="37"/>
      <c r="I965" s="38"/>
      <c r="J965" s="37"/>
      <c r="K965" s="39"/>
      <c r="L965" s="41"/>
      <c r="M965" s="36" t="str">
        <f aca="true">IF(OR($B965="",$L965=""),"",DATEDIF($L965,TODAY(),"Y"))</f>
        <v/>
      </c>
      <c r="N965" s="40" t="str">
        <f aca="false">IF($M965="","",INDEX(usia_label,MATCH($M965,usia_min,1)))</f>
        <v/>
      </c>
      <c r="O965" s="37"/>
      <c r="P965" s="41"/>
      <c r="Q965" s="37"/>
      <c r="R965" s="37"/>
      <c r="S965" s="40" t="str">
        <f aca="false">IF($G965="","",$G965&amp;"#"&amp;COUNTIF($G$4:$G965,$G965))</f>
        <v/>
      </c>
      <c r="T965" s="40" t="str">
        <f aca="false">IF($B965="","",IF($C965="","NIK kosong",IF(LEN($C965)&lt;&gt;16,"NIK bukan 16 digit",IF(COUNTIF($C$4:$C$2003,$C965&amp;"*")&gt;1,"NIK ganda",IF($E965="","Kadus kosong",IF($F965="","RT kosong",IF($H965="","Jabatan kosong",IF($I965="","No. HP kosong",IF($J965="","Alamat kosong",IF(AND($M965&lt;&gt;"",$M965&lt;17),"Usia di bawah 17",""))))))))))</f>
        <v/>
      </c>
      <c r="U965" s="40" t="str">
        <f aca="false">IF($B965="","",IF(AND(OR(CARI!$C$5="",ISNUMBER(SEARCH(CARI!$C$5,$B965&amp;" "&amp;$C965&amp;" "&amp;$I965&amp;" "&amp;$J965&amp;" "&amp;$Q965))),OR(CARI!$C$6="",$E965=CARI!$C$6),OR(CARI!$C$7="",$F965=CARI!$C$7),OR(CARI!$C$8="",$O965=CARI!$C$8)),MAX($U$3:U964)+1,""))</f>
        <v/>
      </c>
      <c r="V965" s="40" t="str">
        <f aca="false">IF($T965="","",MAX($V$3:V964)+1)</f>
        <v/>
      </c>
      <c r="W965" s="40" t="str">
        <f aca="false">IF($E965="","",$E965&amp;"#"&amp;COUNTIF($E$4:$E965,$E965))</f>
        <v/>
      </c>
      <c r="X965" s="40" t="str">
        <f aca="false">IF($B965="","",IF(AND(OR(CETAK!$J$10="",$E965=CETAK!$J$10),OR(CETAK!$J$11="",$F965=CETAK!$J$11),OR(CETAK!$J$12="",$K965=CETAK!$J$12),OR(CETAK!$J$13="",$H965=CETAK!$J$13),OR(CETAK!$J$14="",$O965=CETAK!$J$14)),MAX($X$3:X964)+1,""))</f>
        <v/>
      </c>
      <c r="Y965" s="40" t="str">
        <f aca="false">IF($B965="","",IF(AND(OR(ABSENSI!$H$10="",$E965=ABSENSI!$H$10),OR(ABSENSI!$H$11="",$F965=ABSENSI!$H$11),OR(ABSENSI!$H$12="",$K965=ABSENSI!$H$12)),MAX($Y$3:Y964)+1,""))</f>
        <v/>
      </c>
      <c r="Z965" s="40" t="str">
        <f aca="false">IF($B965="","",IF(AND(OR(KARTU!$K$6="",$E965=KARTU!$K$6),OR(KARTU!$K$7="",$F965=KARTU!$K$7),OR(KARTU!$K$8="",$K965=KARTU!$K$8)),MAX($Z$3:Z964)+1,""))</f>
        <v/>
      </c>
    </row>
    <row r="966" customFormat="false" ht="15" hidden="false" customHeight="false" outlineLevel="0" collapsed="false">
      <c r="A966" s="36" t="str">
        <f aca="false">IF($B966="","",COUNTA($B$4:$B966))</f>
        <v/>
      </c>
      <c r="B966" s="37"/>
      <c r="C966" s="38"/>
      <c r="D966" s="39"/>
      <c r="E966" s="37"/>
      <c r="F966" s="39"/>
      <c r="G966" s="40" t="str">
        <f aca="false">IF(OR($E966="",$F966=""),"",$E966&amp;" - RT "&amp;$F966)</f>
        <v/>
      </c>
      <c r="H966" s="37"/>
      <c r="I966" s="38"/>
      <c r="J966" s="37"/>
      <c r="K966" s="39"/>
      <c r="L966" s="41"/>
      <c r="M966" s="36" t="str">
        <f aca="true">IF(OR($B966="",$L966=""),"",DATEDIF($L966,TODAY(),"Y"))</f>
        <v/>
      </c>
      <c r="N966" s="40" t="str">
        <f aca="false">IF($M966="","",INDEX(usia_label,MATCH($M966,usia_min,1)))</f>
        <v/>
      </c>
      <c r="O966" s="37"/>
      <c r="P966" s="41"/>
      <c r="Q966" s="37"/>
      <c r="R966" s="37"/>
      <c r="S966" s="40" t="str">
        <f aca="false">IF($G966="","",$G966&amp;"#"&amp;COUNTIF($G$4:$G966,$G966))</f>
        <v/>
      </c>
      <c r="T966" s="40" t="str">
        <f aca="false">IF($B966="","",IF($C966="","NIK kosong",IF(LEN($C966)&lt;&gt;16,"NIK bukan 16 digit",IF(COUNTIF($C$4:$C$2003,$C966&amp;"*")&gt;1,"NIK ganda",IF($E966="","Kadus kosong",IF($F966="","RT kosong",IF($H966="","Jabatan kosong",IF($I966="","No. HP kosong",IF($J966="","Alamat kosong",IF(AND($M966&lt;&gt;"",$M966&lt;17),"Usia di bawah 17",""))))))))))</f>
        <v/>
      </c>
      <c r="U966" s="40" t="str">
        <f aca="false">IF($B966="","",IF(AND(OR(CARI!$C$5="",ISNUMBER(SEARCH(CARI!$C$5,$B966&amp;" "&amp;$C966&amp;" "&amp;$I966&amp;" "&amp;$J966&amp;" "&amp;$Q966))),OR(CARI!$C$6="",$E966=CARI!$C$6),OR(CARI!$C$7="",$F966=CARI!$C$7),OR(CARI!$C$8="",$O966=CARI!$C$8)),MAX($U$3:U965)+1,""))</f>
        <v/>
      </c>
      <c r="V966" s="40" t="str">
        <f aca="false">IF($T966="","",MAX($V$3:V965)+1)</f>
        <v/>
      </c>
      <c r="W966" s="40" t="str">
        <f aca="false">IF($E966="","",$E966&amp;"#"&amp;COUNTIF($E$4:$E966,$E966))</f>
        <v/>
      </c>
      <c r="X966" s="40" t="str">
        <f aca="false">IF($B966="","",IF(AND(OR(CETAK!$J$10="",$E966=CETAK!$J$10),OR(CETAK!$J$11="",$F966=CETAK!$J$11),OR(CETAK!$J$12="",$K966=CETAK!$J$12),OR(CETAK!$J$13="",$H966=CETAK!$J$13),OR(CETAK!$J$14="",$O966=CETAK!$J$14)),MAX($X$3:X965)+1,""))</f>
        <v/>
      </c>
      <c r="Y966" s="40" t="str">
        <f aca="false">IF($B966="","",IF(AND(OR(ABSENSI!$H$10="",$E966=ABSENSI!$H$10),OR(ABSENSI!$H$11="",$F966=ABSENSI!$H$11),OR(ABSENSI!$H$12="",$K966=ABSENSI!$H$12)),MAX($Y$3:Y965)+1,""))</f>
        <v/>
      </c>
      <c r="Z966" s="40" t="str">
        <f aca="false">IF($B966="","",IF(AND(OR(KARTU!$K$6="",$E966=KARTU!$K$6),OR(KARTU!$K$7="",$F966=KARTU!$K$7),OR(KARTU!$K$8="",$K966=KARTU!$K$8)),MAX($Z$3:Z965)+1,""))</f>
        <v/>
      </c>
    </row>
    <row r="967" customFormat="false" ht="15" hidden="false" customHeight="false" outlineLevel="0" collapsed="false">
      <c r="A967" s="36" t="str">
        <f aca="false">IF($B967="","",COUNTA($B$4:$B967))</f>
        <v/>
      </c>
      <c r="B967" s="37"/>
      <c r="C967" s="38"/>
      <c r="D967" s="39"/>
      <c r="E967" s="37"/>
      <c r="F967" s="39"/>
      <c r="G967" s="40" t="str">
        <f aca="false">IF(OR($E967="",$F967=""),"",$E967&amp;" - RT "&amp;$F967)</f>
        <v/>
      </c>
      <c r="H967" s="37"/>
      <c r="I967" s="38"/>
      <c r="J967" s="37"/>
      <c r="K967" s="39"/>
      <c r="L967" s="41"/>
      <c r="M967" s="36" t="str">
        <f aca="true">IF(OR($B967="",$L967=""),"",DATEDIF($L967,TODAY(),"Y"))</f>
        <v/>
      </c>
      <c r="N967" s="40" t="str">
        <f aca="false">IF($M967="","",INDEX(usia_label,MATCH($M967,usia_min,1)))</f>
        <v/>
      </c>
      <c r="O967" s="37"/>
      <c r="P967" s="41"/>
      <c r="Q967" s="37"/>
      <c r="R967" s="37"/>
      <c r="S967" s="40" t="str">
        <f aca="false">IF($G967="","",$G967&amp;"#"&amp;COUNTIF($G$4:$G967,$G967))</f>
        <v/>
      </c>
      <c r="T967" s="40" t="str">
        <f aca="false">IF($B967="","",IF($C967="","NIK kosong",IF(LEN($C967)&lt;&gt;16,"NIK bukan 16 digit",IF(COUNTIF($C$4:$C$2003,$C967&amp;"*")&gt;1,"NIK ganda",IF($E967="","Kadus kosong",IF($F967="","RT kosong",IF($H967="","Jabatan kosong",IF($I967="","No. HP kosong",IF($J967="","Alamat kosong",IF(AND($M967&lt;&gt;"",$M967&lt;17),"Usia di bawah 17",""))))))))))</f>
        <v/>
      </c>
      <c r="U967" s="40" t="str">
        <f aca="false">IF($B967="","",IF(AND(OR(CARI!$C$5="",ISNUMBER(SEARCH(CARI!$C$5,$B967&amp;" "&amp;$C967&amp;" "&amp;$I967&amp;" "&amp;$J967&amp;" "&amp;$Q967))),OR(CARI!$C$6="",$E967=CARI!$C$6),OR(CARI!$C$7="",$F967=CARI!$C$7),OR(CARI!$C$8="",$O967=CARI!$C$8)),MAX($U$3:U966)+1,""))</f>
        <v/>
      </c>
      <c r="V967" s="40" t="str">
        <f aca="false">IF($T967="","",MAX($V$3:V966)+1)</f>
        <v/>
      </c>
      <c r="W967" s="40" t="str">
        <f aca="false">IF($E967="","",$E967&amp;"#"&amp;COUNTIF($E$4:$E967,$E967))</f>
        <v/>
      </c>
      <c r="X967" s="40" t="str">
        <f aca="false">IF($B967="","",IF(AND(OR(CETAK!$J$10="",$E967=CETAK!$J$10),OR(CETAK!$J$11="",$F967=CETAK!$J$11),OR(CETAK!$J$12="",$K967=CETAK!$J$12),OR(CETAK!$J$13="",$H967=CETAK!$J$13),OR(CETAK!$J$14="",$O967=CETAK!$J$14)),MAX($X$3:X966)+1,""))</f>
        <v/>
      </c>
      <c r="Y967" s="40" t="str">
        <f aca="false">IF($B967="","",IF(AND(OR(ABSENSI!$H$10="",$E967=ABSENSI!$H$10),OR(ABSENSI!$H$11="",$F967=ABSENSI!$H$11),OR(ABSENSI!$H$12="",$K967=ABSENSI!$H$12)),MAX($Y$3:Y966)+1,""))</f>
        <v/>
      </c>
      <c r="Z967" s="40" t="str">
        <f aca="false">IF($B967="","",IF(AND(OR(KARTU!$K$6="",$E967=KARTU!$K$6),OR(KARTU!$K$7="",$F967=KARTU!$K$7),OR(KARTU!$K$8="",$K967=KARTU!$K$8)),MAX($Z$3:Z966)+1,""))</f>
        <v/>
      </c>
    </row>
    <row r="968" customFormat="false" ht="15" hidden="false" customHeight="false" outlineLevel="0" collapsed="false">
      <c r="A968" s="36" t="str">
        <f aca="false">IF($B968="","",COUNTA($B$4:$B968))</f>
        <v/>
      </c>
      <c r="B968" s="37"/>
      <c r="C968" s="38"/>
      <c r="D968" s="39"/>
      <c r="E968" s="37"/>
      <c r="F968" s="39"/>
      <c r="G968" s="40" t="str">
        <f aca="false">IF(OR($E968="",$F968=""),"",$E968&amp;" - RT "&amp;$F968)</f>
        <v/>
      </c>
      <c r="H968" s="37"/>
      <c r="I968" s="38"/>
      <c r="J968" s="37"/>
      <c r="K968" s="39"/>
      <c r="L968" s="41"/>
      <c r="M968" s="36" t="str">
        <f aca="true">IF(OR($B968="",$L968=""),"",DATEDIF($L968,TODAY(),"Y"))</f>
        <v/>
      </c>
      <c r="N968" s="40" t="str">
        <f aca="false">IF($M968="","",INDEX(usia_label,MATCH($M968,usia_min,1)))</f>
        <v/>
      </c>
      <c r="O968" s="37"/>
      <c r="P968" s="41"/>
      <c r="Q968" s="37"/>
      <c r="R968" s="37"/>
      <c r="S968" s="40" t="str">
        <f aca="false">IF($G968="","",$G968&amp;"#"&amp;COUNTIF($G$4:$G968,$G968))</f>
        <v/>
      </c>
      <c r="T968" s="40" t="str">
        <f aca="false">IF($B968="","",IF($C968="","NIK kosong",IF(LEN($C968)&lt;&gt;16,"NIK bukan 16 digit",IF(COUNTIF($C$4:$C$2003,$C968&amp;"*")&gt;1,"NIK ganda",IF($E968="","Kadus kosong",IF($F968="","RT kosong",IF($H968="","Jabatan kosong",IF($I968="","No. HP kosong",IF($J968="","Alamat kosong",IF(AND($M968&lt;&gt;"",$M968&lt;17),"Usia di bawah 17",""))))))))))</f>
        <v/>
      </c>
      <c r="U968" s="40" t="str">
        <f aca="false">IF($B968="","",IF(AND(OR(CARI!$C$5="",ISNUMBER(SEARCH(CARI!$C$5,$B968&amp;" "&amp;$C968&amp;" "&amp;$I968&amp;" "&amp;$J968&amp;" "&amp;$Q968))),OR(CARI!$C$6="",$E968=CARI!$C$6),OR(CARI!$C$7="",$F968=CARI!$C$7),OR(CARI!$C$8="",$O968=CARI!$C$8)),MAX($U$3:U967)+1,""))</f>
        <v/>
      </c>
      <c r="V968" s="40" t="str">
        <f aca="false">IF($T968="","",MAX($V$3:V967)+1)</f>
        <v/>
      </c>
      <c r="W968" s="40" t="str">
        <f aca="false">IF($E968="","",$E968&amp;"#"&amp;COUNTIF($E$4:$E968,$E968))</f>
        <v/>
      </c>
      <c r="X968" s="40" t="str">
        <f aca="false">IF($B968="","",IF(AND(OR(CETAK!$J$10="",$E968=CETAK!$J$10),OR(CETAK!$J$11="",$F968=CETAK!$J$11),OR(CETAK!$J$12="",$K968=CETAK!$J$12),OR(CETAK!$J$13="",$H968=CETAK!$J$13),OR(CETAK!$J$14="",$O968=CETAK!$J$14)),MAX($X$3:X967)+1,""))</f>
        <v/>
      </c>
      <c r="Y968" s="40" t="str">
        <f aca="false">IF($B968="","",IF(AND(OR(ABSENSI!$H$10="",$E968=ABSENSI!$H$10),OR(ABSENSI!$H$11="",$F968=ABSENSI!$H$11),OR(ABSENSI!$H$12="",$K968=ABSENSI!$H$12)),MAX($Y$3:Y967)+1,""))</f>
        <v/>
      </c>
      <c r="Z968" s="40" t="str">
        <f aca="false">IF($B968="","",IF(AND(OR(KARTU!$K$6="",$E968=KARTU!$K$6),OR(KARTU!$K$7="",$F968=KARTU!$K$7),OR(KARTU!$K$8="",$K968=KARTU!$K$8)),MAX($Z$3:Z967)+1,""))</f>
        <v/>
      </c>
    </row>
    <row r="969" customFormat="false" ht="15" hidden="false" customHeight="false" outlineLevel="0" collapsed="false">
      <c r="A969" s="36" t="str">
        <f aca="false">IF($B969="","",COUNTA($B$4:$B969))</f>
        <v/>
      </c>
      <c r="B969" s="37"/>
      <c r="C969" s="38"/>
      <c r="D969" s="39"/>
      <c r="E969" s="37"/>
      <c r="F969" s="39"/>
      <c r="G969" s="40" t="str">
        <f aca="false">IF(OR($E969="",$F969=""),"",$E969&amp;" - RT "&amp;$F969)</f>
        <v/>
      </c>
      <c r="H969" s="37"/>
      <c r="I969" s="38"/>
      <c r="J969" s="37"/>
      <c r="K969" s="39"/>
      <c r="L969" s="41"/>
      <c r="M969" s="36" t="str">
        <f aca="true">IF(OR($B969="",$L969=""),"",DATEDIF($L969,TODAY(),"Y"))</f>
        <v/>
      </c>
      <c r="N969" s="40" t="str">
        <f aca="false">IF($M969="","",INDEX(usia_label,MATCH($M969,usia_min,1)))</f>
        <v/>
      </c>
      <c r="O969" s="37"/>
      <c r="P969" s="41"/>
      <c r="Q969" s="37"/>
      <c r="R969" s="37"/>
      <c r="S969" s="40" t="str">
        <f aca="false">IF($G969="","",$G969&amp;"#"&amp;COUNTIF($G$4:$G969,$G969))</f>
        <v/>
      </c>
      <c r="T969" s="40" t="str">
        <f aca="false">IF($B969="","",IF($C969="","NIK kosong",IF(LEN($C969)&lt;&gt;16,"NIK bukan 16 digit",IF(COUNTIF($C$4:$C$2003,$C969&amp;"*")&gt;1,"NIK ganda",IF($E969="","Kadus kosong",IF($F969="","RT kosong",IF($H969="","Jabatan kosong",IF($I969="","No. HP kosong",IF($J969="","Alamat kosong",IF(AND($M969&lt;&gt;"",$M969&lt;17),"Usia di bawah 17",""))))))))))</f>
        <v/>
      </c>
      <c r="U969" s="40" t="str">
        <f aca="false">IF($B969="","",IF(AND(OR(CARI!$C$5="",ISNUMBER(SEARCH(CARI!$C$5,$B969&amp;" "&amp;$C969&amp;" "&amp;$I969&amp;" "&amp;$J969&amp;" "&amp;$Q969))),OR(CARI!$C$6="",$E969=CARI!$C$6),OR(CARI!$C$7="",$F969=CARI!$C$7),OR(CARI!$C$8="",$O969=CARI!$C$8)),MAX($U$3:U968)+1,""))</f>
        <v/>
      </c>
      <c r="V969" s="40" t="str">
        <f aca="false">IF($T969="","",MAX($V$3:V968)+1)</f>
        <v/>
      </c>
      <c r="W969" s="40" t="str">
        <f aca="false">IF($E969="","",$E969&amp;"#"&amp;COUNTIF($E$4:$E969,$E969))</f>
        <v/>
      </c>
      <c r="X969" s="40" t="str">
        <f aca="false">IF($B969="","",IF(AND(OR(CETAK!$J$10="",$E969=CETAK!$J$10),OR(CETAK!$J$11="",$F969=CETAK!$J$11),OR(CETAK!$J$12="",$K969=CETAK!$J$12),OR(CETAK!$J$13="",$H969=CETAK!$J$13),OR(CETAK!$J$14="",$O969=CETAK!$J$14)),MAX($X$3:X968)+1,""))</f>
        <v/>
      </c>
      <c r="Y969" s="40" t="str">
        <f aca="false">IF($B969="","",IF(AND(OR(ABSENSI!$H$10="",$E969=ABSENSI!$H$10),OR(ABSENSI!$H$11="",$F969=ABSENSI!$H$11),OR(ABSENSI!$H$12="",$K969=ABSENSI!$H$12)),MAX($Y$3:Y968)+1,""))</f>
        <v/>
      </c>
      <c r="Z969" s="40" t="str">
        <f aca="false">IF($B969="","",IF(AND(OR(KARTU!$K$6="",$E969=KARTU!$K$6),OR(KARTU!$K$7="",$F969=KARTU!$K$7),OR(KARTU!$K$8="",$K969=KARTU!$K$8)),MAX($Z$3:Z968)+1,""))</f>
        <v/>
      </c>
    </row>
    <row r="970" customFormat="false" ht="15" hidden="false" customHeight="false" outlineLevel="0" collapsed="false">
      <c r="A970" s="36" t="str">
        <f aca="false">IF($B970="","",COUNTA($B$4:$B970))</f>
        <v/>
      </c>
      <c r="B970" s="37"/>
      <c r="C970" s="38"/>
      <c r="D970" s="39"/>
      <c r="E970" s="37"/>
      <c r="F970" s="39"/>
      <c r="G970" s="40" t="str">
        <f aca="false">IF(OR($E970="",$F970=""),"",$E970&amp;" - RT "&amp;$F970)</f>
        <v/>
      </c>
      <c r="H970" s="37"/>
      <c r="I970" s="38"/>
      <c r="J970" s="37"/>
      <c r="K970" s="39"/>
      <c r="L970" s="41"/>
      <c r="M970" s="36" t="str">
        <f aca="true">IF(OR($B970="",$L970=""),"",DATEDIF($L970,TODAY(),"Y"))</f>
        <v/>
      </c>
      <c r="N970" s="40" t="str">
        <f aca="false">IF($M970="","",INDEX(usia_label,MATCH($M970,usia_min,1)))</f>
        <v/>
      </c>
      <c r="O970" s="37"/>
      <c r="P970" s="41"/>
      <c r="Q970" s="37"/>
      <c r="R970" s="37"/>
      <c r="S970" s="40" t="str">
        <f aca="false">IF($G970="","",$G970&amp;"#"&amp;COUNTIF($G$4:$G970,$G970))</f>
        <v/>
      </c>
      <c r="T970" s="40" t="str">
        <f aca="false">IF($B970="","",IF($C970="","NIK kosong",IF(LEN($C970)&lt;&gt;16,"NIK bukan 16 digit",IF(COUNTIF($C$4:$C$2003,$C970&amp;"*")&gt;1,"NIK ganda",IF($E970="","Kadus kosong",IF($F970="","RT kosong",IF($H970="","Jabatan kosong",IF($I970="","No. HP kosong",IF($J970="","Alamat kosong",IF(AND($M970&lt;&gt;"",$M970&lt;17),"Usia di bawah 17",""))))))))))</f>
        <v/>
      </c>
      <c r="U970" s="40" t="str">
        <f aca="false">IF($B970="","",IF(AND(OR(CARI!$C$5="",ISNUMBER(SEARCH(CARI!$C$5,$B970&amp;" "&amp;$C970&amp;" "&amp;$I970&amp;" "&amp;$J970&amp;" "&amp;$Q970))),OR(CARI!$C$6="",$E970=CARI!$C$6),OR(CARI!$C$7="",$F970=CARI!$C$7),OR(CARI!$C$8="",$O970=CARI!$C$8)),MAX($U$3:U969)+1,""))</f>
        <v/>
      </c>
      <c r="V970" s="40" t="str">
        <f aca="false">IF($T970="","",MAX($V$3:V969)+1)</f>
        <v/>
      </c>
      <c r="W970" s="40" t="str">
        <f aca="false">IF($E970="","",$E970&amp;"#"&amp;COUNTIF($E$4:$E970,$E970))</f>
        <v/>
      </c>
      <c r="X970" s="40" t="str">
        <f aca="false">IF($B970="","",IF(AND(OR(CETAK!$J$10="",$E970=CETAK!$J$10),OR(CETAK!$J$11="",$F970=CETAK!$J$11),OR(CETAK!$J$12="",$K970=CETAK!$J$12),OR(CETAK!$J$13="",$H970=CETAK!$J$13),OR(CETAK!$J$14="",$O970=CETAK!$J$14)),MAX($X$3:X969)+1,""))</f>
        <v/>
      </c>
      <c r="Y970" s="40" t="str">
        <f aca="false">IF($B970="","",IF(AND(OR(ABSENSI!$H$10="",$E970=ABSENSI!$H$10),OR(ABSENSI!$H$11="",$F970=ABSENSI!$H$11),OR(ABSENSI!$H$12="",$K970=ABSENSI!$H$12)),MAX($Y$3:Y969)+1,""))</f>
        <v/>
      </c>
      <c r="Z970" s="40" t="str">
        <f aca="false">IF($B970="","",IF(AND(OR(KARTU!$K$6="",$E970=KARTU!$K$6),OR(KARTU!$K$7="",$F970=KARTU!$K$7),OR(KARTU!$K$8="",$K970=KARTU!$K$8)),MAX($Z$3:Z969)+1,""))</f>
        <v/>
      </c>
    </row>
    <row r="971" customFormat="false" ht="15" hidden="false" customHeight="false" outlineLevel="0" collapsed="false">
      <c r="A971" s="36" t="str">
        <f aca="false">IF($B971="","",COUNTA($B$4:$B971))</f>
        <v/>
      </c>
      <c r="B971" s="37"/>
      <c r="C971" s="38"/>
      <c r="D971" s="39"/>
      <c r="E971" s="37"/>
      <c r="F971" s="39"/>
      <c r="G971" s="40" t="str">
        <f aca="false">IF(OR($E971="",$F971=""),"",$E971&amp;" - RT "&amp;$F971)</f>
        <v/>
      </c>
      <c r="H971" s="37"/>
      <c r="I971" s="38"/>
      <c r="J971" s="37"/>
      <c r="K971" s="39"/>
      <c r="L971" s="41"/>
      <c r="M971" s="36" t="str">
        <f aca="true">IF(OR($B971="",$L971=""),"",DATEDIF($L971,TODAY(),"Y"))</f>
        <v/>
      </c>
      <c r="N971" s="40" t="str">
        <f aca="false">IF($M971="","",INDEX(usia_label,MATCH($M971,usia_min,1)))</f>
        <v/>
      </c>
      <c r="O971" s="37"/>
      <c r="P971" s="41"/>
      <c r="Q971" s="37"/>
      <c r="R971" s="37"/>
      <c r="S971" s="40" t="str">
        <f aca="false">IF($G971="","",$G971&amp;"#"&amp;COUNTIF($G$4:$G971,$G971))</f>
        <v/>
      </c>
      <c r="T971" s="40" t="str">
        <f aca="false">IF($B971="","",IF($C971="","NIK kosong",IF(LEN($C971)&lt;&gt;16,"NIK bukan 16 digit",IF(COUNTIF($C$4:$C$2003,$C971&amp;"*")&gt;1,"NIK ganda",IF($E971="","Kadus kosong",IF($F971="","RT kosong",IF($H971="","Jabatan kosong",IF($I971="","No. HP kosong",IF($J971="","Alamat kosong",IF(AND($M971&lt;&gt;"",$M971&lt;17),"Usia di bawah 17",""))))))))))</f>
        <v/>
      </c>
      <c r="U971" s="40" t="str">
        <f aca="false">IF($B971="","",IF(AND(OR(CARI!$C$5="",ISNUMBER(SEARCH(CARI!$C$5,$B971&amp;" "&amp;$C971&amp;" "&amp;$I971&amp;" "&amp;$J971&amp;" "&amp;$Q971))),OR(CARI!$C$6="",$E971=CARI!$C$6),OR(CARI!$C$7="",$F971=CARI!$C$7),OR(CARI!$C$8="",$O971=CARI!$C$8)),MAX($U$3:U970)+1,""))</f>
        <v/>
      </c>
      <c r="V971" s="40" t="str">
        <f aca="false">IF($T971="","",MAX($V$3:V970)+1)</f>
        <v/>
      </c>
      <c r="W971" s="40" t="str">
        <f aca="false">IF($E971="","",$E971&amp;"#"&amp;COUNTIF($E$4:$E971,$E971))</f>
        <v/>
      </c>
      <c r="X971" s="40" t="str">
        <f aca="false">IF($B971="","",IF(AND(OR(CETAK!$J$10="",$E971=CETAK!$J$10),OR(CETAK!$J$11="",$F971=CETAK!$J$11),OR(CETAK!$J$12="",$K971=CETAK!$J$12),OR(CETAK!$J$13="",$H971=CETAK!$J$13),OR(CETAK!$J$14="",$O971=CETAK!$J$14)),MAX($X$3:X970)+1,""))</f>
        <v/>
      </c>
      <c r="Y971" s="40" t="str">
        <f aca="false">IF($B971="","",IF(AND(OR(ABSENSI!$H$10="",$E971=ABSENSI!$H$10),OR(ABSENSI!$H$11="",$F971=ABSENSI!$H$11),OR(ABSENSI!$H$12="",$K971=ABSENSI!$H$12)),MAX($Y$3:Y970)+1,""))</f>
        <v/>
      </c>
      <c r="Z971" s="40" t="str">
        <f aca="false">IF($B971="","",IF(AND(OR(KARTU!$K$6="",$E971=KARTU!$K$6),OR(KARTU!$K$7="",$F971=KARTU!$K$7),OR(KARTU!$K$8="",$K971=KARTU!$K$8)),MAX($Z$3:Z970)+1,""))</f>
        <v/>
      </c>
    </row>
    <row r="972" customFormat="false" ht="15" hidden="false" customHeight="false" outlineLevel="0" collapsed="false">
      <c r="A972" s="36" t="str">
        <f aca="false">IF($B972="","",COUNTA($B$4:$B972))</f>
        <v/>
      </c>
      <c r="B972" s="37"/>
      <c r="C972" s="38"/>
      <c r="D972" s="39"/>
      <c r="E972" s="37"/>
      <c r="F972" s="39"/>
      <c r="G972" s="40" t="str">
        <f aca="false">IF(OR($E972="",$F972=""),"",$E972&amp;" - RT "&amp;$F972)</f>
        <v/>
      </c>
      <c r="H972" s="37"/>
      <c r="I972" s="38"/>
      <c r="J972" s="37"/>
      <c r="K972" s="39"/>
      <c r="L972" s="41"/>
      <c r="M972" s="36" t="str">
        <f aca="true">IF(OR($B972="",$L972=""),"",DATEDIF($L972,TODAY(),"Y"))</f>
        <v/>
      </c>
      <c r="N972" s="40" t="str">
        <f aca="false">IF($M972="","",INDEX(usia_label,MATCH($M972,usia_min,1)))</f>
        <v/>
      </c>
      <c r="O972" s="37"/>
      <c r="P972" s="41"/>
      <c r="Q972" s="37"/>
      <c r="R972" s="37"/>
      <c r="S972" s="40" t="str">
        <f aca="false">IF($G972="","",$G972&amp;"#"&amp;COUNTIF($G$4:$G972,$G972))</f>
        <v/>
      </c>
      <c r="T972" s="40" t="str">
        <f aca="false">IF($B972="","",IF($C972="","NIK kosong",IF(LEN($C972)&lt;&gt;16,"NIK bukan 16 digit",IF(COUNTIF($C$4:$C$2003,$C972&amp;"*")&gt;1,"NIK ganda",IF($E972="","Kadus kosong",IF($F972="","RT kosong",IF($H972="","Jabatan kosong",IF($I972="","No. HP kosong",IF($J972="","Alamat kosong",IF(AND($M972&lt;&gt;"",$M972&lt;17),"Usia di bawah 17",""))))))))))</f>
        <v/>
      </c>
      <c r="U972" s="40" t="str">
        <f aca="false">IF($B972="","",IF(AND(OR(CARI!$C$5="",ISNUMBER(SEARCH(CARI!$C$5,$B972&amp;" "&amp;$C972&amp;" "&amp;$I972&amp;" "&amp;$J972&amp;" "&amp;$Q972))),OR(CARI!$C$6="",$E972=CARI!$C$6),OR(CARI!$C$7="",$F972=CARI!$C$7),OR(CARI!$C$8="",$O972=CARI!$C$8)),MAX($U$3:U971)+1,""))</f>
        <v/>
      </c>
      <c r="V972" s="40" t="str">
        <f aca="false">IF($T972="","",MAX($V$3:V971)+1)</f>
        <v/>
      </c>
      <c r="W972" s="40" t="str">
        <f aca="false">IF($E972="","",$E972&amp;"#"&amp;COUNTIF($E$4:$E972,$E972))</f>
        <v/>
      </c>
      <c r="X972" s="40" t="str">
        <f aca="false">IF($B972="","",IF(AND(OR(CETAK!$J$10="",$E972=CETAK!$J$10),OR(CETAK!$J$11="",$F972=CETAK!$J$11),OR(CETAK!$J$12="",$K972=CETAK!$J$12),OR(CETAK!$J$13="",$H972=CETAK!$J$13),OR(CETAK!$J$14="",$O972=CETAK!$J$14)),MAX($X$3:X971)+1,""))</f>
        <v/>
      </c>
      <c r="Y972" s="40" t="str">
        <f aca="false">IF($B972="","",IF(AND(OR(ABSENSI!$H$10="",$E972=ABSENSI!$H$10),OR(ABSENSI!$H$11="",$F972=ABSENSI!$H$11),OR(ABSENSI!$H$12="",$K972=ABSENSI!$H$12)),MAX($Y$3:Y971)+1,""))</f>
        <v/>
      </c>
      <c r="Z972" s="40" t="str">
        <f aca="false">IF($B972="","",IF(AND(OR(KARTU!$K$6="",$E972=KARTU!$K$6),OR(KARTU!$K$7="",$F972=KARTU!$K$7),OR(KARTU!$K$8="",$K972=KARTU!$K$8)),MAX($Z$3:Z971)+1,""))</f>
        <v/>
      </c>
    </row>
    <row r="973" customFormat="false" ht="15" hidden="false" customHeight="false" outlineLevel="0" collapsed="false">
      <c r="A973" s="36" t="str">
        <f aca="false">IF($B973="","",COUNTA($B$4:$B973))</f>
        <v/>
      </c>
      <c r="B973" s="37"/>
      <c r="C973" s="38"/>
      <c r="D973" s="39"/>
      <c r="E973" s="37"/>
      <c r="F973" s="39"/>
      <c r="G973" s="40" t="str">
        <f aca="false">IF(OR($E973="",$F973=""),"",$E973&amp;" - RT "&amp;$F973)</f>
        <v/>
      </c>
      <c r="H973" s="37"/>
      <c r="I973" s="38"/>
      <c r="J973" s="37"/>
      <c r="K973" s="39"/>
      <c r="L973" s="41"/>
      <c r="M973" s="36" t="str">
        <f aca="true">IF(OR($B973="",$L973=""),"",DATEDIF($L973,TODAY(),"Y"))</f>
        <v/>
      </c>
      <c r="N973" s="40" t="str">
        <f aca="false">IF($M973="","",INDEX(usia_label,MATCH($M973,usia_min,1)))</f>
        <v/>
      </c>
      <c r="O973" s="37"/>
      <c r="P973" s="41"/>
      <c r="Q973" s="37"/>
      <c r="R973" s="37"/>
      <c r="S973" s="40" t="str">
        <f aca="false">IF($G973="","",$G973&amp;"#"&amp;COUNTIF($G$4:$G973,$G973))</f>
        <v/>
      </c>
      <c r="T973" s="40" t="str">
        <f aca="false">IF($B973="","",IF($C973="","NIK kosong",IF(LEN($C973)&lt;&gt;16,"NIK bukan 16 digit",IF(COUNTIF($C$4:$C$2003,$C973&amp;"*")&gt;1,"NIK ganda",IF($E973="","Kadus kosong",IF($F973="","RT kosong",IF($H973="","Jabatan kosong",IF($I973="","No. HP kosong",IF($J973="","Alamat kosong",IF(AND($M973&lt;&gt;"",$M973&lt;17),"Usia di bawah 17",""))))))))))</f>
        <v/>
      </c>
      <c r="U973" s="40" t="str">
        <f aca="false">IF($B973="","",IF(AND(OR(CARI!$C$5="",ISNUMBER(SEARCH(CARI!$C$5,$B973&amp;" "&amp;$C973&amp;" "&amp;$I973&amp;" "&amp;$J973&amp;" "&amp;$Q973))),OR(CARI!$C$6="",$E973=CARI!$C$6),OR(CARI!$C$7="",$F973=CARI!$C$7),OR(CARI!$C$8="",$O973=CARI!$C$8)),MAX($U$3:U972)+1,""))</f>
        <v/>
      </c>
      <c r="V973" s="40" t="str">
        <f aca="false">IF($T973="","",MAX($V$3:V972)+1)</f>
        <v/>
      </c>
      <c r="W973" s="40" t="str">
        <f aca="false">IF($E973="","",$E973&amp;"#"&amp;COUNTIF($E$4:$E973,$E973))</f>
        <v/>
      </c>
      <c r="X973" s="40" t="str">
        <f aca="false">IF($B973="","",IF(AND(OR(CETAK!$J$10="",$E973=CETAK!$J$10),OR(CETAK!$J$11="",$F973=CETAK!$J$11),OR(CETAK!$J$12="",$K973=CETAK!$J$12),OR(CETAK!$J$13="",$H973=CETAK!$J$13),OR(CETAK!$J$14="",$O973=CETAK!$J$14)),MAX($X$3:X972)+1,""))</f>
        <v/>
      </c>
      <c r="Y973" s="40" t="str">
        <f aca="false">IF($B973="","",IF(AND(OR(ABSENSI!$H$10="",$E973=ABSENSI!$H$10),OR(ABSENSI!$H$11="",$F973=ABSENSI!$H$11),OR(ABSENSI!$H$12="",$K973=ABSENSI!$H$12)),MAX($Y$3:Y972)+1,""))</f>
        <v/>
      </c>
      <c r="Z973" s="40" t="str">
        <f aca="false">IF($B973="","",IF(AND(OR(KARTU!$K$6="",$E973=KARTU!$K$6),OR(KARTU!$K$7="",$F973=KARTU!$K$7),OR(KARTU!$K$8="",$K973=KARTU!$K$8)),MAX($Z$3:Z972)+1,""))</f>
        <v/>
      </c>
    </row>
    <row r="974" customFormat="false" ht="15" hidden="false" customHeight="false" outlineLevel="0" collapsed="false">
      <c r="A974" s="36" t="str">
        <f aca="false">IF($B974="","",COUNTA($B$4:$B974))</f>
        <v/>
      </c>
      <c r="B974" s="37"/>
      <c r="C974" s="38"/>
      <c r="D974" s="39"/>
      <c r="E974" s="37"/>
      <c r="F974" s="39"/>
      <c r="G974" s="40" t="str">
        <f aca="false">IF(OR($E974="",$F974=""),"",$E974&amp;" - RT "&amp;$F974)</f>
        <v/>
      </c>
      <c r="H974" s="37"/>
      <c r="I974" s="38"/>
      <c r="J974" s="37"/>
      <c r="K974" s="39"/>
      <c r="L974" s="41"/>
      <c r="M974" s="36" t="str">
        <f aca="true">IF(OR($B974="",$L974=""),"",DATEDIF($L974,TODAY(),"Y"))</f>
        <v/>
      </c>
      <c r="N974" s="40" t="str">
        <f aca="false">IF($M974="","",INDEX(usia_label,MATCH($M974,usia_min,1)))</f>
        <v/>
      </c>
      <c r="O974" s="37"/>
      <c r="P974" s="41"/>
      <c r="Q974" s="37"/>
      <c r="R974" s="37"/>
      <c r="S974" s="40" t="str">
        <f aca="false">IF($G974="","",$G974&amp;"#"&amp;COUNTIF($G$4:$G974,$G974))</f>
        <v/>
      </c>
      <c r="T974" s="40" t="str">
        <f aca="false">IF($B974="","",IF($C974="","NIK kosong",IF(LEN($C974)&lt;&gt;16,"NIK bukan 16 digit",IF(COUNTIF($C$4:$C$2003,$C974&amp;"*")&gt;1,"NIK ganda",IF($E974="","Kadus kosong",IF($F974="","RT kosong",IF($H974="","Jabatan kosong",IF($I974="","No. HP kosong",IF($J974="","Alamat kosong",IF(AND($M974&lt;&gt;"",$M974&lt;17),"Usia di bawah 17",""))))))))))</f>
        <v/>
      </c>
      <c r="U974" s="40" t="str">
        <f aca="false">IF($B974="","",IF(AND(OR(CARI!$C$5="",ISNUMBER(SEARCH(CARI!$C$5,$B974&amp;" "&amp;$C974&amp;" "&amp;$I974&amp;" "&amp;$J974&amp;" "&amp;$Q974))),OR(CARI!$C$6="",$E974=CARI!$C$6),OR(CARI!$C$7="",$F974=CARI!$C$7),OR(CARI!$C$8="",$O974=CARI!$C$8)),MAX($U$3:U973)+1,""))</f>
        <v/>
      </c>
      <c r="V974" s="40" t="str">
        <f aca="false">IF($T974="","",MAX($V$3:V973)+1)</f>
        <v/>
      </c>
      <c r="W974" s="40" t="str">
        <f aca="false">IF($E974="","",$E974&amp;"#"&amp;COUNTIF($E$4:$E974,$E974))</f>
        <v/>
      </c>
      <c r="X974" s="40" t="str">
        <f aca="false">IF($B974="","",IF(AND(OR(CETAK!$J$10="",$E974=CETAK!$J$10),OR(CETAK!$J$11="",$F974=CETAK!$J$11),OR(CETAK!$J$12="",$K974=CETAK!$J$12),OR(CETAK!$J$13="",$H974=CETAK!$J$13),OR(CETAK!$J$14="",$O974=CETAK!$J$14)),MAX($X$3:X973)+1,""))</f>
        <v/>
      </c>
      <c r="Y974" s="40" t="str">
        <f aca="false">IF($B974="","",IF(AND(OR(ABSENSI!$H$10="",$E974=ABSENSI!$H$10),OR(ABSENSI!$H$11="",$F974=ABSENSI!$H$11),OR(ABSENSI!$H$12="",$K974=ABSENSI!$H$12)),MAX($Y$3:Y973)+1,""))</f>
        <v/>
      </c>
      <c r="Z974" s="40" t="str">
        <f aca="false">IF($B974="","",IF(AND(OR(KARTU!$K$6="",$E974=KARTU!$K$6),OR(KARTU!$K$7="",$F974=KARTU!$K$7),OR(KARTU!$K$8="",$K974=KARTU!$K$8)),MAX($Z$3:Z973)+1,""))</f>
        <v/>
      </c>
    </row>
    <row r="975" customFormat="false" ht="15" hidden="false" customHeight="false" outlineLevel="0" collapsed="false">
      <c r="A975" s="36" t="str">
        <f aca="false">IF($B975="","",COUNTA($B$4:$B975))</f>
        <v/>
      </c>
      <c r="B975" s="37"/>
      <c r="C975" s="38"/>
      <c r="D975" s="39"/>
      <c r="E975" s="37"/>
      <c r="F975" s="39"/>
      <c r="G975" s="40" t="str">
        <f aca="false">IF(OR($E975="",$F975=""),"",$E975&amp;" - RT "&amp;$F975)</f>
        <v/>
      </c>
      <c r="H975" s="37"/>
      <c r="I975" s="38"/>
      <c r="J975" s="37"/>
      <c r="K975" s="39"/>
      <c r="L975" s="41"/>
      <c r="M975" s="36" t="str">
        <f aca="true">IF(OR($B975="",$L975=""),"",DATEDIF($L975,TODAY(),"Y"))</f>
        <v/>
      </c>
      <c r="N975" s="40" t="str">
        <f aca="false">IF($M975="","",INDEX(usia_label,MATCH($M975,usia_min,1)))</f>
        <v/>
      </c>
      <c r="O975" s="37"/>
      <c r="P975" s="41"/>
      <c r="Q975" s="37"/>
      <c r="R975" s="37"/>
      <c r="S975" s="40" t="str">
        <f aca="false">IF($G975="","",$G975&amp;"#"&amp;COUNTIF($G$4:$G975,$G975))</f>
        <v/>
      </c>
      <c r="T975" s="40" t="str">
        <f aca="false">IF($B975="","",IF($C975="","NIK kosong",IF(LEN($C975)&lt;&gt;16,"NIK bukan 16 digit",IF(COUNTIF($C$4:$C$2003,$C975&amp;"*")&gt;1,"NIK ganda",IF($E975="","Kadus kosong",IF($F975="","RT kosong",IF($H975="","Jabatan kosong",IF($I975="","No. HP kosong",IF($J975="","Alamat kosong",IF(AND($M975&lt;&gt;"",$M975&lt;17),"Usia di bawah 17",""))))))))))</f>
        <v/>
      </c>
      <c r="U975" s="40" t="str">
        <f aca="false">IF($B975="","",IF(AND(OR(CARI!$C$5="",ISNUMBER(SEARCH(CARI!$C$5,$B975&amp;" "&amp;$C975&amp;" "&amp;$I975&amp;" "&amp;$J975&amp;" "&amp;$Q975))),OR(CARI!$C$6="",$E975=CARI!$C$6),OR(CARI!$C$7="",$F975=CARI!$C$7),OR(CARI!$C$8="",$O975=CARI!$C$8)),MAX($U$3:U974)+1,""))</f>
        <v/>
      </c>
      <c r="V975" s="40" t="str">
        <f aca="false">IF($T975="","",MAX($V$3:V974)+1)</f>
        <v/>
      </c>
      <c r="W975" s="40" t="str">
        <f aca="false">IF($E975="","",$E975&amp;"#"&amp;COUNTIF($E$4:$E975,$E975))</f>
        <v/>
      </c>
      <c r="X975" s="40" t="str">
        <f aca="false">IF($B975="","",IF(AND(OR(CETAK!$J$10="",$E975=CETAK!$J$10),OR(CETAK!$J$11="",$F975=CETAK!$J$11),OR(CETAK!$J$12="",$K975=CETAK!$J$12),OR(CETAK!$J$13="",$H975=CETAK!$J$13),OR(CETAK!$J$14="",$O975=CETAK!$J$14)),MAX($X$3:X974)+1,""))</f>
        <v/>
      </c>
      <c r="Y975" s="40" t="str">
        <f aca="false">IF($B975="","",IF(AND(OR(ABSENSI!$H$10="",$E975=ABSENSI!$H$10),OR(ABSENSI!$H$11="",$F975=ABSENSI!$H$11),OR(ABSENSI!$H$12="",$K975=ABSENSI!$H$12)),MAX($Y$3:Y974)+1,""))</f>
        <v/>
      </c>
      <c r="Z975" s="40" t="str">
        <f aca="false">IF($B975="","",IF(AND(OR(KARTU!$K$6="",$E975=KARTU!$K$6),OR(KARTU!$K$7="",$F975=KARTU!$K$7),OR(KARTU!$K$8="",$K975=KARTU!$K$8)),MAX($Z$3:Z974)+1,""))</f>
        <v/>
      </c>
    </row>
    <row r="976" customFormat="false" ht="15" hidden="false" customHeight="false" outlineLevel="0" collapsed="false">
      <c r="A976" s="36" t="str">
        <f aca="false">IF($B976="","",COUNTA($B$4:$B976))</f>
        <v/>
      </c>
      <c r="B976" s="37"/>
      <c r="C976" s="38"/>
      <c r="D976" s="39"/>
      <c r="E976" s="37"/>
      <c r="F976" s="39"/>
      <c r="G976" s="40" t="str">
        <f aca="false">IF(OR($E976="",$F976=""),"",$E976&amp;" - RT "&amp;$F976)</f>
        <v/>
      </c>
      <c r="H976" s="37"/>
      <c r="I976" s="38"/>
      <c r="J976" s="37"/>
      <c r="K976" s="39"/>
      <c r="L976" s="41"/>
      <c r="M976" s="36" t="str">
        <f aca="true">IF(OR($B976="",$L976=""),"",DATEDIF($L976,TODAY(),"Y"))</f>
        <v/>
      </c>
      <c r="N976" s="40" t="str">
        <f aca="false">IF($M976="","",INDEX(usia_label,MATCH($M976,usia_min,1)))</f>
        <v/>
      </c>
      <c r="O976" s="37"/>
      <c r="P976" s="41"/>
      <c r="Q976" s="37"/>
      <c r="R976" s="37"/>
      <c r="S976" s="40" t="str">
        <f aca="false">IF($G976="","",$G976&amp;"#"&amp;COUNTIF($G$4:$G976,$G976))</f>
        <v/>
      </c>
      <c r="T976" s="40" t="str">
        <f aca="false">IF($B976="","",IF($C976="","NIK kosong",IF(LEN($C976)&lt;&gt;16,"NIK bukan 16 digit",IF(COUNTIF($C$4:$C$2003,$C976&amp;"*")&gt;1,"NIK ganda",IF($E976="","Kadus kosong",IF($F976="","RT kosong",IF($H976="","Jabatan kosong",IF($I976="","No. HP kosong",IF($J976="","Alamat kosong",IF(AND($M976&lt;&gt;"",$M976&lt;17),"Usia di bawah 17",""))))))))))</f>
        <v/>
      </c>
      <c r="U976" s="40" t="str">
        <f aca="false">IF($B976="","",IF(AND(OR(CARI!$C$5="",ISNUMBER(SEARCH(CARI!$C$5,$B976&amp;" "&amp;$C976&amp;" "&amp;$I976&amp;" "&amp;$J976&amp;" "&amp;$Q976))),OR(CARI!$C$6="",$E976=CARI!$C$6),OR(CARI!$C$7="",$F976=CARI!$C$7),OR(CARI!$C$8="",$O976=CARI!$C$8)),MAX($U$3:U975)+1,""))</f>
        <v/>
      </c>
      <c r="V976" s="40" t="str">
        <f aca="false">IF($T976="","",MAX($V$3:V975)+1)</f>
        <v/>
      </c>
      <c r="W976" s="40" t="str">
        <f aca="false">IF($E976="","",$E976&amp;"#"&amp;COUNTIF($E$4:$E976,$E976))</f>
        <v/>
      </c>
      <c r="X976" s="40" t="str">
        <f aca="false">IF($B976="","",IF(AND(OR(CETAK!$J$10="",$E976=CETAK!$J$10),OR(CETAK!$J$11="",$F976=CETAK!$J$11),OR(CETAK!$J$12="",$K976=CETAK!$J$12),OR(CETAK!$J$13="",$H976=CETAK!$J$13),OR(CETAK!$J$14="",$O976=CETAK!$J$14)),MAX($X$3:X975)+1,""))</f>
        <v/>
      </c>
      <c r="Y976" s="40" t="str">
        <f aca="false">IF($B976="","",IF(AND(OR(ABSENSI!$H$10="",$E976=ABSENSI!$H$10),OR(ABSENSI!$H$11="",$F976=ABSENSI!$H$11),OR(ABSENSI!$H$12="",$K976=ABSENSI!$H$12)),MAX($Y$3:Y975)+1,""))</f>
        <v/>
      </c>
      <c r="Z976" s="40" t="str">
        <f aca="false">IF($B976="","",IF(AND(OR(KARTU!$K$6="",$E976=KARTU!$K$6),OR(KARTU!$K$7="",$F976=KARTU!$K$7),OR(KARTU!$K$8="",$K976=KARTU!$K$8)),MAX($Z$3:Z975)+1,""))</f>
        <v/>
      </c>
    </row>
    <row r="977" customFormat="false" ht="15" hidden="false" customHeight="false" outlineLevel="0" collapsed="false">
      <c r="A977" s="36" t="str">
        <f aca="false">IF($B977="","",COUNTA($B$4:$B977))</f>
        <v/>
      </c>
      <c r="B977" s="37"/>
      <c r="C977" s="38"/>
      <c r="D977" s="39"/>
      <c r="E977" s="37"/>
      <c r="F977" s="39"/>
      <c r="G977" s="40" t="str">
        <f aca="false">IF(OR($E977="",$F977=""),"",$E977&amp;" - RT "&amp;$F977)</f>
        <v/>
      </c>
      <c r="H977" s="37"/>
      <c r="I977" s="38"/>
      <c r="J977" s="37"/>
      <c r="K977" s="39"/>
      <c r="L977" s="41"/>
      <c r="M977" s="36" t="str">
        <f aca="true">IF(OR($B977="",$L977=""),"",DATEDIF($L977,TODAY(),"Y"))</f>
        <v/>
      </c>
      <c r="N977" s="40" t="str">
        <f aca="false">IF($M977="","",INDEX(usia_label,MATCH($M977,usia_min,1)))</f>
        <v/>
      </c>
      <c r="O977" s="37"/>
      <c r="P977" s="41"/>
      <c r="Q977" s="37"/>
      <c r="R977" s="37"/>
      <c r="S977" s="40" t="str">
        <f aca="false">IF($G977="","",$G977&amp;"#"&amp;COUNTIF($G$4:$G977,$G977))</f>
        <v/>
      </c>
      <c r="T977" s="40" t="str">
        <f aca="false">IF($B977="","",IF($C977="","NIK kosong",IF(LEN($C977)&lt;&gt;16,"NIK bukan 16 digit",IF(COUNTIF($C$4:$C$2003,$C977&amp;"*")&gt;1,"NIK ganda",IF($E977="","Kadus kosong",IF($F977="","RT kosong",IF($H977="","Jabatan kosong",IF($I977="","No. HP kosong",IF($J977="","Alamat kosong",IF(AND($M977&lt;&gt;"",$M977&lt;17),"Usia di bawah 17",""))))))))))</f>
        <v/>
      </c>
      <c r="U977" s="40" t="str">
        <f aca="false">IF($B977="","",IF(AND(OR(CARI!$C$5="",ISNUMBER(SEARCH(CARI!$C$5,$B977&amp;" "&amp;$C977&amp;" "&amp;$I977&amp;" "&amp;$J977&amp;" "&amp;$Q977))),OR(CARI!$C$6="",$E977=CARI!$C$6),OR(CARI!$C$7="",$F977=CARI!$C$7),OR(CARI!$C$8="",$O977=CARI!$C$8)),MAX($U$3:U976)+1,""))</f>
        <v/>
      </c>
      <c r="V977" s="40" t="str">
        <f aca="false">IF($T977="","",MAX($V$3:V976)+1)</f>
        <v/>
      </c>
      <c r="W977" s="40" t="str">
        <f aca="false">IF($E977="","",$E977&amp;"#"&amp;COUNTIF($E$4:$E977,$E977))</f>
        <v/>
      </c>
      <c r="X977" s="40" t="str">
        <f aca="false">IF($B977="","",IF(AND(OR(CETAK!$J$10="",$E977=CETAK!$J$10),OR(CETAK!$J$11="",$F977=CETAK!$J$11),OR(CETAK!$J$12="",$K977=CETAK!$J$12),OR(CETAK!$J$13="",$H977=CETAK!$J$13),OR(CETAK!$J$14="",$O977=CETAK!$J$14)),MAX($X$3:X976)+1,""))</f>
        <v/>
      </c>
      <c r="Y977" s="40" t="str">
        <f aca="false">IF($B977="","",IF(AND(OR(ABSENSI!$H$10="",$E977=ABSENSI!$H$10),OR(ABSENSI!$H$11="",$F977=ABSENSI!$H$11),OR(ABSENSI!$H$12="",$K977=ABSENSI!$H$12)),MAX($Y$3:Y976)+1,""))</f>
        <v/>
      </c>
      <c r="Z977" s="40" t="str">
        <f aca="false">IF($B977="","",IF(AND(OR(KARTU!$K$6="",$E977=KARTU!$K$6),OR(KARTU!$K$7="",$F977=KARTU!$K$7),OR(KARTU!$K$8="",$K977=KARTU!$K$8)),MAX($Z$3:Z976)+1,""))</f>
        <v/>
      </c>
    </row>
    <row r="978" customFormat="false" ht="15" hidden="false" customHeight="false" outlineLevel="0" collapsed="false">
      <c r="A978" s="36" t="str">
        <f aca="false">IF($B978="","",COUNTA($B$4:$B978))</f>
        <v/>
      </c>
      <c r="B978" s="37"/>
      <c r="C978" s="38"/>
      <c r="D978" s="39"/>
      <c r="E978" s="37"/>
      <c r="F978" s="39"/>
      <c r="G978" s="40" t="str">
        <f aca="false">IF(OR($E978="",$F978=""),"",$E978&amp;" - RT "&amp;$F978)</f>
        <v/>
      </c>
      <c r="H978" s="37"/>
      <c r="I978" s="38"/>
      <c r="J978" s="37"/>
      <c r="K978" s="39"/>
      <c r="L978" s="41"/>
      <c r="M978" s="36" t="str">
        <f aca="true">IF(OR($B978="",$L978=""),"",DATEDIF($L978,TODAY(),"Y"))</f>
        <v/>
      </c>
      <c r="N978" s="40" t="str">
        <f aca="false">IF($M978="","",INDEX(usia_label,MATCH($M978,usia_min,1)))</f>
        <v/>
      </c>
      <c r="O978" s="37"/>
      <c r="P978" s="41"/>
      <c r="Q978" s="37"/>
      <c r="R978" s="37"/>
      <c r="S978" s="40" t="str">
        <f aca="false">IF($G978="","",$G978&amp;"#"&amp;COUNTIF($G$4:$G978,$G978))</f>
        <v/>
      </c>
      <c r="T978" s="40" t="str">
        <f aca="false">IF($B978="","",IF($C978="","NIK kosong",IF(LEN($C978)&lt;&gt;16,"NIK bukan 16 digit",IF(COUNTIF($C$4:$C$2003,$C978&amp;"*")&gt;1,"NIK ganda",IF($E978="","Kadus kosong",IF($F978="","RT kosong",IF($H978="","Jabatan kosong",IF($I978="","No. HP kosong",IF($J978="","Alamat kosong",IF(AND($M978&lt;&gt;"",$M978&lt;17),"Usia di bawah 17",""))))))))))</f>
        <v/>
      </c>
      <c r="U978" s="40" t="str">
        <f aca="false">IF($B978="","",IF(AND(OR(CARI!$C$5="",ISNUMBER(SEARCH(CARI!$C$5,$B978&amp;" "&amp;$C978&amp;" "&amp;$I978&amp;" "&amp;$J978&amp;" "&amp;$Q978))),OR(CARI!$C$6="",$E978=CARI!$C$6),OR(CARI!$C$7="",$F978=CARI!$C$7),OR(CARI!$C$8="",$O978=CARI!$C$8)),MAX($U$3:U977)+1,""))</f>
        <v/>
      </c>
      <c r="V978" s="40" t="str">
        <f aca="false">IF($T978="","",MAX($V$3:V977)+1)</f>
        <v/>
      </c>
      <c r="W978" s="40" t="str">
        <f aca="false">IF($E978="","",$E978&amp;"#"&amp;COUNTIF($E$4:$E978,$E978))</f>
        <v/>
      </c>
      <c r="X978" s="40" t="str">
        <f aca="false">IF($B978="","",IF(AND(OR(CETAK!$J$10="",$E978=CETAK!$J$10),OR(CETAK!$J$11="",$F978=CETAK!$J$11),OR(CETAK!$J$12="",$K978=CETAK!$J$12),OR(CETAK!$J$13="",$H978=CETAK!$J$13),OR(CETAK!$J$14="",$O978=CETAK!$J$14)),MAX($X$3:X977)+1,""))</f>
        <v/>
      </c>
      <c r="Y978" s="40" t="str">
        <f aca="false">IF($B978="","",IF(AND(OR(ABSENSI!$H$10="",$E978=ABSENSI!$H$10),OR(ABSENSI!$H$11="",$F978=ABSENSI!$H$11),OR(ABSENSI!$H$12="",$K978=ABSENSI!$H$12)),MAX($Y$3:Y977)+1,""))</f>
        <v/>
      </c>
      <c r="Z978" s="40" t="str">
        <f aca="false">IF($B978="","",IF(AND(OR(KARTU!$K$6="",$E978=KARTU!$K$6),OR(KARTU!$K$7="",$F978=KARTU!$K$7),OR(KARTU!$K$8="",$K978=KARTU!$K$8)),MAX($Z$3:Z977)+1,""))</f>
        <v/>
      </c>
    </row>
    <row r="979" customFormat="false" ht="15" hidden="false" customHeight="false" outlineLevel="0" collapsed="false">
      <c r="A979" s="36" t="str">
        <f aca="false">IF($B979="","",COUNTA($B$4:$B979))</f>
        <v/>
      </c>
      <c r="B979" s="37"/>
      <c r="C979" s="38"/>
      <c r="D979" s="39"/>
      <c r="E979" s="37"/>
      <c r="F979" s="39"/>
      <c r="G979" s="40" t="str">
        <f aca="false">IF(OR($E979="",$F979=""),"",$E979&amp;" - RT "&amp;$F979)</f>
        <v/>
      </c>
      <c r="H979" s="37"/>
      <c r="I979" s="38"/>
      <c r="J979" s="37"/>
      <c r="K979" s="39"/>
      <c r="L979" s="41"/>
      <c r="M979" s="36" t="str">
        <f aca="true">IF(OR($B979="",$L979=""),"",DATEDIF($L979,TODAY(),"Y"))</f>
        <v/>
      </c>
      <c r="N979" s="40" t="str">
        <f aca="false">IF($M979="","",INDEX(usia_label,MATCH($M979,usia_min,1)))</f>
        <v/>
      </c>
      <c r="O979" s="37"/>
      <c r="P979" s="41"/>
      <c r="Q979" s="37"/>
      <c r="R979" s="37"/>
      <c r="S979" s="40" t="str">
        <f aca="false">IF($G979="","",$G979&amp;"#"&amp;COUNTIF($G$4:$G979,$G979))</f>
        <v/>
      </c>
      <c r="T979" s="40" t="str">
        <f aca="false">IF($B979="","",IF($C979="","NIK kosong",IF(LEN($C979)&lt;&gt;16,"NIK bukan 16 digit",IF(COUNTIF($C$4:$C$2003,$C979&amp;"*")&gt;1,"NIK ganda",IF($E979="","Kadus kosong",IF($F979="","RT kosong",IF($H979="","Jabatan kosong",IF($I979="","No. HP kosong",IF($J979="","Alamat kosong",IF(AND($M979&lt;&gt;"",$M979&lt;17),"Usia di bawah 17",""))))))))))</f>
        <v/>
      </c>
      <c r="U979" s="40" t="str">
        <f aca="false">IF($B979="","",IF(AND(OR(CARI!$C$5="",ISNUMBER(SEARCH(CARI!$C$5,$B979&amp;" "&amp;$C979&amp;" "&amp;$I979&amp;" "&amp;$J979&amp;" "&amp;$Q979))),OR(CARI!$C$6="",$E979=CARI!$C$6),OR(CARI!$C$7="",$F979=CARI!$C$7),OR(CARI!$C$8="",$O979=CARI!$C$8)),MAX($U$3:U978)+1,""))</f>
        <v/>
      </c>
      <c r="V979" s="40" t="str">
        <f aca="false">IF($T979="","",MAX($V$3:V978)+1)</f>
        <v/>
      </c>
      <c r="W979" s="40" t="str">
        <f aca="false">IF($E979="","",$E979&amp;"#"&amp;COUNTIF($E$4:$E979,$E979))</f>
        <v/>
      </c>
      <c r="X979" s="40" t="str">
        <f aca="false">IF($B979="","",IF(AND(OR(CETAK!$J$10="",$E979=CETAK!$J$10),OR(CETAK!$J$11="",$F979=CETAK!$J$11),OR(CETAK!$J$12="",$K979=CETAK!$J$12),OR(CETAK!$J$13="",$H979=CETAK!$J$13),OR(CETAK!$J$14="",$O979=CETAK!$J$14)),MAX($X$3:X978)+1,""))</f>
        <v/>
      </c>
      <c r="Y979" s="40" t="str">
        <f aca="false">IF($B979="","",IF(AND(OR(ABSENSI!$H$10="",$E979=ABSENSI!$H$10),OR(ABSENSI!$H$11="",$F979=ABSENSI!$H$11),OR(ABSENSI!$H$12="",$K979=ABSENSI!$H$12)),MAX($Y$3:Y978)+1,""))</f>
        <v/>
      </c>
      <c r="Z979" s="40" t="str">
        <f aca="false">IF($B979="","",IF(AND(OR(KARTU!$K$6="",$E979=KARTU!$K$6),OR(KARTU!$K$7="",$F979=KARTU!$K$7),OR(KARTU!$K$8="",$K979=KARTU!$K$8)),MAX($Z$3:Z978)+1,""))</f>
        <v/>
      </c>
    </row>
    <row r="980" customFormat="false" ht="15" hidden="false" customHeight="false" outlineLevel="0" collapsed="false">
      <c r="A980" s="36" t="str">
        <f aca="false">IF($B980="","",COUNTA($B$4:$B980))</f>
        <v/>
      </c>
      <c r="B980" s="37"/>
      <c r="C980" s="38"/>
      <c r="D980" s="39"/>
      <c r="E980" s="37"/>
      <c r="F980" s="39"/>
      <c r="G980" s="40" t="str">
        <f aca="false">IF(OR($E980="",$F980=""),"",$E980&amp;" - RT "&amp;$F980)</f>
        <v/>
      </c>
      <c r="H980" s="37"/>
      <c r="I980" s="38"/>
      <c r="J980" s="37"/>
      <c r="K980" s="39"/>
      <c r="L980" s="41"/>
      <c r="M980" s="36" t="str">
        <f aca="true">IF(OR($B980="",$L980=""),"",DATEDIF($L980,TODAY(),"Y"))</f>
        <v/>
      </c>
      <c r="N980" s="40" t="str">
        <f aca="false">IF($M980="","",INDEX(usia_label,MATCH($M980,usia_min,1)))</f>
        <v/>
      </c>
      <c r="O980" s="37"/>
      <c r="P980" s="41"/>
      <c r="Q980" s="37"/>
      <c r="R980" s="37"/>
      <c r="S980" s="40" t="str">
        <f aca="false">IF($G980="","",$G980&amp;"#"&amp;COUNTIF($G$4:$G980,$G980))</f>
        <v/>
      </c>
      <c r="T980" s="40" t="str">
        <f aca="false">IF($B980="","",IF($C980="","NIK kosong",IF(LEN($C980)&lt;&gt;16,"NIK bukan 16 digit",IF(COUNTIF($C$4:$C$2003,$C980&amp;"*")&gt;1,"NIK ganda",IF($E980="","Kadus kosong",IF($F980="","RT kosong",IF($H980="","Jabatan kosong",IF($I980="","No. HP kosong",IF($J980="","Alamat kosong",IF(AND($M980&lt;&gt;"",$M980&lt;17),"Usia di bawah 17",""))))))))))</f>
        <v/>
      </c>
      <c r="U980" s="40" t="str">
        <f aca="false">IF($B980="","",IF(AND(OR(CARI!$C$5="",ISNUMBER(SEARCH(CARI!$C$5,$B980&amp;" "&amp;$C980&amp;" "&amp;$I980&amp;" "&amp;$J980&amp;" "&amp;$Q980))),OR(CARI!$C$6="",$E980=CARI!$C$6),OR(CARI!$C$7="",$F980=CARI!$C$7),OR(CARI!$C$8="",$O980=CARI!$C$8)),MAX($U$3:U979)+1,""))</f>
        <v/>
      </c>
      <c r="V980" s="40" t="str">
        <f aca="false">IF($T980="","",MAX($V$3:V979)+1)</f>
        <v/>
      </c>
      <c r="W980" s="40" t="str">
        <f aca="false">IF($E980="","",$E980&amp;"#"&amp;COUNTIF($E$4:$E980,$E980))</f>
        <v/>
      </c>
      <c r="X980" s="40" t="str">
        <f aca="false">IF($B980="","",IF(AND(OR(CETAK!$J$10="",$E980=CETAK!$J$10),OR(CETAK!$J$11="",$F980=CETAK!$J$11),OR(CETAK!$J$12="",$K980=CETAK!$J$12),OR(CETAK!$J$13="",$H980=CETAK!$J$13),OR(CETAK!$J$14="",$O980=CETAK!$J$14)),MAX($X$3:X979)+1,""))</f>
        <v/>
      </c>
      <c r="Y980" s="40" t="str">
        <f aca="false">IF($B980="","",IF(AND(OR(ABSENSI!$H$10="",$E980=ABSENSI!$H$10),OR(ABSENSI!$H$11="",$F980=ABSENSI!$H$11),OR(ABSENSI!$H$12="",$K980=ABSENSI!$H$12)),MAX($Y$3:Y979)+1,""))</f>
        <v/>
      </c>
      <c r="Z980" s="40" t="str">
        <f aca="false">IF($B980="","",IF(AND(OR(KARTU!$K$6="",$E980=KARTU!$K$6),OR(KARTU!$K$7="",$F980=KARTU!$K$7),OR(KARTU!$K$8="",$K980=KARTU!$K$8)),MAX($Z$3:Z979)+1,""))</f>
        <v/>
      </c>
    </row>
    <row r="981" customFormat="false" ht="15" hidden="false" customHeight="false" outlineLevel="0" collapsed="false">
      <c r="A981" s="36" t="str">
        <f aca="false">IF($B981="","",COUNTA($B$4:$B981))</f>
        <v/>
      </c>
      <c r="B981" s="37"/>
      <c r="C981" s="38"/>
      <c r="D981" s="39"/>
      <c r="E981" s="37"/>
      <c r="F981" s="39"/>
      <c r="G981" s="40" t="str">
        <f aca="false">IF(OR($E981="",$F981=""),"",$E981&amp;" - RT "&amp;$F981)</f>
        <v/>
      </c>
      <c r="H981" s="37"/>
      <c r="I981" s="38"/>
      <c r="J981" s="37"/>
      <c r="K981" s="39"/>
      <c r="L981" s="41"/>
      <c r="M981" s="36" t="str">
        <f aca="true">IF(OR($B981="",$L981=""),"",DATEDIF($L981,TODAY(),"Y"))</f>
        <v/>
      </c>
      <c r="N981" s="40" t="str">
        <f aca="false">IF($M981="","",INDEX(usia_label,MATCH($M981,usia_min,1)))</f>
        <v/>
      </c>
      <c r="O981" s="37"/>
      <c r="P981" s="41"/>
      <c r="Q981" s="37"/>
      <c r="R981" s="37"/>
      <c r="S981" s="40" t="str">
        <f aca="false">IF($G981="","",$G981&amp;"#"&amp;COUNTIF($G$4:$G981,$G981))</f>
        <v/>
      </c>
      <c r="T981" s="40" t="str">
        <f aca="false">IF($B981="","",IF($C981="","NIK kosong",IF(LEN($C981)&lt;&gt;16,"NIK bukan 16 digit",IF(COUNTIF($C$4:$C$2003,$C981&amp;"*")&gt;1,"NIK ganda",IF($E981="","Kadus kosong",IF($F981="","RT kosong",IF($H981="","Jabatan kosong",IF($I981="","No. HP kosong",IF($J981="","Alamat kosong",IF(AND($M981&lt;&gt;"",$M981&lt;17),"Usia di bawah 17",""))))))))))</f>
        <v/>
      </c>
      <c r="U981" s="40" t="str">
        <f aca="false">IF($B981="","",IF(AND(OR(CARI!$C$5="",ISNUMBER(SEARCH(CARI!$C$5,$B981&amp;" "&amp;$C981&amp;" "&amp;$I981&amp;" "&amp;$J981&amp;" "&amp;$Q981))),OR(CARI!$C$6="",$E981=CARI!$C$6),OR(CARI!$C$7="",$F981=CARI!$C$7),OR(CARI!$C$8="",$O981=CARI!$C$8)),MAX($U$3:U980)+1,""))</f>
        <v/>
      </c>
      <c r="V981" s="40" t="str">
        <f aca="false">IF($T981="","",MAX($V$3:V980)+1)</f>
        <v/>
      </c>
      <c r="W981" s="40" t="str">
        <f aca="false">IF($E981="","",$E981&amp;"#"&amp;COUNTIF($E$4:$E981,$E981))</f>
        <v/>
      </c>
      <c r="X981" s="40" t="str">
        <f aca="false">IF($B981="","",IF(AND(OR(CETAK!$J$10="",$E981=CETAK!$J$10),OR(CETAK!$J$11="",$F981=CETAK!$J$11),OR(CETAK!$J$12="",$K981=CETAK!$J$12),OR(CETAK!$J$13="",$H981=CETAK!$J$13),OR(CETAK!$J$14="",$O981=CETAK!$J$14)),MAX($X$3:X980)+1,""))</f>
        <v/>
      </c>
      <c r="Y981" s="40" t="str">
        <f aca="false">IF($B981="","",IF(AND(OR(ABSENSI!$H$10="",$E981=ABSENSI!$H$10),OR(ABSENSI!$H$11="",$F981=ABSENSI!$H$11),OR(ABSENSI!$H$12="",$K981=ABSENSI!$H$12)),MAX($Y$3:Y980)+1,""))</f>
        <v/>
      </c>
      <c r="Z981" s="40" t="str">
        <f aca="false">IF($B981="","",IF(AND(OR(KARTU!$K$6="",$E981=KARTU!$K$6),OR(KARTU!$K$7="",$F981=KARTU!$K$7),OR(KARTU!$K$8="",$K981=KARTU!$K$8)),MAX($Z$3:Z980)+1,""))</f>
        <v/>
      </c>
    </row>
    <row r="982" customFormat="false" ht="15" hidden="false" customHeight="false" outlineLevel="0" collapsed="false">
      <c r="A982" s="36" t="str">
        <f aca="false">IF($B982="","",COUNTA($B$4:$B982))</f>
        <v/>
      </c>
      <c r="B982" s="37"/>
      <c r="C982" s="38"/>
      <c r="D982" s="39"/>
      <c r="E982" s="37"/>
      <c r="F982" s="39"/>
      <c r="G982" s="40" t="str">
        <f aca="false">IF(OR($E982="",$F982=""),"",$E982&amp;" - RT "&amp;$F982)</f>
        <v/>
      </c>
      <c r="H982" s="37"/>
      <c r="I982" s="38"/>
      <c r="J982" s="37"/>
      <c r="K982" s="39"/>
      <c r="L982" s="41"/>
      <c r="M982" s="36" t="str">
        <f aca="true">IF(OR($B982="",$L982=""),"",DATEDIF($L982,TODAY(),"Y"))</f>
        <v/>
      </c>
      <c r="N982" s="40" t="str">
        <f aca="false">IF($M982="","",INDEX(usia_label,MATCH($M982,usia_min,1)))</f>
        <v/>
      </c>
      <c r="O982" s="37"/>
      <c r="P982" s="41"/>
      <c r="Q982" s="37"/>
      <c r="R982" s="37"/>
      <c r="S982" s="40" t="str">
        <f aca="false">IF($G982="","",$G982&amp;"#"&amp;COUNTIF($G$4:$G982,$G982))</f>
        <v/>
      </c>
      <c r="T982" s="40" t="str">
        <f aca="false">IF($B982="","",IF($C982="","NIK kosong",IF(LEN($C982)&lt;&gt;16,"NIK bukan 16 digit",IF(COUNTIF($C$4:$C$2003,$C982&amp;"*")&gt;1,"NIK ganda",IF($E982="","Kadus kosong",IF($F982="","RT kosong",IF($H982="","Jabatan kosong",IF($I982="","No. HP kosong",IF($J982="","Alamat kosong",IF(AND($M982&lt;&gt;"",$M982&lt;17),"Usia di bawah 17",""))))))))))</f>
        <v/>
      </c>
      <c r="U982" s="40" t="str">
        <f aca="false">IF($B982="","",IF(AND(OR(CARI!$C$5="",ISNUMBER(SEARCH(CARI!$C$5,$B982&amp;" "&amp;$C982&amp;" "&amp;$I982&amp;" "&amp;$J982&amp;" "&amp;$Q982))),OR(CARI!$C$6="",$E982=CARI!$C$6),OR(CARI!$C$7="",$F982=CARI!$C$7),OR(CARI!$C$8="",$O982=CARI!$C$8)),MAX($U$3:U981)+1,""))</f>
        <v/>
      </c>
      <c r="V982" s="40" t="str">
        <f aca="false">IF($T982="","",MAX($V$3:V981)+1)</f>
        <v/>
      </c>
      <c r="W982" s="40" t="str">
        <f aca="false">IF($E982="","",$E982&amp;"#"&amp;COUNTIF($E$4:$E982,$E982))</f>
        <v/>
      </c>
      <c r="X982" s="40" t="str">
        <f aca="false">IF($B982="","",IF(AND(OR(CETAK!$J$10="",$E982=CETAK!$J$10),OR(CETAK!$J$11="",$F982=CETAK!$J$11),OR(CETAK!$J$12="",$K982=CETAK!$J$12),OR(CETAK!$J$13="",$H982=CETAK!$J$13),OR(CETAK!$J$14="",$O982=CETAK!$J$14)),MAX($X$3:X981)+1,""))</f>
        <v/>
      </c>
      <c r="Y982" s="40" t="str">
        <f aca="false">IF($B982="","",IF(AND(OR(ABSENSI!$H$10="",$E982=ABSENSI!$H$10),OR(ABSENSI!$H$11="",$F982=ABSENSI!$H$11),OR(ABSENSI!$H$12="",$K982=ABSENSI!$H$12)),MAX($Y$3:Y981)+1,""))</f>
        <v/>
      </c>
      <c r="Z982" s="40" t="str">
        <f aca="false">IF($B982="","",IF(AND(OR(KARTU!$K$6="",$E982=KARTU!$K$6),OR(KARTU!$K$7="",$F982=KARTU!$K$7),OR(KARTU!$K$8="",$K982=KARTU!$K$8)),MAX($Z$3:Z981)+1,""))</f>
        <v/>
      </c>
    </row>
    <row r="983" customFormat="false" ht="15" hidden="false" customHeight="false" outlineLevel="0" collapsed="false">
      <c r="A983" s="36" t="str">
        <f aca="false">IF($B983="","",COUNTA($B$4:$B983))</f>
        <v/>
      </c>
      <c r="B983" s="37"/>
      <c r="C983" s="38"/>
      <c r="D983" s="39"/>
      <c r="E983" s="37"/>
      <c r="F983" s="39"/>
      <c r="G983" s="40" t="str">
        <f aca="false">IF(OR($E983="",$F983=""),"",$E983&amp;" - RT "&amp;$F983)</f>
        <v/>
      </c>
      <c r="H983" s="37"/>
      <c r="I983" s="38"/>
      <c r="J983" s="37"/>
      <c r="K983" s="39"/>
      <c r="L983" s="41"/>
      <c r="M983" s="36" t="str">
        <f aca="true">IF(OR($B983="",$L983=""),"",DATEDIF($L983,TODAY(),"Y"))</f>
        <v/>
      </c>
      <c r="N983" s="40" t="str">
        <f aca="false">IF($M983="","",INDEX(usia_label,MATCH($M983,usia_min,1)))</f>
        <v/>
      </c>
      <c r="O983" s="37"/>
      <c r="P983" s="41"/>
      <c r="Q983" s="37"/>
      <c r="R983" s="37"/>
      <c r="S983" s="40" t="str">
        <f aca="false">IF($G983="","",$G983&amp;"#"&amp;COUNTIF($G$4:$G983,$G983))</f>
        <v/>
      </c>
      <c r="T983" s="40" t="str">
        <f aca="false">IF($B983="","",IF($C983="","NIK kosong",IF(LEN($C983)&lt;&gt;16,"NIK bukan 16 digit",IF(COUNTIF($C$4:$C$2003,$C983&amp;"*")&gt;1,"NIK ganda",IF($E983="","Kadus kosong",IF($F983="","RT kosong",IF($H983="","Jabatan kosong",IF($I983="","No. HP kosong",IF($J983="","Alamat kosong",IF(AND($M983&lt;&gt;"",$M983&lt;17),"Usia di bawah 17",""))))))))))</f>
        <v/>
      </c>
      <c r="U983" s="40" t="str">
        <f aca="false">IF($B983="","",IF(AND(OR(CARI!$C$5="",ISNUMBER(SEARCH(CARI!$C$5,$B983&amp;" "&amp;$C983&amp;" "&amp;$I983&amp;" "&amp;$J983&amp;" "&amp;$Q983))),OR(CARI!$C$6="",$E983=CARI!$C$6),OR(CARI!$C$7="",$F983=CARI!$C$7),OR(CARI!$C$8="",$O983=CARI!$C$8)),MAX($U$3:U982)+1,""))</f>
        <v/>
      </c>
      <c r="V983" s="40" t="str">
        <f aca="false">IF($T983="","",MAX($V$3:V982)+1)</f>
        <v/>
      </c>
      <c r="W983" s="40" t="str">
        <f aca="false">IF($E983="","",$E983&amp;"#"&amp;COUNTIF($E$4:$E983,$E983))</f>
        <v/>
      </c>
      <c r="X983" s="40" t="str">
        <f aca="false">IF($B983="","",IF(AND(OR(CETAK!$J$10="",$E983=CETAK!$J$10),OR(CETAK!$J$11="",$F983=CETAK!$J$11),OR(CETAK!$J$12="",$K983=CETAK!$J$12),OR(CETAK!$J$13="",$H983=CETAK!$J$13),OR(CETAK!$J$14="",$O983=CETAK!$J$14)),MAX($X$3:X982)+1,""))</f>
        <v/>
      </c>
      <c r="Y983" s="40" t="str">
        <f aca="false">IF($B983="","",IF(AND(OR(ABSENSI!$H$10="",$E983=ABSENSI!$H$10),OR(ABSENSI!$H$11="",$F983=ABSENSI!$H$11),OR(ABSENSI!$H$12="",$K983=ABSENSI!$H$12)),MAX($Y$3:Y982)+1,""))</f>
        <v/>
      </c>
      <c r="Z983" s="40" t="str">
        <f aca="false">IF($B983="","",IF(AND(OR(KARTU!$K$6="",$E983=KARTU!$K$6),OR(KARTU!$K$7="",$F983=KARTU!$K$7),OR(KARTU!$K$8="",$K983=KARTU!$K$8)),MAX($Z$3:Z982)+1,""))</f>
        <v/>
      </c>
    </row>
    <row r="984" customFormat="false" ht="15" hidden="false" customHeight="false" outlineLevel="0" collapsed="false">
      <c r="A984" s="36" t="str">
        <f aca="false">IF($B984="","",COUNTA($B$4:$B984))</f>
        <v/>
      </c>
      <c r="B984" s="37"/>
      <c r="C984" s="38"/>
      <c r="D984" s="39"/>
      <c r="E984" s="37"/>
      <c r="F984" s="39"/>
      <c r="G984" s="40" t="str">
        <f aca="false">IF(OR($E984="",$F984=""),"",$E984&amp;" - RT "&amp;$F984)</f>
        <v/>
      </c>
      <c r="H984" s="37"/>
      <c r="I984" s="38"/>
      <c r="J984" s="37"/>
      <c r="K984" s="39"/>
      <c r="L984" s="41"/>
      <c r="M984" s="36" t="str">
        <f aca="true">IF(OR($B984="",$L984=""),"",DATEDIF($L984,TODAY(),"Y"))</f>
        <v/>
      </c>
      <c r="N984" s="40" t="str">
        <f aca="false">IF($M984="","",INDEX(usia_label,MATCH($M984,usia_min,1)))</f>
        <v/>
      </c>
      <c r="O984" s="37"/>
      <c r="P984" s="41"/>
      <c r="Q984" s="37"/>
      <c r="R984" s="37"/>
      <c r="S984" s="40" t="str">
        <f aca="false">IF($G984="","",$G984&amp;"#"&amp;COUNTIF($G$4:$G984,$G984))</f>
        <v/>
      </c>
      <c r="T984" s="40" t="str">
        <f aca="false">IF($B984="","",IF($C984="","NIK kosong",IF(LEN($C984)&lt;&gt;16,"NIK bukan 16 digit",IF(COUNTIF($C$4:$C$2003,$C984&amp;"*")&gt;1,"NIK ganda",IF($E984="","Kadus kosong",IF($F984="","RT kosong",IF($H984="","Jabatan kosong",IF($I984="","No. HP kosong",IF($J984="","Alamat kosong",IF(AND($M984&lt;&gt;"",$M984&lt;17),"Usia di bawah 17",""))))))))))</f>
        <v/>
      </c>
      <c r="U984" s="40" t="str">
        <f aca="false">IF($B984="","",IF(AND(OR(CARI!$C$5="",ISNUMBER(SEARCH(CARI!$C$5,$B984&amp;" "&amp;$C984&amp;" "&amp;$I984&amp;" "&amp;$J984&amp;" "&amp;$Q984))),OR(CARI!$C$6="",$E984=CARI!$C$6),OR(CARI!$C$7="",$F984=CARI!$C$7),OR(CARI!$C$8="",$O984=CARI!$C$8)),MAX($U$3:U983)+1,""))</f>
        <v/>
      </c>
      <c r="V984" s="40" t="str">
        <f aca="false">IF($T984="","",MAX($V$3:V983)+1)</f>
        <v/>
      </c>
      <c r="W984" s="40" t="str">
        <f aca="false">IF($E984="","",$E984&amp;"#"&amp;COUNTIF($E$4:$E984,$E984))</f>
        <v/>
      </c>
      <c r="X984" s="40" t="str">
        <f aca="false">IF($B984="","",IF(AND(OR(CETAK!$J$10="",$E984=CETAK!$J$10),OR(CETAK!$J$11="",$F984=CETAK!$J$11),OR(CETAK!$J$12="",$K984=CETAK!$J$12),OR(CETAK!$J$13="",$H984=CETAK!$J$13),OR(CETAK!$J$14="",$O984=CETAK!$J$14)),MAX($X$3:X983)+1,""))</f>
        <v/>
      </c>
      <c r="Y984" s="40" t="str">
        <f aca="false">IF($B984="","",IF(AND(OR(ABSENSI!$H$10="",$E984=ABSENSI!$H$10),OR(ABSENSI!$H$11="",$F984=ABSENSI!$H$11),OR(ABSENSI!$H$12="",$K984=ABSENSI!$H$12)),MAX($Y$3:Y983)+1,""))</f>
        <v/>
      </c>
      <c r="Z984" s="40" t="str">
        <f aca="false">IF($B984="","",IF(AND(OR(KARTU!$K$6="",$E984=KARTU!$K$6),OR(KARTU!$K$7="",$F984=KARTU!$K$7),OR(KARTU!$K$8="",$K984=KARTU!$K$8)),MAX($Z$3:Z983)+1,""))</f>
        <v/>
      </c>
    </row>
    <row r="985" customFormat="false" ht="15" hidden="false" customHeight="false" outlineLevel="0" collapsed="false">
      <c r="A985" s="36" t="str">
        <f aca="false">IF($B985="","",COUNTA($B$4:$B985))</f>
        <v/>
      </c>
      <c r="B985" s="37"/>
      <c r="C985" s="38"/>
      <c r="D985" s="39"/>
      <c r="E985" s="37"/>
      <c r="F985" s="39"/>
      <c r="G985" s="40" t="str">
        <f aca="false">IF(OR($E985="",$F985=""),"",$E985&amp;" - RT "&amp;$F985)</f>
        <v/>
      </c>
      <c r="H985" s="37"/>
      <c r="I985" s="38"/>
      <c r="J985" s="37"/>
      <c r="K985" s="39"/>
      <c r="L985" s="41"/>
      <c r="M985" s="36" t="str">
        <f aca="true">IF(OR($B985="",$L985=""),"",DATEDIF($L985,TODAY(),"Y"))</f>
        <v/>
      </c>
      <c r="N985" s="40" t="str">
        <f aca="false">IF($M985="","",INDEX(usia_label,MATCH($M985,usia_min,1)))</f>
        <v/>
      </c>
      <c r="O985" s="37"/>
      <c r="P985" s="41"/>
      <c r="Q985" s="37"/>
      <c r="R985" s="37"/>
      <c r="S985" s="40" t="str">
        <f aca="false">IF($G985="","",$G985&amp;"#"&amp;COUNTIF($G$4:$G985,$G985))</f>
        <v/>
      </c>
      <c r="T985" s="40" t="str">
        <f aca="false">IF($B985="","",IF($C985="","NIK kosong",IF(LEN($C985)&lt;&gt;16,"NIK bukan 16 digit",IF(COUNTIF($C$4:$C$2003,$C985&amp;"*")&gt;1,"NIK ganda",IF($E985="","Kadus kosong",IF($F985="","RT kosong",IF($H985="","Jabatan kosong",IF($I985="","No. HP kosong",IF($J985="","Alamat kosong",IF(AND($M985&lt;&gt;"",$M985&lt;17),"Usia di bawah 17",""))))))))))</f>
        <v/>
      </c>
      <c r="U985" s="40" t="str">
        <f aca="false">IF($B985="","",IF(AND(OR(CARI!$C$5="",ISNUMBER(SEARCH(CARI!$C$5,$B985&amp;" "&amp;$C985&amp;" "&amp;$I985&amp;" "&amp;$J985&amp;" "&amp;$Q985))),OR(CARI!$C$6="",$E985=CARI!$C$6),OR(CARI!$C$7="",$F985=CARI!$C$7),OR(CARI!$C$8="",$O985=CARI!$C$8)),MAX($U$3:U984)+1,""))</f>
        <v/>
      </c>
      <c r="V985" s="40" t="str">
        <f aca="false">IF($T985="","",MAX($V$3:V984)+1)</f>
        <v/>
      </c>
      <c r="W985" s="40" t="str">
        <f aca="false">IF($E985="","",$E985&amp;"#"&amp;COUNTIF($E$4:$E985,$E985))</f>
        <v/>
      </c>
      <c r="X985" s="40" t="str">
        <f aca="false">IF($B985="","",IF(AND(OR(CETAK!$J$10="",$E985=CETAK!$J$10),OR(CETAK!$J$11="",$F985=CETAK!$J$11),OR(CETAK!$J$12="",$K985=CETAK!$J$12),OR(CETAK!$J$13="",$H985=CETAK!$J$13),OR(CETAK!$J$14="",$O985=CETAK!$J$14)),MAX($X$3:X984)+1,""))</f>
        <v/>
      </c>
      <c r="Y985" s="40" t="str">
        <f aca="false">IF($B985="","",IF(AND(OR(ABSENSI!$H$10="",$E985=ABSENSI!$H$10),OR(ABSENSI!$H$11="",$F985=ABSENSI!$H$11),OR(ABSENSI!$H$12="",$K985=ABSENSI!$H$12)),MAX($Y$3:Y984)+1,""))</f>
        <v/>
      </c>
      <c r="Z985" s="40" t="str">
        <f aca="false">IF($B985="","",IF(AND(OR(KARTU!$K$6="",$E985=KARTU!$K$6),OR(KARTU!$K$7="",$F985=KARTU!$K$7),OR(KARTU!$K$8="",$K985=KARTU!$K$8)),MAX($Z$3:Z984)+1,""))</f>
        <v/>
      </c>
    </row>
    <row r="986" customFormat="false" ht="15" hidden="false" customHeight="false" outlineLevel="0" collapsed="false">
      <c r="A986" s="36" t="str">
        <f aca="false">IF($B986="","",COUNTA($B$4:$B986))</f>
        <v/>
      </c>
      <c r="B986" s="37"/>
      <c r="C986" s="38"/>
      <c r="D986" s="39"/>
      <c r="E986" s="37"/>
      <c r="F986" s="39"/>
      <c r="G986" s="40" t="str">
        <f aca="false">IF(OR($E986="",$F986=""),"",$E986&amp;" - RT "&amp;$F986)</f>
        <v/>
      </c>
      <c r="H986" s="37"/>
      <c r="I986" s="38"/>
      <c r="J986" s="37"/>
      <c r="K986" s="39"/>
      <c r="L986" s="41"/>
      <c r="M986" s="36" t="str">
        <f aca="true">IF(OR($B986="",$L986=""),"",DATEDIF($L986,TODAY(),"Y"))</f>
        <v/>
      </c>
      <c r="N986" s="40" t="str">
        <f aca="false">IF($M986="","",INDEX(usia_label,MATCH($M986,usia_min,1)))</f>
        <v/>
      </c>
      <c r="O986" s="37"/>
      <c r="P986" s="41"/>
      <c r="Q986" s="37"/>
      <c r="R986" s="37"/>
      <c r="S986" s="40" t="str">
        <f aca="false">IF($G986="","",$G986&amp;"#"&amp;COUNTIF($G$4:$G986,$G986))</f>
        <v/>
      </c>
      <c r="T986" s="40" t="str">
        <f aca="false">IF($B986="","",IF($C986="","NIK kosong",IF(LEN($C986)&lt;&gt;16,"NIK bukan 16 digit",IF(COUNTIF($C$4:$C$2003,$C986&amp;"*")&gt;1,"NIK ganda",IF($E986="","Kadus kosong",IF($F986="","RT kosong",IF($H986="","Jabatan kosong",IF($I986="","No. HP kosong",IF($J986="","Alamat kosong",IF(AND($M986&lt;&gt;"",$M986&lt;17),"Usia di bawah 17",""))))))))))</f>
        <v/>
      </c>
      <c r="U986" s="40" t="str">
        <f aca="false">IF($B986="","",IF(AND(OR(CARI!$C$5="",ISNUMBER(SEARCH(CARI!$C$5,$B986&amp;" "&amp;$C986&amp;" "&amp;$I986&amp;" "&amp;$J986&amp;" "&amp;$Q986))),OR(CARI!$C$6="",$E986=CARI!$C$6),OR(CARI!$C$7="",$F986=CARI!$C$7),OR(CARI!$C$8="",$O986=CARI!$C$8)),MAX($U$3:U985)+1,""))</f>
        <v/>
      </c>
      <c r="V986" s="40" t="str">
        <f aca="false">IF($T986="","",MAX($V$3:V985)+1)</f>
        <v/>
      </c>
      <c r="W986" s="40" t="str">
        <f aca="false">IF($E986="","",$E986&amp;"#"&amp;COUNTIF($E$4:$E986,$E986))</f>
        <v/>
      </c>
      <c r="X986" s="40" t="str">
        <f aca="false">IF($B986="","",IF(AND(OR(CETAK!$J$10="",$E986=CETAK!$J$10),OR(CETAK!$J$11="",$F986=CETAK!$J$11),OR(CETAK!$J$12="",$K986=CETAK!$J$12),OR(CETAK!$J$13="",$H986=CETAK!$J$13),OR(CETAK!$J$14="",$O986=CETAK!$J$14)),MAX($X$3:X985)+1,""))</f>
        <v/>
      </c>
      <c r="Y986" s="40" t="str">
        <f aca="false">IF($B986="","",IF(AND(OR(ABSENSI!$H$10="",$E986=ABSENSI!$H$10),OR(ABSENSI!$H$11="",$F986=ABSENSI!$H$11),OR(ABSENSI!$H$12="",$K986=ABSENSI!$H$12)),MAX($Y$3:Y985)+1,""))</f>
        <v/>
      </c>
      <c r="Z986" s="40" t="str">
        <f aca="false">IF($B986="","",IF(AND(OR(KARTU!$K$6="",$E986=KARTU!$K$6),OR(KARTU!$K$7="",$F986=KARTU!$K$7),OR(KARTU!$K$8="",$K986=KARTU!$K$8)),MAX($Z$3:Z985)+1,""))</f>
        <v/>
      </c>
    </row>
    <row r="987" customFormat="false" ht="15" hidden="false" customHeight="false" outlineLevel="0" collapsed="false">
      <c r="A987" s="36" t="str">
        <f aca="false">IF($B987="","",COUNTA($B$4:$B987))</f>
        <v/>
      </c>
      <c r="B987" s="37"/>
      <c r="C987" s="38"/>
      <c r="D987" s="39"/>
      <c r="E987" s="37"/>
      <c r="F987" s="39"/>
      <c r="G987" s="40" t="str">
        <f aca="false">IF(OR($E987="",$F987=""),"",$E987&amp;" - RT "&amp;$F987)</f>
        <v/>
      </c>
      <c r="H987" s="37"/>
      <c r="I987" s="38"/>
      <c r="J987" s="37"/>
      <c r="K987" s="39"/>
      <c r="L987" s="41"/>
      <c r="M987" s="36" t="str">
        <f aca="true">IF(OR($B987="",$L987=""),"",DATEDIF($L987,TODAY(),"Y"))</f>
        <v/>
      </c>
      <c r="N987" s="40" t="str">
        <f aca="false">IF($M987="","",INDEX(usia_label,MATCH($M987,usia_min,1)))</f>
        <v/>
      </c>
      <c r="O987" s="37"/>
      <c r="P987" s="41"/>
      <c r="Q987" s="37"/>
      <c r="R987" s="37"/>
      <c r="S987" s="40" t="str">
        <f aca="false">IF($G987="","",$G987&amp;"#"&amp;COUNTIF($G$4:$G987,$G987))</f>
        <v/>
      </c>
      <c r="T987" s="40" t="str">
        <f aca="false">IF($B987="","",IF($C987="","NIK kosong",IF(LEN($C987)&lt;&gt;16,"NIK bukan 16 digit",IF(COUNTIF($C$4:$C$2003,$C987&amp;"*")&gt;1,"NIK ganda",IF($E987="","Kadus kosong",IF($F987="","RT kosong",IF($H987="","Jabatan kosong",IF($I987="","No. HP kosong",IF($J987="","Alamat kosong",IF(AND($M987&lt;&gt;"",$M987&lt;17),"Usia di bawah 17",""))))))))))</f>
        <v/>
      </c>
      <c r="U987" s="40" t="str">
        <f aca="false">IF($B987="","",IF(AND(OR(CARI!$C$5="",ISNUMBER(SEARCH(CARI!$C$5,$B987&amp;" "&amp;$C987&amp;" "&amp;$I987&amp;" "&amp;$J987&amp;" "&amp;$Q987))),OR(CARI!$C$6="",$E987=CARI!$C$6),OR(CARI!$C$7="",$F987=CARI!$C$7),OR(CARI!$C$8="",$O987=CARI!$C$8)),MAX($U$3:U986)+1,""))</f>
        <v/>
      </c>
      <c r="V987" s="40" t="str">
        <f aca="false">IF($T987="","",MAX($V$3:V986)+1)</f>
        <v/>
      </c>
      <c r="W987" s="40" t="str">
        <f aca="false">IF($E987="","",$E987&amp;"#"&amp;COUNTIF($E$4:$E987,$E987))</f>
        <v/>
      </c>
      <c r="X987" s="40" t="str">
        <f aca="false">IF($B987="","",IF(AND(OR(CETAK!$J$10="",$E987=CETAK!$J$10),OR(CETAK!$J$11="",$F987=CETAK!$J$11),OR(CETAK!$J$12="",$K987=CETAK!$J$12),OR(CETAK!$J$13="",$H987=CETAK!$J$13),OR(CETAK!$J$14="",$O987=CETAK!$J$14)),MAX($X$3:X986)+1,""))</f>
        <v/>
      </c>
      <c r="Y987" s="40" t="str">
        <f aca="false">IF($B987="","",IF(AND(OR(ABSENSI!$H$10="",$E987=ABSENSI!$H$10),OR(ABSENSI!$H$11="",$F987=ABSENSI!$H$11),OR(ABSENSI!$H$12="",$K987=ABSENSI!$H$12)),MAX($Y$3:Y986)+1,""))</f>
        <v/>
      </c>
      <c r="Z987" s="40" t="str">
        <f aca="false">IF($B987="","",IF(AND(OR(KARTU!$K$6="",$E987=KARTU!$K$6),OR(KARTU!$K$7="",$F987=KARTU!$K$7),OR(KARTU!$K$8="",$K987=KARTU!$K$8)),MAX($Z$3:Z986)+1,""))</f>
        <v/>
      </c>
    </row>
    <row r="988" customFormat="false" ht="15" hidden="false" customHeight="false" outlineLevel="0" collapsed="false">
      <c r="A988" s="36" t="str">
        <f aca="false">IF($B988="","",COUNTA($B$4:$B988))</f>
        <v/>
      </c>
      <c r="B988" s="37"/>
      <c r="C988" s="38"/>
      <c r="D988" s="39"/>
      <c r="E988" s="37"/>
      <c r="F988" s="39"/>
      <c r="G988" s="40" t="str">
        <f aca="false">IF(OR($E988="",$F988=""),"",$E988&amp;" - RT "&amp;$F988)</f>
        <v/>
      </c>
      <c r="H988" s="37"/>
      <c r="I988" s="38"/>
      <c r="J988" s="37"/>
      <c r="K988" s="39"/>
      <c r="L988" s="41"/>
      <c r="M988" s="36" t="str">
        <f aca="true">IF(OR($B988="",$L988=""),"",DATEDIF($L988,TODAY(),"Y"))</f>
        <v/>
      </c>
      <c r="N988" s="40" t="str">
        <f aca="false">IF($M988="","",INDEX(usia_label,MATCH($M988,usia_min,1)))</f>
        <v/>
      </c>
      <c r="O988" s="37"/>
      <c r="P988" s="41"/>
      <c r="Q988" s="37"/>
      <c r="R988" s="37"/>
      <c r="S988" s="40" t="str">
        <f aca="false">IF($G988="","",$G988&amp;"#"&amp;COUNTIF($G$4:$G988,$G988))</f>
        <v/>
      </c>
      <c r="T988" s="40" t="str">
        <f aca="false">IF($B988="","",IF($C988="","NIK kosong",IF(LEN($C988)&lt;&gt;16,"NIK bukan 16 digit",IF(COUNTIF($C$4:$C$2003,$C988&amp;"*")&gt;1,"NIK ganda",IF($E988="","Kadus kosong",IF($F988="","RT kosong",IF($H988="","Jabatan kosong",IF($I988="","No. HP kosong",IF($J988="","Alamat kosong",IF(AND($M988&lt;&gt;"",$M988&lt;17),"Usia di bawah 17",""))))))))))</f>
        <v/>
      </c>
      <c r="U988" s="40" t="str">
        <f aca="false">IF($B988="","",IF(AND(OR(CARI!$C$5="",ISNUMBER(SEARCH(CARI!$C$5,$B988&amp;" "&amp;$C988&amp;" "&amp;$I988&amp;" "&amp;$J988&amp;" "&amp;$Q988))),OR(CARI!$C$6="",$E988=CARI!$C$6),OR(CARI!$C$7="",$F988=CARI!$C$7),OR(CARI!$C$8="",$O988=CARI!$C$8)),MAX($U$3:U987)+1,""))</f>
        <v/>
      </c>
      <c r="V988" s="40" t="str">
        <f aca="false">IF($T988="","",MAX($V$3:V987)+1)</f>
        <v/>
      </c>
      <c r="W988" s="40" t="str">
        <f aca="false">IF($E988="","",$E988&amp;"#"&amp;COUNTIF($E$4:$E988,$E988))</f>
        <v/>
      </c>
      <c r="X988" s="40" t="str">
        <f aca="false">IF($B988="","",IF(AND(OR(CETAK!$J$10="",$E988=CETAK!$J$10),OR(CETAK!$J$11="",$F988=CETAK!$J$11),OR(CETAK!$J$12="",$K988=CETAK!$J$12),OR(CETAK!$J$13="",$H988=CETAK!$J$13),OR(CETAK!$J$14="",$O988=CETAK!$J$14)),MAX($X$3:X987)+1,""))</f>
        <v/>
      </c>
      <c r="Y988" s="40" t="str">
        <f aca="false">IF($B988="","",IF(AND(OR(ABSENSI!$H$10="",$E988=ABSENSI!$H$10),OR(ABSENSI!$H$11="",$F988=ABSENSI!$H$11),OR(ABSENSI!$H$12="",$K988=ABSENSI!$H$12)),MAX($Y$3:Y987)+1,""))</f>
        <v/>
      </c>
      <c r="Z988" s="40" t="str">
        <f aca="false">IF($B988="","",IF(AND(OR(KARTU!$K$6="",$E988=KARTU!$K$6),OR(KARTU!$K$7="",$F988=KARTU!$K$7),OR(KARTU!$K$8="",$K988=KARTU!$K$8)),MAX($Z$3:Z987)+1,""))</f>
        <v/>
      </c>
    </row>
    <row r="989" customFormat="false" ht="15" hidden="false" customHeight="false" outlineLevel="0" collapsed="false">
      <c r="A989" s="36" t="str">
        <f aca="false">IF($B989="","",COUNTA($B$4:$B989))</f>
        <v/>
      </c>
      <c r="B989" s="37"/>
      <c r="C989" s="38"/>
      <c r="D989" s="39"/>
      <c r="E989" s="37"/>
      <c r="F989" s="39"/>
      <c r="G989" s="40" t="str">
        <f aca="false">IF(OR($E989="",$F989=""),"",$E989&amp;" - RT "&amp;$F989)</f>
        <v/>
      </c>
      <c r="H989" s="37"/>
      <c r="I989" s="38"/>
      <c r="J989" s="37"/>
      <c r="K989" s="39"/>
      <c r="L989" s="41"/>
      <c r="M989" s="36" t="str">
        <f aca="true">IF(OR($B989="",$L989=""),"",DATEDIF($L989,TODAY(),"Y"))</f>
        <v/>
      </c>
      <c r="N989" s="40" t="str">
        <f aca="false">IF($M989="","",INDEX(usia_label,MATCH($M989,usia_min,1)))</f>
        <v/>
      </c>
      <c r="O989" s="37"/>
      <c r="P989" s="41"/>
      <c r="Q989" s="37"/>
      <c r="R989" s="37"/>
      <c r="S989" s="40" t="str">
        <f aca="false">IF($G989="","",$G989&amp;"#"&amp;COUNTIF($G$4:$G989,$G989))</f>
        <v/>
      </c>
      <c r="T989" s="40" t="str">
        <f aca="false">IF($B989="","",IF($C989="","NIK kosong",IF(LEN($C989)&lt;&gt;16,"NIK bukan 16 digit",IF(COUNTIF($C$4:$C$2003,$C989&amp;"*")&gt;1,"NIK ganda",IF($E989="","Kadus kosong",IF($F989="","RT kosong",IF($H989="","Jabatan kosong",IF($I989="","No. HP kosong",IF($J989="","Alamat kosong",IF(AND($M989&lt;&gt;"",$M989&lt;17),"Usia di bawah 17",""))))))))))</f>
        <v/>
      </c>
      <c r="U989" s="40" t="str">
        <f aca="false">IF($B989="","",IF(AND(OR(CARI!$C$5="",ISNUMBER(SEARCH(CARI!$C$5,$B989&amp;" "&amp;$C989&amp;" "&amp;$I989&amp;" "&amp;$J989&amp;" "&amp;$Q989))),OR(CARI!$C$6="",$E989=CARI!$C$6),OR(CARI!$C$7="",$F989=CARI!$C$7),OR(CARI!$C$8="",$O989=CARI!$C$8)),MAX($U$3:U988)+1,""))</f>
        <v/>
      </c>
      <c r="V989" s="40" t="str">
        <f aca="false">IF($T989="","",MAX($V$3:V988)+1)</f>
        <v/>
      </c>
      <c r="W989" s="40" t="str">
        <f aca="false">IF($E989="","",$E989&amp;"#"&amp;COUNTIF($E$4:$E989,$E989))</f>
        <v/>
      </c>
      <c r="X989" s="40" t="str">
        <f aca="false">IF($B989="","",IF(AND(OR(CETAK!$J$10="",$E989=CETAK!$J$10),OR(CETAK!$J$11="",$F989=CETAK!$J$11),OR(CETAK!$J$12="",$K989=CETAK!$J$12),OR(CETAK!$J$13="",$H989=CETAK!$J$13),OR(CETAK!$J$14="",$O989=CETAK!$J$14)),MAX($X$3:X988)+1,""))</f>
        <v/>
      </c>
      <c r="Y989" s="40" t="str">
        <f aca="false">IF($B989="","",IF(AND(OR(ABSENSI!$H$10="",$E989=ABSENSI!$H$10),OR(ABSENSI!$H$11="",$F989=ABSENSI!$H$11),OR(ABSENSI!$H$12="",$K989=ABSENSI!$H$12)),MAX($Y$3:Y988)+1,""))</f>
        <v/>
      </c>
      <c r="Z989" s="40" t="str">
        <f aca="false">IF($B989="","",IF(AND(OR(KARTU!$K$6="",$E989=KARTU!$K$6),OR(KARTU!$K$7="",$F989=KARTU!$K$7),OR(KARTU!$K$8="",$K989=KARTU!$K$8)),MAX($Z$3:Z988)+1,""))</f>
        <v/>
      </c>
    </row>
    <row r="990" customFormat="false" ht="15" hidden="false" customHeight="false" outlineLevel="0" collapsed="false">
      <c r="A990" s="36" t="str">
        <f aca="false">IF($B990="","",COUNTA($B$4:$B990))</f>
        <v/>
      </c>
      <c r="B990" s="37"/>
      <c r="C990" s="38"/>
      <c r="D990" s="39"/>
      <c r="E990" s="37"/>
      <c r="F990" s="39"/>
      <c r="G990" s="40" t="str">
        <f aca="false">IF(OR($E990="",$F990=""),"",$E990&amp;" - RT "&amp;$F990)</f>
        <v/>
      </c>
      <c r="H990" s="37"/>
      <c r="I990" s="38"/>
      <c r="J990" s="37"/>
      <c r="K990" s="39"/>
      <c r="L990" s="41"/>
      <c r="M990" s="36" t="str">
        <f aca="true">IF(OR($B990="",$L990=""),"",DATEDIF($L990,TODAY(),"Y"))</f>
        <v/>
      </c>
      <c r="N990" s="40" t="str">
        <f aca="false">IF($M990="","",INDEX(usia_label,MATCH($M990,usia_min,1)))</f>
        <v/>
      </c>
      <c r="O990" s="37"/>
      <c r="P990" s="41"/>
      <c r="Q990" s="37"/>
      <c r="R990" s="37"/>
      <c r="S990" s="40" t="str">
        <f aca="false">IF($G990="","",$G990&amp;"#"&amp;COUNTIF($G$4:$G990,$G990))</f>
        <v/>
      </c>
      <c r="T990" s="40" t="str">
        <f aca="false">IF($B990="","",IF($C990="","NIK kosong",IF(LEN($C990)&lt;&gt;16,"NIK bukan 16 digit",IF(COUNTIF($C$4:$C$2003,$C990&amp;"*")&gt;1,"NIK ganda",IF($E990="","Kadus kosong",IF($F990="","RT kosong",IF($H990="","Jabatan kosong",IF($I990="","No. HP kosong",IF($J990="","Alamat kosong",IF(AND($M990&lt;&gt;"",$M990&lt;17),"Usia di bawah 17",""))))))))))</f>
        <v/>
      </c>
      <c r="U990" s="40" t="str">
        <f aca="false">IF($B990="","",IF(AND(OR(CARI!$C$5="",ISNUMBER(SEARCH(CARI!$C$5,$B990&amp;" "&amp;$C990&amp;" "&amp;$I990&amp;" "&amp;$J990&amp;" "&amp;$Q990))),OR(CARI!$C$6="",$E990=CARI!$C$6),OR(CARI!$C$7="",$F990=CARI!$C$7),OR(CARI!$C$8="",$O990=CARI!$C$8)),MAX($U$3:U989)+1,""))</f>
        <v/>
      </c>
      <c r="V990" s="40" t="str">
        <f aca="false">IF($T990="","",MAX($V$3:V989)+1)</f>
        <v/>
      </c>
      <c r="W990" s="40" t="str">
        <f aca="false">IF($E990="","",$E990&amp;"#"&amp;COUNTIF($E$4:$E990,$E990))</f>
        <v/>
      </c>
      <c r="X990" s="40" t="str">
        <f aca="false">IF($B990="","",IF(AND(OR(CETAK!$J$10="",$E990=CETAK!$J$10),OR(CETAK!$J$11="",$F990=CETAK!$J$11),OR(CETAK!$J$12="",$K990=CETAK!$J$12),OR(CETAK!$J$13="",$H990=CETAK!$J$13),OR(CETAK!$J$14="",$O990=CETAK!$J$14)),MAX($X$3:X989)+1,""))</f>
        <v/>
      </c>
      <c r="Y990" s="40" t="str">
        <f aca="false">IF($B990="","",IF(AND(OR(ABSENSI!$H$10="",$E990=ABSENSI!$H$10),OR(ABSENSI!$H$11="",$F990=ABSENSI!$H$11),OR(ABSENSI!$H$12="",$K990=ABSENSI!$H$12)),MAX($Y$3:Y989)+1,""))</f>
        <v/>
      </c>
      <c r="Z990" s="40" t="str">
        <f aca="false">IF($B990="","",IF(AND(OR(KARTU!$K$6="",$E990=KARTU!$K$6),OR(KARTU!$K$7="",$F990=KARTU!$K$7),OR(KARTU!$K$8="",$K990=KARTU!$K$8)),MAX($Z$3:Z989)+1,""))</f>
        <v/>
      </c>
    </row>
    <row r="991" customFormat="false" ht="15" hidden="false" customHeight="false" outlineLevel="0" collapsed="false">
      <c r="A991" s="36" t="str">
        <f aca="false">IF($B991="","",COUNTA($B$4:$B991))</f>
        <v/>
      </c>
      <c r="B991" s="37"/>
      <c r="C991" s="38"/>
      <c r="D991" s="39"/>
      <c r="E991" s="37"/>
      <c r="F991" s="39"/>
      <c r="G991" s="40" t="str">
        <f aca="false">IF(OR($E991="",$F991=""),"",$E991&amp;" - RT "&amp;$F991)</f>
        <v/>
      </c>
      <c r="H991" s="37"/>
      <c r="I991" s="38"/>
      <c r="J991" s="37"/>
      <c r="K991" s="39"/>
      <c r="L991" s="41"/>
      <c r="M991" s="36" t="str">
        <f aca="true">IF(OR($B991="",$L991=""),"",DATEDIF($L991,TODAY(),"Y"))</f>
        <v/>
      </c>
      <c r="N991" s="40" t="str">
        <f aca="false">IF($M991="","",INDEX(usia_label,MATCH($M991,usia_min,1)))</f>
        <v/>
      </c>
      <c r="O991" s="37"/>
      <c r="P991" s="41"/>
      <c r="Q991" s="37"/>
      <c r="R991" s="37"/>
      <c r="S991" s="40" t="str">
        <f aca="false">IF($G991="","",$G991&amp;"#"&amp;COUNTIF($G$4:$G991,$G991))</f>
        <v/>
      </c>
      <c r="T991" s="40" t="str">
        <f aca="false">IF($B991="","",IF($C991="","NIK kosong",IF(LEN($C991)&lt;&gt;16,"NIK bukan 16 digit",IF(COUNTIF($C$4:$C$2003,$C991&amp;"*")&gt;1,"NIK ganda",IF($E991="","Kadus kosong",IF($F991="","RT kosong",IF($H991="","Jabatan kosong",IF($I991="","No. HP kosong",IF($J991="","Alamat kosong",IF(AND($M991&lt;&gt;"",$M991&lt;17),"Usia di bawah 17",""))))))))))</f>
        <v/>
      </c>
      <c r="U991" s="40" t="str">
        <f aca="false">IF($B991="","",IF(AND(OR(CARI!$C$5="",ISNUMBER(SEARCH(CARI!$C$5,$B991&amp;" "&amp;$C991&amp;" "&amp;$I991&amp;" "&amp;$J991&amp;" "&amp;$Q991))),OR(CARI!$C$6="",$E991=CARI!$C$6),OR(CARI!$C$7="",$F991=CARI!$C$7),OR(CARI!$C$8="",$O991=CARI!$C$8)),MAX($U$3:U990)+1,""))</f>
        <v/>
      </c>
      <c r="V991" s="40" t="str">
        <f aca="false">IF($T991="","",MAX($V$3:V990)+1)</f>
        <v/>
      </c>
      <c r="W991" s="40" t="str">
        <f aca="false">IF($E991="","",$E991&amp;"#"&amp;COUNTIF($E$4:$E991,$E991))</f>
        <v/>
      </c>
      <c r="X991" s="40" t="str">
        <f aca="false">IF($B991="","",IF(AND(OR(CETAK!$J$10="",$E991=CETAK!$J$10),OR(CETAK!$J$11="",$F991=CETAK!$J$11),OR(CETAK!$J$12="",$K991=CETAK!$J$12),OR(CETAK!$J$13="",$H991=CETAK!$J$13),OR(CETAK!$J$14="",$O991=CETAK!$J$14)),MAX($X$3:X990)+1,""))</f>
        <v/>
      </c>
      <c r="Y991" s="40" t="str">
        <f aca="false">IF($B991="","",IF(AND(OR(ABSENSI!$H$10="",$E991=ABSENSI!$H$10),OR(ABSENSI!$H$11="",$F991=ABSENSI!$H$11),OR(ABSENSI!$H$12="",$K991=ABSENSI!$H$12)),MAX($Y$3:Y990)+1,""))</f>
        <v/>
      </c>
      <c r="Z991" s="40" t="str">
        <f aca="false">IF($B991="","",IF(AND(OR(KARTU!$K$6="",$E991=KARTU!$K$6),OR(KARTU!$K$7="",$F991=KARTU!$K$7),OR(KARTU!$K$8="",$K991=KARTU!$K$8)),MAX($Z$3:Z990)+1,""))</f>
        <v/>
      </c>
    </row>
    <row r="992" customFormat="false" ht="15" hidden="false" customHeight="false" outlineLevel="0" collapsed="false">
      <c r="A992" s="36" t="str">
        <f aca="false">IF($B992="","",COUNTA($B$4:$B992))</f>
        <v/>
      </c>
      <c r="B992" s="37"/>
      <c r="C992" s="38"/>
      <c r="D992" s="39"/>
      <c r="E992" s="37"/>
      <c r="F992" s="39"/>
      <c r="G992" s="40" t="str">
        <f aca="false">IF(OR($E992="",$F992=""),"",$E992&amp;" - RT "&amp;$F992)</f>
        <v/>
      </c>
      <c r="H992" s="37"/>
      <c r="I992" s="38"/>
      <c r="J992" s="37"/>
      <c r="K992" s="39"/>
      <c r="L992" s="41"/>
      <c r="M992" s="36" t="str">
        <f aca="true">IF(OR($B992="",$L992=""),"",DATEDIF($L992,TODAY(),"Y"))</f>
        <v/>
      </c>
      <c r="N992" s="40" t="str">
        <f aca="false">IF($M992="","",INDEX(usia_label,MATCH($M992,usia_min,1)))</f>
        <v/>
      </c>
      <c r="O992" s="37"/>
      <c r="P992" s="41"/>
      <c r="Q992" s="37"/>
      <c r="R992" s="37"/>
      <c r="S992" s="40" t="str">
        <f aca="false">IF($G992="","",$G992&amp;"#"&amp;COUNTIF($G$4:$G992,$G992))</f>
        <v/>
      </c>
      <c r="T992" s="40" t="str">
        <f aca="false">IF($B992="","",IF($C992="","NIK kosong",IF(LEN($C992)&lt;&gt;16,"NIK bukan 16 digit",IF(COUNTIF($C$4:$C$2003,$C992&amp;"*")&gt;1,"NIK ganda",IF($E992="","Kadus kosong",IF($F992="","RT kosong",IF($H992="","Jabatan kosong",IF($I992="","No. HP kosong",IF($J992="","Alamat kosong",IF(AND($M992&lt;&gt;"",$M992&lt;17),"Usia di bawah 17",""))))))))))</f>
        <v/>
      </c>
      <c r="U992" s="40" t="str">
        <f aca="false">IF($B992="","",IF(AND(OR(CARI!$C$5="",ISNUMBER(SEARCH(CARI!$C$5,$B992&amp;" "&amp;$C992&amp;" "&amp;$I992&amp;" "&amp;$J992&amp;" "&amp;$Q992))),OR(CARI!$C$6="",$E992=CARI!$C$6),OR(CARI!$C$7="",$F992=CARI!$C$7),OR(CARI!$C$8="",$O992=CARI!$C$8)),MAX($U$3:U991)+1,""))</f>
        <v/>
      </c>
      <c r="V992" s="40" t="str">
        <f aca="false">IF($T992="","",MAX($V$3:V991)+1)</f>
        <v/>
      </c>
      <c r="W992" s="40" t="str">
        <f aca="false">IF($E992="","",$E992&amp;"#"&amp;COUNTIF($E$4:$E992,$E992))</f>
        <v/>
      </c>
      <c r="X992" s="40" t="str">
        <f aca="false">IF($B992="","",IF(AND(OR(CETAK!$J$10="",$E992=CETAK!$J$10),OR(CETAK!$J$11="",$F992=CETAK!$J$11),OR(CETAK!$J$12="",$K992=CETAK!$J$12),OR(CETAK!$J$13="",$H992=CETAK!$J$13),OR(CETAK!$J$14="",$O992=CETAK!$J$14)),MAX($X$3:X991)+1,""))</f>
        <v/>
      </c>
      <c r="Y992" s="40" t="str">
        <f aca="false">IF($B992="","",IF(AND(OR(ABSENSI!$H$10="",$E992=ABSENSI!$H$10),OR(ABSENSI!$H$11="",$F992=ABSENSI!$H$11),OR(ABSENSI!$H$12="",$K992=ABSENSI!$H$12)),MAX($Y$3:Y991)+1,""))</f>
        <v/>
      </c>
      <c r="Z992" s="40" t="str">
        <f aca="false">IF($B992="","",IF(AND(OR(KARTU!$K$6="",$E992=KARTU!$K$6),OR(KARTU!$K$7="",$F992=KARTU!$K$7),OR(KARTU!$K$8="",$K992=KARTU!$K$8)),MAX($Z$3:Z991)+1,""))</f>
        <v/>
      </c>
    </row>
    <row r="993" customFormat="false" ht="15" hidden="false" customHeight="false" outlineLevel="0" collapsed="false">
      <c r="A993" s="36" t="str">
        <f aca="false">IF($B993="","",COUNTA($B$4:$B993))</f>
        <v/>
      </c>
      <c r="B993" s="37"/>
      <c r="C993" s="38"/>
      <c r="D993" s="39"/>
      <c r="E993" s="37"/>
      <c r="F993" s="39"/>
      <c r="G993" s="40" t="str">
        <f aca="false">IF(OR($E993="",$F993=""),"",$E993&amp;" - RT "&amp;$F993)</f>
        <v/>
      </c>
      <c r="H993" s="37"/>
      <c r="I993" s="38"/>
      <c r="J993" s="37"/>
      <c r="K993" s="39"/>
      <c r="L993" s="41"/>
      <c r="M993" s="36" t="str">
        <f aca="true">IF(OR($B993="",$L993=""),"",DATEDIF($L993,TODAY(),"Y"))</f>
        <v/>
      </c>
      <c r="N993" s="40" t="str">
        <f aca="false">IF($M993="","",INDEX(usia_label,MATCH($M993,usia_min,1)))</f>
        <v/>
      </c>
      <c r="O993" s="37"/>
      <c r="P993" s="41"/>
      <c r="Q993" s="37"/>
      <c r="R993" s="37"/>
      <c r="S993" s="40" t="str">
        <f aca="false">IF($G993="","",$G993&amp;"#"&amp;COUNTIF($G$4:$G993,$G993))</f>
        <v/>
      </c>
      <c r="T993" s="40" t="str">
        <f aca="false">IF($B993="","",IF($C993="","NIK kosong",IF(LEN($C993)&lt;&gt;16,"NIK bukan 16 digit",IF(COUNTIF($C$4:$C$2003,$C993&amp;"*")&gt;1,"NIK ganda",IF($E993="","Kadus kosong",IF($F993="","RT kosong",IF($H993="","Jabatan kosong",IF($I993="","No. HP kosong",IF($J993="","Alamat kosong",IF(AND($M993&lt;&gt;"",$M993&lt;17),"Usia di bawah 17",""))))))))))</f>
        <v/>
      </c>
      <c r="U993" s="40" t="str">
        <f aca="false">IF($B993="","",IF(AND(OR(CARI!$C$5="",ISNUMBER(SEARCH(CARI!$C$5,$B993&amp;" "&amp;$C993&amp;" "&amp;$I993&amp;" "&amp;$J993&amp;" "&amp;$Q993))),OR(CARI!$C$6="",$E993=CARI!$C$6),OR(CARI!$C$7="",$F993=CARI!$C$7),OR(CARI!$C$8="",$O993=CARI!$C$8)),MAX($U$3:U992)+1,""))</f>
        <v/>
      </c>
      <c r="V993" s="40" t="str">
        <f aca="false">IF($T993="","",MAX($V$3:V992)+1)</f>
        <v/>
      </c>
      <c r="W993" s="40" t="str">
        <f aca="false">IF($E993="","",$E993&amp;"#"&amp;COUNTIF($E$4:$E993,$E993))</f>
        <v/>
      </c>
      <c r="X993" s="40" t="str">
        <f aca="false">IF($B993="","",IF(AND(OR(CETAK!$J$10="",$E993=CETAK!$J$10),OR(CETAK!$J$11="",$F993=CETAK!$J$11),OR(CETAK!$J$12="",$K993=CETAK!$J$12),OR(CETAK!$J$13="",$H993=CETAK!$J$13),OR(CETAK!$J$14="",$O993=CETAK!$J$14)),MAX($X$3:X992)+1,""))</f>
        <v/>
      </c>
      <c r="Y993" s="40" t="str">
        <f aca="false">IF($B993="","",IF(AND(OR(ABSENSI!$H$10="",$E993=ABSENSI!$H$10),OR(ABSENSI!$H$11="",$F993=ABSENSI!$H$11),OR(ABSENSI!$H$12="",$K993=ABSENSI!$H$12)),MAX($Y$3:Y992)+1,""))</f>
        <v/>
      </c>
      <c r="Z993" s="40" t="str">
        <f aca="false">IF($B993="","",IF(AND(OR(KARTU!$K$6="",$E993=KARTU!$K$6),OR(KARTU!$K$7="",$F993=KARTU!$K$7),OR(KARTU!$K$8="",$K993=KARTU!$K$8)),MAX($Z$3:Z992)+1,""))</f>
        <v/>
      </c>
    </row>
    <row r="994" customFormat="false" ht="15" hidden="false" customHeight="false" outlineLevel="0" collapsed="false">
      <c r="A994" s="36" t="str">
        <f aca="false">IF($B994="","",COUNTA($B$4:$B994))</f>
        <v/>
      </c>
      <c r="B994" s="37"/>
      <c r="C994" s="38"/>
      <c r="D994" s="39"/>
      <c r="E994" s="37"/>
      <c r="F994" s="39"/>
      <c r="G994" s="40" t="str">
        <f aca="false">IF(OR($E994="",$F994=""),"",$E994&amp;" - RT "&amp;$F994)</f>
        <v/>
      </c>
      <c r="H994" s="37"/>
      <c r="I994" s="38"/>
      <c r="J994" s="37"/>
      <c r="K994" s="39"/>
      <c r="L994" s="41"/>
      <c r="M994" s="36" t="str">
        <f aca="true">IF(OR($B994="",$L994=""),"",DATEDIF($L994,TODAY(),"Y"))</f>
        <v/>
      </c>
      <c r="N994" s="40" t="str">
        <f aca="false">IF($M994="","",INDEX(usia_label,MATCH($M994,usia_min,1)))</f>
        <v/>
      </c>
      <c r="O994" s="37"/>
      <c r="P994" s="41"/>
      <c r="Q994" s="37"/>
      <c r="R994" s="37"/>
      <c r="S994" s="40" t="str">
        <f aca="false">IF($G994="","",$G994&amp;"#"&amp;COUNTIF($G$4:$G994,$G994))</f>
        <v/>
      </c>
      <c r="T994" s="40" t="str">
        <f aca="false">IF($B994="","",IF($C994="","NIK kosong",IF(LEN($C994)&lt;&gt;16,"NIK bukan 16 digit",IF(COUNTIF($C$4:$C$2003,$C994&amp;"*")&gt;1,"NIK ganda",IF($E994="","Kadus kosong",IF($F994="","RT kosong",IF($H994="","Jabatan kosong",IF($I994="","No. HP kosong",IF($J994="","Alamat kosong",IF(AND($M994&lt;&gt;"",$M994&lt;17),"Usia di bawah 17",""))))))))))</f>
        <v/>
      </c>
      <c r="U994" s="40" t="str">
        <f aca="false">IF($B994="","",IF(AND(OR(CARI!$C$5="",ISNUMBER(SEARCH(CARI!$C$5,$B994&amp;" "&amp;$C994&amp;" "&amp;$I994&amp;" "&amp;$J994&amp;" "&amp;$Q994))),OR(CARI!$C$6="",$E994=CARI!$C$6),OR(CARI!$C$7="",$F994=CARI!$C$7),OR(CARI!$C$8="",$O994=CARI!$C$8)),MAX($U$3:U993)+1,""))</f>
        <v/>
      </c>
      <c r="V994" s="40" t="str">
        <f aca="false">IF($T994="","",MAX($V$3:V993)+1)</f>
        <v/>
      </c>
      <c r="W994" s="40" t="str">
        <f aca="false">IF($E994="","",$E994&amp;"#"&amp;COUNTIF($E$4:$E994,$E994))</f>
        <v/>
      </c>
      <c r="X994" s="40" t="str">
        <f aca="false">IF($B994="","",IF(AND(OR(CETAK!$J$10="",$E994=CETAK!$J$10),OR(CETAK!$J$11="",$F994=CETAK!$J$11),OR(CETAK!$J$12="",$K994=CETAK!$J$12),OR(CETAK!$J$13="",$H994=CETAK!$J$13),OR(CETAK!$J$14="",$O994=CETAK!$J$14)),MAX($X$3:X993)+1,""))</f>
        <v/>
      </c>
      <c r="Y994" s="40" t="str">
        <f aca="false">IF($B994="","",IF(AND(OR(ABSENSI!$H$10="",$E994=ABSENSI!$H$10),OR(ABSENSI!$H$11="",$F994=ABSENSI!$H$11),OR(ABSENSI!$H$12="",$K994=ABSENSI!$H$12)),MAX($Y$3:Y993)+1,""))</f>
        <v/>
      </c>
      <c r="Z994" s="40" t="str">
        <f aca="false">IF($B994="","",IF(AND(OR(KARTU!$K$6="",$E994=KARTU!$K$6),OR(KARTU!$K$7="",$F994=KARTU!$K$7),OR(KARTU!$K$8="",$K994=KARTU!$K$8)),MAX($Z$3:Z993)+1,""))</f>
        <v/>
      </c>
    </row>
    <row r="995" customFormat="false" ht="15" hidden="false" customHeight="false" outlineLevel="0" collapsed="false">
      <c r="A995" s="36" t="str">
        <f aca="false">IF($B995="","",COUNTA($B$4:$B995))</f>
        <v/>
      </c>
      <c r="B995" s="37"/>
      <c r="C995" s="38"/>
      <c r="D995" s="39"/>
      <c r="E995" s="37"/>
      <c r="F995" s="39"/>
      <c r="G995" s="40" t="str">
        <f aca="false">IF(OR($E995="",$F995=""),"",$E995&amp;" - RT "&amp;$F995)</f>
        <v/>
      </c>
      <c r="H995" s="37"/>
      <c r="I995" s="38"/>
      <c r="J995" s="37"/>
      <c r="K995" s="39"/>
      <c r="L995" s="41"/>
      <c r="M995" s="36" t="str">
        <f aca="true">IF(OR($B995="",$L995=""),"",DATEDIF($L995,TODAY(),"Y"))</f>
        <v/>
      </c>
      <c r="N995" s="40" t="str">
        <f aca="false">IF($M995="","",INDEX(usia_label,MATCH($M995,usia_min,1)))</f>
        <v/>
      </c>
      <c r="O995" s="37"/>
      <c r="P995" s="41"/>
      <c r="Q995" s="37"/>
      <c r="R995" s="37"/>
      <c r="S995" s="40" t="str">
        <f aca="false">IF($G995="","",$G995&amp;"#"&amp;COUNTIF($G$4:$G995,$G995))</f>
        <v/>
      </c>
      <c r="T995" s="40" t="str">
        <f aca="false">IF($B995="","",IF($C995="","NIK kosong",IF(LEN($C995)&lt;&gt;16,"NIK bukan 16 digit",IF(COUNTIF($C$4:$C$2003,$C995&amp;"*")&gt;1,"NIK ganda",IF($E995="","Kadus kosong",IF($F995="","RT kosong",IF($H995="","Jabatan kosong",IF($I995="","No. HP kosong",IF($J995="","Alamat kosong",IF(AND($M995&lt;&gt;"",$M995&lt;17),"Usia di bawah 17",""))))))))))</f>
        <v/>
      </c>
      <c r="U995" s="40" t="str">
        <f aca="false">IF($B995="","",IF(AND(OR(CARI!$C$5="",ISNUMBER(SEARCH(CARI!$C$5,$B995&amp;" "&amp;$C995&amp;" "&amp;$I995&amp;" "&amp;$J995&amp;" "&amp;$Q995))),OR(CARI!$C$6="",$E995=CARI!$C$6),OR(CARI!$C$7="",$F995=CARI!$C$7),OR(CARI!$C$8="",$O995=CARI!$C$8)),MAX($U$3:U994)+1,""))</f>
        <v/>
      </c>
      <c r="V995" s="40" t="str">
        <f aca="false">IF($T995="","",MAX($V$3:V994)+1)</f>
        <v/>
      </c>
      <c r="W995" s="40" t="str">
        <f aca="false">IF($E995="","",$E995&amp;"#"&amp;COUNTIF($E$4:$E995,$E995))</f>
        <v/>
      </c>
      <c r="X995" s="40" t="str">
        <f aca="false">IF($B995="","",IF(AND(OR(CETAK!$J$10="",$E995=CETAK!$J$10),OR(CETAK!$J$11="",$F995=CETAK!$J$11),OR(CETAK!$J$12="",$K995=CETAK!$J$12),OR(CETAK!$J$13="",$H995=CETAK!$J$13),OR(CETAK!$J$14="",$O995=CETAK!$J$14)),MAX($X$3:X994)+1,""))</f>
        <v/>
      </c>
      <c r="Y995" s="40" t="str">
        <f aca="false">IF($B995="","",IF(AND(OR(ABSENSI!$H$10="",$E995=ABSENSI!$H$10),OR(ABSENSI!$H$11="",$F995=ABSENSI!$H$11),OR(ABSENSI!$H$12="",$K995=ABSENSI!$H$12)),MAX($Y$3:Y994)+1,""))</f>
        <v/>
      </c>
      <c r="Z995" s="40" t="str">
        <f aca="false">IF($B995="","",IF(AND(OR(KARTU!$K$6="",$E995=KARTU!$K$6),OR(KARTU!$K$7="",$F995=KARTU!$K$7),OR(KARTU!$K$8="",$K995=KARTU!$K$8)),MAX($Z$3:Z994)+1,""))</f>
        <v/>
      </c>
    </row>
    <row r="996" customFormat="false" ht="15" hidden="false" customHeight="false" outlineLevel="0" collapsed="false">
      <c r="A996" s="36" t="str">
        <f aca="false">IF($B996="","",COUNTA($B$4:$B996))</f>
        <v/>
      </c>
      <c r="B996" s="37"/>
      <c r="C996" s="38"/>
      <c r="D996" s="39"/>
      <c r="E996" s="37"/>
      <c r="F996" s="39"/>
      <c r="G996" s="40" t="str">
        <f aca="false">IF(OR($E996="",$F996=""),"",$E996&amp;" - RT "&amp;$F996)</f>
        <v/>
      </c>
      <c r="H996" s="37"/>
      <c r="I996" s="38"/>
      <c r="J996" s="37"/>
      <c r="K996" s="39"/>
      <c r="L996" s="41"/>
      <c r="M996" s="36" t="str">
        <f aca="true">IF(OR($B996="",$L996=""),"",DATEDIF($L996,TODAY(),"Y"))</f>
        <v/>
      </c>
      <c r="N996" s="40" t="str">
        <f aca="false">IF($M996="","",INDEX(usia_label,MATCH($M996,usia_min,1)))</f>
        <v/>
      </c>
      <c r="O996" s="37"/>
      <c r="P996" s="41"/>
      <c r="Q996" s="37"/>
      <c r="R996" s="37"/>
      <c r="S996" s="40" t="str">
        <f aca="false">IF($G996="","",$G996&amp;"#"&amp;COUNTIF($G$4:$G996,$G996))</f>
        <v/>
      </c>
      <c r="T996" s="40" t="str">
        <f aca="false">IF($B996="","",IF($C996="","NIK kosong",IF(LEN($C996)&lt;&gt;16,"NIK bukan 16 digit",IF(COUNTIF($C$4:$C$2003,$C996&amp;"*")&gt;1,"NIK ganda",IF($E996="","Kadus kosong",IF($F996="","RT kosong",IF($H996="","Jabatan kosong",IF($I996="","No. HP kosong",IF($J996="","Alamat kosong",IF(AND($M996&lt;&gt;"",$M996&lt;17),"Usia di bawah 17",""))))))))))</f>
        <v/>
      </c>
      <c r="U996" s="40" t="str">
        <f aca="false">IF($B996="","",IF(AND(OR(CARI!$C$5="",ISNUMBER(SEARCH(CARI!$C$5,$B996&amp;" "&amp;$C996&amp;" "&amp;$I996&amp;" "&amp;$J996&amp;" "&amp;$Q996))),OR(CARI!$C$6="",$E996=CARI!$C$6),OR(CARI!$C$7="",$F996=CARI!$C$7),OR(CARI!$C$8="",$O996=CARI!$C$8)),MAX($U$3:U995)+1,""))</f>
        <v/>
      </c>
      <c r="V996" s="40" t="str">
        <f aca="false">IF($T996="","",MAX($V$3:V995)+1)</f>
        <v/>
      </c>
      <c r="W996" s="40" t="str">
        <f aca="false">IF($E996="","",$E996&amp;"#"&amp;COUNTIF($E$4:$E996,$E996))</f>
        <v/>
      </c>
      <c r="X996" s="40" t="str">
        <f aca="false">IF($B996="","",IF(AND(OR(CETAK!$J$10="",$E996=CETAK!$J$10),OR(CETAK!$J$11="",$F996=CETAK!$J$11),OR(CETAK!$J$12="",$K996=CETAK!$J$12),OR(CETAK!$J$13="",$H996=CETAK!$J$13),OR(CETAK!$J$14="",$O996=CETAK!$J$14)),MAX($X$3:X995)+1,""))</f>
        <v/>
      </c>
      <c r="Y996" s="40" t="str">
        <f aca="false">IF($B996="","",IF(AND(OR(ABSENSI!$H$10="",$E996=ABSENSI!$H$10),OR(ABSENSI!$H$11="",$F996=ABSENSI!$H$11),OR(ABSENSI!$H$12="",$K996=ABSENSI!$H$12)),MAX($Y$3:Y995)+1,""))</f>
        <v/>
      </c>
      <c r="Z996" s="40" t="str">
        <f aca="false">IF($B996="","",IF(AND(OR(KARTU!$K$6="",$E996=KARTU!$K$6),OR(KARTU!$K$7="",$F996=KARTU!$K$7),OR(KARTU!$K$8="",$K996=KARTU!$K$8)),MAX($Z$3:Z995)+1,""))</f>
        <v/>
      </c>
    </row>
    <row r="997" customFormat="false" ht="15" hidden="false" customHeight="false" outlineLevel="0" collapsed="false">
      <c r="A997" s="36" t="str">
        <f aca="false">IF($B997="","",COUNTA($B$4:$B997))</f>
        <v/>
      </c>
      <c r="B997" s="37"/>
      <c r="C997" s="38"/>
      <c r="D997" s="39"/>
      <c r="E997" s="37"/>
      <c r="F997" s="39"/>
      <c r="G997" s="40" t="str">
        <f aca="false">IF(OR($E997="",$F997=""),"",$E997&amp;" - RT "&amp;$F997)</f>
        <v/>
      </c>
      <c r="H997" s="37"/>
      <c r="I997" s="38"/>
      <c r="J997" s="37"/>
      <c r="K997" s="39"/>
      <c r="L997" s="41"/>
      <c r="M997" s="36" t="str">
        <f aca="true">IF(OR($B997="",$L997=""),"",DATEDIF($L997,TODAY(),"Y"))</f>
        <v/>
      </c>
      <c r="N997" s="40" t="str">
        <f aca="false">IF($M997="","",INDEX(usia_label,MATCH($M997,usia_min,1)))</f>
        <v/>
      </c>
      <c r="O997" s="37"/>
      <c r="P997" s="41"/>
      <c r="Q997" s="37"/>
      <c r="R997" s="37"/>
      <c r="S997" s="40" t="str">
        <f aca="false">IF($G997="","",$G997&amp;"#"&amp;COUNTIF($G$4:$G997,$G997))</f>
        <v/>
      </c>
      <c r="T997" s="40" t="str">
        <f aca="false">IF($B997="","",IF($C997="","NIK kosong",IF(LEN($C997)&lt;&gt;16,"NIK bukan 16 digit",IF(COUNTIF($C$4:$C$2003,$C997&amp;"*")&gt;1,"NIK ganda",IF($E997="","Kadus kosong",IF($F997="","RT kosong",IF($H997="","Jabatan kosong",IF($I997="","No. HP kosong",IF($J997="","Alamat kosong",IF(AND($M997&lt;&gt;"",$M997&lt;17),"Usia di bawah 17",""))))))))))</f>
        <v/>
      </c>
      <c r="U997" s="40" t="str">
        <f aca="false">IF($B997="","",IF(AND(OR(CARI!$C$5="",ISNUMBER(SEARCH(CARI!$C$5,$B997&amp;" "&amp;$C997&amp;" "&amp;$I997&amp;" "&amp;$J997&amp;" "&amp;$Q997))),OR(CARI!$C$6="",$E997=CARI!$C$6),OR(CARI!$C$7="",$F997=CARI!$C$7),OR(CARI!$C$8="",$O997=CARI!$C$8)),MAX($U$3:U996)+1,""))</f>
        <v/>
      </c>
      <c r="V997" s="40" t="str">
        <f aca="false">IF($T997="","",MAX($V$3:V996)+1)</f>
        <v/>
      </c>
      <c r="W997" s="40" t="str">
        <f aca="false">IF($E997="","",$E997&amp;"#"&amp;COUNTIF($E$4:$E997,$E997))</f>
        <v/>
      </c>
      <c r="X997" s="40" t="str">
        <f aca="false">IF($B997="","",IF(AND(OR(CETAK!$J$10="",$E997=CETAK!$J$10),OR(CETAK!$J$11="",$F997=CETAK!$J$11),OR(CETAK!$J$12="",$K997=CETAK!$J$12),OR(CETAK!$J$13="",$H997=CETAK!$J$13),OR(CETAK!$J$14="",$O997=CETAK!$J$14)),MAX($X$3:X996)+1,""))</f>
        <v/>
      </c>
      <c r="Y997" s="40" t="str">
        <f aca="false">IF($B997="","",IF(AND(OR(ABSENSI!$H$10="",$E997=ABSENSI!$H$10),OR(ABSENSI!$H$11="",$F997=ABSENSI!$H$11),OR(ABSENSI!$H$12="",$K997=ABSENSI!$H$12)),MAX($Y$3:Y996)+1,""))</f>
        <v/>
      </c>
      <c r="Z997" s="40" t="str">
        <f aca="false">IF($B997="","",IF(AND(OR(KARTU!$K$6="",$E997=KARTU!$K$6),OR(KARTU!$K$7="",$F997=KARTU!$K$7),OR(KARTU!$K$8="",$K997=KARTU!$K$8)),MAX($Z$3:Z996)+1,""))</f>
        <v/>
      </c>
    </row>
    <row r="998" customFormat="false" ht="15" hidden="false" customHeight="false" outlineLevel="0" collapsed="false">
      <c r="A998" s="36" t="str">
        <f aca="false">IF($B998="","",COUNTA($B$4:$B998))</f>
        <v/>
      </c>
      <c r="B998" s="37"/>
      <c r="C998" s="38"/>
      <c r="D998" s="39"/>
      <c r="E998" s="37"/>
      <c r="F998" s="39"/>
      <c r="G998" s="40" t="str">
        <f aca="false">IF(OR($E998="",$F998=""),"",$E998&amp;" - RT "&amp;$F998)</f>
        <v/>
      </c>
      <c r="H998" s="37"/>
      <c r="I998" s="38"/>
      <c r="J998" s="37"/>
      <c r="K998" s="39"/>
      <c r="L998" s="41"/>
      <c r="M998" s="36" t="str">
        <f aca="true">IF(OR($B998="",$L998=""),"",DATEDIF($L998,TODAY(),"Y"))</f>
        <v/>
      </c>
      <c r="N998" s="40" t="str">
        <f aca="false">IF($M998="","",INDEX(usia_label,MATCH($M998,usia_min,1)))</f>
        <v/>
      </c>
      <c r="O998" s="37"/>
      <c r="P998" s="41"/>
      <c r="Q998" s="37"/>
      <c r="R998" s="37"/>
      <c r="S998" s="40" t="str">
        <f aca="false">IF($G998="","",$G998&amp;"#"&amp;COUNTIF($G$4:$G998,$G998))</f>
        <v/>
      </c>
      <c r="T998" s="40" t="str">
        <f aca="false">IF($B998="","",IF($C998="","NIK kosong",IF(LEN($C998)&lt;&gt;16,"NIK bukan 16 digit",IF(COUNTIF($C$4:$C$2003,$C998&amp;"*")&gt;1,"NIK ganda",IF($E998="","Kadus kosong",IF($F998="","RT kosong",IF($H998="","Jabatan kosong",IF($I998="","No. HP kosong",IF($J998="","Alamat kosong",IF(AND($M998&lt;&gt;"",$M998&lt;17),"Usia di bawah 17",""))))))))))</f>
        <v/>
      </c>
      <c r="U998" s="40" t="str">
        <f aca="false">IF($B998="","",IF(AND(OR(CARI!$C$5="",ISNUMBER(SEARCH(CARI!$C$5,$B998&amp;" "&amp;$C998&amp;" "&amp;$I998&amp;" "&amp;$J998&amp;" "&amp;$Q998))),OR(CARI!$C$6="",$E998=CARI!$C$6),OR(CARI!$C$7="",$F998=CARI!$C$7),OR(CARI!$C$8="",$O998=CARI!$C$8)),MAX($U$3:U997)+1,""))</f>
        <v/>
      </c>
      <c r="V998" s="40" t="str">
        <f aca="false">IF($T998="","",MAX($V$3:V997)+1)</f>
        <v/>
      </c>
      <c r="W998" s="40" t="str">
        <f aca="false">IF($E998="","",$E998&amp;"#"&amp;COUNTIF($E$4:$E998,$E998))</f>
        <v/>
      </c>
      <c r="X998" s="40" t="str">
        <f aca="false">IF($B998="","",IF(AND(OR(CETAK!$J$10="",$E998=CETAK!$J$10),OR(CETAK!$J$11="",$F998=CETAK!$J$11),OR(CETAK!$J$12="",$K998=CETAK!$J$12),OR(CETAK!$J$13="",$H998=CETAK!$J$13),OR(CETAK!$J$14="",$O998=CETAK!$J$14)),MAX($X$3:X997)+1,""))</f>
        <v/>
      </c>
      <c r="Y998" s="40" t="str">
        <f aca="false">IF($B998="","",IF(AND(OR(ABSENSI!$H$10="",$E998=ABSENSI!$H$10),OR(ABSENSI!$H$11="",$F998=ABSENSI!$H$11),OR(ABSENSI!$H$12="",$K998=ABSENSI!$H$12)),MAX($Y$3:Y997)+1,""))</f>
        <v/>
      </c>
      <c r="Z998" s="40" t="str">
        <f aca="false">IF($B998="","",IF(AND(OR(KARTU!$K$6="",$E998=KARTU!$K$6),OR(KARTU!$K$7="",$F998=KARTU!$K$7),OR(KARTU!$K$8="",$K998=KARTU!$K$8)),MAX($Z$3:Z997)+1,""))</f>
        <v/>
      </c>
    </row>
    <row r="999" customFormat="false" ht="15" hidden="false" customHeight="false" outlineLevel="0" collapsed="false">
      <c r="A999" s="36" t="str">
        <f aca="false">IF($B999="","",COUNTA($B$4:$B999))</f>
        <v/>
      </c>
      <c r="B999" s="37"/>
      <c r="C999" s="38"/>
      <c r="D999" s="39"/>
      <c r="E999" s="37"/>
      <c r="F999" s="39"/>
      <c r="G999" s="40" t="str">
        <f aca="false">IF(OR($E999="",$F999=""),"",$E999&amp;" - RT "&amp;$F999)</f>
        <v/>
      </c>
      <c r="H999" s="37"/>
      <c r="I999" s="38"/>
      <c r="J999" s="37"/>
      <c r="K999" s="39"/>
      <c r="L999" s="41"/>
      <c r="M999" s="36" t="str">
        <f aca="true">IF(OR($B999="",$L999=""),"",DATEDIF($L999,TODAY(),"Y"))</f>
        <v/>
      </c>
      <c r="N999" s="40" t="str">
        <f aca="false">IF($M999="","",INDEX(usia_label,MATCH($M999,usia_min,1)))</f>
        <v/>
      </c>
      <c r="O999" s="37"/>
      <c r="P999" s="41"/>
      <c r="Q999" s="37"/>
      <c r="R999" s="37"/>
      <c r="S999" s="40" t="str">
        <f aca="false">IF($G999="","",$G999&amp;"#"&amp;COUNTIF($G$4:$G999,$G999))</f>
        <v/>
      </c>
      <c r="T999" s="40" t="str">
        <f aca="false">IF($B999="","",IF($C999="","NIK kosong",IF(LEN($C999)&lt;&gt;16,"NIK bukan 16 digit",IF(COUNTIF($C$4:$C$2003,$C999&amp;"*")&gt;1,"NIK ganda",IF($E999="","Kadus kosong",IF($F999="","RT kosong",IF($H999="","Jabatan kosong",IF($I999="","No. HP kosong",IF($J999="","Alamat kosong",IF(AND($M999&lt;&gt;"",$M999&lt;17),"Usia di bawah 17",""))))))))))</f>
        <v/>
      </c>
      <c r="U999" s="40" t="str">
        <f aca="false">IF($B999="","",IF(AND(OR(CARI!$C$5="",ISNUMBER(SEARCH(CARI!$C$5,$B999&amp;" "&amp;$C999&amp;" "&amp;$I999&amp;" "&amp;$J999&amp;" "&amp;$Q999))),OR(CARI!$C$6="",$E999=CARI!$C$6),OR(CARI!$C$7="",$F999=CARI!$C$7),OR(CARI!$C$8="",$O999=CARI!$C$8)),MAX($U$3:U998)+1,""))</f>
        <v/>
      </c>
      <c r="V999" s="40" t="str">
        <f aca="false">IF($T999="","",MAX($V$3:V998)+1)</f>
        <v/>
      </c>
      <c r="W999" s="40" t="str">
        <f aca="false">IF($E999="","",$E999&amp;"#"&amp;COUNTIF($E$4:$E999,$E999))</f>
        <v/>
      </c>
      <c r="X999" s="40" t="str">
        <f aca="false">IF($B999="","",IF(AND(OR(CETAK!$J$10="",$E999=CETAK!$J$10),OR(CETAK!$J$11="",$F999=CETAK!$J$11),OR(CETAK!$J$12="",$K999=CETAK!$J$12),OR(CETAK!$J$13="",$H999=CETAK!$J$13),OR(CETAK!$J$14="",$O999=CETAK!$J$14)),MAX($X$3:X998)+1,""))</f>
        <v/>
      </c>
      <c r="Y999" s="40" t="str">
        <f aca="false">IF($B999="","",IF(AND(OR(ABSENSI!$H$10="",$E999=ABSENSI!$H$10),OR(ABSENSI!$H$11="",$F999=ABSENSI!$H$11),OR(ABSENSI!$H$12="",$K999=ABSENSI!$H$12)),MAX($Y$3:Y998)+1,""))</f>
        <v/>
      </c>
      <c r="Z999" s="40" t="str">
        <f aca="false">IF($B999="","",IF(AND(OR(KARTU!$K$6="",$E999=KARTU!$K$6),OR(KARTU!$K$7="",$F999=KARTU!$K$7),OR(KARTU!$K$8="",$K999=KARTU!$K$8)),MAX($Z$3:Z998)+1,""))</f>
        <v/>
      </c>
    </row>
    <row r="1000" customFormat="false" ht="15" hidden="false" customHeight="false" outlineLevel="0" collapsed="false">
      <c r="A1000" s="36" t="str">
        <f aca="false">IF($B1000="","",COUNTA($B$4:$B1000))</f>
        <v/>
      </c>
      <c r="B1000" s="37"/>
      <c r="C1000" s="38"/>
      <c r="D1000" s="39"/>
      <c r="E1000" s="37"/>
      <c r="F1000" s="39"/>
      <c r="G1000" s="40" t="str">
        <f aca="false">IF(OR($E1000="",$F1000=""),"",$E1000&amp;" - RT "&amp;$F1000)</f>
        <v/>
      </c>
      <c r="H1000" s="37"/>
      <c r="I1000" s="38"/>
      <c r="J1000" s="37"/>
      <c r="K1000" s="39"/>
      <c r="L1000" s="41"/>
      <c r="M1000" s="36" t="str">
        <f aca="true">IF(OR($B1000="",$L1000=""),"",DATEDIF($L1000,TODAY(),"Y"))</f>
        <v/>
      </c>
      <c r="N1000" s="40" t="str">
        <f aca="false">IF($M1000="","",INDEX(usia_label,MATCH($M1000,usia_min,1)))</f>
        <v/>
      </c>
      <c r="O1000" s="37"/>
      <c r="P1000" s="41"/>
      <c r="Q1000" s="37"/>
      <c r="R1000" s="37"/>
      <c r="S1000" s="40" t="str">
        <f aca="false">IF($G1000="","",$G1000&amp;"#"&amp;COUNTIF($G$4:$G1000,$G1000))</f>
        <v/>
      </c>
      <c r="T1000" s="40" t="str">
        <f aca="false">IF($B1000="","",IF($C1000="","NIK kosong",IF(LEN($C1000)&lt;&gt;16,"NIK bukan 16 digit",IF(COUNTIF($C$4:$C$2003,$C1000&amp;"*")&gt;1,"NIK ganda",IF($E1000="","Kadus kosong",IF($F1000="","RT kosong",IF($H1000="","Jabatan kosong",IF($I1000="","No. HP kosong",IF($J1000="","Alamat kosong",IF(AND($M1000&lt;&gt;"",$M1000&lt;17),"Usia di bawah 17",""))))))))))</f>
        <v/>
      </c>
      <c r="U1000" s="40" t="str">
        <f aca="false">IF($B1000="","",IF(AND(OR(CARI!$C$5="",ISNUMBER(SEARCH(CARI!$C$5,$B1000&amp;" "&amp;$C1000&amp;" "&amp;$I1000&amp;" "&amp;$J1000&amp;" "&amp;$Q1000))),OR(CARI!$C$6="",$E1000=CARI!$C$6),OR(CARI!$C$7="",$F1000=CARI!$C$7),OR(CARI!$C$8="",$O1000=CARI!$C$8)),MAX($U$3:U999)+1,""))</f>
        <v/>
      </c>
      <c r="V1000" s="40" t="str">
        <f aca="false">IF($T1000="","",MAX($V$3:V999)+1)</f>
        <v/>
      </c>
      <c r="W1000" s="40" t="str">
        <f aca="false">IF($E1000="","",$E1000&amp;"#"&amp;COUNTIF($E$4:$E1000,$E1000))</f>
        <v/>
      </c>
      <c r="X1000" s="40" t="str">
        <f aca="false">IF($B1000="","",IF(AND(OR(CETAK!$J$10="",$E1000=CETAK!$J$10),OR(CETAK!$J$11="",$F1000=CETAK!$J$11),OR(CETAK!$J$12="",$K1000=CETAK!$J$12),OR(CETAK!$J$13="",$H1000=CETAK!$J$13),OR(CETAK!$J$14="",$O1000=CETAK!$J$14)),MAX($X$3:X999)+1,""))</f>
        <v/>
      </c>
      <c r="Y1000" s="40" t="str">
        <f aca="false">IF($B1000="","",IF(AND(OR(ABSENSI!$H$10="",$E1000=ABSENSI!$H$10),OR(ABSENSI!$H$11="",$F1000=ABSENSI!$H$11),OR(ABSENSI!$H$12="",$K1000=ABSENSI!$H$12)),MAX($Y$3:Y999)+1,""))</f>
        <v/>
      </c>
      <c r="Z1000" s="40" t="str">
        <f aca="false">IF($B1000="","",IF(AND(OR(KARTU!$K$6="",$E1000=KARTU!$K$6),OR(KARTU!$K$7="",$F1000=KARTU!$K$7),OR(KARTU!$K$8="",$K1000=KARTU!$K$8)),MAX($Z$3:Z999)+1,""))</f>
        <v/>
      </c>
    </row>
    <row r="1001" customFormat="false" ht="15" hidden="false" customHeight="false" outlineLevel="0" collapsed="false">
      <c r="A1001" s="36" t="str">
        <f aca="false">IF($B1001="","",COUNTA($B$4:$B1001))</f>
        <v/>
      </c>
      <c r="B1001" s="37"/>
      <c r="C1001" s="38"/>
      <c r="D1001" s="39"/>
      <c r="E1001" s="37"/>
      <c r="F1001" s="39"/>
      <c r="G1001" s="40" t="str">
        <f aca="false">IF(OR($E1001="",$F1001=""),"",$E1001&amp;" - RT "&amp;$F1001)</f>
        <v/>
      </c>
      <c r="H1001" s="37"/>
      <c r="I1001" s="38"/>
      <c r="J1001" s="37"/>
      <c r="K1001" s="39"/>
      <c r="L1001" s="41"/>
      <c r="M1001" s="36" t="str">
        <f aca="true">IF(OR($B1001="",$L1001=""),"",DATEDIF($L1001,TODAY(),"Y"))</f>
        <v/>
      </c>
      <c r="N1001" s="40" t="str">
        <f aca="false">IF($M1001="","",INDEX(usia_label,MATCH($M1001,usia_min,1)))</f>
        <v/>
      </c>
      <c r="O1001" s="37"/>
      <c r="P1001" s="41"/>
      <c r="Q1001" s="37"/>
      <c r="R1001" s="37"/>
      <c r="S1001" s="40" t="str">
        <f aca="false">IF($G1001="","",$G1001&amp;"#"&amp;COUNTIF($G$4:$G1001,$G1001))</f>
        <v/>
      </c>
      <c r="T1001" s="40" t="str">
        <f aca="false">IF($B1001="","",IF($C1001="","NIK kosong",IF(LEN($C1001)&lt;&gt;16,"NIK bukan 16 digit",IF(COUNTIF($C$4:$C$2003,$C1001&amp;"*")&gt;1,"NIK ganda",IF($E1001="","Kadus kosong",IF($F1001="","RT kosong",IF($H1001="","Jabatan kosong",IF($I1001="","No. HP kosong",IF($J1001="","Alamat kosong",IF(AND($M1001&lt;&gt;"",$M1001&lt;17),"Usia di bawah 17",""))))))))))</f>
        <v/>
      </c>
      <c r="U1001" s="40" t="str">
        <f aca="false">IF($B1001="","",IF(AND(OR(CARI!$C$5="",ISNUMBER(SEARCH(CARI!$C$5,$B1001&amp;" "&amp;$C1001&amp;" "&amp;$I1001&amp;" "&amp;$J1001&amp;" "&amp;$Q1001))),OR(CARI!$C$6="",$E1001=CARI!$C$6),OR(CARI!$C$7="",$F1001=CARI!$C$7),OR(CARI!$C$8="",$O1001=CARI!$C$8)),MAX($U$3:U1000)+1,""))</f>
        <v/>
      </c>
      <c r="V1001" s="40" t="str">
        <f aca="false">IF($T1001="","",MAX($V$3:V1000)+1)</f>
        <v/>
      </c>
      <c r="W1001" s="40" t="str">
        <f aca="false">IF($E1001="","",$E1001&amp;"#"&amp;COUNTIF($E$4:$E1001,$E1001))</f>
        <v/>
      </c>
      <c r="X1001" s="40" t="str">
        <f aca="false">IF($B1001="","",IF(AND(OR(CETAK!$J$10="",$E1001=CETAK!$J$10),OR(CETAK!$J$11="",$F1001=CETAK!$J$11),OR(CETAK!$J$12="",$K1001=CETAK!$J$12),OR(CETAK!$J$13="",$H1001=CETAK!$J$13),OR(CETAK!$J$14="",$O1001=CETAK!$J$14)),MAX($X$3:X1000)+1,""))</f>
        <v/>
      </c>
      <c r="Y1001" s="40" t="str">
        <f aca="false">IF($B1001="","",IF(AND(OR(ABSENSI!$H$10="",$E1001=ABSENSI!$H$10),OR(ABSENSI!$H$11="",$F1001=ABSENSI!$H$11),OR(ABSENSI!$H$12="",$K1001=ABSENSI!$H$12)),MAX($Y$3:Y1000)+1,""))</f>
        <v/>
      </c>
      <c r="Z1001" s="40" t="str">
        <f aca="false">IF($B1001="","",IF(AND(OR(KARTU!$K$6="",$E1001=KARTU!$K$6),OR(KARTU!$K$7="",$F1001=KARTU!$K$7),OR(KARTU!$K$8="",$K1001=KARTU!$K$8)),MAX($Z$3:Z1000)+1,""))</f>
        <v/>
      </c>
    </row>
    <row r="1002" customFormat="false" ht="15" hidden="false" customHeight="false" outlineLevel="0" collapsed="false">
      <c r="A1002" s="36" t="str">
        <f aca="false">IF($B1002="","",COUNTA($B$4:$B1002))</f>
        <v/>
      </c>
      <c r="B1002" s="37"/>
      <c r="C1002" s="38"/>
      <c r="D1002" s="39"/>
      <c r="E1002" s="37"/>
      <c r="F1002" s="39"/>
      <c r="G1002" s="40" t="str">
        <f aca="false">IF(OR($E1002="",$F1002=""),"",$E1002&amp;" - RT "&amp;$F1002)</f>
        <v/>
      </c>
      <c r="H1002" s="37"/>
      <c r="I1002" s="38"/>
      <c r="J1002" s="37"/>
      <c r="K1002" s="39"/>
      <c r="L1002" s="41"/>
      <c r="M1002" s="36" t="str">
        <f aca="true">IF(OR($B1002="",$L1002=""),"",DATEDIF($L1002,TODAY(),"Y"))</f>
        <v/>
      </c>
      <c r="N1002" s="40" t="str">
        <f aca="false">IF($M1002="","",INDEX(usia_label,MATCH($M1002,usia_min,1)))</f>
        <v/>
      </c>
      <c r="O1002" s="37"/>
      <c r="P1002" s="41"/>
      <c r="Q1002" s="37"/>
      <c r="R1002" s="37"/>
      <c r="S1002" s="40" t="str">
        <f aca="false">IF($G1002="","",$G1002&amp;"#"&amp;COUNTIF($G$4:$G1002,$G1002))</f>
        <v/>
      </c>
      <c r="T1002" s="40" t="str">
        <f aca="false">IF($B1002="","",IF($C1002="","NIK kosong",IF(LEN($C1002)&lt;&gt;16,"NIK bukan 16 digit",IF(COUNTIF($C$4:$C$2003,$C1002&amp;"*")&gt;1,"NIK ganda",IF($E1002="","Kadus kosong",IF($F1002="","RT kosong",IF($H1002="","Jabatan kosong",IF($I1002="","No. HP kosong",IF($J1002="","Alamat kosong",IF(AND($M1002&lt;&gt;"",$M1002&lt;17),"Usia di bawah 17",""))))))))))</f>
        <v/>
      </c>
      <c r="U1002" s="40" t="str">
        <f aca="false">IF($B1002="","",IF(AND(OR(CARI!$C$5="",ISNUMBER(SEARCH(CARI!$C$5,$B1002&amp;" "&amp;$C1002&amp;" "&amp;$I1002&amp;" "&amp;$J1002&amp;" "&amp;$Q1002))),OR(CARI!$C$6="",$E1002=CARI!$C$6),OR(CARI!$C$7="",$F1002=CARI!$C$7),OR(CARI!$C$8="",$O1002=CARI!$C$8)),MAX($U$3:U1001)+1,""))</f>
        <v/>
      </c>
      <c r="V1002" s="40" t="str">
        <f aca="false">IF($T1002="","",MAX($V$3:V1001)+1)</f>
        <v/>
      </c>
      <c r="W1002" s="40" t="str">
        <f aca="false">IF($E1002="","",$E1002&amp;"#"&amp;COUNTIF($E$4:$E1002,$E1002))</f>
        <v/>
      </c>
      <c r="X1002" s="40" t="str">
        <f aca="false">IF($B1002="","",IF(AND(OR(CETAK!$J$10="",$E1002=CETAK!$J$10),OR(CETAK!$J$11="",$F1002=CETAK!$J$11),OR(CETAK!$J$12="",$K1002=CETAK!$J$12),OR(CETAK!$J$13="",$H1002=CETAK!$J$13),OR(CETAK!$J$14="",$O1002=CETAK!$J$14)),MAX($X$3:X1001)+1,""))</f>
        <v/>
      </c>
      <c r="Y1002" s="40" t="str">
        <f aca="false">IF($B1002="","",IF(AND(OR(ABSENSI!$H$10="",$E1002=ABSENSI!$H$10),OR(ABSENSI!$H$11="",$F1002=ABSENSI!$H$11),OR(ABSENSI!$H$12="",$K1002=ABSENSI!$H$12)),MAX($Y$3:Y1001)+1,""))</f>
        <v/>
      </c>
      <c r="Z1002" s="40" t="str">
        <f aca="false">IF($B1002="","",IF(AND(OR(KARTU!$K$6="",$E1002=KARTU!$K$6),OR(KARTU!$K$7="",$F1002=KARTU!$K$7),OR(KARTU!$K$8="",$K1002=KARTU!$K$8)),MAX($Z$3:Z1001)+1,""))</f>
        <v/>
      </c>
    </row>
    <row r="1003" customFormat="false" ht="15" hidden="false" customHeight="false" outlineLevel="0" collapsed="false">
      <c r="A1003" s="36" t="str">
        <f aca="false">IF($B1003="","",COUNTA($B$4:$B1003))</f>
        <v/>
      </c>
      <c r="B1003" s="37"/>
      <c r="C1003" s="38"/>
      <c r="D1003" s="39"/>
      <c r="E1003" s="37"/>
      <c r="F1003" s="39"/>
      <c r="G1003" s="40" t="str">
        <f aca="false">IF(OR($E1003="",$F1003=""),"",$E1003&amp;" - RT "&amp;$F1003)</f>
        <v/>
      </c>
      <c r="H1003" s="37"/>
      <c r="I1003" s="38"/>
      <c r="J1003" s="37"/>
      <c r="K1003" s="39"/>
      <c r="L1003" s="41"/>
      <c r="M1003" s="36" t="str">
        <f aca="true">IF(OR($B1003="",$L1003=""),"",DATEDIF($L1003,TODAY(),"Y"))</f>
        <v/>
      </c>
      <c r="N1003" s="40" t="str">
        <f aca="false">IF($M1003="","",INDEX(usia_label,MATCH($M1003,usia_min,1)))</f>
        <v/>
      </c>
      <c r="O1003" s="37"/>
      <c r="P1003" s="41"/>
      <c r="Q1003" s="37"/>
      <c r="R1003" s="37"/>
      <c r="S1003" s="40" t="str">
        <f aca="false">IF($G1003="","",$G1003&amp;"#"&amp;COUNTIF($G$4:$G1003,$G1003))</f>
        <v/>
      </c>
      <c r="T1003" s="40" t="str">
        <f aca="false">IF($B1003="","",IF($C1003="","NIK kosong",IF(LEN($C1003)&lt;&gt;16,"NIK bukan 16 digit",IF(COUNTIF($C$4:$C$2003,$C1003&amp;"*")&gt;1,"NIK ganda",IF($E1003="","Kadus kosong",IF($F1003="","RT kosong",IF($H1003="","Jabatan kosong",IF($I1003="","No. HP kosong",IF($J1003="","Alamat kosong",IF(AND($M1003&lt;&gt;"",$M1003&lt;17),"Usia di bawah 17",""))))))))))</f>
        <v/>
      </c>
      <c r="U1003" s="40" t="str">
        <f aca="false">IF($B1003="","",IF(AND(OR(CARI!$C$5="",ISNUMBER(SEARCH(CARI!$C$5,$B1003&amp;" "&amp;$C1003&amp;" "&amp;$I1003&amp;" "&amp;$J1003&amp;" "&amp;$Q1003))),OR(CARI!$C$6="",$E1003=CARI!$C$6),OR(CARI!$C$7="",$F1003=CARI!$C$7),OR(CARI!$C$8="",$O1003=CARI!$C$8)),MAX($U$3:U1002)+1,""))</f>
        <v/>
      </c>
      <c r="V1003" s="40" t="str">
        <f aca="false">IF($T1003="","",MAX($V$3:V1002)+1)</f>
        <v/>
      </c>
      <c r="W1003" s="40" t="str">
        <f aca="false">IF($E1003="","",$E1003&amp;"#"&amp;COUNTIF($E$4:$E1003,$E1003))</f>
        <v/>
      </c>
      <c r="X1003" s="40" t="str">
        <f aca="false">IF($B1003="","",IF(AND(OR(CETAK!$J$10="",$E1003=CETAK!$J$10),OR(CETAK!$J$11="",$F1003=CETAK!$J$11),OR(CETAK!$J$12="",$K1003=CETAK!$J$12),OR(CETAK!$J$13="",$H1003=CETAK!$J$13),OR(CETAK!$J$14="",$O1003=CETAK!$J$14)),MAX($X$3:X1002)+1,""))</f>
        <v/>
      </c>
      <c r="Y1003" s="40" t="str">
        <f aca="false">IF($B1003="","",IF(AND(OR(ABSENSI!$H$10="",$E1003=ABSENSI!$H$10),OR(ABSENSI!$H$11="",$F1003=ABSENSI!$H$11),OR(ABSENSI!$H$12="",$K1003=ABSENSI!$H$12)),MAX($Y$3:Y1002)+1,""))</f>
        <v/>
      </c>
      <c r="Z1003" s="40" t="str">
        <f aca="false">IF($B1003="","",IF(AND(OR(KARTU!$K$6="",$E1003=KARTU!$K$6),OR(KARTU!$K$7="",$F1003=KARTU!$K$7),OR(KARTU!$K$8="",$K1003=KARTU!$K$8)),MAX($Z$3:Z1002)+1,""))</f>
        <v/>
      </c>
    </row>
    <row r="1004" customFormat="false" ht="15" hidden="false" customHeight="false" outlineLevel="0" collapsed="false">
      <c r="A1004" s="36" t="str">
        <f aca="false">IF($B1004="","",COUNTA($B$4:$B1004))</f>
        <v/>
      </c>
      <c r="B1004" s="37"/>
      <c r="C1004" s="38"/>
      <c r="D1004" s="39"/>
      <c r="E1004" s="37"/>
      <c r="F1004" s="39"/>
      <c r="G1004" s="40" t="str">
        <f aca="false">IF(OR($E1004="",$F1004=""),"",$E1004&amp;" - RT "&amp;$F1004)</f>
        <v/>
      </c>
      <c r="H1004" s="37"/>
      <c r="I1004" s="38"/>
      <c r="J1004" s="37"/>
      <c r="K1004" s="39"/>
      <c r="L1004" s="41"/>
      <c r="M1004" s="36" t="str">
        <f aca="true">IF(OR($B1004="",$L1004=""),"",DATEDIF($L1004,TODAY(),"Y"))</f>
        <v/>
      </c>
      <c r="N1004" s="40" t="str">
        <f aca="false">IF($M1004="","",INDEX(usia_label,MATCH($M1004,usia_min,1)))</f>
        <v/>
      </c>
      <c r="O1004" s="37"/>
      <c r="P1004" s="41"/>
      <c r="Q1004" s="37"/>
      <c r="R1004" s="37"/>
      <c r="S1004" s="40" t="str">
        <f aca="false">IF($G1004="","",$G1004&amp;"#"&amp;COUNTIF($G$4:$G1004,$G1004))</f>
        <v/>
      </c>
      <c r="T1004" s="40" t="str">
        <f aca="false">IF($B1004="","",IF($C1004="","NIK kosong",IF(LEN($C1004)&lt;&gt;16,"NIK bukan 16 digit",IF(COUNTIF($C$4:$C$2003,$C1004&amp;"*")&gt;1,"NIK ganda",IF($E1004="","Kadus kosong",IF($F1004="","RT kosong",IF($H1004="","Jabatan kosong",IF($I1004="","No. HP kosong",IF($J1004="","Alamat kosong",IF(AND($M1004&lt;&gt;"",$M1004&lt;17),"Usia di bawah 17",""))))))))))</f>
        <v/>
      </c>
      <c r="U1004" s="40" t="str">
        <f aca="false">IF($B1004="","",IF(AND(OR(CARI!$C$5="",ISNUMBER(SEARCH(CARI!$C$5,$B1004&amp;" "&amp;$C1004&amp;" "&amp;$I1004&amp;" "&amp;$J1004&amp;" "&amp;$Q1004))),OR(CARI!$C$6="",$E1004=CARI!$C$6),OR(CARI!$C$7="",$F1004=CARI!$C$7),OR(CARI!$C$8="",$O1004=CARI!$C$8)),MAX($U$3:U1003)+1,""))</f>
        <v/>
      </c>
      <c r="V1004" s="40" t="str">
        <f aca="false">IF($T1004="","",MAX($V$3:V1003)+1)</f>
        <v/>
      </c>
      <c r="W1004" s="40" t="str">
        <f aca="false">IF($E1004="","",$E1004&amp;"#"&amp;COUNTIF($E$4:$E1004,$E1004))</f>
        <v/>
      </c>
      <c r="X1004" s="40" t="str">
        <f aca="false">IF($B1004="","",IF(AND(OR(CETAK!$J$10="",$E1004=CETAK!$J$10),OR(CETAK!$J$11="",$F1004=CETAK!$J$11),OR(CETAK!$J$12="",$K1004=CETAK!$J$12),OR(CETAK!$J$13="",$H1004=CETAK!$J$13),OR(CETAK!$J$14="",$O1004=CETAK!$J$14)),MAX($X$3:X1003)+1,""))</f>
        <v/>
      </c>
      <c r="Y1004" s="40" t="str">
        <f aca="false">IF($B1004="","",IF(AND(OR(ABSENSI!$H$10="",$E1004=ABSENSI!$H$10),OR(ABSENSI!$H$11="",$F1004=ABSENSI!$H$11),OR(ABSENSI!$H$12="",$K1004=ABSENSI!$H$12)),MAX($Y$3:Y1003)+1,""))</f>
        <v/>
      </c>
      <c r="Z1004" s="40" t="str">
        <f aca="false">IF($B1004="","",IF(AND(OR(KARTU!$K$6="",$E1004=KARTU!$K$6),OR(KARTU!$K$7="",$F1004=KARTU!$K$7),OR(KARTU!$K$8="",$K1004=KARTU!$K$8)),MAX($Z$3:Z1003)+1,""))</f>
        <v/>
      </c>
    </row>
    <row r="1005" customFormat="false" ht="15" hidden="false" customHeight="false" outlineLevel="0" collapsed="false">
      <c r="A1005" s="36" t="str">
        <f aca="false">IF($B1005="","",COUNTA($B$4:$B1005))</f>
        <v/>
      </c>
      <c r="B1005" s="37"/>
      <c r="C1005" s="38"/>
      <c r="D1005" s="39"/>
      <c r="E1005" s="37"/>
      <c r="F1005" s="39"/>
      <c r="G1005" s="40" t="str">
        <f aca="false">IF(OR($E1005="",$F1005=""),"",$E1005&amp;" - RT "&amp;$F1005)</f>
        <v/>
      </c>
      <c r="H1005" s="37"/>
      <c r="I1005" s="38"/>
      <c r="J1005" s="37"/>
      <c r="K1005" s="39"/>
      <c r="L1005" s="41"/>
      <c r="M1005" s="36" t="str">
        <f aca="true">IF(OR($B1005="",$L1005=""),"",DATEDIF($L1005,TODAY(),"Y"))</f>
        <v/>
      </c>
      <c r="N1005" s="40" t="str">
        <f aca="false">IF($M1005="","",INDEX(usia_label,MATCH($M1005,usia_min,1)))</f>
        <v/>
      </c>
      <c r="O1005" s="37"/>
      <c r="P1005" s="41"/>
      <c r="Q1005" s="37"/>
      <c r="R1005" s="37"/>
      <c r="S1005" s="40" t="str">
        <f aca="false">IF($G1005="","",$G1005&amp;"#"&amp;COUNTIF($G$4:$G1005,$G1005))</f>
        <v/>
      </c>
      <c r="T1005" s="40" t="str">
        <f aca="false">IF($B1005="","",IF($C1005="","NIK kosong",IF(LEN($C1005)&lt;&gt;16,"NIK bukan 16 digit",IF(COUNTIF($C$4:$C$2003,$C1005&amp;"*")&gt;1,"NIK ganda",IF($E1005="","Kadus kosong",IF($F1005="","RT kosong",IF($H1005="","Jabatan kosong",IF($I1005="","No. HP kosong",IF($J1005="","Alamat kosong",IF(AND($M1005&lt;&gt;"",$M1005&lt;17),"Usia di bawah 17",""))))))))))</f>
        <v/>
      </c>
      <c r="U1005" s="40" t="str">
        <f aca="false">IF($B1005="","",IF(AND(OR(CARI!$C$5="",ISNUMBER(SEARCH(CARI!$C$5,$B1005&amp;" "&amp;$C1005&amp;" "&amp;$I1005&amp;" "&amp;$J1005&amp;" "&amp;$Q1005))),OR(CARI!$C$6="",$E1005=CARI!$C$6),OR(CARI!$C$7="",$F1005=CARI!$C$7),OR(CARI!$C$8="",$O1005=CARI!$C$8)),MAX($U$3:U1004)+1,""))</f>
        <v/>
      </c>
      <c r="V1005" s="40" t="str">
        <f aca="false">IF($T1005="","",MAX($V$3:V1004)+1)</f>
        <v/>
      </c>
      <c r="W1005" s="40" t="str">
        <f aca="false">IF($E1005="","",$E1005&amp;"#"&amp;COUNTIF($E$4:$E1005,$E1005))</f>
        <v/>
      </c>
      <c r="X1005" s="40" t="str">
        <f aca="false">IF($B1005="","",IF(AND(OR(CETAK!$J$10="",$E1005=CETAK!$J$10),OR(CETAK!$J$11="",$F1005=CETAK!$J$11),OR(CETAK!$J$12="",$K1005=CETAK!$J$12),OR(CETAK!$J$13="",$H1005=CETAK!$J$13),OR(CETAK!$J$14="",$O1005=CETAK!$J$14)),MAX($X$3:X1004)+1,""))</f>
        <v/>
      </c>
      <c r="Y1005" s="40" t="str">
        <f aca="false">IF($B1005="","",IF(AND(OR(ABSENSI!$H$10="",$E1005=ABSENSI!$H$10),OR(ABSENSI!$H$11="",$F1005=ABSENSI!$H$11),OR(ABSENSI!$H$12="",$K1005=ABSENSI!$H$12)),MAX($Y$3:Y1004)+1,""))</f>
        <v/>
      </c>
      <c r="Z1005" s="40" t="str">
        <f aca="false">IF($B1005="","",IF(AND(OR(KARTU!$K$6="",$E1005=KARTU!$K$6),OR(KARTU!$K$7="",$F1005=KARTU!$K$7),OR(KARTU!$K$8="",$K1005=KARTU!$K$8)),MAX($Z$3:Z1004)+1,""))</f>
        <v/>
      </c>
    </row>
    <row r="1006" customFormat="false" ht="15" hidden="false" customHeight="false" outlineLevel="0" collapsed="false">
      <c r="A1006" s="36" t="str">
        <f aca="false">IF($B1006="","",COUNTA($B$4:$B1006))</f>
        <v/>
      </c>
      <c r="B1006" s="37"/>
      <c r="C1006" s="38"/>
      <c r="D1006" s="39"/>
      <c r="E1006" s="37"/>
      <c r="F1006" s="39"/>
      <c r="G1006" s="40" t="str">
        <f aca="false">IF(OR($E1006="",$F1006=""),"",$E1006&amp;" - RT "&amp;$F1006)</f>
        <v/>
      </c>
      <c r="H1006" s="37"/>
      <c r="I1006" s="38"/>
      <c r="J1006" s="37"/>
      <c r="K1006" s="39"/>
      <c r="L1006" s="41"/>
      <c r="M1006" s="36" t="str">
        <f aca="true">IF(OR($B1006="",$L1006=""),"",DATEDIF($L1006,TODAY(),"Y"))</f>
        <v/>
      </c>
      <c r="N1006" s="40" t="str">
        <f aca="false">IF($M1006="","",INDEX(usia_label,MATCH($M1006,usia_min,1)))</f>
        <v/>
      </c>
      <c r="O1006" s="37"/>
      <c r="P1006" s="41"/>
      <c r="Q1006" s="37"/>
      <c r="R1006" s="37"/>
      <c r="S1006" s="40" t="str">
        <f aca="false">IF($G1006="","",$G1006&amp;"#"&amp;COUNTIF($G$4:$G1006,$G1006))</f>
        <v/>
      </c>
      <c r="T1006" s="40" t="str">
        <f aca="false">IF($B1006="","",IF($C1006="","NIK kosong",IF(LEN($C1006)&lt;&gt;16,"NIK bukan 16 digit",IF(COUNTIF($C$4:$C$2003,$C1006&amp;"*")&gt;1,"NIK ganda",IF($E1006="","Kadus kosong",IF($F1006="","RT kosong",IF($H1006="","Jabatan kosong",IF($I1006="","No. HP kosong",IF($J1006="","Alamat kosong",IF(AND($M1006&lt;&gt;"",$M1006&lt;17),"Usia di bawah 17",""))))))))))</f>
        <v/>
      </c>
      <c r="U1006" s="40" t="str">
        <f aca="false">IF($B1006="","",IF(AND(OR(CARI!$C$5="",ISNUMBER(SEARCH(CARI!$C$5,$B1006&amp;" "&amp;$C1006&amp;" "&amp;$I1006&amp;" "&amp;$J1006&amp;" "&amp;$Q1006))),OR(CARI!$C$6="",$E1006=CARI!$C$6),OR(CARI!$C$7="",$F1006=CARI!$C$7),OR(CARI!$C$8="",$O1006=CARI!$C$8)),MAX($U$3:U1005)+1,""))</f>
        <v/>
      </c>
      <c r="V1006" s="40" t="str">
        <f aca="false">IF($T1006="","",MAX($V$3:V1005)+1)</f>
        <v/>
      </c>
      <c r="W1006" s="40" t="str">
        <f aca="false">IF($E1006="","",$E1006&amp;"#"&amp;COUNTIF($E$4:$E1006,$E1006))</f>
        <v/>
      </c>
      <c r="X1006" s="40" t="str">
        <f aca="false">IF($B1006="","",IF(AND(OR(CETAK!$J$10="",$E1006=CETAK!$J$10),OR(CETAK!$J$11="",$F1006=CETAK!$J$11),OR(CETAK!$J$12="",$K1006=CETAK!$J$12),OR(CETAK!$J$13="",$H1006=CETAK!$J$13),OR(CETAK!$J$14="",$O1006=CETAK!$J$14)),MAX($X$3:X1005)+1,""))</f>
        <v/>
      </c>
      <c r="Y1006" s="40" t="str">
        <f aca="false">IF($B1006="","",IF(AND(OR(ABSENSI!$H$10="",$E1006=ABSENSI!$H$10),OR(ABSENSI!$H$11="",$F1006=ABSENSI!$H$11),OR(ABSENSI!$H$12="",$K1006=ABSENSI!$H$12)),MAX($Y$3:Y1005)+1,""))</f>
        <v/>
      </c>
      <c r="Z1006" s="40" t="str">
        <f aca="false">IF($B1006="","",IF(AND(OR(KARTU!$K$6="",$E1006=KARTU!$K$6),OR(KARTU!$K$7="",$F1006=KARTU!$K$7),OR(KARTU!$K$8="",$K1006=KARTU!$K$8)),MAX($Z$3:Z1005)+1,""))</f>
        <v/>
      </c>
    </row>
    <row r="1007" customFormat="false" ht="15" hidden="false" customHeight="false" outlineLevel="0" collapsed="false">
      <c r="A1007" s="36" t="str">
        <f aca="false">IF($B1007="","",COUNTA($B$4:$B1007))</f>
        <v/>
      </c>
      <c r="B1007" s="37"/>
      <c r="C1007" s="38"/>
      <c r="D1007" s="39"/>
      <c r="E1007" s="37"/>
      <c r="F1007" s="39"/>
      <c r="G1007" s="40" t="str">
        <f aca="false">IF(OR($E1007="",$F1007=""),"",$E1007&amp;" - RT "&amp;$F1007)</f>
        <v/>
      </c>
      <c r="H1007" s="37"/>
      <c r="I1007" s="38"/>
      <c r="J1007" s="37"/>
      <c r="K1007" s="39"/>
      <c r="L1007" s="41"/>
      <c r="M1007" s="36" t="str">
        <f aca="true">IF(OR($B1007="",$L1007=""),"",DATEDIF($L1007,TODAY(),"Y"))</f>
        <v/>
      </c>
      <c r="N1007" s="40" t="str">
        <f aca="false">IF($M1007="","",INDEX(usia_label,MATCH($M1007,usia_min,1)))</f>
        <v/>
      </c>
      <c r="O1007" s="37"/>
      <c r="P1007" s="41"/>
      <c r="Q1007" s="37"/>
      <c r="R1007" s="37"/>
      <c r="S1007" s="40" t="str">
        <f aca="false">IF($G1007="","",$G1007&amp;"#"&amp;COUNTIF($G$4:$G1007,$G1007))</f>
        <v/>
      </c>
      <c r="T1007" s="40" t="str">
        <f aca="false">IF($B1007="","",IF($C1007="","NIK kosong",IF(LEN($C1007)&lt;&gt;16,"NIK bukan 16 digit",IF(COUNTIF($C$4:$C$2003,$C1007&amp;"*")&gt;1,"NIK ganda",IF($E1007="","Kadus kosong",IF($F1007="","RT kosong",IF($H1007="","Jabatan kosong",IF($I1007="","No. HP kosong",IF($J1007="","Alamat kosong",IF(AND($M1007&lt;&gt;"",$M1007&lt;17),"Usia di bawah 17",""))))))))))</f>
        <v/>
      </c>
      <c r="U1007" s="40" t="str">
        <f aca="false">IF($B1007="","",IF(AND(OR(CARI!$C$5="",ISNUMBER(SEARCH(CARI!$C$5,$B1007&amp;" "&amp;$C1007&amp;" "&amp;$I1007&amp;" "&amp;$J1007&amp;" "&amp;$Q1007))),OR(CARI!$C$6="",$E1007=CARI!$C$6),OR(CARI!$C$7="",$F1007=CARI!$C$7),OR(CARI!$C$8="",$O1007=CARI!$C$8)),MAX($U$3:U1006)+1,""))</f>
        <v/>
      </c>
      <c r="V1007" s="40" t="str">
        <f aca="false">IF($T1007="","",MAX($V$3:V1006)+1)</f>
        <v/>
      </c>
      <c r="W1007" s="40" t="str">
        <f aca="false">IF($E1007="","",$E1007&amp;"#"&amp;COUNTIF($E$4:$E1007,$E1007))</f>
        <v/>
      </c>
      <c r="X1007" s="40" t="str">
        <f aca="false">IF($B1007="","",IF(AND(OR(CETAK!$J$10="",$E1007=CETAK!$J$10),OR(CETAK!$J$11="",$F1007=CETAK!$J$11),OR(CETAK!$J$12="",$K1007=CETAK!$J$12),OR(CETAK!$J$13="",$H1007=CETAK!$J$13),OR(CETAK!$J$14="",$O1007=CETAK!$J$14)),MAX($X$3:X1006)+1,""))</f>
        <v/>
      </c>
      <c r="Y1007" s="40" t="str">
        <f aca="false">IF($B1007="","",IF(AND(OR(ABSENSI!$H$10="",$E1007=ABSENSI!$H$10),OR(ABSENSI!$H$11="",$F1007=ABSENSI!$H$11),OR(ABSENSI!$H$12="",$K1007=ABSENSI!$H$12)),MAX($Y$3:Y1006)+1,""))</f>
        <v/>
      </c>
      <c r="Z1007" s="40" t="str">
        <f aca="false">IF($B1007="","",IF(AND(OR(KARTU!$K$6="",$E1007=KARTU!$K$6),OR(KARTU!$K$7="",$F1007=KARTU!$K$7),OR(KARTU!$K$8="",$K1007=KARTU!$K$8)),MAX($Z$3:Z1006)+1,""))</f>
        <v/>
      </c>
    </row>
    <row r="1008" customFormat="false" ht="15" hidden="false" customHeight="false" outlineLevel="0" collapsed="false">
      <c r="A1008" s="36" t="str">
        <f aca="false">IF($B1008="","",COUNTA($B$4:$B1008))</f>
        <v/>
      </c>
      <c r="B1008" s="37"/>
      <c r="C1008" s="38"/>
      <c r="D1008" s="39"/>
      <c r="E1008" s="37"/>
      <c r="F1008" s="39"/>
      <c r="G1008" s="40" t="str">
        <f aca="false">IF(OR($E1008="",$F1008=""),"",$E1008&amp;" - RT "&amp;$F1008)</f>
        <v/>
      </c>
      <c r="H1008" s="37"/>
      <c r="I1008" s="38"/>
      <c r="J1008" s="37"/>
      <c r="K1008" s="39"/>
      <c r="L1008" s="41"/>
      <c r="M1008" s="36" t="str">
        <f aca="true">IF(OR($B1008="",$L1008=""),"",DATEDIF($L1008,TODAY(),"Y"))</f>
        <v/>
      </c>
      <c r="N1008" s="40" t="str">
        <f aca="false">IF($M1008="","",INDEX(usia_label,MATCH($M1008,usia_min,1)))</f>
        <v/>
      </c>
      <c r="O1008" s="37"/>
      <c r="P1008" s="41"/>
      <c r="Q1008" s="37"/>
      <c r="R1008" s="37"/>
      <c r="S1008" s="40" t="str">
        <f aca="false">IF($G1008="","",$G1008&amp;"#"&amp;COUNTIF($G$4:$G1008,$G1008))</f>
        <v/>
      </c>
      <c r="T1008" s="40" t="str">
        <f aca="false">IF($B1008="","",IF($C1008="","NIK kosong",IF(LEN($C1008)&lt;&gt;16,"NIK bukan 16 digit",IF(COUNTIF($C$4:$C$2003,$C1008&amp;"*")&gt;1,"NIK ganda",IF($E1008="","Kadus kosong",IF($F1008="","RT kosong",IF($H1008="","Jabatan kosong",IF($I1008="","No. HP kosong",IF($J1008="","Alamat kosong",IF(AND($M1008&lt;&gt;"",$M1008&lt;17),"Usia di bawah 17",""))))))))))</f>
        <v/>
      </c>
      <c r="U1008" s="40" t="str">
        <f aca="false">IF($B1008="","",IF(AND(OR(CARI!$C$5="",ISNUMBER(SEARCH(CARI!$C$5,$B1008&amp;" "&amp;$C1008&amp;" "&amp;$I1008&amp;" "&amp;$J1008&amp;" "&amp;$Q1008))),OR(CARI!$C$6="",$E1008=CARI!$C$6),OR(CARI!$C$7="",$F1008=CARI!$C$7),OR(CARI!$C$8="",$O1008=CARI!$C$8)),MAX($U$3:U1007)+1,""))</f>
        <v/>
      </c>
      <c r="V1008" s="40" t="str">
        <f aca="false">IF($T1008="","",MAX($V$3:V1007)+1)</f>
        <v/>
      </c>
      <c r="W1008" s="40" t="str">
        <f aca="false">IF($E1008="","",$E1008&amp;"#"&amp;COUNTIF($E$4:$E1008,$E1008))</f>
        <v/>
      </c>
      <c r="X1008" s="40" t="str">
        <f aca="false">IF($B1008="","",IF(AND(OR(CETAK!$J$10="",$E1008=CETAK!$J$10),OR(CETAK!$J$11="",$F1008=CETAK!$J$11),OR(CETAK!$J$12="",$K1008=CETAK!$J$12),OR(CETAK!$J$13="",$H1008=CETAK!$J$13),OR(CETAK!$J$14="",$O1008=CETAK!$J$14)),MAX($X$3:X1007)+1,""))</f>
        <v/>
      </c>
      <c r="Y1008" s="40" t="str">
        <f aca="false">IF($B1008="","",IF(AND(OR(ABSENSI!$H$10="",$E1008=ABSENSI!$H$10),OR(ABSENSI!$H$11="",$F1008=ABSENSI!$H$11),OR(ABSENSI!$H$12="",$K1008=ABSENSI!$H$12)),MAX($Y$3:Y1007)+1,""))</f>
        <v/>
      </c>
      <c r="Z1008" s="40" t="str">
        <f aca="false">IF($B1008="","",IF(AND(OR(KARTU!$K$6="",$E1008=KARTU!$K$6),OR(KARTU!$K$7="",$F1008=KARTU!$K$7),OR(KARTU!$K$8="",$K1008=KARTU!$K$8)),MAX($Z$3:Z1007)+1,""))</f>
        <v/>
      </c>
    </row>
    <row r="1009" customFormat="false" ht="15" hidden="false" customHeight="false" outlineLevel="0" collapsed="false">
      <c r="A1009" s="36" t="str">
        <f aca="false">IF($B1009="","",COUNTA($B$4:$B1009))</f>
        <v/>
      </c>
      <c r="B1009" s="37"/>
      <c r="C1009" s="38"/>
      <c r="D1009" s="39"/>
      <c r="E1009" s="37"/>
      <c r="F1009" s="39"/>
      <c r="G1009" s="40" t="str">
        <f aca="false">IF(OR($E1009="",$F1009=""),"",$E1009&amp;" - RT "&amp;$F1009)</f>
        <v/>
      </c>
      <c r="H1009" s="37"/>
      <c r="I1009" s="38"/>
      <c r="J1009" s="37"/>
      <c r="K1009" s="39"/>
      <c r="L1009" s="41"/>
      <c r="M1009" s="36" t="str">
        <f aca="true">IF(OR($B1009="",$L1009=""),"",DATEDIF($L1009,TODAY(),"Y"))</f>
        <v/>
      </c>
      <c r="N1009" s="40" t="str">
        <f aca="false">IF($M1009="","",INDEX(usia_label,MATCH($M1009,usia_min,1)))</f>
        <v/>
      </c>
      <c r="O1009" s="37"/>
      <c r="P1009" s="41"/>
      <c r="Q1009" s="37"/>
      <c r="R1009" s="37"/>
      <c r="S1009" s="40" t="str">
        <f aca="false">IF($G1009="","",$G1009&amp;"#"&amp;COUNTIF($G$4:$G1009,$G1009))</f>
        <v/>
      </c>
      <c r="T1009" s="40" t="str">
        <f aca="false">IF($B1009="","",IF($C1009="","NIK kosong",IF(LEN($C1009)&lt;&gt;16,"NIK bukan 16 digit",IF(COUNTIF($C$4:$C$2003,$C1009&amp;"*")&gt;1,"NIK ganda",IF($E1009="","Kadus kosong",IF($F1009="","RT kosong",IF($H1009="","Jabatan kosong",IF($I1009="","No. HP kosong",IF($J1009="","Alamat kosong",IF(AND($M1009&lt;&gt;"",$M1009&lt;17),"Usia di bawah 17",""))))))))))</f>
        <v/>
      </c>
      <c r="U1009" s="40" t="str">
        <f aca="false">IF($B1009="","",IF(AND(OR(CARI!$C$5="",ISNUMBER(SEARCH(CARI!$C$5,$B1009&amp;" "&amp;$C1009&amp;" "&amp;$I1009&amp;" "&amp;$J1009&amp;" "&amp;$Q1009))),OR(CARI!$C$6="",$E1009=CARI!$C$6),OR(CARI!$C$7="",$F1009=CARI!$C$7),OR(CARI!$C$8="",$O1009=CARI!$C$8)),MAX($U$3:U1008)+1,""))</f>
        <v/>
      </c>
      <c r="V1009" s="40" t="str">
        <f aca="false">IF($T1009="","",MAX($V$3:V1008)+1)</f>
        <v/>
      </c>
      <c r="W1009" s="40" t="str">
        <f aca="false">IF($E1009="","",$E1009&amp;"#"&amp;COUNTIF($E$4:$E1009,$E1009))</f>
        <v/>
      </c>
      <c r="X1009" s="40" t="str">
        <f aca="false">IF($B1009="","",IF(AND(OR(CETAK!$J$10="",$E1009=CETAK!$J$10),OR(CETAK!$J$11="",$F1009=CETAK!$J$11),OR(CETAK!$J$12="",$K1009=CETAK!$J$12),OR(CETAK!$J$13="",$H1009=CETAK!$J$13),OR(CETAK!$J$14="",$O1009=CETAK!$J$14)),MAX($X$3:X1008)+1,""))</f>
        <v/>
      </c>
      <c r="Y1009" s="40" t="str">
        <f aca="false">IF($B1009="","",IF(AND(OR(ABSENSI!$H$10="",$E1009=ABSENSI!$H$10),OR(ABSENSI!$H$11="",$F1009=ABSENSI!$H$11),OR(ABSENSI!$H$12="",$K1009=ABSENSI!$H$12)),MAX($Y$3:Y1008)+1,""))</f>
        <v/>
      </c>
      <c r="Z1009" s="40" t="str">
        <f aca="false">IF($B1009="","",IF(AND(OR(KARTU!$K$6="",$E1009=KARTU!$K$6),OR(KARTU!$K$7="",$F1009=KARTU!$K$7),OR(KARTU!$K$8="",$K1009=KARTU!$K$8)),MAX($Z$3:Z1008)+1,""))</f>
        <v/>
      </c>
    </row>
    <row r="1010" customFormat="false" ht="15" hidden="false" customHeight="false" outlineLevel="0" collapsed="false">
      <c r="A1010" s="36" t="str">
        <f aca="false">IF($B1010="","",COUNTA($B$4:$B1010))</f>
        <v/>
      </c>
      <c r="B1010" s="37"/>
      <c r="C1010" s="38"/>
      <c r="D1010" s="39"/>
      <c r="E1010" s="37"/>
      <c r="F1010" s="39"/>
      <c r="G1010" s="40" t="str">
        <f aca="false">IF(OR($E1010="",$F1010=""),"",$E1010&amp;" - RT "&amp;$F1010)</f>
        <v/>
      </c>
      <c r="H1010" s="37"/>
      <c r="I1010" s="38"/>
      <c r="J1010" s="37"/>
      <c r="K1010" s="39"/>
      <c r="L1010" s="41"/>
      <c r="M1010" s="36" t="str">
        <f aca="true">IF(OR($B1010="",$L1010=""),"",DATEDIF($L1010,TODAY(),"Y"))</f>
        <v/>
      </c>
      <c r="N1010" s="40" t="str">
        <f aca="false">IF($M1010="","",INDEX(usia_label,MATCH($M1010,usia_min,1)))</f>
        <v/>
      </c>
      <c r="O1010" s="37"/>
      <c r="P1010" s="41"/>
      <c r="Q1010" s="37"/>
      <c r="R1010" s="37"/>
      <c r="S1010" s="40" t="str">
        <f aca="false">IF($G1010="","",$G1010&amp;"#"&amp;COUNTIF($G$4:$G1010,$G1010))</f>
        <v/>
      </c>
      <c r="T1010" s="40" t="str">
        <f aca="false">IF($B1010="","",IF($C1010="","NIK kosong",IF(LEN($C1010)&lt;&gt;16,"NIK bukan 16 digit",IF(COUNTIF($C$4:$C$2003,$C1010&amp;"*")&gt;1,"NIK ganda",IF($E1010="","Kadus kosong",IF($F1010="","RT kosong",IF($H1010="","Jabatan kosong",IF($I1010="","No. HP kosong",IF($J1010="","Alamat kosong",IF(AND($M1010&lt;&gt;"",$M1010&lt;17),"Usia di bawah 17",""))))))))))</f>
        <v/>
      </c>
      <c r="U1010" s="40" t="str">
        <f aca="false">IF($B1010="","",IF(AND(OR(CARI!$C$5="",ISNUMBER(SEARCH(CARI!$C$5,$B1010&amp;" "&amp;$C1010&amp;" "&amp;$I1010&amp;" "&amp;$J1010&amp;" "&amp;$Q1010))),OR(CARI!$C$6="",$E1010=CARI!$C$6),OR(CARI!$C$7="",$F1010=CARI!$C$7),OR(CARI!$C$8="",$O1010=CARI!$C$8)),MAX($U$3:U1009)+1,""))</f>
        <v/>
      </c>
      <c r="V1010" s="40" t="str">
        <f aca="false">IF($T1010="","",MAX($V$3:V1009)+1)</f>
        <v/>
      </c>
      <c r="W1010" s="40" t="str">
        <f aca="false">IF($E1010="","",$E1010&amp;"#"&amp;COUNTIF($E$4:$E1010,$E1010))</f>
        <v/>
      </c>
      <c r="X1010" s="40" t="str">
        <f aca="false">IF($B1010="","",IF(AND(OR(CETAK!$J$10="",$E1010=CETAK!$J$10),OR(CETAK!$J$11="",$F1010=CETAK!$J$11),OR(CETAK!$J$12="",$K1010=CETAK!$J$12),OR(CETAK!$J$13="",$H1010=CETAK!$J$13),OR(CETAK!$J$14="",$O1010=CETAK!$J$14)),MAX($X$3:X1009)+1,""))</f>
        <v/>
      </c>
      <c r="Y1010" s="40" t="str">
        <f aca="false">IF($B1010="","",IF(AND(OR(ABSENSI!$H$10="",$E1010=ABSENSI!$H$10),OR(ABSENSI!$H$11="",$F1010=ABSENSI!$H$11),OR(ABSENSI!$H$12="",$K1010=ABSENSI!$H$12)),MAX($Y$3:Y1009)+1,""))</f>
        <v/>
      </c>
      <c r="Z1010" s="40" t="str">
        <f aca="false">IF($B1010="","",IF(AND(OR(KARTU!$K$6="",$E1010=KARTU!$K$6),OR(KARTU!$K$7="",$F1010=KARTU!$K$7),OR(KARTU!$K$8="",$K1010=KARTU!$K$8)),MAX($Z$3:Z1009)+1,""))</f>
        <v/>
      </c>
    </row>
    <row r="1011" customFormat="false" ht="15" hidden="false" customHeight="false" outlineLevel="0" collapsed="false">
      <c r="A1011" s="36" t="str">
        <f aca="false">IF($B1011="","",COUNTA($B$4:$B1011))</f>
        <v/>
      </c>
      <c r="B1011" s="37"/>
      <c r="C1011" s="38"/>
      <c r="D1011" s="39"/>
      <c r="E1011" s="37"/>
      <c r="F1011" s="39"/>
      <c r="G1011" s="40" t="str">
        <f aca="false">IF(OR($E1011="",$F1011=""),"",$E1011&amp;" - RT "&amp;$F1011)</f>
        <v/>
      </c>
      <c r="H1011" s="37"/>
      <c r="I1011" s="38"/>
      <c r="J1011" s="37"/>
      <c r="K1011" s="39"/>
      <c r="L1011" s="41"/>
      <c r="M1011" s="36" t="str">
        <f aca="true">IF(OR($B1011="",$L1011=""),"",DATEDIF($L1011,TODAY(),"Y"))</f>
        <v/>
      </c>
      <c r="N1011" s="40" t="str">
        <f aca="false">IF($M1011="","",INDEX(usia_label,MATCH($M1011,usia_min,1)))</f>
        <v/>
      </c>
      <c r="O1011" s="37"/>
      <c r="P1011" s="41"/>
      <c r="Q1011" s="37"/>
      <c r="R1011" s="37"/>
      <c r="S1011" s="40" t="str">
        <f aca="false">IF($G1011="","",$G1011&amp;"#"&amp;COUNTIF($G$4:$G1011,$G1011))</f>
        <v/>
      </c>
      <c r="T1011" s="40" t="str">
        <f aca="false">IF($B1011="","",IF($C1011="","NIK kosong",IF(LEN($C1011)&lt;&gt;16,"NIK bukan 16 digit",IF(COUNTIF($C$4:$C$2003,$C1011&amp;"*")&gt;1,"NIK ganda",IF($E1011="","Kadus kosong",IF($F1011="","RT kosong",IF($H1011="","Jabatan kosong",IF($I1011="","No. HP kosong",IF($J1011="","Alamat kosong",IF(AND($M1011&lt;&gt;"",$M1011&lt;17),"Usia di bawah 17",""))))))))))</f>
        <v/>
      </c>
      <c r="U1011" s="40" t="str">
        <f aca="false">IF($B1011="","",IF(AND(OR(CARI!$C$5="",ISNUMBER(SEARCH(CARI!$C$5,$B1011&amp;" "&amp;$C1011&amp;" "&amp;$I1011&amp;" "&amp;$J1011&amp;" "&amp;$Q1011))),OR(CARI!$C$6="",$E1011=CARI!$C$6),OR(CARI!$C$7="",$F1011=CARI!$C$7),OR(CARI!$C$8="",$O1011=CARI!$C$8)),MAX($U$3:U1010)+1,""))</f>
        <v/>
      </c>
      <c r="V1011" s="40" t="str">
        <f aca="false">IF($T1011="","",MAX($V$3:V1010)+1)</f>
        <v/>
      </c>
      <c r="W1011" s="40" t="str">
        <f aca="false">IF($E1011="","",$E1011&amp;"#"&amp;COUNTIF($E$4:$E1011,$E1011))</f>
        <v/>
      </c>
      <c r="X1011" s="40" t="str">
        <f aca="false">IF($B1011="","",IF(AND(OR(CETAK!$J$10="",$E1011=CETAK!$J$10),OR(CETAK!$J$11="",$F1011=CETAK!$J$11),OR(CETAK!$J$12="",$K1011=CETAK!$J$12),OR(CETAK!$J$13="",$H1011=CETAK!$J$13),OR(CETAK!$J$14="",$O1011=CETAK!$J$14)),MAX($X$3:X1010)+1,""))</f>
        <v/>
      </c>
      <c r="Y1011" s="40" t="str">
        <f aca="false">IF($B1011="","",IF(AND(OR(ABSENSI!$H$10="",$E1011=ABSENSI!$H$10),OR(ABSENSI!$H$11="",$F1011=ABSENSI!$H$11),OR(ABSENSI!$H$12="",$K1011=ABSENSI!$H$12)),MAX($Y$3:Y1010)+1,""))</f>
        <v/>
      </c>
      <c r="Z1011" s="40" t="str">
        <f aca="false">IF($B1011="","",IF(AND(OR(KARTU!$K$6="",$E1011=KARTU!$K$6),OR(KARTU!$K$7="",$F1011=KARTU!$K$7),OR(KARTU!$K$8="",$K1011=KARTU!$K$8)),MAX($Z$3:Z1010)+1,""))</f>
        <v/>
      </c>
    </row>
    <row r="1012" customFormat="false" ht="15" hidden="false" customHeight="false" outlineLevel="0" collapsed="false">
      <c r="A1012" s="36" t="str">
        <f aca="false">IF($B1012="","",COUNTA($B$4:$B1012))</f>
        <v/>
      </c>
      <c r="B1012" s="37"/>
      <c r="C1012" s="38"/>
      <c r="D1012" s="39"/>
      <c r="E1012" s="37"/>
      <c r="F1012" s="39"/>
      <c r="G1012" s="40" t="str">
        <f aca="false">IF(OR($E1012="",$F1012=""),"",$E1012&amp;" - RT "&amp;$F1012)</f>
        <v/>
      </c>
      <c r="H1012" s="37"/>
      <c r="I1012" s="38"/>
      <c r="J1012" s="37"/>
      <c r="K1012" s="39"/>
      <c r="L1012" s="41"/>
      <c r="M1012" s="36" t="str">
        <f aca="true">IF(OR($B1012="",$L1012=""),"",DATEDIF($L1012,TODAY(),"Y"))</f>
        <v/>
      </c>
      <c r="N1012" s="40" t="str">
        <f aca="false">IF($M1012="","",INDEX(usia_label,MATCH($M1012,usia_min,1)))</f>
        <v/>
      </c>
      <c r="O1012" s="37"/>
      <c r="P1012" s="41"/>
      <c r="Q1012" s="37"/>
      <c r="R1012" s="37"/>
      <c r="S1012" s="40" t="str">
        <f aca="false">IF($G1012="","",$G1012&amp;"#"&amp;COUNTIF($G$4:$G1012,$G1012))</f>
        <v/>
      </c>
      <c r="T1012" s="40" t="str">
        <f aca="false">IF($B1012="","",IF($C1012="","NIK kosong",IF(LEN($C1012)&lt;&gt;16,"NIK bukan 16 digit",IF(COUNTIF($C$4:$C$2003,$C1012&amp;"*")&gt;1,"NIK ganda",IF($E1012="","Kadus kosong",IF($F1012="","RT kosong",IF($H1012="","Jabatan kosong",IF($I1012="","No. HP kosong",IF($J1012="","Alamat kosong",IF(AND($M1012&lt;&gt;"",$M1012&lt;17),"Usia di bawah 17",""))))))))))</f>
        <v/>
      </c>
      <c r="U1012" s="40" t="str">
        <f aca="false">IF($B1012="","",IF(AND(OR(CARI!$C$5="",ISNUMBER(SEARCH(CARI!$C$5,$B1012&amp;" "&amp;$C1012&amp;" "&amp;$I1012&amp;" "&amp;$J1012&amp;" "&amp;$Q1012))),OR(CARI!$C$6="",$E1012=CARI!$C$6),OR(CARI!$C$7="",$F1012=CARI!$C$7),OR(CARI!$C$8="",$O1012=CARI!$C$8)),MAX($U$3:U1011)+1,""))</f>
        <v/>
      </c>
      <c r="V1012" s="40" t="str">
        <f aca="false">IF($T1012="","",MAX($V$3:V1011)+1)</f>
        <v/>
      </c>
      <c r="W1012" s="40" t="str">
        <f aca="false">IF($E1012="","",$E1012&amp;"#"&amp;COUNTIF($E$4:$E1012,$E1012))</f>
        <v/>
      </c>
      <c r="X1012" s="40" t="str">
        <f aca="false">IF($B1012="","",IF(AND(OR(CETAK!$J$10="",$E1012=CETAK!$J$10),OR(CETAK!$J$11="",$F1012=CETAK!$J$11),OR(CETAK!$J$12="",$K1012=CETAK!$J$12),OR(CETAK!$J$13="",$H1012=CETAK!$J$13),OR(CETAK!$J$14="",$O1012=CETAK!$J$14)),MAX($X$3:X1011)+1,""))</f>
        <v/>
      </c>
      <c r="Y1012" s="40" t="str">
        <f aca="false">IF($B1012="","",IF(AND(OR(ABSENSI!$H$10="",$E1012=ABSENSI!$H$10),OR(ABSENSI!$H$11="",$F1012=ABSENSI!$H$11),OR(ABSENSI!$H$12="",$K1012=ABSENSI!$H$12)),MAX($Y$3:Y1011)+1,""))</f>
        <v/>
      </c>
      <c r="Z1012" s="40" t="str">
        <f aca="false">IF($B1012="","",IF(AND(OR(KARTU!$K$6="",$E1012=KARTU!$K$6),OR(KARTU!$K$7="",$F1012=KARTU!$K$7),OR(KARTU!$K$8="",$K1012=KARTU!$K$8)),MAX($Z$3:Z1011)+1,""))</f>
        <v/>
      </c>
    </row>
    <row r="1013" customFormat="false" ht="15" hidden="false" customHeight="false" outlineLevel="0" collapsed="false">
      <c r="A1013" s="36" t="str">
        <f aca="false">IF($B1013="","",COUNTA($B$4:$B1013))</f>
        <v/>
      </c>
      <c r="B1013" s="37"/>
      <c r="C1013" s="38"/>
      <c r="D1013" s="39"/>
      <c r="E1013" s="37"/>
      <c r="F1013" s="39"/>
      <c r="G1013" s="40" t="str">
        <f aca="false">IF(OR($E1013="",$F1013=""),"",$E1013&amp;" - RT "&amp;$F1013)</f>
        <v/>
      </c>
      <c r="H1013" s="37"/>
      <c r="I1013" s="38"/>
      <c r="J1013" s="37"/>
      <c r="K1013" s="39"/>
      <c r="L1013" s="41"/>
      <c r="M1013" s="36" t="str">
        <f aca="true">IF(OR($B1013="",$L1013=""),"",DATEDIF($L1013,TODAY(),"Y"))</f>
        <v/>
      </c>
      <c r="N1013" s="40" t="str">
        <f aca="false">IF($M1013="","",INDEX(usia_label,MATCH($M1013,usia_min,1)))</f>
        <v/>
      </c>
      <c r="O1013" s="37"/>
      <c r="P1013" s="41"/>
      <c r="Q1013" s="37"/>
      <c r="R1013" s="37"/>
      <c r="S1013" s="40" t="str">
        <f aca="false">IF($G1013="","",$G1013&amp;"#"&amp;COUNTIF($G$4:$G1013,$G1013))</f>
        <v/>
      </c>
      <c r="T1013" s="40" t="str">
        <f aca="false">IF($B1013="","",IF($C1013="","NIK kosong",IF(LEN($C1013)&lt;&gt;16,"NIK bukan 16 digit",IF(COUNTIF($C$4:$C$2003,$C1013&amp;"*")&gt;1,"NIK ganda",IF($E1013="","Kadus kosong",IF($F1013="","RT kosong",IF($H1013="","Jabatan kosong",IF($I1013="","No. HP kosong",IF($J1013="","Alamat kosong",IF(AND($M1013&lt;&gt;"",$M1013&lt;17),"Usia di bawah 17",""))))))))))</f>
        <v/>
      </c>
      <c r="U1013" s="40" t="str">
        <f aca="false">IF($B1013="","",IF(AND(OR(CARI!$C$5="",ISNUMBER(SEARCH(CARI!$C$5,$B1013&amp;" "&amp;$C1013&amp;" "&amp;$I1013&amp;" "&amp;$J1013&amp;" "&amp;$Q1013))),OR(CARI!$C$6="",$E1013=CARI!$C$6),OR(CARI!$C$7="",$F1013=CARI!$C$7),OR(CARI!$C$8="",$O1013=CARI!$C$8)),MAX($U$3:U1012)+1,""))</f>
        <v/>
      </c>
      <c r="V1013" s="40" t="str">
        <f aca="false">IF($T1013="","",MAX($V$3:V1012)+1)</f>
        <v/>
      </c>
      <c r="W1013" s="40" t="str">
        <f aca="false">IF($E1013="","",$E1013&amp;"#"&amp;COUNTIF($E$4:$E1013,$E1013))</f>
        <v/>
      </c>
      <c r="X1013" s="40" t="str">
        <f aca="false">IF($B1013="","",IF(AND(OR(CETAK!$J$10="",$E1013=CETAK!$J$10),OR(CETAK!$J$11="",$F1013=CETAK!$J$11),OR(CETAK!$J$12="",$K1013=CETAK!$J$12),OR(CETAK!$J$13="",$H1013=CETAK!$J$13),OR(CETAK!$J$14="",$O1013=CETAK!$J$14)),MAX($X$3:X1012)+1,""))</f>
        <v/>
      </c>
      <c r="Y1013" s="40" t="str">
        <f aca="false">IF($B1013="","",IF(AND(OR(ABSENSI!$H$10="",$E1013=ABSENSI!$H$10),OR(ABSENSI!$H$11="",$F1013=ABSENSI!$H$11),OR(ABSENSI!$H$12="",$K1013=ABSENSI!$H$12)),MAX($Y$3:Y1012)+1,""))</f>
        <v/>
      </c>
      <c r="Z1013" s="40" t="str">
        <f aca="false">IF($B1013="","",IF(AND(OR(KARTU!$K$6="",$E1013=KARTU!$K$6),OR(KARTU!$K$7="",$F1013=KARTU!$K$7),OR(KARTU!$K$8="",$K1013=KARTU!$K$8)),MAX($Z$3:Z1012)+1,""))</f>
        <v/>
      </c>
    </row>
    <row r="1014" customFormat="false" ht="15" hidden="false" customHeight="false" outlineLevel="0" collapsed="false">
      <c r="A1014" s="36" t="str">
        <f aca="false">IF($B1014="","",COUNTA($B$4:$B1014))</f>
        <v/>
      </c>
      <c r="B1014" s="37"/>
      <c r="C1014" s="38"/>
      <c r="D1014" s="39"/>
      <c r="E1014" s="37"/>
      <c r="F1014" s="39"/>
      <c r="G1014" s="40" t="str">
        <f aca="false">IF(OR($E1014="",$F1014=""),"",$E1014&amp;" - RT "&amp;$F1014)</f>
        <v/>
      </c>
      <c r="H1014" s="37"/>
      <c r="I1014" s="38"/>
      <c r="J1014" s="37"/>
      <c r="K1014" s="39"/>
      <c r="L1014" s="41"/>
      <c r="M1014" s="36" t="str">
        <f aca="true">IF(OR($B1014="",$L1014=""),"",DATEDIF($L1014,TODAY(),"Y"))</f>
        <v/>
      </c>
      <c r="N1014" s="40" t="str">
        <f aca="false">IF($M1014="","",INDEX(usia_label,MATCH($M1014,usia_min,1)))</f>
        <v/>
      </c>
      <c r="O1014" s="37"/>
      <c r="P1014" s="41"/>
      <c r="Q1014" s="37"/>
      <c r="R1014" s="37"/>
      <c r="S1014" s="40" t="str">
        <f aca="false">IF($G1014="","",$G1014&amp;"#"&amp;COUNTIF($G$4:$G1014,$G1014))</f>
        <v/>
      </c>
      <c r="T1014" s="40" t="str">
        <f aca="false">IF($B1014="","",IF($C1014="","NIK kosong",IF(LEN($C1014)&lt;&gt;16,"NIK bukan 16 digit",IF(COUNTIF($C$4:$C$2003,$C1014&amp;"*")&gt;1,"NIK ganda",IF($E1014="","Kadus kosong",IF($F1014="","RT kosong",IF($H1014="","Jabatan kosong",IF($I1014="","No. HP kosong",IF($J1014="","Alamat kosong",IF(AND($M1014&lt;&gt;"",$M1014&lt;17),"Usia di bawah 17",""))))))))))</f>
        <v/>
      </c>
      <c r="U1014" s="40" t="str">
        <f aca="false">IF($B1014="","",IF(AND(OR(CARI!$C$5="",ISNUMBER(SEARCH(CARI!$C$5,$B1014&amp;" "&amp;$C1014&amp;" "&amp;$I1014&amp;" "&amp;$J1014&amp;" "&amp;$Q1014))),OR(CARI!$C$6="",$E1014=CARI!$C$6),OR(CARI!$C$7="",$F1014=CARI!$C$7),OR(CARI!$C$8="",$O1014=CARI!$C$8)),MAX($U$3:U1013)+1,""))</f>
        <v/>
      </c>
      <c r="V1014" s="40" t="str">
        <f aca="false">IF($T1014="","",MAX($V$3:V1013)+1)</f>
        <v/>
      </c>
      <c r="W1014" s="40" t="str">
        <f aca="false">IF($E1014="","",$E1014&amp;"#"&amp;COUNTIF($E$4:$E1014,$E1014))</f>
        <v/>
      </c>
      <c r="X1014" s="40" t="str">
        <f aca="false">IF($B1014="","",IF(AND(OR(CETAK!$J$10="",$E1014=CETAK!$J$10),OR(CETAK!$J$11="",$F1014=CETAK!$J$11),OR(CETAK!$J$12="",$K1014=CETAK!$J$12),OR(CETAK!$J$13="",$H1014=CETAK!$J$13),OR(CETAK!$J$14="",$O1014=CETAK!$J$14)),MAX($X$3:X1013)+1,""))</f>
        <v/>
      </c>
      <c r="Y1014" s="40" t="str">
        <f aca="false">IF($B1014="","",IF(AND(OR(ABSENSI!$H$10="",$E1014=ABSENSI!$H$10),OR(ABSENSI!$H$11="",$F1014=ABSENSI!$H$11),OR(ABSENSI!$H$12="",$K1014=ABSENSI!$H$12)),MAX($Y$3:Y1013)+1,""))</f>
        <v/>
      </c>
      <c r="Z1014" s="40" t="str">
        <f aca="false">IF($B1014="","",IF(AND(OR(KARTU!$K$6="",$E1014=KARTU!$K$6),OR(KARTU!$K$7="",$F1014=KARTU!$K$7),OR(KARTU!$K$8="",$K1014=KARTU!$K$8)),MAX($Z$3:Z1013)+1,""))</f>
        <v/>
      </c>
    </row>
    <row r="1015" customFormat="false" ht="15" hidden="false" customHeight="false" outlineLevel="0" collapsed="false">
      <c r="A1015" s="36" t="str">
        <f aca="false">IF($B1015="","",COUNTA($B$4:$B1015))</f>
        <v/>
      </c>
      <c r="B1015" s="37"/>
      <c r="C1015" s="38"/>
      <c r="D1015" s="39"/>
      <c r="E1015" s="37"/>
      <c r="F1015" s="39"/>
      <c r="G1015" s="40" t="str">
        <f aca="false">IF(OR($E1015="",$F1015=""),"",$E1015&amp;" - RT "&amp;$F1015)</f>
        <v/>
      </c>
      <c r="H1015" s="37"/>
      <c r="I1015" s="38"/>
      <c r="J1015" s="37"/>
      <c r="K1015" s="39"/>
      <c r="L1015" s="41"/>
      <c r="M1015" s="36" t="str">
        <f aca="true">IF(OR($B1015="",$L1015=""),"",DATEDIF($L1015,TODAY(),"Y"))</f>
        <v/>
      </c>
      <c r="N1015" s="40" t="str">
        <f aca="false">IF($M1015="","",INDEX(usia_label,MATCH($M1015,usia_min,1)))</f>
        <v/>
      </c>
      <c r="O1015" s="37"/>
      <c r="P1015" s="41"/>
      <c r="Q1015" s="37"/>
      <c r="R1015" s="37"/>
      <c r="S1015" s="40" t="str">
        <f aca="false">IF($G1015="","",$G1015&amp;"#"&amp;COUNTIF($G$4:$G1015,$G1015))</f>
        <v/>
      </c>
      <c r="T1015" s="40" t="str">
        <f aca="false">IF($B1015="","",IF($C1015="","NIK kosong",IF(LEN($C1015)&lt;&gt;16,"NIK bukan 16 digit",IF(COUNTIF($C$4:$C$2003,$C1015&amp;"*")&gt;1,"NIK ganda",IF($E1015="","Kadus kosong",IF($F1015="","RT kosong",IF($H1015="","Jabatan kosong",IF($I1015="","No. HP kosong",IF($J1015="","Alamat kosong",IF(AND($M1015&lt;&gt;"",$M1015&lt;17),"Usia di bawah 17",""))))))))))</f>
        <v/>
      </c>
      <c r="U1015" s="40" t="str">
        <f aca="false">IF($B1015="","",IF(AND(OR(CARI!$C$5="",ISNUMBER(SEARCH(CARI!$C$5,$B1015&amp;" "&amp;$C1015&amp;" "&amp;$I1015&amp;" "&amp;$J1015&amp;" "&amp;$Q1015))),OR(CARI!$C$6="",$E1015=CARI!$C$6),OR(CARI!$C$7="",$F1015=CARI!$C$7),OR(CARI!$C$8="",$O1015=CARI!$C$8)),MAX($U$3:U1014)+1,""))</f>
        <v/>
      </c>
      <c r="V1015" s="40" t="str">
        <f aca="false">IF($T1015="","",MAX($V$3:V1014)+1)</f>
        <v/>
      </c>
      <c r="W1015" s="40" t="str">
        <f aca="false">IF($E1015="","",$E1015&amp;"#"&amp;COUNTIF($E$4:$E1015,$E1015))</f>
        <v/>
      </c>
      <c r="X1015" s="40" t="str">
        <f aca="false">IF($B1015="","",IF(AND(OR(CETAK!$J$10="",$E1015=CETAK!$J$10),OR(CETAK!$J$11="",$F1015=CETAK!$J$11),OR(CETAK!$J$12="",$K1015=CETAK!$J$12),OR(CETAK!$J$13="",$H1015=CETAK!$J$13),OR(CETAK!$J$14="",$O1015=CETAK!$J$14)),MAX($X$3:X1014)+1,""))</f>
        <v/>
      </c>
      <c r="Y1015" s="40" t="str">
        <f aca="false">IF($B1015="","",IF(AND(OR(ABSENSI!$H$10="",$E1015=ABSENSI!$H$10),OR(ABSENSI!$H$11="",$F1015=ABSENSI!$H$11),OR(ABSENSI!$H$12="",$K1015=ABSENSI!$H$12)),MAX($Y$3:Y1014)+1,""))</f>
        <v/>
      </c>
      <c r="Z1015" s="40" t="str">
        <f aca="false">IF($B1015="","",IF(AND(OR(KARTU!$K$6="",$E1015=KARTU!$K$6),OR(KARTU!$K$7="",$F1015=KARTU!$K$7),OR(KARTU!$K$8="",$K1015=KARTU!$K$8)),MAX($Z$3:Z1014)+1,""))</f>
        <v/>
      </c>
    </row>
    <row r="1016" customFormat="false" ht="15" hidden="false" customHeight="false" outlineLevel="0" collapsed="false">
      <c r="A1016" s="36" t="str">
        <f aca="false">IF($B1016="","",COUNTA($B$4:$B1016))</f>
        <v/>
      </c>
      <c r="B1016" s="37"/>
      <c r="C1016" s="38"/>
      <c r="D1016" s="39"/>
      <c r="E1016" s="37"/>
      <c r="F1016" s="39"/>
      <c r="G1016" s="40" t="str">
        <f aca="false">IF(OR($E1016="",$F1016=""),"",$E1016&amp;" - RT "&amp;$F1016)</f>
        <v/>
      </c>
      <c r="H1016" s="37"/>
      <c r="I1016" s="38"/>
      <c r="J1016" s="37"/>
      <c r="K1016" s="39"/>
      <c r="L1016" s="41"/>
      <c r="M1016" s="36" t="str">
        <f aca="true">IF(OR($B1016="",$L1016=""),"",DATEDIF($L1016,TODAY(),"Y"))</f>
        <v/>
      </c>
      <c r="N1016" s="40" t="str">
        <f aca="false">IF($M1016="","",INDEX(usia_label,MATCH($M1016,usia_min,1)))</f>
        <v/>
      </c>
      <c r="O1016" s="37"/>
      <c r="P1016" s="41"/>
      <c r="Q1016" s="37"/>
      <c r="R1016" s="37"/>
      <c r="S1016" s="40" t="str">
        <f aca="false">IF($G1016="","",$G1016&amp;"#"&amp;COUNTIF($G$4:$G1016,$G1016))</f>
        <v/>
      </c>
      <c r="T1016" s="40" t="str">
        <f aca="false">IF($B1016="","",IF($C1016="","NIK kosong",IF(LEN($C1016)&lt;&gt;16,"NIK bukan 16 digit",IF(COUNTIF($C$4:$C$2003,$C1016&amp;"*")&gt;1,"NIK ganda",IF($E1016="","Kadus kosong",IF($F1016="","RT kosong",IF($H1016="","Jabatan kosong",IF($I1016="","No. HP kosong",IF($J1016="","Alamat kosong",IF(AND($M1016&lt;&gt;"",$M1016&lt;17),"Usia di bawah 17",""))))))))))</f>
        <v/>
      </c>
      <c r="U1016" s="40" t="str">
        <f aca="false">IF($B1016="","",IF(AND(OR(CARI!$C$5="",ISNUMBER(SEARCH(CARI!$C$5,$B1016&amp;" "&amp;$C1016&amp;" "&amp;$I1016&amp;" "&amp;$J1016&amp;" "&amp;$Q1016))),OR(CARI!$C$6="",$E1016=CARI!$C$6),OR(CARI!$C$7="",$F1016=CARI!$C$7),OR(CARI!$C$8="",$O1016=CARI!$C$8)),MAX($U$3:U1015)+1,""))</f>
        <v/>
      </c>
      <c r="V1016" s="40" t="str">
        <f aca="false">IF($T1016="","",MAX($V$3:V1015)+1)</f>
        <v/>
      </c>
      <c r="W1016" s="40" t="str">
        <f aca="false">IF($E1016="","",$E1016&amp;"#"&amp;COUNTIF($E$4:$E1016,$E1016))</f>
        <v/>
      </c>
      <c r="X1016" s="40" t="str">
        <f aca="false">IF($B1016="","",IF(AND(OR(CETAK!$J$10="",$E1016=CETAK!$J$10),OR(CETAK!$J$11="",$F1016=CETAK!$J$11),OR(CETAK!$J$12="",$K1016=CETAK!$J$12),OR(CETAK!$J$13="",$H1016=CETAK!$J$13),OR(CETAK!$J$14="",$O1016=CETAK!$J$14)),MAX($X$3:X1015)+1,""))</f>
        <v/>
      </c>
      <c r="Y1016" s="40" t="str">
        <f aca="false">IF($B1016="","",IF(AND(OR(ABSENSI!$H$10="",$E1016=ABSENSI!$H$10),OR(ABSENSI!$H$11="",$F1016=ABSENSI!$H$11),OR(ABSENSI!$H$12="",$K1016=ABSENSI!$H$12)),MAX($Y$3:Y1015)+1,""))</f>
        <v/>
      </c>
      <c r="Z1016" s="40" t="str">
        <f aca="false">IF($B1016="","",IF(AND(OR(KARTU!$K$6="",$E1016=KARTU!$K$6),OR(KARTU!$K$7="",$F1016=KARTU!$K$7),OR(KARTU!$K$8="",$K1016=KARTU!$K$8)),MAX($Z$3:Z1015)+1,""))</f>
        <v/>
      </c>
    </row>
    <row r="1017" customFormat="false" ht="15" hidden="false" customHeight="false" outlineLevel="0" collapsed="false">
      <c r="A1017" s="36" t="str">
        <f aca="false">IF($B1017="","",COUNTA($B$4:$B1017))</f>
        <v/>
      </c>
      <c r="B1017" s="37"/>
      <c r="C1017" s="38"/>
      <c r="D1017" s="39"/>
      <c r="E1017" s="37"/>
      <c r="F1017" s="39"/>
      <c r="G1017" s="40" t="str">
        <f aca="false">IF(OR($E1017="",$F1017=""),"",$E1017&amp;" - RT "&amp;$F1017)</f>
        <v/>
      </c>
      <c r="H1017" s="37"/>
      <c r="I1017" s="38"/>
      <c r="J1017" s="37"/>
      <c r="K1017" s="39"/>
      <c r="L1017" s="41"/>
      <c r="M1017" s="36" t="str">
        <f aca="true">IF(OR($B1017="",$L1017=""),"",DATEDIF($L1017,TODAY(),"Y"))</f>
        <v/>
      </c>
      <c r="N1017" s="40" t="str">
        <f aca="false">IF($M1017="","",INDEX(usia_label,MATCH($M1017,usia_min,1)))</f>
        <v/>
      </c>
      <c r="O1017" s="37"/>
      <c r="P1017" s="41"/>
      <c r="Q1017" s="37"/>
      <c r="R1017" s="37"/>
      <c r="S1017" s="40" t="str">
        <f aca="false">IF($G1017="","",$G1017&amp;"#"&amp;COUNTIF($G$4:$G1017,$G1017))</f>
        <v/>
      </c>
      <c r="T1017" s="40" t="str">
        <f aca="false">IF($B1017="","",IF($C1017="","NIK kosong",IF(LEN($C1017)&lt;&gt;16,"NIK bukan 16 digit",IF(COUNTIF($C$4:$C$2003,$C1017&amp;"*")&gt;1,"NIK ganda",IF($E1017="","Kadus kosong",IF($F1017="","RT kosong",IF($H1017="","Jabatan kosong",IF($I1017="","No. HP kosong",IF($J1017="","Alamat kosong",IF(AND($M1017&lt;&gt;"",$M1017&lt;17),"Usia di bawah 17",""))))))))))</f>
        <v/>
      </c>
      <c r="U1017" s="40" t="str">
        <f aca="false">IF($B1017="","",IF(AND(OR(CARI!$C$5="",ISNUMBER(SEARCH(CARI!$C$5,$B1017&amp;" "&amp;$C1017&amp;" "&amp;$I1017&amp;" "&amp;$J1017&amp;" "&amp;$Q1017))),OR(CARI!$C$6="",$E1017=CARI!$C$6),OR(CARI!$C$7="",$F1017=CARI!$C$7),OR(CARI!$C$8="",$O1017=CARI!$C$8)),MAX($U$3:U1016)+1,""))</f>
        <v/>
      </c>
      <c r="V1017" s="40" t="str">
        <f aca="false">IF($T1017="","",MAX($V$3:V1016)+1)</f>
        <v/>
      </c>
      <c r="W1017" s="40" t="str">
        <f aca="false">IF($E1017="","",$E1017&amp;"#"&amp;COUNTIF($E$4:$E1017,$E1017))</f>
        <v/>
      </c>
      <c r="X1017" s="40" t="str">
        <f aca="false">IF($B1017="","",IF(AND(OR(CETAK!$J$10="",$E1017=CETAK!$J$10),OR(CETAK!$J$11="",$F1017=CETAK!$J$11),OR(CETAK!$J$12="",$K1017=CETAK!$J$12),OR(CETAK!$J$13="",$H1017=CETAK!$J$13),OR(CETAK!$J$14="",$O1017=CETAK!$J$14)),MAX($X$3:X1016)+1,""))</f>
        <v/>
      </c>
      <c r="Y1017" s="40" t="str">
        <f aca="false">IF($B1017="","",IF(AND(OR(ABSENSI!$H$10="",$E1017=ABSENSI!$H$10),OR(ABSENSI!$H$11="",$F1017=ABSENSI!$H$11),OR(ABSENSI!$H$12="",$K1017=ABSENSI!$H$12)),MAX($Y$3:Y1016)+1,""))</f>
        <v/>
      </c>
      <c r="Z1017" s="40" t="str">
        <f aca="false">IF($B1017="","",IF(AND(OR(KARTU!$K$6="",$E1017=KARTU!$K$6),OR(KARTU!$K$7="",$F1017=KARTU!$K$7),OR(KARTU!$K$8="",$K1017=KARTU!$K$8)),MAX($Z$3:Z1016)+1,""))</f>
        <v/>
      </c>
    </row>
    <row r="1018" customFormat="false" ht="15" hidden="false" customHeight="false" outlineLevel="0" collapsed="false">
      <c r="A1018" s="36" t="str">
        <f aca="false">IF($B1018="","",COUNTA($B$4:$B1018))</f>
        <v/>
      </c>
      <c r="B1018" s="37"/>
      <c r="C1018" s="38"/>
      <c r="D1018" s="39"/>
      <c r="E1018" s="37"/>
      <c r="F1018" s="39"/>
      <c r="G1018" s="40" t="str">
        <f aca="false">IF(OR($E1018="",$F1018=""),"",$E1018&amp;" - RT "&amp;$F1018)</f>
        <v/>
      </c>
      <c r="H1018" s="37"/>
      <c r="I1018" s="38"/>
      <c r="J1018" s="37"/>
      <c r="K1018" s="39"/>
      <c r="L1018" s="41"/>
      <c r="M1018" s="36" t="str">
        <f aca="true">IF(OR($B1018="",$L1018=""),"",DATEDIF($L1018,TODAY(),"Y"))</f>
        <v/>
      </c>
      <c r="N1018" s="40" t="str">
        <f aca="false">IF($M1018="","",INDEX(usia_label,MATCH($M1018,usia_min,1)))</f>
        <v/>
      </c>
      <c r="O1018" s="37"/>
      <c r="P1018" s="41"/>
      <c r="Q1018" s="37"/>
      <c r="R1018" s="37"/>
      <c r="S1018" s="40" t="str">
        <f aca="false">IF($G1018="","",$G1018&amp;"#"&amp;COUNTIF($G$4:$G1018,$G1018))</f>
        <v/>
      </c>
      <c r="T1018" s="40" t="str">
        <f aca="false">IF($B1018="","",IF($C1018="","NIK kosong",IF(LEN($C1018)&lt;&gt;16,"NIK bukan 16 digit",IF(COUNTIF($C$4:$C$2003,$C1018&amp;"*")&gt;1,"NIK ganda",IF($E1018="","Kadus kosong",IF($F1018="","RT kosong",IF($H1018="","Jabatan kosong",IF($I1018="","No. HP kosong",IF($J1018="","Alamat kosong",IF(AND($M1018&lt;&gt;"",$M1018&lt;17),"Usia di bawah 17",""))))))))))</f>
        <v/>
      </c>
      <c r="U1018" s="40" t="str">
        <f aca="false">IF($B1018="","",IF(AND(OR(CARI!$C$5="",ISNUMBER(SEARCH(CARI!$C$5,$B1018&amp;" "&amp;$C1018&amp;" "&amp;$I1018&amp;" "&amp;$J1018&amp;" "&amp;$Q1018))),OR(CARI!$C$6="",$E1018=CARI!$C$6),OR(CARI!$C$7="",$F1018=CARI!$C$7),OR(CARI!$C$8="",$O1018=CARI!$C$8)),MAX($U$3:U1017)+1,""))</f>
        <v/>
      </c>
      <c r="V1018" s="40" t="str">
        <f aca="false">IF($T1018="","",MAX($V$3:V1017)+1)</f>
        <v/>
      </c>
      <c r="W1018" s="40" t="str">
        <f aca="false">IF($E1018="","",$E1018&amp;"#"&amp;COUNTIF($E$4:$E1018,$E1018))</f>
        <v/>
      </c>
      <c r="X1018" s="40" t="str">
        <f aca="false">IF($B1018="","",IF(AND(OR(CETAK!$J$10="",$E1018=CETAK!$J$10),OR(CETAK!$J$11="",$F1018=CETAK!$J$11),OR(CETAK!$J$12="",$K1018=CETAK!$J$12),OR(CETAK!$J$13="",$H1018=CETAK!$J$13),OR(CETAK!$J$14="",$O1018=CETAK!$J$14)),MAX($X$3:X1017)+1,""))</f>
        <v/>
      </c>
      <c r="Y1018" s="40" t="str">
        <f aca="false">IF($B1018="","",IF(AND(OR(ABSENSI!$H$10="",$E1018=ABSENSI!$H$10),OR(ABSENSI!$H$11="",$F1018=ABSENSI!$H$11),OR(ABSENSI!$H$12="",$K1018=ABSENSI!$H$12)),MAX($Y$3:Y1017)+1,""))</f>
        <v/>
      </c>
      <c r="Z1018" s="40" t="str">
        <f aca="false">IF($B1018="","",IF(AND(OR(KARTU!$K$6="",$E1018=KARTU!$K$6),OR(KARTU!$K$7="",$F1018=KARTU!$K$7),OR(KARTU!$K$8="",$K1018=KARTU!$K$8)),MAX($Z$3:Z1017)+1,""))</f>
        <v/>
      </c>
    </row>
    <row r="1019" customFormat="false" ht="15" hidden="false" customHeight="false" outlineLevel="0" collapsed="false">
      <c r="A1019" s="36" t="str">
        <f aca="false">IF($B1019="","",COUNTA($B$4:$B1019))</f>
        <v/>
      </c>
      <c r="B1019" s="37"/>
      <c r="C1019" s="38"/>
      <c r="D1019" s="39"/>
      <c r="E1019" s="37"/>
      <c r="F1019" s="39"/>
      <c r="G1019" s="40" t="str">
        <f aca="false">IF(OR($E1019="",$F1019=""),"",$E1019&amp;" - RT "&amp;$F1019)</f>
        <v/>
      </c>
      <c r="H1019" s="37"/>
      <c r="I1019" s="38"/>
      <c r="J1019" s="37"/>
      <c r="K1019" s="39"/>
      <c r="L1019" s="41"/>
      <c r="M1019" s="36" t="str">
        <f aca="true">IF(OR($B1019="",$L1019=""),"",DATEDIF($L1019,TODAY(),"Y"))</f>
        <v/>
      </c>
      <c r="N1019" s="40" t="str">
        <f aca="false">IF($M1019="","",INDEX(usia_label,MATCH($M1019,usia_min,1)))</f>
        <v/>
      </c>
      <c r="O1019" s="37"/>
      <c r="P1019" s="41"/>
      <c r="Q1019" s="37"/>
      <c r="R1019" s="37"/>
      <c r="S1019" s="40" t="str">
        <f aca="false">IF($G1019="","",$G1019&amp;"#"&amp;COUNTIF($G$4:$G1019,$G1019))</f>
        <v/>
      </c>
      <c r="T1019" s="40" t="str">
        <f aca="false">IF($B1019="","",IF($C1019="","NIK kosong",IF(LEN($C1019)&lt;&gt;16,"NIK bukan 16 digit",IF(COUNTIF($C$4:$C$2003,$C1019&amp;"*")&gt;1,"NIK ganda",IF($E1019="","Kadus kosong",IF($F1019="","RT kosong",IF($H1019="","Jabatan kosong",IF($I1019="","No. HP kosong",IF($J1019="","Alamat kosong",IF(AND($M1019&lt;&gt;"",$M1019&lt;17),"Usia di bawah 17",""))))))))))</f>
        <v/>
      </c>
      <c r="U1019" s="40" t="str">
        <f aca="false">IF($B1019="","",IF(AND(OR(CARI!$C$5="",ISNUMBER(SEARCH(CARI!$C$5,$B1019&amp;" "&amp;$C1019&amp;" "&amp;$I1019&amp;" "&amp;$J1019&amp;" "&amp;$Q1019))),OR(CARI!$C$6="",$E1019=CARI!$C$6),OR(CARI!$C$7="",$F1019=CARI!$C$7),OR(CARI!$C$8="",$O1019=CARI!$C$8)),MAX($U$3:U1018)+1,""))</f>
        <v/>
      </c>
      <c r="V1019" s="40" t="str">
        <f aca="false">IF($T1019="","",MAX($V$3:V1018)+1)</f>
        <v/>
      </c>
      <c r="W1019" s="40" t="str">
        <f aca="false">IF($E1019="","",$E1019&amp;"#"&amp;COUNTIF($E$4:$E1019,$E1019))</f>
        <v/>
      </c>
      <c r="X1019" s="40" t="str">
        <f aca="false">IF($B1019="","",IF(AND(OR(CETAK!$J$10="",$E1019=CETAK!$J$10),OR(CETAK!$J$11="",$F1019=CETAK!$J$11),OR(CETAK!$J$12="",$K1019=CETAK!$J$12),OR(CETAK!$J$13="",$H1019=CETAK!$J$13),OR(CETAK!$J$14="",$O1019=CETAK!$J$14)),MAX($X$3:X1018)+1,""))</f>
        <v/>
      </c>
      <c r="Y1019" s="40" t="str">
        <f aca="false">IF($B1019="","",IF(AND(OR(ABSENSI!$H$10="",$E1019=ABSENSI!$H$10),OR(ABSENSI!$H$11="",$F1019=ABSENSI!$H$11),OR(ABSENSI!$H$12="",$K1019=ABSENSI!$H$12)),MAX($Y$3:Y1018)+1,""))</f>
        <v/>
      </c>
      <c r="Z1019" s="40" t="str">
        <f aca="false">IF($B1019="","",IF(AND(OR(KARTU!$K$6="",$E1019=KARTU!$K$6),OR(KARTU!$K$7="",$F1019=KARTU!$K$7),OR(KARTU!$K$8="",$K1019=KARTU!$K$8)),MAX($Z$3:Z1018)+1,""))</f>
        <v/>
      </c>
    </row>
    <row r="1020" customFormat="false" ht="15" hidden="false" customHeight="false" outlineLevel="0" collapsed="false">
      <c r="A1020" s="36" t="str">
        <f aca="false">IF($B1020="","",COUNTA($B$4:$B1020))</f>
        <v/>
      </c>
      <c r="B1020" s="37"/>
      <c r="C1020" s="38"/>
      <c r="D1020" s="39"/>
      <c r="E1020" s="37"/>
      <c r="F1020" s="39"/>
      <c r="G1020" s="40" t="str">
        <f aca="false">IF(OR($E1020="",$F1020=""),"",$E1020&amp;" - RT "&amp;$F1020)</f>
        <v/>
      </c>
      <c r="H1020" s="37"/>
      <c r="I1020" s="38"/>
      <c r="J1020" s="37"/>
      <c r="K1020" s="39"/>
      <c r="L1020" s="41"/>
      <c r="M1020" s="36" t="str">
        <f aca="true">IF(OR($B1020="",$L1020=""),"",DATEDIF($L1020,TODAY(),"Y"))</f>
        <v/>
      </c>
      <c r="N1020" s="40" t="str">
        <f aca="false">IF($M1020="","",INDEX(usia_label,MATCH($M1020,usia_min,1)))</f>
        <v/>
      </c>
      <c r="O1020" s="37"/>
      <c r="P1020" s="41"/>
      <c r="Q1020" s="37"/>
      <c r="R1020" s="37"/>
      <c r="S1020" s="40" t="str">
        <f aca="false">IF($G1020="","",$G1020&amp;"#"&amp;COUNTIF($G$4:$G1020,$G1020))</f>
        <v/>
      </c>
      <c r="T1020" s="40" t="str">
        <f aca="false">IF($B1020="","",IF($C1020="","NIK kosong",IF(LEN($C1020)&lt;&gt;16,"NIK bukan 16 digit",IF(COUNTIF($C$4:$C$2003,$C1020&amp;"*")&gt;1,"NIK ganda",IF($E1020="","Kadus kosong",IF($F1020="","RT kosong",IF($H1020="","Jabatan kosong",IF($I1020="","No. HP kosong",IF($J1020="","Alamat kosong",IF(AND($M1020&lt;&gt;"",$M1020&lt;17),"Usia di bawah 17",""))))))))))</f>
        <v/>
      </c>
      <c r="U1020" s="40" t="str">
        <f aca="false">IF($B1020="","",IF(AND(OR(CARI!$C$5="",ISNUMBER(SEARCH(CARI!$C$5,$B1020&amp;" "&amp;$C1020&amp;" "&amp;$I1020&amp;" "&amp;$J1020&amp;" "&amp;$Q1020))),OR(CARI!$C$6="",$E1020=CARI!$C$6),OR(CARI!$C$7="",$F1020=CARI!$C$7),OR(CARI!$C$8="",$O1020=CARI!$C$8)),MAX($U$3:U1019)+1,""))</f>
        <v/>
      </c>
      <c r="V1020" s="40" t="str">
        <f aca="false">IF($T1020="","",MAX($V$3:V1019)+1)</f>
        <v/>
      </c>
      <c r="W1020" s="40" t="str">
        <f aca="false">IF($E1020="","",$E1020&amp;"#"&amp;COUNTIF($E$4:$E1020,$E1020))</f>
        <v/>
      </c>
      <c r="X1020" s="40" t="str">
        <f aca="false">IF($B1020="","",IF(AND(OR(CETAK!$J$10="",$E1020=CETAK!$J$10),OR(CETAK!$J$11="",$F1020=CETAK!$J$11),OR(CETAK!$J$12="",$K1020=CETAK!$J$12),OR(CETAK!$J$13="",$H1020=CETAK!$J$13),OR(CETAK!$J$14="",$O1020=CETAK!$J$14)),MAX($X$3:X1019)+1,""))</f>
        <v/>
      </c>
      <c r="Y1020" s="40" t="str">
        <f aca="false">IF($B1020="","",IF(AND(OR(ABSENSI!$H$10="",$E1020=ABSENSI!$H$10),OR(ABSENSI!$H$11="",$F1020=ABSENSI!$H$11),OR(ABSENSI!$H$12="",$K1020=ABSENSI!$H$12)),MAX($Y$3:Y1019)+1,""))</f>
        <v/>
      </c>
      <c r="Z1020" s="40" t="str">
        <f aca="false">IF($B1020="","",IF(AND(OR(KARTU!$K$6="",$E1020=KARTU!$K$6),OR(KARTU!$K$7="",$F1020=KARTU!$K$7),OR(KARTU!$K$8="",$K1020=KARTU!$K$8)),MAX($Z$3:Z1019)+1,""))</f>
        <v/>
      </c>
    </row>
    <row r="1021" customFormat="false" ht="15" hidden="false" customHeight="false" outlineLevel="0" collapsed="false">
      <c r="A1021" s="36" t="str">
        <f aca="false">IF($B1021="","",COUNTA($B$4:$B1021))</f>
        <v/>
      </c>
      <c r="B1021" s="37"/>
      <c r="C1021" s="38"/>
      <c r="D1021" s="39"/>
      <c r="E1021" s="37"/>
      <c r="F1021" s="39"/>
      <c r="G1021" s="40" t="str">
        <f aca="false">IF(OR($E1021="",$F1021=""),"",$E1021&amp;" - RT "&amp;$F1021)</f>
        <v/>
      </c>
      <c r="H1021" s="37"/>
      <c r="I1021" s="38"/>
      <c r="J1021" s="37"/>
      <c r="K1021" s="39"/>
      <c r="L1021" s="41"/>
      <c r="M1021" s="36" t="str">
        <f aca="true">IF(OR($B1021="",$L1021=""),"",DATEDIF($L1021,TODAY(),"Y"))</f>
        <v/>
      </c>
      <c r="N1021" s="40" t="str">
        <f aca="false">IF($M1021="","",INDEX(usia_label,MATCH($M1021,usia_min,1)))</f>
        <v/>
      </c>
      <c r="O1021" s="37"/>
      <c r="P1021" s="41"/>
      <c r="Q1021" s="37"/>
      <c r="R1021" s="37"/>
      <c r="S1021" s="40" t="str">
        <f aca="false">IF($G1021="","",$G1021&amp;"#"&amp;COUNTIF($G$4:$G1021,$G1021))</f>
        <v/>
      </c>
      <c r="T1021" s="40" t="str">
        <f aca="false">IF($B1021="","",IF($C1021="","NIK kosong",IF(LEN($C1021)&lt;&gt;16,"NIK bukan 16 digit",IF(COUNTIF($C$4:$C$2003,$C1021&amp;"*")&gt;1,"NIK ganda",IF($E1021="","Kadus kosong",IF($F1021="","RT kosong",IF($H1021="","Jabatan kosong",IF($I1021="","No. HP kosong",IF($J1021="","Alamat kosong",IF(AND($M1021&lt;&gt;"",$M1021&lt;17),"Usia di bawah 17",""))))))))))</f>
        <v/>
      </c>
      <c r="U1021" s="40" t="str">
        <f aca="false">IF($B1021="","",IF(AND(OR(CARI!$C$5="",ISNUMBER(SEARCH(CARI!$C$5,$B1021&amp;" "&amp;$C1021&amp;" "&amp;$I1021&amp;" "&amp;$J1021&amp;" "&amp;$Q1021))),OR(CARI!$C$6="",$E1021=CARI!$C$6),OR(CARI!$C$7="",$F1021=CARI!$C$7),OR(CARI!$C$8="",$O1021=CARI!$C$8)),MAX($U$3:U1020)+1,""))</f>
        <v/>
      </c>
      <c r="V1021" s="40" t="str">
        <f aca="false">IF($T1021="","",MAX($V$3:V1020)+1)</f>
        <v/>
      </c>
      <c r="W1021" s="40" t="str">
        <f aca="false">IF($E1021="","",$E1021&amp;"#"&amp;COUNTIF($E$4:$E1021,$E1021))</f>
        <v/>
      </c>
      <c r="X1021" s="40" t="str">
        <f aca="false">IF($B1021="","",IF(AND(OR(CETAK!$J$10="",$E1021=CETAK!$J$10),OR(CETAK!$J$11="",$F1021=CETAK!$J$11),OR(CETAK!$J$12="",$K1021=CETAK!$J$12),OR(CETAK!$J$13="",$H1021=CETAK!$J$13),OR(CETAK!$J$14="",$O1021=CETAK!$J$14)),MAX($X$3:X1020)+1,""))</f>
        <v/>
      </c>
      <c r="Y1021" s="40" t="str">
        <f aca="false">IF($B1021="","",IF(AND(OR(ABSENSI!$H$10="",$E1021=ABSENSI!$H$10),OR(ABSENSI!$H$11="",$F1021=ABSENSI!$H$11),OR(ABSENSI!$H$12="",$K1021=ABSENSI!$H$12)),MAX($Y$3:Y1020)+1,""))</f>
        <v/>
      </c>
      <c r="Z1021" s="40" t="str">
        <f aca="false">IF($B1021="","",IF(AND(OR(KARTU!$K$6="",$E1021=KARTU!$K$6),OR(KARTU!$K$7="",$F1021=KARTU!$K$7),OR(KARTU!$K$8="",$K1021=KARTU!$K$8)),MAX($Z$3:Z1020)+1,""))</f>
        <v/>
      </c>
    </row>
    <row r="1022" customFormat="false" ht="15" hidden="false" customHeight="false" outlineLevel="0" collapsed="false">
      <c r="A1022" s="36" t="str">
        <f aca="false">IF($B1022="","",COUNTA($B$4:$B1022))</f>
        <v/>
      </c>
      <c r="B1022" s="37"/>
      <c r="C1022" s="38"/>
      <c r="D1022" s="39"/>
      <c r="E1022" s="37"/>
      <c r="F1022" s="39"/>
      <c r="G1022" s="40" t="str">
        <f aca="false">IF(OR($E1022="",$F1022=""),"",$E1022&amp;" - RT "&amp;$F1022)</f>
        <v/>
      </c>
      <c r="H1022" s="37"/>
      <c r="I1022" s="38"/>
      <c r="J1022" s="37"/>
      <c r="K1022" s="39"/>
      <c r="L1022" s="41"/>
      <c r="M1022" s="36" t="str">
        <f aca="true">IF(OR($B1022="",$L1022=""),"",DATEDIF($L1022,TODAY(),"Y"))</f>
        <v/>
      </c>
      <c r="N1022" s="40" t="str">
        <f aca="false">IF($M1022="","",INDEX(usia_label,MATCH($M1022,usia_min,1)))</f>
        <v/>
      </c>
      <c r="O1022" s="37"/>
      <c r="P1022" s="41"/>
      <c r="Q1022" s="37"/>
      <c r="R1022" s="37"/>
      <c r="S1022" s="40" t="str">
        <f aca="false">IF($G1022="","",$G1022&amp;"#"&amp;COUNTIF($G$4:$G1022,$G1022))</f>
        <v/>
      </c>
      <c r="T1022" s="40" t="str">
        <f aca="false">IF($B1022="","",IF($C1022="","NIK kosong",IF(LEN($C1022)&lt;&gt;16,"NIK bukan 16 digit",IF(COUNTIF($C$4:$C$2003,$C1022&amp;"*")&gt;1,"NIK ganda",IF($E1022="","Kadus kosong",IF($F1022="","RT kosong",IF($H1022="","Jabatan kosong",IF($I1022="","No. HP kosong",IF($J1022="","Alamat kosong",IF(AND($M1022&lt;&gt;"",$M1022&lt;17),"Usia di bawah 17",""))))))))))</f>
        <v/>
      </c>
      <c r="U1022" s="40" t="str">
        <f aca="false">IF($B1022="","",IF(AND(OR(CARI!$C$5="",ISNUMBER(SEARCH(CARI!$C$5,$B1022&amp;" "&amp;$C1022&amp;" "&amp;$I1022&amp;" "&amp;$J1022&amp;" "&amp;$Q1022))),OR(CARI!$C$6="",$E1022=CARI!$C$6),OR(CARI!$C$7="",$F1022=CARI!$C$7),OR(CARI!$C$8="",$O1022=CARI!$C$8)),MAX($U$3:U1021)+1,""))</f>
        <v/>
      </c>
      <c r="V1022" s="40" t="str">
        <f aca="false">IF($T1022="","",MAX($V$3:V1021)+1)</f>
        <v/>
      </c>
      <c r="W1022" s="40" t="str">
        <f aca="false">IF($E1022="","",$E1022&amp;"#"&amp;COUNTIF($E$4:$E1022,$E1022))</f>
        <v/>
      </c>
      <c r="X1022" s="40" t="str">
        <f aca="false">IF($B1022="","",IF(AND(OR(CETAK!$J$10="",$E1022=CETAK!$J$10),OR(CETAK!$J$11="",$F1022=CETAK!$J$11),OR(CETAK!$J$12="",$K1022=CETAK!$J$12),OR(CETAK!$J$13="",$H1022=CETAK!$J$13),OR(CETAK!$J$14="",$O1022=CETAK!$J$14)),MAX($X$3:X1021)+1,""))</f>
        <v/>
      </c>
      <c r="Y1022" s="40" t="str">
        <f aca="false">IF($B1022="","",IF(AND(OR(ABSENSI!$H$10="",$E1022=ABSENSI!$H$10),OR(ABSENSI!$H$11="",$F1022=ABSENSI!$H$11),OR(ABSENSI!$H$12="",$K1022=ABSENSI!$H$12)),MAX($Y$3:Y1021)+1,""))</f>
        <v/>
      </c>
      <c r="Z1022" s="40" t="str">
        <f aca="false">IF($B1022="","",IF(AND(OR(KARTU!$K$6="",$E1022=KARTU!$K$6),OR(KARTU!$K$7="",$F1022=KARTU!$K$7),OR(KARTU!$K$8="",$K1022=KARTU!$K$8)),MAX($Z$3:Z1021)+1,""))</f>
        <v/>
      </c>
    </row>
    <row r="1023" customFormat="false" ht="15" hidden="false" customHeight="false" outlineLevel="0" collapsed="false">
      <c r="A1023" s="36" t="str">
        <f aca="false">IF($B1023="","",COUNTA($B$4:$B1023))</f>
        <v/>
      </c>
      <c r="B1023" s="37"/>
      <c r="C1023" s="38"/>
      <c r="D1023" s="39"/>
      <c r="E1023" s="37"/>
      <c r="F1023" s="39"/>
      <c r="G1023" s="40" t="str">
        <f aca="false">IF(OR($E1023="",$F1023=""),"",$E1023&amp;" - RT "&amp;$F1023)</f>
        <v/>
      </c>
      <c r="H1023" s="37"/>
      <c r="I1023" s="38"/>
      <c r="J1023" s="37"/>
      <c r="K1023" s="39"/>
      <c r="L1023" s="41"/>
      <c r="M1023" s="36" t="str">
        <f aca="true">IF(OR($B1023="",$L1023=""),"",DATEDIF($L1023,TODAY(),"Y"))</f>
        <v/>
      </c>
      <c r="N1023" s="40" t="str">
        <f aca="false">IF($M1023="","",INDEX(usia_label,MATCH($M1023,usia_min,1)))</f>
        <v/>
      </c>
      <c r="O1023" s="37"/>
      <c r="P1023" s="41"/>
      <c r="Q1023" s="37"/>
      <c r="R1023" s="37"/>
      <c r="S1023" s="40" t="str">
        <f aca="false">IF($G1023="","",$G1023&amp;"#"&amp;COUNTIF($G$4:$G1023,$G1023))</f>
        <v/>
      </c>
      <c r="T1023" s="40" t="str">
        <f aca="false">IF($B1023="","",IF($C1023="","NIK kosong",IF(LEN($C1023)&lt;&gt;16,"NIK bukan 16 digit",IF(COUNTIF($C$4:$C$2003,$C1023&amp;"*")&gt;1,"NIK ganda",IF($E1023="","Kadus kosong",IF($F1023="","RT kosong",IF($H1023="","Jabatan kosong",IF($I1023="","No. HP kosong",IF($J1023="","Alamat kosong",IF(AND($M1023&lt;&gt;"",$M1023&lt;17),"Usia di bawah 17",""))))))))))</f>
        <v/>
      </c>
      <c r="U1023" s="40" t="str">
        <f aca="false">IF($B1023="","",IF(AND(OR(CARI!$C$5="",ISNUMBER(SEARCH(CARI!$C$5,$B1023&amp;" "&amp;$C1023&amp;" "&amp;$I1023&amp;" "&amp;$J1023&amp;" "&amp;$Q1023))),OR(CARI!$C$6="",$E1023=CARI!$C$6),OR(CARI!$C$7="",$F1023=CARI!$C$7),OR(CARI!$C$8="",$O1023=CARI!$C$8)),MAX($U$3:U1022)+1,""))</f>
        <v/>
      </c>
      <c r="V1023" s="40" t="str">
        <f aca="false">IF($T1023="","",MAX($V$3:V1022)+1)</f>
        <v/>
      </c>
      <c r="W1023" s="40" t="str">
        <f aca="false">IF($E1023="","",$E1023&amp;"#"&amp;COUNTIF($E$4:$E1023,$E1023))</f>
        <v/>
      </c>
      <c r="X1023" s="40" t="str">
        <f aca="false">IF($B1023="","",IF(AND(OR(CETAK!$J$10="",$E1023=CETAK!$J$10),OR(CETAK!$J$11="",$F1023=CETAK!$J$11),OR(CETAK!$J$12="",$K1023=CETAK!$J$12),OR(CETAK!$J$13="",$H1023=CETAK!$J$13),OR(CETAK!$J$14="",$O1023=CETAK!$J$14)),MAX($X$3:X1022)+1,""))</f>
        <v/>
      </c>
      <c r="Y1023" s="40" t="str">
        <f aca="false">IF($B1023="","",IF(AND(OR(ABSENSI!$H$10="",$E1023=ABSENSI!$H$10),OR(ABSENSI!$H$11="",$F1023=ABSENSI!$H$11),OR(ABSENSI!$H$12="",$K1023=ABSENSI!$H$12)),MAX($Y$3:Y1022)+1,""))</f>
        <v/>
      </c>
      <c r="Z1023" s="40" t="str">
        <f aca="false">IF($B1023="","",IF(AND(OR(KARTU!$K$6="",$E1023=KARTU!$K$6),OR(KARTU!$K$7="",$F1023=KARTU!$K$7),OR(KARTU!$K$8="",$K1023=KARTU!$K$8)),MAX($Z$3:Z1022)+1,""))</f>
        <v/>
      </c>
    </row>
    <row r="1024" customFormat="false" ht="15" hidden="false" customHeight="false" outlineLevel="0" collapsed="false">
      <c r="A1024" s="36" t="str">
        <f aca="false">IF($B1024="","",COUNTA($B$4:$B1024))</f>
        <v/>
      </c>
      <c r="B1024" s="37"/>
      <c r="C1024" s="38"/>
      <c r="D1024" s="39"/>
      <c r="E1024" s="37"/>
      <c r="F1024" s="39"/>
      <c r="G1024" s="40" t="str">
        <f aca="false">IF(OR($E1024="",$F1024=""),"",$E1024&amp;" - RT "&amp;$F1024)</f>
        <v/>
      </c>
      <c r="H1024" s="37"/>
      <c r="I1024" s="38"/>
      <c r="J1024" s="37"/>
      <c r="K1024" s="39"/>
      <c r="L1024" s="41"/>
      <c r="M1024" s="36" t="str">
        <f aca="true">IF(OR($B1024="",$L1024=""),"",DATEDIF($L1024,TODAY(),"Y"))</f>
        <v/>
      </c>
      <c r="N1024" s="40" t="str">
        <f aca="false">IF($M1024="","",INDEX(usia_label,MATCH($M1024,usia_min,1)))</f>
        <v/>
      </c>
      <c r="O1024" s="37"/>
      <c r="P1024" s="41"/>
      <c r="Q1024" s="37"/>
      <c r="R1024" s="37"/>
      <c r="S1024" s="40" t="str">
        <f aca="false">IF($G1024="","",$G1024&amp;"#"&amp;COUNTIF($G$4:$G1024,$G1024))</f>
        <v/>
      </c>
      <c r="T1024" s="40" t="str">
        <f aca="false">IF($B1024="","",IF($C1024="","NIK kosong",IF(LEN($C1024)&lt;&gt;16,"NIK bukan 16 digit",IF(COUNTIF($C$4:$C$2003,$C1024&amp;"*")&gt;1,"NIK ganda",IF($E1024="","Kadus kosong",IF($F1024="","RT kosong",IF($H1024="","Jabatan kosong",IF($I1024="","No. HP kosong",IF($J1024="","Alamat kosong",IF(AND($M1024&lt;&gt;"",$M1024&lt;17),"Usia di bawah 17",""))))))))))</f>
        <v/>
      </c>
      <c r="U1024" s="40" t="str">
        <f aca="false">IF($B1024="","",IF(AND(OR(CARI!$C$5="",ISNUMBER(SEARCH(CARI!$C$5,$B1024&amp;" "&amp;$C1024&amp;" "&amp;$I1024&amp;" "&amp;$J1024&amp;" "&amp;$Q1024))),OR(CARI!$C$6="",$E1024=CARI!$C$6),OR(CARI!$C$7="",$F1024=CARI!$C$7),OR(CARI!$C$8="",$O1024=CARI!$C$8)),MAX($U$3:U1023)+1,""))</f>
        <v/>
      </c>
      <c r="V1024" s="40" t="str">
        <f aca="false">IF($T1024="","",MAX($V$3:V1023)+1)</f>
        <v/>
      </c>
      <c r="W1024" s="40" t="str">
        <f aca="false">IF($E1024="","",$E1024&amp;"#"&amp;COUNTIF($E$4:$E1024,$E1024))</f>
        <v/>
      </c>
      <c r="X1024" s="40" t="str">
        <f aca="false">IF($B1024="","",IF(AND(OR(CETAK!$J$10="",$E1024=CETAK!$J$10),OR(CETAK!$J$11="",$F1024=CETAK!$J$11),OR(CETAK!$J$12="",$K1024=CETAK!$J$12),OR(CETAK!$J$13="",$H1024=CETAK!$J$13),OR(CETAK!$J$14="",$O1024=CETAK!$J$14)),MAX($X$3:X1023)+1,""))</f>
        <v/>
      </c>
      <c r="Y1024" s="40" t="str">
        <f aca="false">IF($B1024="","",IF(AND(OR(ABSENSI!$H$10="",$E1024=ABSENSI!$H$10),OR(ABSENSI!$H$11="",$F1024=ABSENSI!$H$11),OR(ABSENSI!$H$12="",$K1024=ABSENSI!$H$12)),MAX($Y$3:Y1023)+1,""))</f>
        <v/>
      </c>
      <c r="Z1024" s="40" t="str">
        <f aca="false">IF($B1024="","",IF(AND(OR(KARTU!$K$6="",$E1024=KARTU!$K$6),OR(KARTU!$K$7="",$F1024=KARTU!$K$7),OR(KARTU!$K$8="",$K1024=KARTU!$K$8)),MAX($Z$3:Z1023)+1,""))</f>
        <v/>
      </c>
    </row>
    <row r="1025" customFormat="false" ht="15" hidden="false" customHeight="false" outlineLevel="0" collapsed="false">
      <c r="A1025" s="36" t="str">
        <f aca="false">IF($B1025="","",COUNTA($B$4:$B1025))</f>
        <v/>
      </c>
      <c r="B1025" s="37"/>
      <c r="C1025" s="38"/>
      <c r="D1025" s="39"/>
      <c r="E1025" s="37"/>
      <c r="F1025" s="39"/>
      <c r="G1025" s="40" t="str">
        <f aca="false">IF(OR($E1025="",$F1025=""),"",$E1025&amp;" - RT "&amp;$F1025)</f>
        <v/>
      </c>
      <c r="H1025" s="37"/>
      <c r="I1025" s="38"/>
      <c r="J1025" s="37"/>
      <c r="K1025" s="39"/>
      <c r="L1025" s="41"/>
      <c r="M1025" s="36" t="str">
        <f aca="true">IF(OR($B1025="",$L1025=""),"",DATEDIF($L1025,TODAY(),"Y"))</f>
        <v/>
      </c>
      <c r="N1025" s="40" t="str">
        <f aca="false">IF($M1025="","",INDEX(usia_label,MATCH($M1025,usia_min,1)))</f>
        <v/>
      </c>
      <c r="O1025" s="37"/>
      <c r="P1025" s="41"/>
      <c r="Q1025" s="37"/>
      <c r="R1025" s="37"/>
      <c r="S1025" s="40" t="str">
        <f aca="false">IF($G1025="","",$G1025&amp;"#"&amp;COUNTIF($G$4:$G1025,$G1025))</f>
        <v/>
      </c>
      <c r="T1025" s="40" t="str">
        <f aca="false">IF($B1025="","",IF($C1025="","NIK kosong",IF(LEN($C1025)&lt;&gt;16,"NIK bukan 16 digit",IF(COUNTIF($C$4:$C$2003,$C1025&amp;"*")&gt;1,"NIK ganda",IF($E1025="","Kadus kosong",IF($F1025="","RT kosong",IF($H1025="","Jabatan kosong",IF($I1025="","No. HP kosong",IF($J1025="","Alamat kosong",IF(AND($M1025&lt;&gt;"",$M1025&lt;17),"Usia di bawah 17",""))))))))))</f>
        <v/>
      </c>
      <c r="U1025" s="40" t="str">
        <f aca="false">IF($B1025="","",IF(AND(OR(CARI!$C$5="",ISNUMBER(SEARCH(CARI!$C$5,$B1025&amp;" "&amp;$C1025&amp;" "&amp;$I1025&amp;" "&amp;$J1025&amp;" "&amp;$Q1025))),OR(CARI!$C$6="",$E1025=CARI!$C$6),OR(CARI!$C$7="",$F1025=CARI!$C$7),OR(CARI!$C$8="",$O1025=CARI!$C$8)),MAX($U$3:U1024)+1,""))</f>
        <v/>
      </c>
      <c r="V1025" s="40" t="str">
        <f aca="false">IF($T1025="","",MAX($V$3:V1024)+1)</f>
        <v/>
      </c>
      <c r="W1025" s="40" t="str">
        <f aca="false">IF($E1025="","",$E1025&amp;"#"&amp;COUNTIF($E$4:$E1025,$E1025))</f>
        <v/>
      </c>
      <c r="X1025" s="40" t="str">
        <f aca="false">IF($B1025="","",IF(AND(OR(CETAK!$J$10="",$E1025=CETAK!$J$10),OR(CETAK!$J$11="",$F1025=CETAK!$J$11),OR(CETAK!$J$12="",$K1025=CETAK!$J$12),OR(CETAK!$J$13="",$H1025=CETAK!$J$13),OR(CETAK!$J$14="",$O1025=CETAK!$J$14)),MAX($X$3:X1024)+1,""))</f>
        <v/>
      </c>
      <c r="Y1025" s="40" t="str">
        <f aca="false">IF($B1025="","",IF(AND(OR(ABSENSI!$H$10="",$E1025=ABSENSI!$H$10),OR(ABSENSI!$H$11="",$F1025=ABSENSI!$H$11),OR(ABSENSI!$H$12="",$K1025=ABSENSI!$H$12)),MAX($Y$3:Y1024)+1,""))</f>
        <v/>
      </c>
      <c r="Z1025" s="40" t="str">
        <f aca="false">IF($B1025="","",IF(AND(OR(KARTU!$K$6="",$E1025=KARTU!$K$6),OR(KARTU!$K$7="",$F1025=KARTU!$K$7),OR(KARTU!$K$8="",$K1025=KARTU!$K$8)),MAX($Z$3:Z1024)+1,""))</f>
        <v/>
      </c>
    </row>
    <row r="1026" customFormat="false" ht="15" hidden="false" customHeight="false" outlineLevel="0" collapsed="false">
      <c r="A1026" s="36" t="str">
        <f aca="false">IF($B1026="","",COUNTA($B$4:$B1026))</f>
        <v/>
      </c>
      <c r="B1026" s="37"/>
      <c r="C1026" s="38"/>
      <c r="D1026" s="39"/>
      <c r="E1026" s="37"/>
      <c r="F1026" s="39"/>
      <c r="G1026" s="40" t="str">
        <f aca="false">IF(OR($E1026="",$F1026=""),"",$E1026&amp;" - RT "&amp;$F1026)</f>
        <v/>
      </c>
      <c r="H1026" s="37"/>
      <c r="I1026" s="38"/>
      <c r="J1026" s="37"/>
      <c r="K1026" s="39"/>
      <c r="L1026" s="41"/>
      <c r="M1026" s="36" t="str">
        <f aca="true">IF(OR($B1026="",$L1026=""),"",DATEDIF($L1026,TODAY(),"Y"))</f>
        <v/>
      </c>
      <c r="N1026" s="40" t="str">
        <f aca="false">IF($M1026="","",INDEX(usia_label,MATCH($M1026,usia_min,1)))</f>
        <v/>
      </c>
      <c r="O1026" s="37"/>
      <c r="P1026" s="41"/>
      <c r="Q1026" s="37"/>
      <c r="R1026" s="37"/>
      <c r="S1026" s="40" t="str">
        <f aca="false">IF($G1026="","",$G1026&amp;"#"&amp;COUNTIF($G$4:$G1026,$G1026))</f>
        <v/>
      </c>
      <c r="T1026" s="40" t="str">
        <f aca="false">IF($B1026="","",IF($C1026="","NIK kosong",IF(LEN($C1026)&lt;&gt;16,"NIK bukan 16 digit",IF(COUNTIF($C$4:$C$2003,$C1026&amp;"*")&gt;1,"NIK ganda",IF($E1026="","Kadus kosong",IF($F1026="","RT kosong",IF($H1026="","Jabatan kosong",IF($I1026="","No. HP kosong",IF($J1026="","Alamat kosong",IF(AND($M1026&lt;&gt;"",$M1026&lt;17),"Usia di bawah 17",""))))))))))</f>
        <v/>
      </c>
      <c r="U1026" s="40" t="str">
        <f aca="false">IF($B1026="","",IF(AND(OR(CARI!$C$5="",ISNUMBER(SEARCH(CARI!$C$5,$B1026&amp;" "&amp;$C1026&amp;" "&amp;$I1026&amp;" "&amp;$J1026&amp;" "&amp;$Q1026))),OR(CARI!$C$6="",$E1026=CARI!$C$6),OR(CARI!$C$7="",$F1026=CARI!$C$7),OR(CARI!$C$8="",$O1026=CARI!$C$8)),MAX($U$3:U1025)+1,""))</f>
        <v/>
      </c>
      <c r="V1026" s="40" t="str">
        <f aca="false">IF($T1026="","",MAX($V$3:V1025)+1)</f>
        <v/>
      </c>
      <c r="W1026" s="40" t="str">
        <f aca="false">IF($E1026="","",$E1026&amp;"#"&amp;COUNTIF($E$4:$E1026,$E1026))</f>
        <v/>
      </c>
      <c r="X1026" s="40" t="str">
        <f aca="false">IF($B1026="","",IF(AND(OR(CETAK!$J$10="",$E1026=CETAK!$J$10),OR(CETAK!$J$11="",$F1026=CETAK!$J$11),OR(CETAK!$J$12="",$K1026=CETAK!$J$12),OR(CETAK!$J$13="",$H1026=CETAK!$J$13),OR(CETAK!$J$14="",$O1026=CETAK!$J$14)),MAX($X$3:X1025)+1,""))</f>
        <v/>
      </c>
      <c r="Y1026" s="40" t="str">
        <f aca="false">IF($B1026="","",IF(AND(OR(ABSENSI!$H$10="",$E1026=ABSENSI!$H$10),OR(ABSENSI!$H$11="",$F1026=ABSENSI!$H$11),OR(ABSENSI!$H$12="",$K1026=ABSENSI!$H$12)),MAX($Y$3:Y1025)+1,""))</f>
        <v/>
      </c>
      <c r="Z1026" s="40" t="str">
        <f aca="false">IF($B1026="","",IF(AND(OR(KARTU!$K$6="",$E1026=KARTU!$K$6),OR(KARTU!$K$7="",$F1026=KARTU!$K$7),OR(KARTU!$K$8="",$K1026=KARTU!$K$8)),MAX($Z$3:Z1025)+1,""))</f>
        <v/>
      </c>
    </row>
    <row r="1027" customFormat="false" ht="15" hidden="false" customHeight="false" outlineLevel="0" collapsed="false">
      <c r="A1027" s="36" t="str">
        <f aca="false">IF($B1027="","",COUNTA($B$4:$B1027))</f>
        <v/>
      </c>
      <c r="B1027" s="37"/>
      <c r="C1027" s="38"/>
      <c r="D1027" s="39"/>
      <c r="E1027" s="37"/>
      <c r="F1027" s="39"/>
      <c r="G1027" s="40" t="str">
        <f aca="false">IF(OR($E1027="",$F1027=""),"",$E1027&amp;" - RT "&amp;$F1027)</f>
        <v/>
      </c>
      <c r="H1027" s="37"/>
      <c r="I1027" s="38"/>
      <c r="J1027" s="37"/>
      <c r="K1027" s="39"/>
      <c r="L1027" s="41"/>
      <c r="M1027" s="36" t="str">
        <f aca="true">IF(OR($B1027="",$L1027=""),"",DATEDIF($L1027,TODAY(),"Y"))</f>
        <v/>
      </c>
      <c r="N1027" s="40" t="str">
        <f aca="false">IF($M1027="","",INDEX(usia_label,MATCH($M1027,usia_min,1)))</f>
        <v/>
      </c>
      <c r="O1027" s="37"/>
      <c r="P1027" s="41"/>
      <c r="Q1027" s="37"/>
      <c r="R1027" s="37"/>
      <c r="S1027" s="40" t="str">
        <f aca="false">IF($G1027="","",$G1027&amp;"#"&amp;COUNTIF($G$4:$G1027,$G1027))</f>
        <v/>
      </c>
      <c r="T1027" s="40" t="str">
        <f aca="false">IF($B1027="","",IF($C1027="","NIK kosong",IF(LEN($C1027)&lt;&gt;16,"NIK bukan 16 digit",IF(COUNTIF($C$4:$C$2003,$C1027&amp;"*")&gt;1,"NIK ganda",IF($E1027="","Kadus kosong",IF($F1027="","RT kosong",IF($H1027="","Jabatan kosong",IF($I1027="","No. HP kosong",IF($J1027="","Alamat kosong",IF(AND($M1027&lt;&gt;"",$M1027&lt;17),"Usia di bawah 17",""))))))))))</f>
        <v/>
      </c>
      <c r="U1027" s="40" t="str">
        <f aca="false">IF($B1027="","",IF(AND(OR(CARI!$C$5="",ISNUMBER(SEARCH(CARI!$C$5,$B1027&amp;" "&amp;$C1027&amp;" "&amp;$I1027&amp;" "&amp;$J1027&amp;" "&amp;$Q1027))),OR(CARI!$C$6="",$E1027=CARI!$C$6),OR(CARI!$C$7="",$F1027=CARI!$C$7),OR(CARI!$C$8="",$O1027=CARI!$C$8)),MAX($U$3:U1026)+1,""))</f>
        <v/>
      </c>
      <c r="V1027" s="40" t="str">
        <f aca="false">IF($T1027="","",MAX($V$3:V1026)+1)</f>
        <v/>
      </c>
      <c r="W1027" s="40" t="str">
        <f aca="false">IF($E1027="","",$E1027&amp;"#"&amp;COUNTIF($E$4:$E1027,$E1027))</f>
        <v/>
      </c>
      <c r="X1027" s="40" t="str">
        <f aca="false">IF($B1027="","",IF(AND(OR(CETAK!$J$10="",$E1027=CETAK!$J$10),OR(CETAK!$J$11="",$F1027=CETAK!$J$11),OR(CETAK!$J$12="",$K1027=CETAK!$J$12),OR(CETAK!$J$13="",$H1027=CETAK!$J$13),OR(CETAK!$J$14="",$O1027=CETAK!$J$14)),MAX($X$3:X1026)+1,""))</f>
        <v/>
      </c>
      <c r="Y1027" s="40" t="str">
        <f aca="false">IF($B1027="","",IF(AND(OR(ABSENSI!$H$10="",$E1027=ABSENSI!$H$10),OR(ABSENSI!$H$11="",$F1027=ABSENSI!$H$11),OR(ABSENSI!$H$12="",$K1027=ABSENSI!$H$12)),MAX($Y$3:Y1026)+1,""))</f>
        <v/>
      </c>
      <c r="Z1027" s="40" t="str">
        <f aca="false">IF($B1027="","",IF(AND(OR(KARTU!$K$6="",$E1027=KARTU!$K$6),OR(KARTU!$K$7="",$F1027=KARTU!$K$7),OR(KARTU!$K$8="",$K1027=KARTU!$K$8)),MAX($Z$3:Z1026)+1,""))</f>
        <v/>
      </c>
    </row>
    <row r="1028" customFormat="false" ht="15" hidden="false" customHeight="false" outlineLevel="0" collapsed="false">
      <c r="A1028" s="36" t="str">
        <f aca="false">IF($B1028="","",COUNTA($B$4:$B1028))</f>
        <v/>
      </c>
      <c r="B1028" s="37"/>
      <c r="C1028" s="38"/>
      <c r="D1028" s="39"/>
      <c r="E1028" s="37"/>
      <c r="F1028" s="39"/>
      <c r="G1028" s="40" t="str">
        <f aca="false">IF(OR($E1028="",$F1028=""),"",$E1028&amp;" - RT "&amp;$F1028)</f>
        <v/>
      </c>
      <c r="H1028" s="37"/>
      <c r="I1028" s="38"/>
      <c r="J1028" s="37"/>
      <c r="K1028" s="39"/>
      <c r="L1028" s="41"/>
      <c r="M1028" s="36" t="str">
        <f aca="true">IF(OR($B1028="",$L1028=""),"",DATEDIF($L1028,TODAY(),"Y"))</f>
        <v/>
      </c>
      <c r="N1028" s="40" t="str">
        <f aca="false">IF($M1028="","",INDEX(usia_label,MATCH($M1028,usia_min,1)))</f>
        <v/>
      </c>
      <c r="O1028" s="37"/>
      <c r="P1028" s="41"/>
      <c r="Q1028" s="37"/>
      <c r="R1028" s="37"/>
      <c r="S1028" s="40" t="str">
        <f aca="false">IF($G1028="","",$G1028&amp;"#"&amp;COUNTIF($G$4:$G1028,$G1028))</f>
        <v/>
      </c>
      <c r="T1028" s="40" t="str">
        <f aca="false">IF($B1028="","",IF($C1028="","NIK kosong",IF(LEN($C1028)&lt;&gt;16,"NIK bukan 16 digit",IF(COUNTIF($C$4:$C$2003,$C1028&amp;"*")&gt;1,"NIK ganda",IF($E1028="","Kadus kosong",IF($F1028="","RT kosong",IF($H1028="","Jabatan kosong",IF($I1028="","No. HP kosong",IF($J1028="","Alamat kosong",IF(AND($M1028&lt;&gt;"",$M1028&lt;17),"Usia di bawah 17",""))))))))))</f>
        <v/>
      </c>
      <c r="U1028" s="40" t="str">
        <f aca="false">IF($B1028="","",IF(AND(OR(CARI!$C$5="",ISNUMBER(SEARCH(CARI!$C$5,$B1028&amp;" "&amp;$C1028&amp;" "&amp;$I1028&amp;" "&amp;$J1028&amp;" "&amp;$Q1028))),OR(CARI!$C$6="",$E1028=CARI!$C$6),OR(CARI!$C$7="",$F1028=CARI!$C$7),OR(CARI!$C$8="",$O1028=CARI!$C$8)),MAX($U$3:U1027)+1,""))</f>
        <v/>
      </c>
      <c r="V1028" s="40" t="str">
        <f aca="false">IF($T1028="","",MAX($V$3:V1027)+1)</f>
        <v/>
      </c>
      <c r="W1028" s="40" t="str">
        <f aca="false">IF($E1028="","",$E1028&amp;"#"&amp;COUNTIF($E$4:$E1028,$E1028))</f>
        <v/>
      </c>
      <c r="X1028" s="40" t="str">
        <f aca="false">IF($B1028="","",IF(AND(OR(CETAK!$J$10="",$E1028=CETAK!$J$10),OR(CETAK!$J$11="",$F1028=CETAK!$J$11),OR(CETAK!$J$12="",$K1028=CETAK!$J$12),OR(CETAK!$J$13="",$H1028=CETAK!$J$13),OR(CETAK!$J$14="",$O1028=CETAK!$J$14)),MAX($X$3:X1027)+1,""))</f>
        <v/>
      </c>
      <c r="Y1028" s="40" t="str">
        <f aca="false">IF($B1028="","",IF(AND(OR(ABSENSI!$H$10="",$E1028=ABSENSI!$H$10),OR(ABSENSI!$H$11="",$F1028=ABSENSI!$H$11),OR(ABSENSI!$H$12="",$K1028=ABSENSI!$H$12)),MAX($Y$3:Y1027)+1,""))</f>
        <v/>
      </c>
      <c r="Z1028" s="40" t="str">
        <f aca="false">IF($B1028="","",IF(AND(OR(KARTU!$K$6="",$E1028=KARTU!$K$6),OR(KARTU!$K$7="",$F1028=KARTU!$K$7),OR(KARTU!$K$8="",$K1028=KARTU!$K$8)),MAX($Z$3:Z1027)+1,""))</f>
        <v/>
      </c>
    </row>
    <row r="1029" customFormat="false" ht="15" hidden="false" customHeight="false" outlineLevel="0" collapsed="false">
      <c r="A1029" s="36" t="str">
        <f aca="false">IF($B1029="","",COUNTA($B$4:$B1029))</f>
        <v/>
      </c>
      <c r="B1029" s="37"/>
      <c r="C1029" s="38"/>
      <c r="D1029" s="39"/>
      <c r="E1029" s="37"/>
      <c r="F1029" s="39"/>
      <c r="G1029" s="40" t="str">
        <f aca="false">IF(OR($E1029="",$F1029=""),"",$E1029&amp;" - RT "&amp;$F1029)</f>
        <v/>
      </c>
      <c r="H1029" s="37"/>
      <c r="I1029" s="38"/>
      <c r="J1029" s="37"/>
      <c r="K1029" s="39"/>
      <c r="L1029" s="41"/>
      <c r="M1029" s="36" t="str">
        <f aca="true">IF(OR($B1029="",$L1029=""),"",DATEDIF($L1029,TODAY(),"Y"))</f>
        <v/>
      </c>
      <c r="N1029" s="40" t="str">
        <f aca="false">IF($M1029="","",INDEX(usia_label,MATCH($M1029,usia_min,1)))</f>
        <v/>
      </c>
      <c r="O1029" s="37"/>
      <c r="P1029" s="41"/>
      <c r="Q1029" s="37"/>
      <c r="R1029" s="37"/>
      <c r="S1029" s="40" t="str">
        <f aca="false">IF($G1029="","",$G1029&amp;"#"&amp;COUNTIF($G$4:$G1029,$G1029))</f>
        <v/>
      </c>
      <c r="T1029" s="40" t="str">
        <f aca="false">IF($B1029="","",IF($C1029="","NIK kosong",IF(LEN($C1029)&lt;&gt;16,"NIK bukan 16 digit",IF(COUNTIF($C$4:$C$2003,$C1029&amp;"*")&gt;1,"NIK ganda",IF($E1029="","Kadus kosong",IF($F1029="","RT kosong",IF($H1029="","Jabatan kosong",IF($I1029="","No. HP kosong",IF($J1029="","Alamat kosong",IF(AND($M1029&lt;&gt;"",$M1029&lt;17),"Usia di bawah 17",""))))))))))</f>
        <v/>
      </c>
      <c r="U1029" s="40" t="str">
        <f aca="false">IF($B1029="","",IF(AND(OR(CARI!$C$5="",ISNUMBER(SEARCH(CARI!$C$5,$B1029&amp;" "&amp;$C1029&amp;" "&amp;$I1029&amp;" "&amp;$J1029&amp;" "&amp;$Q1029))),OR(CARI!$C$6="",$E1029=CARI!$C$6),OR(CARI!$C$7="",$F1029=CARI!$C$7),OR(CARI!$C$8="",$O1029=CARI!$C$8)),MAX($U$3:U1028)+1,""))</f>
        <v/>
      </c>
      <c r="V1029" s="40" t="str">
        <f aca="false">IF($T1029="","",MAX($V$3:V1028)+1)</f>
        <v/>
      </c>
      <c r="W1029" s="40" t="str">
        <f aca="false">IF($E1029="","",$E1029&amp;"#"&amp;COUNTIF($E$4:$E1029,$E1029))</f>
        <v/>
      </c>
      <c r="X1029" s="40" t="str">
        <f aca="false">IF($B1029="","",IF(AND(OR(CETAK!$J$10="",$E1029=CETAK!$J$10),OR(CETAK!$J$11="",$F1029=CETAK!$J$11),OR(CETAK!$J$12="",$K1029=CETAK!$J$12),OR(CETAK!$J$13="",$H1029=CETAK!$J$13),OR(CETAK!$J$14="",$O1029=CETAK!$J$14)),MAX($X$3:X1028)+1,""))</f>
        <v/>
      </c>
      <c r="Y1029" s="40" t="str">
        <f aca="false">IF($B1029="","",IF(AND(OR(ABSENSI!$H$10="",$E1029=ABSENSI!$H$10),OR(ABSENSI!$H$11="",$F1029=ABSENSI!$H$11),OR(ABSENSI!$H$12="",$K1029=ABSENSI!$H$12)),MAX($Y$3:Y1028)+1,""))</f>
        <v/>
      </c>
      <c r="Z1029" s="40" t="str">
        <f aca="false">IF($B1029="","",IF(AND(OR(KARTU!$K$6="",$E1029=KARTU!$K$6),OR(KARTU!$K$7="",$F1029=KARTU!$K$7),OR(KARTU!$K$8="",$K1029=KARTU!$K$8)),MAX($Z$3:Z1028)+1,""))</f>
        <v/>
      </c>
    </row>
    <row r="1030" customFormat="false" ht="15" hidden="false" customHeight="false" outlineLevel="0" collapsed="false">
      <c r="A1030" s="36" t="str">
        <f aca="false">IF($B1030="","",COUNTA($B$4:$B1030))</f>
        <v/>
      </c>
      <c r="B1030" s="37"/>
      <c r="C1030" s="38"/>
      <c r="D1030" s="39"/>
      <c r="E1030" s="37"/>
      <c r="F1030" s="39"/>
      <c r="G1030" s="40" t="str">
        <f aca="false">IF(OR($E1030="",$F1030=""),"",$E1030&amp;" - RT "&amp;$F1030)</f>
        <v/>
      </c>
      <c r="H1030" s="37"/>
      <c r="I1030" s="38"/>
      <c r="J1030" s="37"/>
      <c r="K1030" s="39"/>
      <c r="L1030" s="41"/>
      <c r="M1030" s="36" t="str">
        <f aca="true">IF(OR($B1030="",$L1030=""),"",DATEDIF($L1030,TODAY(),"Y"))</f>
        <v/>
      </c>
      <c r="N1030" s="40" t="str">
        <f aca="false">IF($M1030="","",INDEX(usia_label,MATCH($M1030,usia_min,1)))</f>
        <v/>
      </c>
      <c r="O1030" s="37"/>
      <c r="P1030" s="41"/>
      <c r="Q1030" s="37"/>
      <c r="R1030" s="37"/>
      <c r="S1030" s="40" t="str">
        <f aca="false">IF($G1030="","",$G1030&amp;"#"&amp;COUNTIF($G$4:$G1030,$G1030))</f>
        <v/>
      </c>
      <c r="T1030" s="40" t="str">
        <f aca="false">IF($B1030="","",IF($C1030="","NIK kosong",IF(LEN($C1030)&lt;&gt;16,"NIK bukan 16 digit",IF(COUNTIF($C$4:$C$2003,$C1030&amp;"*")&gt;1,"NIK ganda",IF($E1030="","Kadus kosong",IF($F1030="","RT kosong",IF($H1030="","Jabatan kosong",IF($I1030="","No. HP kosong",IF($J1030="","Alamat kosong",IF(AND($M1030&lt;&gt;"",$M1030&lt;17),"Usia di bawah 17",""))))))))))</f>
        <v/>
      </c>
      <c r="U1030" s="40" t="str">
        <f aca="false">IF($B1030="","",IF(AND(OR(CARI!$C$5="",ISNUMBER(SEARCH(CARI!$C$5,$B1030&amp;" "&amp;$C1030&amp;" "&amp;$I1030&amp;" "&amp;$J1030&amp;" "&amp;$Q1030))),OR(CARI!$C$6="",$E1030=CARI!$C$6),OR(CARI!$C$7="",$F1030=CARI!$C$7),OR(CARI!$C$8="",$O1030=CARI!$C$8)),MAX($U$3:U1029)+1,""))</f>
        <v/>
      </c>
      <c r="V1030" s="40" t="str">
        <f aca="false">IF($T1030="","",MAX($V$3:V1029)+1)</f>
        <v/>
      </c>
      <c r="W1030" s="40" t="str">
        <f aca="false">IF($E1030="","",$E1030&amp;"#"&amp;COUNTIF($E$4:$E1030,$E1030))</f>
        <v/>
      </c>
      <c r="X1030" s="40" t="str">
        <f aca="false">IF($B1030="","",IF(AND(OR(CETAK!$J$10="",$E1030=CETAK!$J$10),OR(CETAK!$J$11="",$F1030=CETAK!$J$11),OR(CETAK!$J$12="",$K1030=CETAK!$J$12),OR(CETAK!$J$13="",$H1030=CETAK!$J$13),OR(CETAK!$J$14="",$O1030=CETAK!$J$14)),MAX($X$3:X1029)+1,""))</f>
        <v/>
      </c>
      <c r="Y1030" s="40" t="str">
        <f aca="false">IF($B1030="","",IF(AND(OR(ABSENSI!$H$10="",$E1030=ABSENSI!$H$10),OR(ABSENSI!$H$11="",$F1030=ABSENSI!$H$11),OR(ABSENSI!$H$12="",$K1030=ABSENSI!$H$12)),MAX($Y$3:Y1029)+1,""))</f>
        <v/>
      </c>
      <c r="Z1030" s="40" t="str">
        <f aca="false">IF($B1030="","",IF(AND(OR(KARTU!$K$6="",$E1030=KARTU!$K$6),OR(KARTU!$K$7="",$F1030=KARTU!$K$7),OR(KARTU!$K$8="",$K1030=KARTU!$K$8)),MAX($Z$3:Z1029)+1,""))</f>
        <v/>
      </c>
    </row>
    <row r="1031" customFormat="false" ht="15" hidden="false" customHeight="false" outlineLevel="0" collapsed="false">
      <c r="A1031" s="36" t="str">
        <f aca="false">IF($B1031="","",COUNTA($B$4:$B1031))</f>
        <v/>
      </c>
      <c r="B1031" s="37"/>
      <c r="C1031" s="38"/>
      <c r="D1031" s="39"/>
      <c r="E1031" s="37"/>
      <c r="F1031" s="39"/>
      <c r="G1031" s="40" t="str">
        <f aca="false">IF(OR($E1031="",$F1031=""),"",$E1031&amp;" - RT "&amp;$F1031)</f>
        <v/>
      </c>
      <c r="H1031" s="37"/>
      <c r="I1031" s="38"/>
      <c r="J1031" s="37"/>
      <c r="K1031" s="39"/>
      <c r="L1031" s="41"/>
      <c r="M1031" s="36" t="str">
        <f aca="true">IF(OR($B1031="",$L1031=""),"",DATEDIF($L1031,TODAY(),"Y"))</f>
        <v/>
      </c>
      <c r="N1031" s="40" t="str">
        <f aca="false">IF($M1031="","",INDEX(usia_label,MATCH($M1031,usia_min,1)))</f>
        <v/>
      </c>
      <c r="O1031" s="37"/>
      <c r="P1031" s="41"/>
      <c r="Q1031" s="37"/>
      <c r="R1031" s="37"/>
      <c r="S1031" s="40" t="str">
        <f aca="false">IF($G1031="","",$G1031&amp;"#"&amp;COUNTIF($G$4:$G1031,$G1031))</f>
        <v/>
      </c>
      <c r="T1031" s="40" t="str">
        <f aca="false">IF($B1031="","",IF($C1031="","NIK kosong",IF(LEN($C1031)&lt;&gt;16,"NIK bukan 16 digit",IF(COUNTIF($C$4:$C$2003,$C1031&amp;"*")&gt;1,"NIK ganda",IF($E1031="","Kadus kosong",IF($F1031="","RT kosong",IF($H1031="","Jabatan kosong",IF($I1031="","No. HP kosong",IF($J1031="","Alamat kosong",IF(AND($M1031&lt;&gt;"",$M1031&lt;17),"Usia di bawah 17",""))))))))))</f>
        <v/>
      </c>
      <c r="U1031" s="40" t="str">
        <f aca="false">IF($B1031="","",IF(AND(OR(CARI!$C$5="",ISNUMBER(SEARCH(CARI!$C$5,$B1031&amp;" "&amp;$C1031&amp;" "&amp;$I1031&amp;" "&amp;$J1031&amp;" "&amp;$Q1031))),OR(CARI!$C$6="",$E1031=CARI!$C$6),OR(CARI!$C$7="",$F1031=CARI!$C$7),OR(CARI!$C$8="",$O1031=CARI!$C$8)),MAX($U$3:U1030)+1,""))</f>
        <v/>
      </c>
      <c r="V1031" s="40" t="str">
        <f aca="false">IF($T1031="","",MAX($V$3:V1030)+1)</f>
        <v/>
      </c>
      <c r="W1031" s="40" t="str">
        <f aca="false">IF($E1031="","",$E1031&amp;"#"&amp;COUNTIF($E$4:$E1031,$E1031))</f>
        <v/>
      </c>
      <c r="X1031" s="40" t="str">
        <f aca="false">IF($B1031="","",IF(AND(OR(CETAK!$J$10="",$E1031=CETAK!$J$10),OR(CETAK!$J$11="",$F1031=CETAK!$J$11),OR(CETAK!$J$12="",$K1031=CETAK!$J$12),OR(CETAK!$J$13="",$H1031=CETAK!$J$13),OR(CETAK!$J$14="",$O1031=CETAK!$J$14)),MAX($X$3:X1030)+1,""))</f>
        <v/>
      </c>
      <c r="Y1031" s="40" t="str">
        <f aca="false">IF($B1031="","",IF(AND(OR(ABSENSI!$H$10="",$E1031=ABSENSI!$H$10),OR(ABSENSI!$H$11="",$F1031=ABSENSI!$H$11),OR(ABSENSI!$H$12="",$K1031=ABSENSI!$H$12)),MAX($Y$3:Y1030)+1,""))</f>
        <v/>
      </c>
      <c r="Z1031" s="40" t="str">
        <f aca="false">IF($B1031="","",IF(AND(OR(KARTU!$K$6="",$E1031=KARTU!$K$6),OR(KARTU!$K$7="",$F1031=KARTU!$K$7),OR(KARTU!$K$8="",$K1031=KARTU!$K$8)),MAX($Z$3:Z1030)+1,""))</f>
        <v/>
      </c>
    </row>
    <row r="1032" customFormat="false" ht="15" hidden="false" customHeight="false" outlineLevel="0" collapsed="false">
      <c r="A1032" s="36" t="str">
        <f aca="false">IF($B1032="","",COUNTA($B$4:$B1032))</f>
        <v/>
      </c>
      <c r="B1032" s="37"/>
      <c r="C1032" s="38"/>
      <c r="D1032" s="39"/>
      <c r="E1032" s="37"/>
      <c r="F1032" s="39"/>
      <c r="G1032" s="40" t="str">
        <f aca="false">IF(OR($E1032="",$F1032=""),"",$E1032&amp;" - RT "&amp;$F1032)</f>
        <v/>
      </c>
      <c r="H1032" s="37"/>
      <c r="I1032" s="38"/>
      <c r="J1032" s="37"/>
      <c r="K1032" s="39"/>
      <c r="L1032" s="41"/>
      <c r="M1032" s="36" t="str">
        <f aca="true">IF(OR($B1032="",$L1032=""),"",DATEDIF($L1032,TODAY(),"Y"))</f>
        <v/>
      </c>
      <c r="N1032" s="40" t="str">
        <f aca="false">IF($M1032="","",INDEX(usia_label,MATCH($M1032,usia_min,1)))</f>
        <v/>
      </c>
      <c r="O1032" s="37"/>
      <c r="P1032" s="41"/>
      <c r="Q1032" s="37"/>
      <c r="R1032" s="37"/>
      <c r="S1032" s="40" t="str">
        <f aca="false">IF($G1032="","",$G1032&amp;"#"&amp;COUNTIF($G$4:$G1032,$G1032))</f>
        <v/>
      </c>
      <c r="T1032" s="40" t="str">
        <f aca="false">IF($B1032="","",IF($C1032="","NIK kosong",IF(LEN($C1032)&lt;&gt;16,"NIK bukan 16 digit",IF(COUNTIF($C$4:$C$2003,$C1032&amp;"*")&gt;1,"NIK ganda",IF($E1032="","Kadus kosong",IF($F1032="","RT kosong",IF($H1032="","Jabatan kosong",IF($I1032="","No. HP kosong",IF($J1032="","Alamat kosong",IF(AND($M1032&lt;&gt;"",$M1032&lt;17),"Usia di bawah 17",""))))))))))</f>
        <v/>
      </c>
      <c r="U1032" s="40" t="str">
        <f aca="false">IF($B1032="","",IF(AND(OR(CARI!$C$5="",ISNUMBER(SEARCH(CARI!$C$5,$B1032&amp;" "&amp;$C1032&amp;" "&amp;$I1032&amp;" "&amp;$J1032&amp;" "&amp;$Q1032))),OR(CARI!$C$6="",$E1032=CARI!$C$6),OR(CARI!$C$7="",$F1032=CARI!$C$7),OR(CARI!$C$8="",$O1032=CARI!$C$8)),MAX($U$3:U1031)+1,""))</f>
        <v/>
      </c>
      <c r="V1032" s="40" t="str">
        <f aca="false">IF($T1032="","",MAX($V$3:V1031)+1)</f>
        <v/>
      </c>
      <c r="W1032" s="40" t="str">
        <f aca="false">IF($E1032="","",$E1032&amp;"#"&amp;COUNTIF($E$4:$E1032,$E1032))</f>
        <v/>
      </c>
      <c r="X1032" s="40" t="str">
        <f aca="false">IF($B1032="","",IF(AND(OR(CETAK!$J$10="",$E1032=CETAK!$J$10),OR(CETAK!$J$11="",$F1032=CETAK!$J$11),OR(CETAK!$J$12="",$K1032=CETAK!$J$12),OR(CETAK!$J$13="",$H1032=CETAK!$J$13),OR(CETAK!$J$14="",$O1032=CETAK!$J$14)),MAX($X$3:X1031)+1,""))</f>
        <v/>
      </c>
      <c r="Y1032" s="40" t="str">
        <f aca="false">IF($B1032="","",IF(AND(OR(ABSENSI!$H$10="",$E1032=ABSENSI!$H$10),OR(ABSENSI!$H$11="",$F1032=ABSENSI!$H$11),OR(ABSENSI!$H$12="",$K1032=ABSENSI!$H$12)),MAX($Y$3:Y1031)+1,""))</f>
        <v/>
      </c>
      <c r="Z1032" s="40" t="str">
        <f aca="false">IF($B1032="","",IF(AND(OR(KARTU!$K$6="",$E1032=KARTU!$K$6),OR(KARTU!$K$7="",$F1032=KARTU!$K$7),OR(KARTU!$K$8="",$K1032=KARTU!$K$8)),MAX($Z$3:Z1031)+1,""))</f>
        <v/>
      </c>
    </row>
    <row r="1033" customFormat="false" ht="15" hidden="false" customHeight="false" outlineLevel="0" collapsed="false">
      <c r="A1033" s="36" t="str">
        <f aca="false">IF($B1033="","",COUNTA($B$4:$B1033))</f>
        <v/>
      </c>
      <c r="B1033" s="37"/>
      <c r="C1033" s="38"/>
      <c r="D1033" s="39"/>
      <c r="E1033" s="37"/>
      <c r="F1033" s="39"/>
      <c r="G1033" s="40" t="str">
        <f aca="false">IF(OR($E1033="",$F1033=""),"",$E1033&amp;" - RT "&amp;$F1033)</f>
        <v/>
      </c>
      <c r="H1033" s="37"/>
      <c r="I1033" s="38"/>
      <c r="J1033" s="37"/>
      <c r="K1033" s="39"/>
      <c r="L1033" s="41"/>
      <c r="M1033" s="36" t="str">
        <f aca="true">IF(OR($B1033="",$L1033=""),"",DATEDIF($L1033,TODAY(),"Y"))</f>
        <v/>
      </c>
      <c r="N1033" s="40" t="str">
        <f aca="false">IF($M1033="","",INDEX(usia_label,MATCH($M1033,usia_min,1)))</f>
        <v/>
      </c>
      <c r="O1033" s="37"/>
      <c r="P1033" s="41"/>
      <c r="Q1033" s="37"/>
      <c r="R1033" s="37"/>
      <c r="S1033" s="40" t="str">
        <f aca="false">IF($G1033="","",$G1033&amp;"#"&amp;COUNTIF($G$4:$G1033,$G1033))</f>
        <v/>
      </c>
      <c r="T1033" s="40" t="str">
        <f aca="false">IF($B1033="","",IF($C1033="","NIK kosong",IF(LEN($C1033)&lt;&gt;16,"NIK bukan 16 digit",IF(COUNTIF($C$4:$C$2003,$C1033&amp;"*")&gt;1,"NIK ganda",IF($E1033="","Kadus kosong",IF($F1033="","RT kosong",IF($H1033="","Jabatan kosong",IF($I1033="","No. HP kosong",IF($J1033="","Alamat kosong",IF(AND($M1033&lt;&gt;"",$M1033&lt;17),"Usia di bawah 17",""))))))))))</f>
        <v/>
      </c>
      <c r="U1033" s="40" t="str">
        <f aca="false">IF($B1033="","",IF(AND(OR(CARI!$C$5="",ISNUMBER(SEARCH(CARI!$C$5,$B1033&amp;" "&amp;$C1033&amp;" "&amp;$I1033&amp;" "&amp;$J1033&amp;" "&amp;$Q1033))),OR(CARI!$C$6="",$E1033=CARI!$C$6),OR(CARI!$C$7="",$F1033=CARI!$C$7),OR(CARI!$C$8="",$O1033=CARI!$C$8)),MAX($U$3:U1032)+1,""))</f>
        <v/>
      </c>
      <c r="V1033" s="40" t="str">
        <f aca="false">IF($T1033="","",MAX($V$3:V1032)+1)</f>
        <v/>
      </c>
      <c r="W1033" s="40" t="str">
        <f aca="false">IF($E1033="","",$E1033&amp;"#"&amp;COUNTIF($E$4:$E1033,$E1033))</f>
        <v/>
      </c>
      <c r="X1033" s="40" t="str">
        <f aca="false">IF($B1033="","",IF(AND(OR(CETAK!$J$10="",$E1033=CETAK!$J$10),OR(CETAK!$J$11="",$F1033=CETAK!$J$11),OR(CETAK!$J$12="",$K1033=CETAK!$J$12),OR(CETAK!$J$13="",$H1033=CETAK!$J$13),OR(CETAK!$J$14="",$O1033=CETAK!$J$14)),MAX($X$3:X1032)+1,""))</f>
        <v/>
      </c>
      <c r="Y1033" s="40" t="str">
        <f aca="false">IF($B1033="","",IF(AND(OR(ABSENSI!$H$10="",$E1033=ABSENSI!$H$10),OR(ABSENSI!$H$11="",$F1033=ABSENSI!$H$11),OR(ABSENSI!$H$12="",$K1033=ABSENSI!$H$12)),MAX($Y$3:Y1032)+1,""))</f>
        <v/>
      </c>
      <c r="Z1033" s="40" t="str">
        <f aca="false">IF($B1033="","",IF(AND(OR(KARTU!$K$6="",$E1033=KARTU!$K$6),OR(KARTU!$K$7="",$F1033=KARTU!$K$7),OR(KARTU!$K$8="",$K1033=KARTU!$K$8)),MAX($Z$3:Z1032)+1,""))</f>
        <v/>
      </c>
    </row>
    <row r="1034" customFormat="false" ht="15" hidden="false" customHeight="false" outlineLevel="0" collapsed="false">
      <c r="A1034" s="36" t="str">
        <f aca="false">IF($B1034="","",COUNTA($B$4:$B1034))</f>
        <v/>
      </c>
      <c r="B1034" s="37"/>
      <c r="C1034" s="38"/>
      <c r="D1034" s="39"/>
      <c r="E1034" s="37"/>
      <c r="F1034" s="39"/>
      <c r="G1034" s="40" t="str">
        <f aca="false">IF(OR($E1034="",$F1034=""),"",$E1034&amp;" - RT "&amp;$F1034)</f>
        <v/>
      </c>
      <c r="H1034" s="37"/>
      <c r="I1034" s="38"/>
      <c r="J1034" s="37"/>
      <c r="K1034" s="39"/>
      <c r="L1034" s="41"/>
      <c r="M1034" s="36" t="str">
        <f aca="true">IF(OR($B1034="",$L1034=""),"",DATEDIF($L1034,TODAY(),"Y"))</f>
        <v/>
      </c>
      <c r="N1034" s="40" t="str">
        <f aca="false">IF($M1034="","",INDEX(usia_label,MATCH($M1034,usia_min,1)))</f>
        <v/>
      </c>
      <c r="O1034" s="37"/>
      <c r="P1034" s="41"/>
      <c r="Q1034" s="37"/>
      <c r="R1034" s="37"/>
      <c r="S1034" s="40" t="str">
        <f aca="false">IF($G1034="","",$G1034&amp;"#"&amp;COUNTIF($G$4:$G1034,$G1034))</f>
        <v/>
      </c>
      <c r="T1034" s="40" t="str">
        <f aca="false">IF($B1034="","",IF($C1034="","NIK kosong",IF(LEN($C1034)&lt;&gt;16,"NIK bukan 16 digit",IF(COUNTIF($C$4:$C$2003,$C1034&amp;"*")&gt;1,"NIK ganda",IF($E1034="","Kadus kosong",IF($F1034="","RT kosong",IF($H1034="","Jabatan kosong",IF($I1034="","No. HP kosong",IF($J1034="","Alamat kosong",IF(AND($M1034&lt;&gt;"",$M1034&lt;17),"Usia di bawah 17",""))))))))))</f>
        <v/>
      </c>
      <c r="U1034" s="40" t="str">
        <f aca="false">IF($B1034="","",IF(AND(OR(CARI!$C$5="",ISNUMBER(SEARCH(CARI!$C$5,$B1034&amp;" "&amp;$C1034&amp;" "&amp;$I1034&amp;" "&amp;$J1034&amp;" "&amp;$Q1034))),OR(CARI!$C$6="",$E1034=CARI!$C$6),OR(CARI!$C$7="",$F1034=CARI!$C$7),OR(CARI!$C$8="",$O1034=CARI!$C$8)),MAX($U$3:U1033)+1,""))</f>
        <v/>
      </c>
      <c r="V1034" s="40" t="str">
        <f aca="false">IF($T1034="","",MAX($V$3:V1033)+1)</f>
        <v/>
      </c>
      <c r="W1034" s="40" t="str">
        <f aca="false">IF($E1034="","",$E1034&amp;"#"&amp;COUNTIF($E$4:$E1034,$E1034))</f>
        <v/>
      </c>
      <c r="X1034" s="40" t="str">
        <f aca="false">IF($B1034="","",IF(AND(OR(CETAK!$J$10="",$E1034=CETAK!$J$10),OR(CETAK!$J$11="",$F1034=CETAK!$J$11),OR(CETAK!$J$12="",$K1034=CETAK!$J$12),OR(CETAK!$J$13="",$H1034=CETAK!$J$13),OR(CETAK!$J$14="",$O1034=CETAK!$J$14)),MAX($X$3:X1033)+1,""))</f>
        <v/>
      </c>
      <c r="Y1034" s="40" t="str">
        <f aca="false">IF($B1034="","",IF(AND(OR(ABSENSI!$H$10="",$E1034=ABSENSI!$H$10),OR(ABSENSI!$H$11="",$F1034=ABSENSI!$H$11),OR(ABSENSI!$H$12="",$K1034=ABSENSI!$H$12)),MAX($Y$3:Y1033)+1,""))</f>
        <v/>
      </c>
      <c r="Z1034" s="40" t="str">
        <f aca="false">IF($B1034="","",IF(AND(OR(KARTU!$K$6="",$E1034=KARTU!$K$6),OR(KARTU!$K$7="",$F1034=KARTU!$K$7),OR(KARTU!$K$8="",$K1034=KARTU!$K$8)),MAX($Z$3:Z1033)+1,""))</f>
        <v/>
      </c>
    </row>
    <row r="1035" customFormat="false" ht="15" hidden="false" customHeight="false" outlineLevel="0" collapsed="false">
      <c r="A1035" s="36" t="str">
        <f aca="false">IF($B1035="","",COUNTA($B$4:$B1035))</f>
        <v/>
      </c>
      <c r="B1035" s="37"/>
      <c r="C1035" s="38"/>
      <c r="D1035" s="39"/>
      <c r="E1035" s="37"/>
      <c r="F1035" s="39"/>
      <c r="G1035" s="40" t="str">
        <f aca="false">IF(OR($E1035="",$F1035=""),"",$E1035&amp;" - RT "&amp;$F1035)</f>
        <v/>
      </c>
      <c r="H1035" s="37"/>
      <c r="I1035" s="38"/>
      <c r="J1035" s="37"/>
      <c r="K1035" s="39"/>
      <c r="L1035" s="41"/>
      <c r="M1035" s="36" t="str">
        <f aca="true">IF(OR($B1035="",$L1035=""),"",DATEDIF($L1035,TODAY(),"Y"))</f>
        <v/>
      </c>
      <c r="N1035" s="40" t="str">
        <f aca="false">IF($M1035="","",INDEX(usia_label,MATCH($M1035,usia_min,1)))</f>
        <v/>
      </c>
      <c r="O1035" s="37"/>
      <c r="P1035" s="41"/>
      <c r="Q1035" s="37"/>
      <c r="R1035" s="37"/>
      <c r="S1035" s="40" t="str">
        <f aca="false">IF($G1035="","",$G1035&amp;"#"&amp;COUNTIF($G$4:$G1035,$G1035))</f>
        <v/>
      </c>
      <c r="T1035" s="40" t="str">
        <f aca="false">IF($B1035="","",IF($C1035="","NIK kosong",IF(LEN($C1035)&lt;&gt;16,"NIK bukan 16 digit",IF(COUNTIF($C$4:$C$2003,$C1035&amp;"*")&gt;1,"NIK ganda",IF($E1035="","Kadus kosong",IF($F1035="","RT kosong",IF($H1035="","Jabatan kosong",IF($I1035="","No. HP kosong",IF($J1035="","Alamat kosong",IF(AND($M1035&lt;&gt;"",$M1035&lt;17),"Usia di bawah 17",""))))))))))</f>
        <v/>
      </c>
      <c r="U1035" s="40" t="str">
        <f aca="false">IF($B1035="","",IF(AND(OR(CARI!$C$5="",ISNUMBER(SEARCH(CARI!$C$5,$B1035&amp;" "&amp;$C1035&amp;" "&amp;$I1035&amp;" "&amp;$J1035&amp;" "&amp;$Q1035))),OR(CARI!$C$6="",$E1035=CARI!$C$6),OR(CARI!$C$7="",$F1035=CARI!$C$7),OR(CARI!$C$8="",$O1035=CARI!$C$8)),MAX($U$3:U1034)+1,""))</f>
        <v/>
      </c>
      <c r="V1035" s="40" t="str">
        <f aca="false">IF($T1035="","",MAX($V$3:V1034)+1)</f>
        <v/>
      </c>
      <c r="W1035" s="40" t="str">
        <f aca="false">IF($E1035="","",$E1035&amp;"#"&amp;COUNTIF($E$4:$E1035,$E1035))</f>
        <v/>
      </c>
      <c r="X1035" s="40" t="str">
        <f aca="false">IF($B1035="","",IF(AND(OR(CETAK!$J$10="",$E1035=CETAK!$J$10),OR(CETAK!$J$11="",$F1035=CETAK!$J$11),OR(CETAK!$J$12="",$K1035=CETAK!$J$12),OR(CETAK!$J$13="",$H1035=CETAK!$J$13),OR(CETAK!$J$14="",$O1035=CETAK!$J$14)),MAX($X$3:X1034)+1,""))</f>
        <v/>
      </c>
      <c r="Y1035" s="40" t="str">
        <f aca="false">IF($B1035="","",IF(AND(OR(ABSENSI!$H$10="",$E1035=ABSENSI!$H$10),OR(ABSENSI!$H$11="",$F1035=ABSENSI!$H$11),OR(ABSENSI!$H$12="",$K1035=ABSENSI!$H$12)),MAX($Y$3:Y1034)+1,""))</f>
        <v/>
      </c>
      <c r="Z1035" s="40" t="str">
        <f aca="false">IF($B1035="","",IF(AND(OR(KARTU!$K$6="",$E1035=KARTU!$K$6),OR(KARTU!$K$7="",$F1035=KARTU!$K$7),OR(KARTU!$K$8="",$K1035=KARTU!$K$8)),MAX($Z$3:Z1034)+1,""))</f>
        <v/>
      </c>
    </row>
    <row r="1036" customFormat="false" ht="15" hidden="false" customHeight="false" outlineLevel="0" collapsed="false">
      <c r="A1036" s="36" t="str">
        <f aca="false">IF($B1036="","",COUNTA($B$4:$B1036))</f>
        <v/>
      </c>
      <c r="B1036" s="37"/>
      <c r="C1036" s="38"/>
      <c r="D1036" s="39"/>
      <c r="E1036" s="37"/>
      <c r="F1036" s="39"/>
      <c r="G1036" s="40" t="str">
        <f aca="false">IF(OR($E1036="",$F1036=""),"",$E1036&amp;" - RT "&amp;$F1036)</f>
        <v/>
      </c>
      <c r="H1036" s="37"/>
      <c r="I1036" s="38"/>
      <c r="J1036" s="37"/>
      <c r="K1036" s="39"/>
      <c r="L1036" s="41"/>
      <c r="M1036" s="36" t="str">
        <f aca="true">IF(OR($B1036="",$L1036=""),"",DATEDIF($L1036,TODAY(),"Y"))</f>
        <v/>
      </c>
      <c r="N1036" s="40" t="str">
        <f aca="false">IF($M1036="","",INDEX(usia_label,MATCH($M1036,usia_min,1)))</f>
        <v/>
      </c>
      <c r="O1036" s="37"/>
      <c r="P1036" s="41"/>
      <c r="Q1036" s="37"/>
      <c r="R1036" s="37"/>
      <c r="S1036" s="40" t="str">
        <f aca="false">IF($G1036="","",$G1036&amp;"#"&amp;COUNTIF($G$4:$G1036,$G1036))</f>
        <v/>
      </c>
      <c r="T1036" s="40" t="str">
        <f aca="false">IF($B1036="","",IF($C1036="","NIK kosong",IF(LEN($C1036)&lt;&gt;16,"NIK bukan 16 digit",IF(COUNTIF($C$4:$C$2003,$C1036&amp;"*")&gt;1,"NIK ganda",IF($E1036="","Kadus kosong",IF($F1036="","RT kosong",IF($H1036="","Jabatan kosong",IF($I1036="","No. HP kosong",IF($J1036="","Alamat kosong",IF(AND($M1036&lt;&gt;"",$M1036&lt;17),"Usia di bawah 17",""))))))))))</f>
        <v/>
      </c>
      <c r="U1036" s="40" t="str">
        <f aca="false">IF($B1036="","",IF(AND(OR(CARI!$C$5="",ISNUMBER(SEARCH(CARI!$C$5,$B1036&amp;" "&amp;$C1036&amp;" "&amp;$I1036&amp;" "&amp;$J1036&amp;" "&amp;$Q1036))),OR(CARI!$C$6="",$E1036=CARI!$C$6),OR(CARI!$C$7="",$F1036=CARI!$C$7),OR(CARI!$C$8="",$O1036=CARI!$C$8)),MAX($U$3:U1035)+1,""))</f>
        <v/>
      </c>
      <c r="V1036" s="40" t="str">
        <f aca="false">IF($T1036="","",MAX($V$3:V1035)+1)</f>
        <v/>
      </c>
      <c r="W1036" s="40" t="str">
        <f aca="false">IF($E1036="","",$E1036&amp;"#"&amp;COUNTIF($E$4:$E1036,$E1036))</f>
        <v/>
      </c>
      <c r="X1036" s="40" t="str">
        <f aca="false">IF($B1036="","",IF(AND(OR(CETAK!$J$10="",$E1036=CETAK!$J$10),OR(CETAK!$J$11="",$F1036=CETAK!$J$11),OR(CETAK!$J$12="",$K1036=CETAK!$J$12),OR(CETAK!$J$13="",$H1036=CETAK!$J$13),OR(CETAK!$J$14="",$O1036=CETAK!$J$14)),MAX($X$3:X1035)+1,""))</f>
        <v/>
      </c>
      <c r="Y1036" s="40" t="str">
        <f aca="false">IF($B1036="","",IF(AND(OR(ABSENSI!$H$10="",$E1036=ABSENSI!$H$10),OR(ABSENSI!$H$11="",$F1036=ABSENSI!$H$11),OR(ABSENSI!$H$12="",$K1036=ABSENSI!$H$12)),MAX($Y$3:Y1035)+1,""))</f>
        <v/>
      </c>
      <c r="Z1036" s="40" t="str">
        <f aca="false">IF($B1036="","",IF(AND(OR(KARTU!$K$6="",$E1036=KARTU!$K$6),OR(KARTU!$K$7="",$F1036=KARTU!$K$7),OR(KARTU!$K$8="",$K1036=KARTU!$K$8)),MAX($Z$3:Z1035)+1,""))</f>
        <v/>
      </c>
    </row>
    <row r="1037" customFormat="false" ht="15" hidden="false" customHeight="false" outlineLevel="0" collapsed="false">
      <c r="A1037" s="36" t="str">
        <f aca="false">IF($B1037="","",COUNTA($B$4:$B1037))</f>
        <v/>
      </c>
      <c r="B1037" s="37"/>
      <c r="C1037" s="38"/>
      <c r="D1037" s="39"/>
      <c r="E1037" s="37"/>
      <c r="F1037" s="39"/>
      <c r="G1037" s="40" t="str">
        <f aca="false">IF(OR($E1037="",$F1037=""),"",$E1037&amp;" - RT "&amp;$F1037)</f>
        <v/>
      </c>
      <c r="H1037" s="37"/>
      <c r="I1037" s="38"/>
      <c r="J1037" s="37"/>
      <c r="K1037" s="39"/>
      <c r="L1037" s="41"/>
      <c r="M1037" s="36" t="str">
        <f aca="true">IF(OR($B1037="",$L1037=""),"",DATEDIF($L1037,TODAY(),"Y"))</f>
        <v/>
      </c>
      <c r="N1037" s="40" t="str">
        <f aca="false">IF($M1037="","",INDEX(usia_label,MATCH($M1037,usia_min,1)))</f>
        <v/>
      </c>
      <c r="O1037" s="37"/>
      <c r="P1037" s="41"/>
      <c r="Q1037" s="37"/>
      <c r="R1037" s="37"/>
      <c r="S1037" s="40" t="str">
        <f aca="false">IF($G1037="","",$G1037&amp;"#"&amp;COUNTIF($G$4:$G1037,$G1037))</f>
        <v/>
      </c>
      <c r="T1037" s="40" t="str">
        <f aca="false">IF($B1037="","",IF($C1037="","NIK kosong",IF(LEN($C1037)&lt;&gt;16,"NIK bukan 16 digit",IF(COUNTIF($C$4:$C$2003,$C1037&amp;"*")&gt;1,"NIK ganda",IF($E1037="","Kadus kosong",IF($F1037="","RT kosong",IF($H1037="","Jabatan kosong",IF($I1037="","No. HP kosong",IF($J1037="","Alamat kosong",IF(AND($M1037&lt;&gt;"",$M1037&lt;17),"Usia di bawah 17",""))))))))))</f>
        <v/>
      </c>
      <c r="U1037" s="40" t="str">
        <f aca="false">IF($B1037="","",IF(AND(OR(CARI!$C$5="",ISNUMBER(SEARCH(CARI!$C$5,$B1037&amp;" "&amp;$C1037&amp;" "&amp;$I1037&amp;" "&amp;$J1037&amp;" "&amp;$Q1037))),OR(CARI!$C$6="",$E1037=CARI!$C$6),OR(CARI!$C$7="",$F1037=CARI!$C$7),OR(CARI!$C$8="",$O1037=CARI!$C$8)),MAX($U$3:U1036)+1,""))</f>
        <v/>
      </c>
      <c r="V1037" s="40" t="str">
        <f aca="false">IF($T1037="","",MAX($V$3:V1036)+1)</f>
        <v/>
      </c>
      <c r="W1037" s="40" t="str">
        <f aca="false">IF($E1037="","",$E1037&amp;"#"&amp;COUNTIF($E$4:$E1037,$E1037))</f>
        <v/>
      </c>
      <c r="X1037" s="40" t="str">
        <f aca="false">IF($B1037="","",IF(AND(OR(CETAK!$J$10="",$E1037=CETAK!$J$10),OR(CETAK!$J$11="",$F1037=CETAK!$J$11),OR(CETAK!$J$12="",$K1037=CETAK!$J$12),OR(CETAK!$J$13="",$H1037=CETAK!$J$13),OR(CETAK!$J$14="",$O1037=CETAK!$J$14)),MAX($X$3:X1036)+1,""))</f>
        <v/>
      </c>
      <c r="Y1037" s="40" t="str">
        <f aca="false">IF($B1037="","",IF(AND(OR(ABSENSI!$H$10="",$E1037=ABSENSI!$H$10),OR(ABSENSI!$H$11="",$F1037=ABSENSI!$H$11),OR(ABSENSI!$H$12="",$K1037=ABSENSI!$H$12)),MAX($Y$3:Y1036)+1,""))</f>
        <v/>
      </c>
      <c r="Z1037" s="40" t="str">
        <f aca="false">IF($B1037="","",IF(AND(OR(KARTU!$K$6="",$E1037=KARTU!$K$6),OR(KARTU!$K$7="",$F1037=KARTU!$K$7),OR(KARTU!$K$8="",$K1037=KARTU!$K$8)),MAX($Z$3:Z1036)+1,""))</f>
        <v/>
      </c>
    </row>
    <row r="1038" customFormat="false" ht="15" hidden="false" customHeight="false" outlineLevel="0" collapsed="false">
      <c r="A1038" s="36" t="str">
        <f aca="false">IF($B1038="","",COUNTA($B$4:$B1038))</f>
        <v/>
      </c>
      <c r="B1038" s="37"/>
      <c r="C1038" s="38"/>
      <c r="D1038" s="39"/>
      <c r="E1038" s="37"/>
      <c r="F1038" s="39"/>
      <c r="G1038" s="40" t="str">
        <f aca="false">IF(OR($E1038="",$F1038=""),"",$E1038&amp;" - RT "&amp;$F1038)</f>
        <v/>
      </c>
      <c r="H1038" s="37"/>
      <c r="I1038" s="38"/>
      <c r="J1038" s="37"/>
      <c r="K1038" s="39"/>
      <c r="L1038" s="41"/>
      <c r="M1038" s="36" t="str">
        <f aca="true">IF(OR($B1038="",$L1038=""),"",DATEDIF($L1038,TODAY(),"Y"))</f>
        <v/>
      </c>
      <c r="N1038" s="40" t="str">
        <f aca="false">IF($M1038="","",INDEX(usia_label,MATCH($M1038,usia_min,1)))</f>
        <v/>
      </c>
      <c r="O1038" s="37"/>
      <c r="P1038" s="41"/>
      <c r="Q1038" s="37"/>
      <c r="R1038" s="37"/>
      <c r="S1038" s="40" t="str">
        <f aca="false">IF($G1038="","",$G1038&amp;"#"&amp;COUNTIF($G$4:$G1038,$G1038))</f>
        <v/>
      </c>
      <c r="T1038" s="40" t="str">
        <f aca="false">IF($B1038="","",IF($C1038="","NIK kosong",IF(LEN($C1038)&lt;&gt;16,"NIK bukan 16 digit",IF(COUNTIF($C$4:$C$2003,$C1038&amp;"*")&gt;1,"NIK ganda",IF($E1038="","Kadus kosong",IF($F1038="","RT kosong",IF($H1038="","Jabatan kosong",IF($I1038="","No. HP kosong",IF($J1038="","Alamat kosong",IF(AND($M1038&lt;&gt;"",$M1038&lt;17),"Usia di bawah 17",""))))))))))</f>
        <v/>
      </c>
      <c r="U1038" s="40" t="str">
        <f aca="false">IF($B1038="","",IF(AND(OR(CARI!$C$5="",ISNUMBER(SEARCH(CARI!$C$5,$B1038&amp;" "&amp;$C1038&amp;" "&amp;$I1038&amp;" "&amp;$J1038&amp;" "&amp;$Q1038))),OR(CARI!$C$6="",$E1038=CARI!$C$6),OR(CARI!$C$7="",$F1038=CARI!$C$7),OR(CARI!$C$8="",$O1038=CARI!$C$8)),MAX($U$3:U1037)+1,""))</f>
        <v/>
      </c>
      <c r="V1038" s="40" t="str">
        <f aca="false">IF($T1038="","",MAX($V$3:V1037)+1)</f>
        <v/>
      </c>
      <c r="W1038" s="40" t="str">
        <f aca="false">IF($E1038="","",$E1038&amp;"#"&amp;COUNTIF($E$4:$E1038,$E1038))</f>
        <v/>
      </c>
      <c r="X1038" s="40" t="str">
        <f aca="false">IF($B1038="","",IF(AND(OR(CETAK!$J$10="",$E1038=CETAK!$J$10),OR(CETAK!$J$11="",$F1038=CETAK!$J$11),OR(CETAK!$J$12="",$K1038=CETAK!$J$12),OR(CETAK!$J$13="",$H1038=CETAK!$J$13),OR(CETAK!$J$14="",$O1038=CETAK!$J$14)),MAX($X$3:X1037)+1,""))</f>
        <v/>
      </c>
      <c r="Y1038" s="40" t="str">
        <f aca="false">IF($B1038="","",IF(AND(OR(ABSENSI!$H$10="",$E1038=ABSENSI!$H$10),OR(ABSENSI!$H$11="",$F1038=ABSENSI!$H$11),OR(ABSENSI!$H$12="",$K1038=ABSENSI!$H$12)),MAX($Y$3:Y1037)+1,""))</f>
        <v/>
      </c>
      <c r="Z1038" s="40" t="str">
        <f aca="false">IF($B1038="","",IF(AND(OR(KARTU!$K$6="",$E1038=KARTU!$K$6),OR(KARTU!$K$7="",$F1038=KARTU!$K$7),OR(KARTU!$K$8="",$K1038=KARTU!$K$8)),MAX($Z$3:Z1037)+1,""))</f>
        <v/>
      </c>
    </row>
    <row r="1039" customFormat="false" ht="15" hidden="false" customHeight="false" outlineLevel="0" collapsed="false">
      <c r="A1039" s="36" t="str">
        <f aca="false">IF($B1039="","",COUNTA($B$4:$B1039))</f>
        <v/>
      </c>
      <c r="B1039" s="37"/>
      <c r="C1039" s="38"/>
      <c r="D1039" s="39"/>
      <c r="E1039" s="37"/>
      <c r="F1039" s="39"/>
      <c r="G1039" s="40" t="str">
        <f aca="false">IF(OR($E1039="",$F1039=""),"",$E1039&amp;" - RT "&amp;$F1039)</f>
        <v/>
      </c>
      <c r="H1039" s="37"/>
      <c r="I1039" s="38"/>
      <c r="J1039" s="37"/>
      <c r="K1039" s="39"/>
      <c r="L1039" s="41"/>
      <c r="M1039" s="36" t="str">
        <f aca="true">IF(OR($B1039="",$L1039=""),"",DATEDIF($L1039,TODAY(),"Y"))</f>
        <v/>
      </c>
      <c r="N1039" s="40" t="str">
        <f aca="false">IF($M1039="","",INDEX(usia_label,MATCH($M1039,usia_min,1)))</f>
        <v/>
      </c>
      <c r="O1039" s="37"/>
      <c r="P1039" s="41"/>
      <c r="Q1039" s="37"/>
      <c r="R1039" s="37"/>
      <c r="S1039" s="40" t="str">
        <f aca="false">IF($G1039="","",$G1039&amp;"#"&amp;COUNTIF($G$4:$G1039,$G1039))</f>
        <v/>
      </c>
      <c r="T1039" s="40" t="str">
        <f aca="false">IF($B1039="","",IF($C1039="","NIK kosong",IF(LEN($C1039)&lt;&gt;16,"NIK bukan 16 digit",IF(COUNTIF($C$4:$C$2003,$C1039&amp;"*")&gt;1,"NIK ganda",IF($E1039="","Kadus kosong",IF($F1039="","RT kosong",IF($H1039="","Jabatan kosong",IF($I1039="","No. HP kosong",IF($J1039="","Alamat kosong",IF(AND($M1039&lt;&gt;"",$M1039&lt;17),"Usia di bawah 17",""))))))))))</f>
        <v/>
      </c>
      <c r="U1039" s="40" t="str">
        <f aca="false">IF($B1039="","",IF(AND(OR(CARI!$C$5="",ISNUMBER(SEARCH(CARI!$C$5,$B1039&amp;" "&amp;$C1039&amp;" "&amp;$I1039&amp;" "&amp;$J1039&amp;" "&amp;$Q1039))),OR(CARI!$C$6="",$E1039=CARI!$C$6),OR(CARI!$C$7="",$F1039=CARI!$C$7),OR(CARI!$C$8="",$O1039=CARI!$C$8)),MAX($U$3:U1038)+1,""))</f>
        <v/>
      </c>
      <c r="V1039" s="40" t="str">
        <f aca="false">IF($T1039="","",MAX($V$3:V1038)+1)</f>
        <v/>
      </c>
      <c r="W1039" s="40" t="str">
        <f aca="false">IF($E1039="","",$E1039&amp;"#"&amp;COUNTIF($E$4:$E1039,$E1039))</f>
        <v/>
      </c>
      <c r="X1039" s="40" t="str">
        <f aca="false">IF($B1039="","",IF(AND(OR(CETAK!$J$10="",$E1039=CETAK!$J$10),OR(CETAK!$J$11="",$F1039=CETAK!$J$11),OR(CETAK!$J$12="",$K1039=CETAK!$J$12),OR(CETAK!$J$13="",$H1039=CETAK!$J$13),OR(CETAK!$J$14="",$O1039=CETAK!$J$14)),MAX($X$3:X1038)+1,""))</f>
        <v/>
      </c>
      <c r="Y1039" s="40" t="str">
        <f aca="false">IF($B1039="","",IF(AND(OR(ABSENSI!$H$10="",$E1039=ABSENSI!$H$10),OR(ABSENSI!$H$11="",$F1039=ABSENSI!$H$11),OR(ABSENSI!$H$12="",$K1039=ABSENSI!$H$12)),MAX($Y$3:Y1038)+1,""))</f>
        <v/>
      </c>
      <c r="Z1039" s="40" t="str">
        <f aca="false">IF($B1039="","",IF(AND(OR(KARTU!$K$6="",$E1039=KARTU!$K$6),OR(KARTU!$K$7="",$F1039=KARTU!$K$7),OR(KARTU!$K$8="",$K1039=KARTU!$K$8)),MAX($Z$3:Z1038)+1,""))</f>
        <v/>
      </c>
    </row>
    <row r="1040" customFormat="false" ht="15" hidden="false" customHeight="false" outlineLevel="0" collapsed="false">
      <c r="A1040" s="36" t="str">
        <f aca="false">IF($B1040="","",COUNTA($B$4:$B1040))</f>
        <v/>
      </c>
      <c r="B1040" s="37"/>
      <c r="C1040" s="38"/>
      <c r="D1040" s="39"/>
      <c r="E1040" s="37"/>
      <c r="F1040" s="39"/>
      <c r="G1040" s="40" t="str">
        <f aca="false">IF(OR($E1040="",$F1040=""),"",$E1040&amp;" - RT "&amp;$F1040)</f>
        <v/>
      </c>
      <c r="H1040" s="37"/>
      <c r="I1040" s="38"/>
      <c r="J1040" s="37"/>
      <c r="K1040" s="39"/>
      <c r="L1040" s="41"/>
      <c r="M1040" s="36" t="str">
        <f aca="true">IF(OR($B1040="",$L1040=""),"",DATEDIF($L1040,TODAY(),"Y"))</f>
        <v/>
      </c>
      <c r="N1040" s="40" t="str">
        <f aca="false">IF($M1040="","",INDEX(usia_label,MATCH($M1040,usia_min,1)))</f>
        <v/>
      </c>
      <c r="O1040" s="37"/>
      <c r="P1040" s="41"/>
      <c r="Q1040" s="37"/>
      <c r="R1040" s="37"/>
      <c r="S1040" s="40" t="str">
        <f aca="false">IF($G1040="","",$G1040&amp;"#"&amp;COUNTIF($G$4:$G1040,$G1040))</f>
        <v/>
      </c>
      <c r="T1040" s="40" t="str">
        <f aca="false">IF($B1040="","",IF($C1040="","NIK kosong",IF(LEN($C1040)&lt;&gt;16,"NIK bukan 16 digit",IF(COUNTIF($C$4:$C$2003,$C1040&amp;"*")&gt;1,"NIK ganda",IF($E1040="","Kadus kosong",IF($F1040="","RT kosong",IF($H1040="","Jabatan kosong",IF($I1040="","No. HP kosong",IF($J1040="","Alamat kosong",IF(AND($M1040&lt;&gt;"",$M1040&lt;17),"Usia di bawah 17",""))))))))))</f>
        <v/>
      </c>
      <c r="U1040" s="40" t="str">
        <f aca="false">IF($B1040="","",IF(AND(OR(CARI!$C$5="",ISNUMBER(SEARCH(CARI!$C$5,$B1040&amp;" "&amp;$C1040&amp;" "&amp;$I1040&amp;" "&amp;$J1040&amp;" "&amp;$Q1040))),OR(CARI!$C$6="",$E1040=CARI!$C$6),OR(CARI!$C$7="",$F1040=CARI!$C$7),OR(CARI!$C$8="",$O1040=CARI!$C$8)),MAX($U$3:U1039)+1,""))</f>
        <v/>
      </c>
      <c r="V1040" s="40" t="str">
        <f aca="false">IF($T1040="","",MAX($V$3:V1039)+1)</f>
        <v/>
      </c>
      <c r="W1040" s="40" t="str">
        <f aca="false">IF($E1040="","",$E1040&amp;"#"&amp;COUNTIF($E$4:$E1040,$E1040))</f>
        <v/>
      </c>
      <c r="X1040" s="40" t="str">
        <f aca="false">IF($B1040="","",IF(AND(OR(CETAK!$J$10="",$E1040=CETAK!$J$10),OR(CETAK!$J$11="",$F1040=CETAK!$J$11),OR(CETAK!$J$12="",$K1040=CETAK!$J$12),OR(CETAK!$J$13="",$H1040=CETAK!$J$13),OR(CETAK!$J$14="",$O1040=CETAK!$J$14)),MAX($X$3:X1039)+1,""))</f>
        <v/>
      </c>
      <c r="Y1040" s="40" t="str">
        <f aca="false">IF($B1040="","",IF(AND(OR(ABSENSI!$H$10="",$E1040=ABSENSI!$H$10),OR(ABSENSI!$H$11="",$F1040=ABSENSI!$H$11),OR(ABSENSI!$H$12="",$K1040=ABSENSI!$H$12)),MAX($Y$3:Y1039)+1,""))</f>
        <v/>
      </c>
      <c r="Z1040" s="40" t="str">
        <f aca="false">IF($B1040="","",IF(AND(OR(KARTU!$K$6="",$E1040=KARTU!$K$6),OR(KARTU!$K$7="",$F1040=KARTU!$K$7),OR(KARTU!$K$8="",$K1040=KARTU!$K$8)),MAX($Z$3:Z1039)+1,""))</f>
        <v/>
      </c>
    </row>
    <row r="1041" customFormat="false" ht="15" hidden="false" customHeight="false" outlineLevel="0" collapsed="false">
      <c r="A1041" s="36" t="str">
        <f aca="false">IF($B1041="","",COUNTA($B$4:$B1041))</f>
        <v/>
      </c>
      <c r="B1041" s="37"/>
      <c r="C1041" s="38"/>
      <c r="D1041" s="39"/>
      <c r="E1041" s="37"/>
      <c r="F1041" s="39"/>
      <c r="G1041" s="40" t="str">
        <f aca="false">IF(OR($E1041="",$F1041=""),"",$E1041&amp;" - RT "&amp;$F1041)</f>
        <v/>
      </c>
      <c r="H1041" s="37"/>
      <c r="I1041" s="38"/>
      <c r="J1041" s="37"/>
      <c r="K1041" s="39"/>
      <c r="L1041" s="41"/>
      <c r="M1041" s="36" t="str">
        <f aca="true">IF(OR($B1041="",$L1041=""),"",DATEDIF($L1041,TODAY(),"Y"))</f>
        <v/>
      </c>
      <c r="N1041" s="40" t="str">
        <f aca="false">IF($M1041="","",INDEX(usia_label,MATCH($M1041,usia_min,1)))</f>
        <v/>
      </c>
      <c r="O1041" s="37"/>
      <c r="P1041" s="41"/>
      <c r="Q1041" s="37"/>
      <c r="R1041" s="37"/>
      <c r="S1041" s="40" t="str">
        <f aca="false">IF($G1041="","",$G1041&amp;"#"&amp;COUNTIF($G$4:$G1041,$G1041))</f>
        <v/>
      </c>
      <c r="T1041" s="40" t="str">
        <f aca="false">IF($B1041="","",IF($C1041="","NIK kosong",IF(LEN($C1041)&lt;&gt;16,"NIK bukan 16 digit",IF(COUNTIF($C$4:$C$2003,$C1041&amp;"*")&gt;1,"NIK ganda",IF($E1041="","Kadus kosong",IF($F1041="","RT kosong",IF($H1041="","Jabatan kosong",IF($I1041="","No. HP kosong",IF($J1041="","Alamat kosong",IF(AND($M1041&lt;&gt;"",$M1041&lt;17),"Usia di bawah 17",""))))))))))</f>
        <v/>
      </c>
      <c r="U1041" s="40" t="str">
        <f aca="false">IF($B1041="","",IF(AND(OR(CARI!$C$5="",ISNUMBER(SEARCH(CARI!$C$5,$B1041&amp;" "&amp;$C1041&amp;" "&amp;$I1041&amp;" "&amp;$J1041&amp;" "&amp;$Q1041))),OR(CARI!$C$6="",$E1041=CARI!$C$6),OR(CARI!$C$7="",$F1041=CARI!$C$7),OR(CARI!$C$8="",$O1041=CARI!$C$8)),MAX($U$3:U1040)+1,""))</f>
        <v/>
      </c>
      <c r="V1041" s="40" t="str">
        <f aca="false">IF($T1041="","",MAX($V$3:V1040)+1)</f>
        <v/>
      </c>
      <c r="W1041" s="40" t="str">
        <f aca="false">IF($E1041="","",$E1041&amp;"#"&amp;COUNTIF($E$4:$E1041,$E1041))</f>
        <v/>
      </c>
      <c r="X1041" s="40" t="str">
        <f aca="false">IF($B1041="","",IF(AND(OR(CETAK!$J$10="",$E1041=CETAK!$J$10),OR(CETAK!$J$11="",$F1041=CETAK!$J$11),OR(CETAK!$J$12="",$K1041=CETAK!$J$12),OR(CETAK!$J$13="",$H1041=CETAK!$J$13),OR(CETAK!$J$14="",$O1041=CETAK!$J$14)),MAX($X$3:X1040)+1,""))</f>
        <v/>
      </c>
      <c r="Y1041" s="40" t="str">
        <f aca="false">IF($B1041="","",IF(AND(OR(ABSENSI!$H$10="",$E1041=ABSENSI!$H$10),OR(ABSENSI!$H$11="",$F1041=ABSENSI!$H$11),OR(ABSENSI!$H$12="",$K1041=ABSENSI!$H$12)),MAX($Y$3:Y1040)+1,""))</f>
        <v/>
      </c>
      <c r="Z1041" s="40" t="str">
        <f aca="false">IF($B1041="","",IF(AND(OR(KARTU!$K$6="",$E1041=KARTU!$K$6),OR(KARTU!$K$7="",$F1041=KARTU!$K$7),OR(KARTU!$K$8="",$K1041=KARTU!$K$8)),MAX($Z$3:Z1040)+1,""))</f>
        <v/>
      </c>
    </row>
    <row r="1042" customFormat="false" ht="15" hidden="false" customHeight="false" outlineLevel="0" collapsed="false">
      <c r="A1042" s="36" t="str">
        <f aca="false">IF($B1042="","",COUNTA($B$4:$B1042))</f>
        <v/>
      </c>
      <c r="B1042" s="37"/>
      <c r="C1042" s="38"/>
      <c r="D1042" s="39"/>
      <c r="E1042" s="37"/>
      <c r="F1042" s="39"/>
      <c r="G1042" s="40" t="str">
        <f aca="false">IF(OR($E1042="",$F1042=""),"",$E1042&amp;" - RT "&amp;$F1042)</f>
        <v/>
      </c>
      <c r="H1042" s="37"/>
      <c r="I1042" s="38"/>
      <c r="J1042" s="37"/>
      <c r="K1042" s="39"/>
      <c r="L1042" s="41"/>
      <c r="M1042" s="36" t="str">
        <f aca="true">IF(OR($B1042="",$L1042=""),"",DATEDIF($L1042,TODAY(),"Y"))</f>
        <v/>
      </c>
      <c r="N1042" s="40" t="str">
        <f aca="false">IF($M1042="","",INDEX(usia_label,MATCH($M1042,usia_min,1)))</f>
        <v/>
      </c>
      <c r="O1042" s="37"/>
      <c r="P1042" s="41"/>
      <c r="Q1042" s="37"/>
      <c r="R1042" s="37"/>
      <c r="S1042" s="40" t="str">
        <f aca="false">IF($G1042="","",$G1042&amp;"#"&amp;COUNTIF($G$4:$G1042,$G1042))</f>
        <v/>
      </c>
      <c r="T1042" s="40" t="str">
        <f aca="false">IF($B1042="","",IF($C1042="","NIK kosong",IF(LEN($C1042)&lt;&gt;16,"NIK bukan 16 digit",IF(COUNTIF($C$4:$C$2003,$C1042&amp;"*")&gt;1,"NIK ganda",IF($E1042="","Kadus kosong",IF($F1042="","RT kosong",IF($H1042="","Jabatan kosong",IF($I1042="","No. HP kosong",IF($J1042="","Alamat kosong",IF(AND($M1042&lt;&gt;"",$M1042&lt;17),"Usia di bawah 17",""))))))))))</f>
        <v/>
      </c>
      <c r="U1042" s="40" t="str">
        <f aca="false">IF($B1042="","",IF(AND(OR(CARI!$C$5="",ISNUMBER(SEARCH(CARI!$C$5,$B1042&amp;" "&amp;$C1042&amp;" "&amp;$I1042&amp;" "&amp;$J1042&amp;" "&amp;$Q1042))),OR(CARI!$C$6="",$E1042=CARI!$C$6),OR(CARI!$C$7="",$F1042=CARI!$C$7),OR(CARI!$C$8="",$O1042=CARI!$C$8)),MAX($U$3:U1041)+1,""))</f>
        <v/>
      </c>
      <c r="V1042" s="40" t="str">
        <f aca="false">IF($T1042="","",MAX($V$3:V1041)+1)</f>
        <v/>
      </c>
      <c r="W1042" s="40" t="str">
        <f aca="false">IF($E1042="","",$E1042&amp;"#"&amp;COUNTIF($E$4:$E1042,$E1042))</f>
        <v/>
      </c>
      <c r="X1042" s="40" t="str">
        <f aca="false">IF($B1042="","",IF(AND(OR(CETAK!$J$10="",$E1042=CETAK!$J$10),OR(CETAK!$J$11="",$F1042=CETAK!$J$11),OR(CETAK!$J$12="",$K1042=CETAK!$J$12),OR(CETAK!$J$13="",$H1042=CETAK!$J$13),OR(CETAK!$J$14="",$O1042=CETAK!$J$14)),MAX($X$3:X1041)+1,""))</f>
        <v/>
      </c>
      <c r="Y1042" s="40" t="str">
        <f aca="false">IF($B1042="","",IF(AND(OR(ABSENSI!$H$10="",$E1042=ABSENSI!$H$10),OR(ABSENSI!$H$11="",$F1042=ABSENSI!$H$11),OR(ABSENSI!$H$12="",$K1042=ABSENSI!$H$12)),MAX($Y$3:Y1041)+1,""))</f>
        <v/>
      </c>
      <c r="Z1042" s="40" t="str">
        <f aca="false">IF($B1042="","",IF(AND(OR(KARTU!$K$6="",$E1042=KARTU!$K$6),OR(KARTU!$K$7="",$F1042=KARTU!$K$7),OR(KARTU!$K$8="",$K1042=KARTU!$K$8)),MAX($Z$3:Z1041)+1,""))</f>
        <v/>
      </c>
    </row>
    <row r="1043" customFormat="false" ht="15" hidden="false" customHeight="false" outlineLevel="0" collapsed="false">
      <c r="A1043" s="36" t="str">
        <f aca="false">IF($B1043="","",COUNTA($B$4:$B1043))</f>
        <v/>
      </c>
      <c r="B1043" s="37"/>
      <c r="C1043" s="38"/>
      <c r="D1043" s="39"/>
      <c r="E1043" s="37"/>
      <c r="F1043" s="39"/>
      <c r="G1043" s="40" t="str">
        <f aca="false">IF(OR($E1043="",$F1043=""),"",$E1043&amp;" - RT "&amp;$F1043)</f>
        <v/>
      </c>
      <c r="H1043" s="37"/>
      <c r="I1043" s="38"/>
      <c r="J1043" s="37"/>
      <c r="K1043" s="39"/>
      <c r="L1043" s="41"/>
      <c r="M1043" s="36" t="str">
        <f aca="true">IF(OR($B1043="",$L1043=""),"",DATEDIF($L1043,TODAY(),"Y"))</f>
        <v/>
      </c>
      <c r="N1043" s="40" t="str">
        <f aca="false">IF($M1043="","",INDEX(usia_label,MATCH($M1043,usia_min,1)))</f>
        <v/>
      </c>
      <c r="O1043" s="37"/>
      <c r="P1043" s="41"/>
      <c r="Q1043" s="37"/>
      <c r="R1043" s="37"/>
      <c r="S1043" s="40" t="str">
        <f aca="false">IF($G1043="","",$G1043&amp;"#"&amp;COUNTIF($G$4:$G1043,$G1043))</f>
        <v/>
      </c>
      <c r="T1043" s="40" t="str">
        <f aca="false">IF($B1043="","",IF($C1043="","NIK kosong",IF(LEN($C1043)&lt;&gt;16,"NIK bukan 16 digit",IF(COUNTIF($C$4:$C$2003,$C1043&amp;"*")&gt;1,"NIK ganda",IF($E1043="","Kadus kosong",IF($F1043="","RT kosong",IF($H1043="","Jabatan kosong",IF($I1043="","No. HP kosong",IF($J1043="","Alamat kosong",IF(AND($M1043&lt;&gt;"",$M1043&lt;17),"Usia di bawah 17",""))))))))))</f>
        <v/>
      </c>
      <c r="U1043" s="40" t="str">
        <f aca="false">IF($B1043="","",IF(AND(OR(CARI!$C$5="",ISNUMBER(SEARCH(CARI!$C$5,$B1043&amp;" "&amp;$C1043&amp;" "&amp;$I1043&amp;" "&amp;$J1043&amp;" "&amp;$Q1043))),OR(CARI!$C$6="",$E1043=CARI!$C$6),OR(CARI!$C$7="",$F1043=CARI!$C$7),OR(CARI!$C$8="",$O1043=CARI!$C$8)),MAX($U$3:U1042)+1,""))</f>
        <v/>
      </c>
      <c r="V1043" s="40" t="str">
        <f aca="false">IF($T1043="","",MAX($V$3:V1042)+1)</f>
        <v/>
      </c>
      <c r="W1043" s="40" t="str">
        <f aca="false">IF($E1043="","",$E1043&amp;"#"&amp;COUNTIF($E$4:$E1043,$E1043))</f>
        <v/>
      </c>
      <c r="X1043" s="40" t="str">
        <f aca="false">IF($B1043="","",IF(AND(OR(CETAK!$J$10="",$E1043=CETAK!$J$10),OR(CETAK!$J$11="",$F1043=CETAK!$J$11),OR(CETAK!$J$12="",$K1043=CETAK!$J$12),OR(CETAK!$J$13="",$H1043=CETAK!$J$13),OR(CETAK!$J$14="",$O1043=CETAK!$J$14)),MAX($X$3:X1042)+1,""))</f>
        <v/>
      </c>
      <c r="Y1043" s="40" t="str">
        <f aca="false">IF($B1043="","",IF(AND(OR(ABSENSI!$H$10="",$E1043=ABSENSI!$H$10),OR(ABSENSI!$H$11="",$F1043=ABSENSI!$H$11),OR(ABSENSI!$H$12="",$K1043=ABSENSI!$H$12)),MAX($Y$3:Y1042)+1,""))</f>
        <v/>
      </c>
      <c r="Z1043" s="40" t="str">
        <f aca="false">IF($B1043="","",IF(AND(OR(KARTU!$K$6="",$E1043=KARTU!$K$6),OR(KARTU!$K$7="",$F1043=KARTU!$K$7),OR(KARTU!$K$8="",$K1043=KARTU!$K$8)),MAX($Z$3:Z1042)+1,""))</f>
        <v/>
      </c>
    </row>
    <row r="1044" customFormat="false" ht="15" hidden="false" customHeight="false" outlineLevel="0" collapsed="false">
      <c r="A1044" s="36" t="str">
        <f aca="false">IF($B1044="","",COUNTA($B$4:$B1044))</f>
        <v/>
      </c>
      <c r="B1044" s="37"/>
      <c r="C1044" s="38"/>
      <c r="D1044" s="39"/>
      <c r="E1044" s="37"/>
      <c r="F1044" s="39"/>
      <c r="G1044" s="40" t="str">
        <f aca="false">IF(OR($E1044="",$F1044=""),"",$E1044&amp;" - RT "&amp;$F1044)</f>
        <v/>
      </c>
      <c r="H1044" s="37"/>
      <c r="I1044" s="38"/>
      <c r="J1044" s="37"/>
      <c r="K1044" s="39"/>
      <c r="L1044" s="41"/>
      <c r="M1044" s="36" t="str">
        <f aca="true">IF(OR($B1044="",$L1044=""),"",DATEDIF($L1044,TODAY(),"Y"))</f>
        <v/>
      </c>
      <c r="N1044" s="40" t="str">
        <f aca="false">IF($M1044="","",INDEX(usia_label,MATCH($M1044,usia_min,1)))</f>
        <v/>
      </c>
      <c r="O1044" s="37"/>
      <c r="P1044" s="41"/>
      <c r="Q1044" s="37"/>
      <c r="R1044" s="37"/>
      <c r="S1044" s="40" t="str">
        <f aca="false">IF($G1044="","",$G1044&amp;"#"&amp;COUNTIF($G$4:$G1044,$G1044))</f>
        <v/>
      </c>
      <c r="T1044" s="40" t="str">
        <f aca="false">IF($B1044="","",IF($C1044="","NIK kosong",IF(LEN($C1044)&lt;&gt;16,"NIK bukan 16 digit",IF(COUNTIF($C$4:$C$2003,$C1044&amp;"*")&gt;1,"NIK ganda",IF($E1044="","Kadus kosong",IF($F1044="","RT kosong",IF($H1044="","Jabatan kosong",IF($I1044="","No. HP kosong",IF($J1044="","Alamat kosong",IF(AND($M1044&lt;&gt;"",$M1044&lt;17),"Usia di bawah 17",""))))))))))</f>
        <v/>
      </c>
      <c r="U1044" s="40" t="str">
        <f aca="false">IF($B1044="","",IF(AND(OR(CARI!$C$5="",ISNUMBER(SEARCH(CARI!$C$5,$B1044&amp;" "&amp;$C1044&amp;" "&amp;$I1044&amp;" "&amp;$J1044&amp;" "&amp;$Q1044))),OR(CARI!$C$6="",$E1044=CARI!$C$6),OR(CARI!$C$7="",$F1044=CARI!$C$7),OR(CARI!$C$8="",$O1044=CARI!$C$8)),MAX($U$3:U1043)+1,""))</f>
        <v/>
      </c>
      <c r="V1044" s="40" t="str">
        <f aca="false">IF($T1044="","",MAX($V$3:V1043)+1)</f>
        <v/>
      </c>
      <c r="W1044" s="40" t="str">
        <f aca="false">IF($E1044="","",$E1044&amp;"#"&amp;COUNTIF($E$4:$E1044,$E1044))</f>
        <v/>
      </c>
      <c r="X1044" s="40" t="str">
        <f aca="false">IF($B1044="","",IF(AND(OR(CETAK!$J$10="",$E1044=CETAK!$J$10),OR(CETAK!$J$11="",$F1044=CETAK!$J$11),OR(CETAK!$J$12="",$K1044=CETAK!$J$12),OR(CETAK!$J$13="",$H1044=CETAK!$J$13),OR(CETAK!$J$14="",$O1044=CETAK!$J$14)),MAX($X$3:X1043)+1,""))</f>
        <v/>
      </c>
      <c r="Y1044" s="40" t="str">
        <f aca="false">IF($B1044="","",IF(AND(OR(ABSENSI!$H$10="",$E1044=ABSENSI!$H$10),OR(ABSENSI!$H$11="",$F1044=ABSENSI!$H$11),OR(ABSENSI!$H$12="",$K1044=ABSENSI!$H$12)),MAX($Y$3:Y1043)+1,""))</f>
        <v/>
      </c>
      <c r="Z1044" s="40" t="str">
        <f aca="false">IF($B1044="","",IF(AND(OR(KARTU!$K$6="",$E1044=KARTU!$K$6),OR(KARTU!$K$7="",$F1044=KARTU!$K$7),OR(KARTU!$K$8="",$K1044=KARTU!$K$8)),MAX($Z$3:Z1043)+1,""))</f>
        <v/>
      </c>
    </row>
    <row r="1045" customFormat="false" ht="15" hidden="false" customHeight="false" outlineLevel="0" collapsed="false">
      <c r="A1045" s="36" t="str">
        <f aca="false">IF($B1045="","",COUNTA($B$4:$B1045))</f>
        <v/>
      </c>
      <c r="B1045" s="37"/>
      <c r="C1045" s="38"/>
      <c r="D1045" s="39"/>
      <c r="E1045" s="37"/>
      <c r="F1045" s="39"/>
      <c r="G1045" s="40" t="str">
        <f aca="false">IF(OR($E1045="",$F1045=""),"",$E1045&amp;" - RT "&amp;$F1045)</f>
        <v/>
      </c>
      <c r="H1045" s="37"/>
      <c r="I1045" s="38"/>
      <c r="J1045" s="37"/>
      <c r="K1045" s="39"/>
      <c r="L1045" s="41"/>
      <c r="M1045" s="36" t="str">
        <f aca="true">IF(OR($B1045="",$L1045=""),"",DATEDIF($L1045,TODAY(),"Y"))</f>
        <v/>
      </c>
      <c r="N1045" s="40" t="str">
        <f aca="false">IF($M1045="","",INDEX(usia_label,MATCH($M1045,usia_min,1)))</f>
        <v/>
      </c>
      <c r="O1045" s="37"/>
      <c r="P1045" s="41"/>
      <c r="Q1045" s="37"/>
      <c r="R1045" s="37"/>
      <c r="S1045" s="40" t="str">
        <f aca="false">IF($G1045="","",$G1045&amp;"#"&amp;COUNTIF($G$4:$G1045,$G1045))</f>
        <v/>
      </c>
      <c r="T1045" s="40" t="str">
        <f aca="false">IF($B1045="","",IF($C1045="","NIK kosong",IF(LEN($C1045)&lt;&gt;16,"NIK bukan 16 digit",IF(COUNTIF($C$4:$C$2003,$C1045&amp;"*")&gt;1,"NIK ganda",IF($E1045="","Kadus kosong",IF($F1045="","RT kosong",IF($H1045="","Jabatan kosong",IF($I1045="","No. HP kosong",IF($J1045="","Alamat kosong",IF(AND($M1045&lt;&gt;"",$M1045&lt;17),"Usia di bawah 17",""))))))))))</f>
        <v/>
      </c>
      <c r="U1045" s="40" t="str">
        <f aca="false">IF($B1045="","",IF(AND(OR(CARI!$C$5="",ISNUMBER(SEARCH(CARI!$C$5,$B1045&amp;" "&amp;$C1045&amp;" "&amp;$I1045&amp;" "&amp;$J1045&amp;" "&amp;$Q1045))),OR(CARI!$C$6="",$E1045=CARI!$C$6),OR(CARI!$C$7="",$F1045=CARI!$C$7),OR(CARI!$C$8="",$O1045=CARI!$C$8)),MAX($U$3:U1044)+1,""))</f>
        <v/>
      </c>
      <c r="V1045" s="40" t="str">
        <f aca="false">IF($T1045="","",MAX($V$3:V1044)+1)</f>
        <v/>
      </c>
      <c r="W1045" s="40" t="str">
        <f aca="false">IF($E1045="","",$E1045&amp;"#"&amp;COUNTIF($E$4:$E1045,$E1045))</f>
        <v/>
      </c>
      <c r="X1045" s="40" t="str">
        <f aca="false">IF($B1045="","",IF(AND(OR(CETAK!$J$10="",$E1045=CETAK!$J$10),OR(CETAK!$J$11="",$F1045=CETAK!$J$11),OR(CETAK!$J$12="",$K1045=CETAK!$J$12),OR(CETAK!$J$13="",$H1045=CETAK!$J$13),OR(CETAK!$J$14="",$O1045=CETAK!$J$14)),MAX($X$3:X1044)+1,""))</f>
        <v/>
      </c>
      <c r="Y1045" s="40" t="str">
        <f aca="false">IF($B1045="","",IF(AND(OR(ABSENSI!$H$10="",$E1045=ABSENSI!$H$10),OR(ABSENSI!$H$11="",$F1045=ABSENSI!$H$11),OR(ABSENSI!$H$12="",$K1045=ABSENSI!$H$12)),MAX($Y$3:Y1044)+1,""))</f>
        <v/>
      </c>
      <c r="Z1045" s="40" t="str">
        <f aca="false">IF($B1045="","",IF(AND(OR(KARTU!$K$6="",$E1045=KARTU!$K$6),OR(KARTU!$K$7="",$F1045=KARTU!$K$7),OR(KARTU!$K$8="",$K1045=KARTU!$K$8)),MAX($Z$3:Z1044)+1,""))</f>
        <v/>
      </c>
    </row>
    <row r="1046" customFormat="false" ht="15" hidden="false" customHeight="false" outlineLevel="0" collapsed="false">
      <c r="A1046" s="36" t="str">
        <f aca="false">IF($B1046="","",COUNTA($B$4:$B1046))</f>
        <v/>
      </c>
      <c r="B1046" s="37"/>
      <c r="C1046" s="38"/>
      <c r="D1046" s="39"/>
      <c r="E1046" s="37"/>
      <c r="F1046" s="39"/>
      <c r="G1046" s="40" t="str">
        <f aca="false">IF(OR($E1046="",$F1046=""),"",$E1046&amp;" - RT "&amp;$F1046)</f>
        <v/>
      </c>
      <c r="H1046" s="37"/>
      <c r="I1046" s="38"/>
      <c r="J1046" s="37"/>
      <c r="K1046" s="39"/>
      <c r="L1046" s="41"/>
      <c r="M1046" s="36" t="str">
        <f aca="true">IF(OR($B1046="",$L1046=""),"",DATEDIF($L1046,TODAY(),"Y"))</f>
        <v/>
      </c>
      <c r="N1046" s="40" t="str">
        <f aca="false">IF($M1046="","",INDEX(usia_label,MATCH($M1046,usia_min,1)))</f>
        <v/>
      </c>
      <c r="O1046" s="37"/>
      <c r="P1046" s="41"/>
      <c r="Q1046" s="37"/>
      <c r="R1046" s="37"/>
      <c r="S1046" s="40" t="str">
        <f aca="false">IF($G1046="","",$G1046&amp;"#"&amp;COUNTIF($G$4:$G1046,$G1046))</f>
        <v/>
      </c>
      <c r="T1046" s="40" t="str">
        <f aca="false">IF($B1046="","",IF($C1046="","NIK kosong",IF(LEN($C1046)&lt;&gt;16,"NIK bukan 16 digit",IF(COUNTIF($C$4:$C$2003,$C1046&amp;"*")&gt;1,"NIK ganda",IF($E1046="","Kadus kosong",IF($F1046="","RT kosong",IF($H1046="","Jabatan kosong",IF($I1046="","No. HP kosong",IF($J1046="","Alamat kosong",IF(AND($M1046&lt;&gt;"",$M1046&lt;17),"Usia di bawah 17",""))))))))))</f>
        <v/>
      </c>
      <c r="U1046" s="40" t="str">
        <f aca="false">IF($B1046="","",IF(AND(OR(CARI!$C$5="",ISNUMBER(SEARCH(CARI!$C$5,$B1046&amp;" "&amp;$C1046&amp;" "&amp;$I1046&amp;" "&amp;$J1046&amp;" "&amp;$Q1046))),OR(CARI!$C$6="",$E1046=CARI!$C$6),OR(CARI!$C$7="",$F1046=CARI!$C$7),OR(CARI!$C$8="",$O1046=CARI!$C$8)),MAX($U$3:U1045)+1,""))</f>
        <v/>
      </c>
      <c r="V1046" s="40" t="str">
        <f aca="false">IF($T1046="","",MAX($V$3:V1045)+1)</f>
        <v/>
      </c>
      <c r="W1046" s="40" t="str">
        <f aca="false">IF($E1046="","",$E1046&amp;"#"&amp;COUNTIF($E$4:$E1046,$E1046))</f>
        <v/>
      </c>
      <c r="X1046" s="40" t="str">
        <f aca="false">IF($B1046="","",IF(AND(OR(CETAK!$J$10="",$E1046=CETAK!$J$10),OR(CETAK!$J$11="",$F1046=CETAK!$J$11),OR(CETAK!$J$12="",$K1046=CETAK!$J$12),OR(CETAK!$J$13="",$H1046=CETAK!$J$13),OR(CETAK!$J$14="",$O1046=CETAK!$J$14)),MAX($X$3:X1045)+1,""))</f>
        <v/>
      </c>
      <c r="Y1046" s="40" t="str">
        <f aca="false">IF($B1046="","",IF(AND(OR(ABSENSI!$H$10="",$E1046=ABSENSI!$H$10),OR(ABSENSI!$H$11="",$F1046=ABSENSI!$H$11),OR(ABSENSI!$H$12="",$K1046=ABSENSI!$H$12)),MAX($Y$3:Y1045)+1,""))</f>
        <v/>
      </c>
      <c r="Z1046" s="40" t="str">
        <f aca="false">IF($B1046="","",IF(AND(OR(KARTU!$K$6="",$E1046=KARTU!$K$6),OR(KARTU!$K$7="",$F1046=KARTU!$K$7),OR(KARTU!$K$8="",$K1046=KARTU!$K$8)),MAX($Z$3:Z1045)+1,""))</f>
        <v/>
      </c>
    </row>
    <row r="1047" customFormat="false" ht="15" hidden="false" customHeight="false" outlineLevel="0" collapsed="false">
      <c r="A1047" s="36" t="str">
        <f aca="false">IF($B1047="","",COUNTA($B$4:$B1047))</f>
        <v/>
      </c>
      <c r="B1047" s="37"/>
      <c r="C1047" s="38"/>
      <c r="D1047" s="39"/>
      <c r="E1047" s="37"/>
      <c r="F1047" s="39"/>
      <c r="G1047" s="40" t="str">
        <f aca="false">IF(OR($E1047="",$F1047=""),"",$E1047&amp;" - RT "&amp;$F1047)</f>
        <v/>
      </c>
      <c r="H1047" s="37"/>
      <c r="I1047" s="38"/>
      <c r="J1047" s="37"/>
      <c r="K1047" s="39"/>
      <c r="L1047" s="41"/>
      <c r="M1047" s="36" t="str">
        <f aca="true">IF(OR($B1047="",$L1047=""),"",DATEDIF($L1047,TODAY(),"Y"))</f>
        <v/>
      </c>
      <c r="N1047" s="40" t="str">
        <f aca="false">IF($M1047="","",INDEX(usia_label,MATCH($M1047,usia_min,1)))</f>
        <v/>
      </c>
      <c r="O1047" s="37"/>
      <c r="P1047" s="41"/>
      <c r="Q1047" s="37"/>
      <c r="R1047" s="37"/>
      <c r="S1047" s="40" t="str">
        <f aca="false">IF($G1047="","",$G1047&amp;"#"&amp;COUNTIF($G$4:$G1047,$G1047))</f>
        <v/>
      </c>
      <c r="T1047" s="40" t="str">
        <f aca="false">IF($B1047="","",IF($C1047="","NIK kosong",IF(LEN($C1047)&lt;&gt;16,"NIK bukan 16 digit",IF(COUNTIF($C$4:$C$2003,$C1047&amp;"*")&gt;1,"NIK ganda",IF($E1047="","Kadus kosong",IF($F1047="","RT kosong",IF($H1047="","Jabatan kosong",IF($I1047="","No. HP kosong",IF($J1047="","Alamat kosong",IF(AND($M1047&lt;&gt;"",$M1047&lt;17),"Usia di bawah 17",""))))))))))</f>
        <v/>
      </c>
      <c r="U1047" s="40" t="str">
        <f aca="false">IF($B1047="","",IF(AND(OR(CARI!$C$5="",ISNUMBER(SEARCH(CARI!$C$5,$B1047&amp;" "&amp;$C1047&amp;" "&amp;$I1047&amp;" "&amp;$J1047&amp;" "&amp;$Q1047))),OR(CARI!$C$6="",$E1047=CARI!$C$6),OR(CARI!$C$7="",$F1047=CARI!$C$7),OR(CARI!$C$8="",$O1047=CARI!$C$8)),MAX($U$3:U1046)+1,""))</f>
        <v/>
      </c>
      <c r="V1047" s="40" t="str">
        <f aca="false">IF($T1047="","",MAX($V$3:V1046)+1)</f>
        <v/>
      </c>
      <c r="W1047" s="40" t="str">
        <f aca="false">IF($E1047="","",$E1047&amp;"#"&amp;COUNTIF($E$4:$E1047,$E1047))</f>
        <v/>
      </c>
      <c r="X1047" s="40" t="str">
        <f aca="false">IF($B1047="","",IF(AND(OR(CETAK!$J$10="",$E1047=CETAK!$J$10),OR(CETAK!$J$11="",$F1047=CETAK!$J$11),OR(CETAK!$J$12="",$K1047=CETAK!$J$12),OR(CETAK!$J$13="",$H1047=CETAK!$J$13),OR(CETAK!$J$14="",$O1047=CETAK!$J$14)),MAX($X$3:X1046)+1,""))</f>
        <v/>
      </c>
      <c r="Y1047" s="40" t="str">
        <f aca="false">IF($B1047="","",IF(AND(OR(ABSENSI!$H$10="",$E1047=ABSENSI!$H$10),OR(ABSENSI!$H$11="",$F1047=ABSENSI!$H$11),OR(ABSENSI!$H$12="",$K1047=ABSENSI!$H$12)),MAX($Y$3:Y1046)+1,""))</f>
        <v/>
      </c>
      <c r="Z1047" s="40" t="str">
        <f aca="false">IF($B1047="","",IF(AND(OR(KARTU!$K$6="",$E1047=KARTU!$K$6),OR(KARTU!$K$7="",$F1047=KARTU!$K$7),OR(KARTU!$K$8="",$K1047=KARTU!$K$8)),MAX($Z$3:Z1046)+1,""))</f>
        <v/>
      </c>
    </row>
    <row r="1048" customFormat="false" ht="15" hidden="false" customHeight="false" outlineLevel="0" collapsed="false">
      <c r="A1048" s="36" t="str">
        <f aca="false">IF($B1048="","",COUNTA($B$4:$B1048))</f>
        <v/>
      </c>
      <c r="B1048" s="37"/>
      <c r="C1048" s="38"/>
      <c r="D1048" s="39"/>
      <c r="E1048" s="37"/>
      <c r="F1048" s="39"/>
      <c r="G1048" s="40" t="str">
        <f aca="false">IF(OR($E1048="",$F1048=""),"",$E1048&amp;" - RT "&amp;$F1048)</f>
        <v/>
      </c>
      <c r="H1048" s="37"/>
      <c r="I1048" s="38"/>
      <c r="J1048" s="37"/>
      <c r="K1048" s="39"/>
      <c r="L1048" s="41"/>
      <c r="M1048" s="36" t="str">
        <f aca="true">IF(OR($B1048="",$L1048=""),"",DATEDIF($L1048,TODAY(),"Y"))</f>
        <v/>
      </c>
      <c r="N1048" s="40" t="str">
        <f aca="false">IF($M1048="","",INDEX(usia_label,MATCH($M1048,usia_min,1)))</f>
        <v/>
      </c>
      <c r="O1048" s="37"/>
      <c r="P1048" s="41"/>
      <c r="Q1048" s="37"/>
      <c r="R1048" s="37"/>
      <c r="S1048" s="40" t="str">
        <f aca="false">IF($G1048="","",$G1048&amp;"#"&amp;COUNTIF($G$4:$G1048,$G1048))</f>
        <v/>
      </c>
      <c r="T1048" s="40" t="str">
        <f aca="false">IF($B1048="","",IF($C1048="","NIK kosong",IF(LEN($C1048)&lt;&gt;16,"NIK bukan 16 digit",IF(COUNTIF($C$4:$C$2003,$C1048&amp;"*")&gt;1,"NIK ganda",IF($E1048="","Kadus kosong",IF($F1048="","RT kosong",IF($H1048="","Jabatan kosong",IF($I1048="","No. HP kosong",IF($J1048="","Alamat kosong",IF(AND($M1048&lt;&gt;"",$M1048&lt;17),"Usia di bawah 17",""))))))))))</f>
        <v/>
      </c>
      <c r="U1048" s="40" t="str">
        <f aca="false">IF($B1048="","",IF(AND(OR(CARI!$C$5="",ISNUMBER(SEARCH(CARI!$C$5,$B1048&amp;" "&amp;$C1048&amp;" "&amp;$I1048&amp;" "&amp;$J1048&amp;" "&amp;$Q1048))),OR(CARI!$C$6="",$E1048=CARI!$C$6),OR(CARI!$C$7="",$F1048=CARI!$C$7),OR(CARI!$C$8="",$O1048=CARI!$C$8)),MAX($U$3:U1047)+1,""))</f>
        <v/>
      </c>
      <c r="V1048" s="40" t="str">
        <f aca="false">IF($T1048="","",MAX($V$3:V1047)+1)</f>
        <v/>
      </c>
      <c r="W1048" s="40" t="str">
        <f aca="false">IF($E1048="","",$E1048&amp;"#"&amp;COUNTIF($E$4:$E1048,$E1048))</f>
        <v/>
      </c>
      <c r="X1048" s="40" t="str">
        <f aca="false">IF($B1048="","",IF(AND(OR(CETAK!$J$10="",$E1048=CETAK!$J$10),OR(CETAK!$J$11="",$F1048=CETAK!$J$11),OR(CETAK!$J$12="",$K1048=CETAK!$J$12),OR(CETAK!$J$13="",$H1048=CETAK!$J$13),OR(CETAK!$J$14="",$O1048=CETAK!$J$14)),MAX($X$3:X1047)+1,""))</f>
        <v/>
      </c>
      <c r="Y1048" s="40" t="str">
        <f aca="false">IF($B1048="","",IF(AND(OR(ABSENSI!$H$10="",$E1048=ABSENSI!$H$10),OR(ABSENSI!$H$11="",$F1048=ABSENSI!$H$11),OR(ABSENSI!$H$12="",$K1048=ABSENSI!$H$12)),MAX($Y$3:Y1047)+1,""))</f>
        <v/>
      </c>
      <c r="Z1048" s="40" t="str">
        <f aca="false">IF($B1048="","",IF(AND(OR(KARTU!$K$6="",$E1048=KARTU!$K$6),OR(KARTU!$K$7="",$F1048=KARTU!$K$7),OR(KARTU!$K$8="",$K1048=KARTU!$K$8)),MAX($Z$3:Z1047)+1,""))</f>
        <v/>
      </c>
    </row>
    <row r="1049" customFormat="false" ht="15" hidden="false" customHeight="false" outlineLevel="0" collapsed="false">
      <c r="A1049" s="36" t="str">
        <f aca="false">IF($B1049="","",COUNTA($B$4:$B1049))</f>
        <v/>
      </c>
      <c r="B1049" s="37"/>
      <c r="C1049" s="38"/>
      <c r="D1049" s="39"/>
      <c r="E1049" s="37"/>
      <c r="F1049" s="39"/>
      <c r="G1049" s="40" t="str">
        <f aca="false">IF(OR($E1049="",$F1049=""),"",$E1049&amp;" - RT "&amp;$F1049)</f>
        <v/>
      </c>
      <c r="H1049" s="37"/>
      <c r="I1049" s="38"/>
      <c r="J1049" s="37"/>
      <c r="K1049" s="39"/>
      <c r="L1049" s="41"/>
      <c r="M1049" s="36" t="str">
        <f aca="true">IF(OR($B1049="",$L1049=""),"",DATEDIF($L1049,TODAY(),"Y"))</f>
        <v/>
      </c>
      <c r="N1049" s="40" t="str">
        <f aca="false">IF($M1049="","",INDEX(usia_label,MATCH($M1049,usia_min,1)))</f>
        <v/>
      </c>
      <c r="O1049" s="37"/>
      <c r="P1049" s="41"/>
      <c r="Q1049" s="37"/>
      <c r="R1049" s="37"/>
      <c r="S1049" s="40" t="str">
        <f aca="false">IF($G1049="","",$G1049&amp;"#"&amp;COUNTIF($G$4:$G1049,$G1049))</f>
        <v/>
      </c>
      <c r="T1049" s="40" t="str">
        <f aca="false">IF($B1049="","",IF($C1049="","NIK kosong",IF(LEN($C1049)&lt;&gt;16,"NIK bukan 16 digit",IF(COUNTIF($C$4:$C$2003,$C1049&amp;"*")&gt;1,"NIK ganda",IF($E1049="","Kadus kosong",IF($F1049="","RT kosong",IF($H1049="","Jabatan kosong",IF($I1049="","No. HP kosong",IF($J1049="","Alamat kosong",IF(AND($M1049&lt;&gt;"",$M1049&lt;17),"Usia di bawah 17",""))))))))))</f>
        <v/>
      </c>
      <c r="U1049" s="40" t="str">
        <f aca="false">IF($B1049="","",IF(AND(OR(CARI!$C$5="",ISNUMBER(SEARCH(CARI!$C$5,$B1049&amp;" "&amp;$C1049&amp;" "&amp;$I1049&amp;" "&amp;$J1049&amp;" "&amp;$Q1049))),OR(CARI!$C$6="",$E1049=CARI!$C$6),OR(CARI!$C$7="",$F1049=CARI!$C$7),OR(CARI!$C$8="",$O1049=CARI!$C$8)),MAX($U$3:U1048)+1,""))</f>
        <v/>
      </c>
      <c r="V1049" s="40" t="str">
        <f aca="false">IF($T1049="","",MAX($V$3:V1048)+1)</f>
        <v/>
      </c>
      <c r="W1049" s="40" t="str">
        <f aca="false">IF($E1049="","",$E1049&amp;"#"&amp;COUNTIF($E$4:$E1049,$E1049))</f>
        <v/>
      </c>
      <c r="X1049" s="40" t="str">
        <f aca="false">IF($B1049="","",IF(AND(OR(CETAK!$J$10="",$E1049=CETAK!$J$10),OR(CETAK!$J$11="",$F1049=CETAK!$J$11),OR(CETAK!$J$12="",$K1049=CETAK!$J$12),OR(CETAK!$J$13="",$H1049=CETAK!$J$13),OR(CETAK!$J$14="",$O1049=CETAK!$J$14)),MAX($X$3:X1048)+1,""))</f>
        <v/>
      </c>
      <c r="Y1049" s="40" t="str">
        <f aca="false">IF($B1049="","",IF(AND(OR(ABSENSI!$H$10="",$E1049=ABSENSI!$H$10),OR(ABSENSI!$H$11="",$F1049=ABSENSI!$H$11),OR(ABSENSI!$H$12="",$K1049=ABSENSI!$H$12)),MAX($Y$3:Y1048)+1,""))</f>
        <v/>
      </c>
      <c r="Z1049" s="40" t="str">
        <f aca="false">IF($B1049="","",IF(AND(OR(KARTU!$K$6="",$E1049=KARTU!$K$6),OR(KARTU!$K$7="",$F1049=KARTU!$K$7),OR(KARTU!$K$8="",$K1049=KARTU!$K$8)),MAX($Z$3:Z1048)+1,""))</f>
        <v/>
      </c>
    </row>
    <row r="1050" customFormat="false" ht="15" hidden="false" customHeight="false" outlineLevel="0" collapsed="false">
      <c r="A1050" s="36" t="str">
        <f aca="false">IF($B1050="","",COUNTA($B$4:$B1050))</f>
        <v/>
      </c>
      <c r="B1050" s="37"/>
      <c r="C1050" s="38"/>
      <c r="D1050" s="39"/>
      <c r="E1050" s="37"/>
      <c r="F1050" s="39"/>
      <c r="G1050" s="40" t="str">
        <f aca="false">IF(OR($E1050="",$F1050=""),"",$E1050&amp;" - RT "&amp;$F1050)</f>
        <v/>
      </c>
      <c r="H1050" s="37"/>
      <c r="I1050" s="38"/>
      <c r="J1050" s="37"/>
      <c r="K1050" s="39"/>
      <c r="L1050" s="41"/>
      <c r="M1050" s="36" t="str">
        <f aca="true">IF(OR($B1050="",$L1050=""),"",DATEDIF($L1050,TODAY(),"Y"))</f>
        <v/>
      </c>
      <c r="N1050" s="40" t="str">
        <f aca="false">IF($M1050="","",INDEX(usia_label,MATCH($M1050,usia_min,1)))</f>
        <v/>
      </c>
      <c r="O1050" s="37"/>
      <c r="P1050" s="41"/>
      <c r="Q1050" s="37"/>
      <c r="R1050" s="37"/>
      <c r="S1050" s="40" t="str">
        <f aca="false">IF($G1050="","",$G1050&amp;"#"&amp;COUNTIF($G$4:$G1050,$G1050))</f>
        <v/>
      </c>
      <c r="T1050" s="40" t="str">
        <f aca="false">IF($B1050="","",IF($C1050="","NIK kosong",IF(LEN($C1050)&lt;&gt;16,"NIK bukan 16 digit",IF(COUNTIF($C$4:$C$2003,$C1050&amp;"*")&gt;1,"NIK ganda",IF($E1050="","Kadus kosong",IF($F1050="","RT kosong",IF($H1050="","Jabatan kosong",IF($I1050="","No. HP kosong",IF($J1050="","Alamat kosong",IF(AND($M1050&lt;&gt;"",$M1050&lt;17),"Usia di bawah 17",""))))))))))</f>
        <v/>
      </c>
      <c r="U1050" s="40" t="str">
        <f aca="false">IF($B1050="","",IF(AND(OR(CARI!$C$5="",ISNUMBER(SEARCH(CARI!$C$5,$B1050&amp;" "&amp;$C1050&amp;" "&amp;$I1050&amp;" "&amp;$J1050&amp;" "&amp;$Q1050))),OR(CARI!$C$6="",$E1050=CARI!$C$6),OR(CARI!$C$7="",$F1050=CARI!$C$7),OR(CARI!$C$8="",$O1050=CARI!$C$8)),MAX($U$3:U1049)+1,""))</f>
        <v/>
      </c>
      <c r="V1050" s="40" t="str">
        <f aca="false">IF($T1050="","",MAX($V$3:V1049)+1)</f>
        <v/>
      </c>
      <c r="W1050" s="40" t="str">
        <f aca="false">IF($E1050="","",$E1050&amp;"#"&amp;COUNTIF($E$4:$E1050,$E1050))</f>
        <v/>
      </c>
      <c r="X1050" s="40" t="str">
        <f aca="false">IF($B1050="","",IF(AND(OR(CETAK!$J$10="",$E1050=CETAK!$J$10),OR(CETAK!$J$11="",$F1050=CETAK!$J$11),OR(CETAK!$J$12="",$K1050=CETAK!$J$12),OR(CETAK!$J$13="",$H1050=CETAK!$J$13),OR(CETAK!$J$14="",$O1050=CETAK!$J$14)),MAX($X$3:X1049)+1,""))</f>
        <v/>
      </c>
      <c r="Y1050" s="40" t="str">
        <f aca="false">IF($B1050="","",IF(AND(OR(ABSENSI!$H$10="",$E1050=ABSENSI!$H$10),OR(ABSENSI!$H$11="",$F1050=ABSENSI!$H$11),OR(ABSENSI!$H$12="",$K1050=ABSENSI!$H$12)),MAX($Y$3:Y1049)+1,""))</f>
        <v/>
      </c>
      <c r="Z1050" s="40" t="str">
        <f aca="false">IF($B1050="","",IF(AND(OR(KARTU!$K$6="",$E1050=KARTU!$K$6),OR(KARTU!$K$7="",$F1050=KARTU!$K$7),OR(KARTU!$K$8="",$K1050=KARTU!$K$8)),MAX($Z$3:Z1049)+1,""))</f>
        <v/>
      </c>
    </row>
    <row r="1051" customFormat="false" ht="15" hidden="false" customHeight="false" outlineLevel="0" collapsed="false">
      <c r="A1051" s="36" t="str">
        <f aca="false">IF($B1051="","",COUNTA($B$4:$B1051))</f>
        <v/>
      </c>
      <c r="B1051" s="37"/>
      <c r="C1051" s="38"/>
      <c r="D1051" s="39"/>
      <c r="E1051" s="37"/>
      <c r="F1051" s="39"/>
      <c r="G1051" s="40" t="str">
        <f aca="false">IF(OR($E1051="",$F1051=""),"",$E1051&amp;" - RT "&amp;$F1051)</f>
        <v/>
      </c>
      <c r="H1051" s="37"/>
      <c r="I1051" s="38"/>
      <c r="J1051" s="37"/>
      <c r="K1051" s="39"/>
      <c r="L1051" s="41"/>
      <c r="M1051" s="36" t="str">
        <f aca="true">IF(OR($B1051="",$L1051=""),"",DATEDIF($L1051,TODAY(),"Y"))</f>
        <v/>
      </c>
      <c r="N1051" s="40" t="str">
        <f aca="false">IF($M1051="","",INDEX(usia_label,MATCH($M1051,usia_min,1)))</f>
        <v/>
      </c>
      <c r="O1051" s="37"/>
      <c r="P1051" s="41"/>
      <c r="Q1051" s="37"/>
      <c r="R1051" s="37"/>
      <c r="S1051" s="40" t="str">
        <f aca="false">IF($G1051="","",$G1051&amp;"#"&amp;COUNTIF($G$4:$G1051,$G1051))</f>
        <v/>
      </c>
      <c r="T1051" s="40" t="str">
        <f aca="false">IF($B1051="","",IF($C1051="","NIK kosong",IF(LEN($C1051)&lt;&gt;16,"NIK bukan 16 digit",IF(COUNTIF($C$4:$C$2003,$C1051&amp;"*")&gt;1,"NIK ganda",IF($E1051="","Kadus kosong",IF($F1051="","RT kosong",IF($H1051="","Jabatan kosong",IF($I1051="","No. HP kosong",IF($J1051="","Alamat kosong",IF(AND($M1051&lt;&gt;"",$M1051&lt;17),"Usia di bawah 17",""))))))))))</f>
        <v/>
      </c>
      <c r="U1051" s="40" t="str">
        <f aca="false">IF($B1051="","",IF(AND(OR(CARI!$C$5="",ISNUMBER(SEARCH(CARI!$C$5,$B1051&amp;" "&amp;$C1051&amp;" "&amp;$I1051&amp;" "&amp;$J1051&amp;" "&amp;$Q1051))),OR(CARI!$C$6="",$E1051=CARI!$C$6),OR(CARI!$C$7="",$F1051=CARI!$C$7),OR(CARI!$C$8="",$O1051=CARI!$C$8)),MAX($U$3:U1050)+1,""))</f>
        <v/>
      </c>
      <c r="V1051" s="40" t="str">
        <f aca="false">IF($T1051="","",MAX($V$3:V1050)+1)</f>
        <v/>
      </c>
      <c r="W1051" s="40" t="str">
        <f aca="false">IF($E1051="","",$E1051&amp;"#"&amp;COUNTIF($E$4:$E1051,$E1051))</f>
        <v/>
      </c>
      <c r="X1051" s="40" t="str">
        <f aca="false">IF($B1051="","",IF(AND(OR(CETAK!$J$10="",$E1051=CETAK!$J$10),OR(CETAK!$J$11="",$F1051=CETAK!$J$11),OR(CETAK!$J$12="",$K1051=CETAK!$J$12),OR(CETAK!$J$13="",$H1051=CETAK!$J$13),OR(CETAK!$J$14="",$O1051=CETAK!$J$14)),MAX($X$3:X1050)+1,""))</f>
        <v/>
      </c>
      <c r="Y1051" s="40" t="str">
        <f aca="false">IF($B1051="","",IF(AND(OR(ABSENSI!$H$10="",$E1051=ABSENSI!$H$10),OR(ABSENSI!$H$11="",$F1051=ABSENSI!$H$11),OR(ABSENSI!$H$12="",$K1051=ABSENSI!$H$12)),MAX($Y$3:Y1050)+1,""))</f>
        <v/>
      </c>
      <c r="Z1051" s="40" t="str">
        <f aca="false">IF($B1051="","",IF(AND(OR(KARTU!$K$6="",$E1051=KARTU!$K$6),OR(KARTU!$K$7="",$F1051=KARTU!$K$7),OR(KARTU!$K$8="",$K1051=KARTU!$K$8)),MAX($Z$3:Z1050)+1,""))</f>
        <v/>
      </c>
    </row>
    <row r="1052" customFormat="false" ht="15" hidden="false" customHeight="false" outlineLevel="0" collapsed="false">
      <c r="A1052" s="36" t="str">
        <f aca="false">IF($B1052="","",COUNTA($B$4:$B1052))</f>
        <v/>
      </c>
      <c r="B1052" s="37"/>
      <c r="C1052" s="38"/>
      <c r="D1052" s="39"/>
      <c r="E1052" s="37"/>
      <c r="F1052" s="39"/>
      <c r="G1052" s="40" t="str">
        <f aca="false">IF(OR($E1052="",$F1052=""),"",$E1052&amp;" - RT "&amp;$F1052)</f>
        <v/>
      </c>
      <c r="H1052" s="37"/>
      <c r="I1052" s="38"/>
      <c r="J1052" s="37"/>
      <c r="K1052" s="39"/>
      <c r="L1052" s="41"/>
      <c r="M1052" s="36" t="str">
        <f aca="true">IF(OR($B1052="",$L1052=""),"",DATEDIF($L1052,TODAY(),"Y"))</f>
        <v/>
      </c>
      <c r="N1052" s="40" t="str">
        <f aca="false">IF($M1052="","",INDEX(usia_label,MATCH($M1052,usia_min,1)))</f>
        <v/>
      </c>
      <c r="O1052" s="37"/>
      <c r="P1052" s="41"/>
      <c r="Q1052" s="37"/>
      <c r="R1052" s="37"/>
      <c r="S1052" s="40" t="str">
        <f aca="false">IF($G1052="","",$G1052&amp;"#"&amp;COUNTIF($G$4:$G1052,$G1052))</f>
        <v/>
      </c>
      <c r="T1052" s="40" t="str">
        <f aca="false">IF($B1052="","",IF($C1052="","NIK kosong",IF(LEN($C1052)&lt;&gt;16,"NIK bukan 16 digit",IF(COUNTIF($C$4:$C$2003,$C1052&amp;"*")&gt;1,"NIK ganda",IF($E1052="","Kadus kosong",IF($F1052="","RT kosong",IF($H1052="","Jabatan kosong",IF($I1052="","No. HP kosong",IF($J1052="","Alamat kosong",IF(AND($M1052&lt;&gt;"",$M1052&lt;17),"Usia di bawah 17",""))))))))))</f>
        <v/>
      </c>
      <c r="U1052" s="40" t="str">
        <f aca="false">IF($B1052="","",IF(AND(OR(CARI!$C$5="",ISNUMBER(SEARCH(CARI!$C$5,$B1052&amp;" "&amp;$C1052&amp;" "&amp;$I1052&amp;" "&amp;$J1052&amp;" "&amp;$Q1052))),OR(CARI!$C$6="",$E1052=CARI!$C$6),OR(CARI!$C$7="",$F1052=CARI!$C$7),OR(CARI!$C$8="",$O1052=CARI!$C$8)),MAX($U$3:U1051)+1,""))</f>
        <v/>
      </c>
      <c r="V1052" s="40" t="str">
        <f aca="false">IF($T1052="","",MAX($V$3:V1051)+1)</f>
        <v/>
      </c>
      <c r="W1052" s="40" t="str">
        <f aca="false">IF($E1052="","",$E1052&amp;"#"&amp;COUNTIF($E$4:$E1052,$E1052))</f>
        <v/>
      </c>
      <c r="X1052" s="40" t="str">
        <f aca="false">IF($B1052="","",IF(AND(OR(CETAK!$J$10="",$E1052=CETAK!$J$10),OR(CETAK!$J$11="",$F1052=CETAK!$J$11),OR(CETAK!$J$12="",$K1052=CETAK!$J$12),OR(CETAK!$J$13="",$H1052=CETAK!$J$13),OR(CETAK!$J$14="",$O1052=CETAK!$J$14)),MAX($X$3:X1051)+1,""))</f>
        <v/>
      </c>
      <c r="Y1052" s="40" t="str">
        <f aca="false">IF($B1052="","",IF(AND(OR(ABSENSI!$H$10="",$E1052=ABSENSI!$H$10),OR(ABSENSI!$H$11="",$F1052=ABSENSI!$H$11),OR(ABSENSI!$H$12="",$K1052=ABSENSI!$H$12)),MAX($Y$3:Y1051)+1,""))</f>
        <v/>
      </c>
      <c r="Z1052" s="40" t="str">
        <f aca="false">IF($B1052="","",IF(AND(OR(KARTU!$K$6="",$E1052=KARTU!$K$6),OR(KARTU!$K$7="",$F1052=KARTU!$K$7),OR(KARTU!$K$8="",$K1052=KARTU!$K$8)),MAX($Z$3:Z1051)+1,""))</f>
        <v/>
      </c>
    </row>
    <row r="1053" customFormat="false" ht="15" hidden="false" customHeight="false" outlineLevel="0" collapsed="false">
      <c r="A1053" s="36" t="str">
        <f aca="false">IF($B1053="","",COUNTA($B$4:$B1053))</f>
        <v/>
      </c>
      <c r="B1053" s="37"/>
      <c r="C1053" s="38"/>
      <c r="D1053" s="39"/>
      <c r="E1053" s="37"/>
      <c r="F1053" s="39"/>
      <c r="G1053" s="40" t="str">
        <f aca="false">IF(OR($E1053="",$F1053=""),"",$E1053&amp;" - RT "&amp;$F1053)</f>
        <v/>
      </c>
      <c r="H1053" s="37"/>
      <c r="I1053" s="38"/>
      <c r="J1053" s="37"/>
      <c r="K1053" s="39"/>
      <c r="L1053" s="41"/>
      <c r="M1053" s="36" t="str">
        <f aca="true">IF(OR($B1053="",$L1053=""),"",DATEDIF($L1053,TODAY(),"Y"))</f>
        <v/>
      </c>
      <c r="N1053" s="40" t="str">
        <f aca="false">IF($M1053="","",INDEX(usia_label,MATCH($M1053,usia_min,1)))</f>
        <v/>
      </c>
      <c r="O1053" s="37"/>
      <c r="P1053" s="41"/>
      <c r="Q1053" s="37"/>
      <c r="R1053" s="37"/>
      <c r="S1053" s="40" t="str">
        <f aca="false">IF($G1053="","",$G1053&amp;"#"&amp;COUNTIF($G$4:$G1053,$G1053))</f>
        <v/>
      </c>
      <c r="T1053" s="40" t="str">
        <f aca="false">IF($B1053="","",IF($C1053="","NIK kosong",IF(LEN($C1053)&lt;&gt;16,"NIK bukan 16 digit",IF(COUNTIF($C$4:$C$2003,$C1053&amp;"*")&gt;1,"NIK ganda",IF($E1053="","Kadus kosong",IF($F1053="","RT kosong",IF($H1053="","Jabatan kosong",IF($I1053="","No. HP kosong",IF($J1053="","Alamat kosong",IF(AND($M1053&lt;&gt;"",$M1053&lt;17),"Usia di bawah 17",""))))))))))</f>
        <v/>
      </c>
      <c r="U1053" s="40" t="str">
        <f aca="false">IF($B1053="","",IF(AND(OR(CARI!$C$5="",ISNUMBER(SEARCH(CARI!$C$5,$B1053&amp;" "&amp;$C1053&amp;" "&amp;$I1053&amp;" "&amp;$J1053&amp;" "&amp;$Q1053))),OR(CARI!$C$6="",$E1053=CARI!$C$6),OR(CARI!$C$7="",$F1053=CARI!$C$7),OR(CARI!$C$8="",$O1053=CARI!$C$8)),MAX($U$3:U1052)+1,""))</f>
        <v/>
      </c>
      <c r="V1053" s="40" t="str">
        <f aca="false">IF($T1053="","",MAX($V$3:V1052)+1)</f>
        <v/>
      </c>
      <c r="W1053" s="40" t="str">
        <f aca="false">IF($E1053="","",$E1053&amp;"#"&amp;COUNTIF($E$4:$E1053,$E1053))</f>
        <v/>
      </c>
      <c r="X1053" s="40" t="str">
        <f aca="false">IF($B1053="","",IF(AND(OR(CETAK!$J$10="",$E1053=CETAK!$J$10),OR(CETAK!$J$11="",$F1053=CETAK!$J$11),OR(CETAK!$J$12="",$K1053=CETAK!$J$12),OR(CETAK!$J$13="",$H1053=CETAK!$J$13),OR(CETAK!$J$14="",$O1053=CETAK!$J$14)),MAX($X$3:X1052)+1,""))</f>
        <v/>
      </c>
      <c r="Y1053" s="40" t="str">
        <f aca="false">IF($B1053="","",IF(AND(OR(ABSENSI!$H$10="",$E1053=ABSENSI!$H$10),OR(ABSENSI!$H$11="",$F1053=ABSENSI!$H$11),OR(ABSENSI!$H$12="",$K1053=ABSENSI!$H$12)),MAX($Y$3:Y1052)+1,""))</f>
        <v/>
      </c>
      <c r="Z1053" s="40" t="str">
        <f aca="false">IF($B1053="","",IF(AND(OR(KARTU!$K$6="",$E1053=KARTU!$K$6),OR(KARTU!$K$7="",$F1053=KARTU!$K$7),OR(KARTU!$K$8="",$K1053=KARTU!$K$8)),MAX($Z$3:Z1052)+1,""))</f>
        <v/>
      </c>
    </row>
    <row r="1054" customFormat="false" ht="15" hidden="false" customHeight="false" outlineLevel="0" collapsed="false">
      <c r="A1054" s="36" t="str">
        <f aca="false">IF($B1054="","",COUNTA($B$4:$B1054))</f>
        <v/>
      </c>
      <c r="B1054" s="37"/>
      <c r="C1054" s="38"/>
      <c r="D1054" s="39"/>
      <c r="E1054" s="37"/>
      <c r="F1054" s="39"/>
      <c r="G1054" s="40" t="str">
        <f aca="false">IF(OR($E1054="",$F1054=""),"",$E1054&amp;" - RT "&amp;$F1054)</f>
        <v/>
      </c>
      <c r="H1054" s="37"/>
      <c r="I1054" s="38"/>
      <c r="J1054" s="37"/>
      <c r="K1054" s="39"/>
      <c r="L1054" s="41"/>
      <c r="M1054" s="36" t="str">
        <f aca="true">IF(OR($B1054="",$L1054=""),"",DATEDIF($L1054,TODAY(),"Y"))</f>
        <v/>
      </c>
      <c r="N1054" s="40" t="str">
        <f aca="false">IF($M1054="","",INDEX(usia_label,MATCH($M1054,usia_min,1)))</f>
        <v/>
      </c>
      <c r="O1054" s="37"/>
      <c r="P1054" s="41"/>
      <c r="Q1054" s="37"/>
      <c r="R1054" s="37"/>
      <c r="S1054" s="40" t="str">
        <f aca="false">IF($G1054="","",$G1054&amp;"#"&amp;COUNTIF($G$4:$G1054,$G1054))</f>
        <v/>
      </c>
      <c r="T1054" s="40" t="str">
        <f aca="false">IF($B1054="","",IF($C1054="","NIK kosong",IF(LEN($C1054)&lt;&gt;16,"NIK bukan 16 digit",IF(COUNTIF($C$4:$C$2003,$C1054&amp;"*")&gt;1,"NIK ganda",IF($E1054="","Kadus kosong",IF($F1054="","RT kosong",IF($H1054="","Jabatan kosong",IF($I1054="","No. HP kosong",IF($J1054="","Alamat kosong",IF(AND($M1054&lt;&gt;"",$M1054&lt;17),"Usia di bawah 17",""))))))))))</f>
        <v/>
      </c>
      <c r="U1054" s="40" t="str">
        <f aca="false">IF($B1054="","",IF(AND(OR(CARI!$C$5="",ISNUMBER(SEARCH(CARI!$C$5,$B1054&amp;" "&amp;$C1054&amp;" "&amp;$I1054&amp;" "&amp;$J1054&amp;" "&amp;$Q1054))),OR(CARI!$C$6="",$E1054=CARI!$C$6),OR(CARI!$C$7="",$F1054=CARI!$C$7),OR(CARI!$C$8="",$O1054=CARI!$C$8)),MAX($U$3:U1053)+1,""))</f>
        <v/>
      </c>
      <c r="V1054" s="40" t="str">
        <f aca="false">IF($T1054="","",MAX($V$3:V1053)+1)</f>
        <v/>
      </c>
      <c r="W1054" s="40" t="str">
        <f aca="false">IF($E1054="","",$E1054&amp;"#"&amp;COUNTIF($E$4:$E1054,$E1054))</f>
        <v/>
      </c>
      <c r="X1054" s="40" t="str">
        <f aca="false">IF($B1054="","",IF(AND(OR(CETAK!$J$10="",$E1054=CETAK!$J$10),OR(CETAK!$J$11="",$F1054=CETAK!$J$11),OR(CETAK!$J$12="",$K1054=CETAK!$J$12),OR(CETAK!$J$13="",$H1054=CETAK!$J$13),OR(CETAK!$J$14="",$O1054=CETAK!$J$14)),MAX($X$3:X1053)+1,""))</f>
        <v/>
      </c>
      <c r="Y1054" s="40" t="str">
        <f aca="false">IF($B1054="","",IF(AND(OR(ABSENSI!$H$10="",$E1054=ABSENSI!$H$10),OR(ABSENSI!$H$11="",$F1054=ABSENSI!$H$11),OR(ABSENSI!$H$12="",$K1054=ABSENSI!$H$12)),MAX($Y$3:Y1053)+1,""))</f>
        <v/>
      </c>
      <c r="Z1054" s="40" t="str">
        <f aca="false">IF($B1054="","",IF(AND(OR(KARTU!$K$6="",$E1054=KARTU!$K$6),OR(KARTU!$K$7="",$F1054=KARTU!$K$7),OR(KARTU!$K$8="",$K1054=KARTU!$K$8)),MAX($Z$3:Z1053)+1,""))</f>
        <v/>
      </c>
    </row>
    <row r="1055" customFormat="false" ht="15" hidden="false" customHeight="false" outlineLevel="0" collapsed="false">
      <c r="A1055" s="36" t="str">
        <f aca="false">IF($B1055="","",COUNTA($B$4:$B1055))</f>
        <v/>
      </c>
      <c r="B1055" s="37"/>
      <c r="C1055" s="38"/>
      <c r="D1055" s="39"/>
      <c r="E1055" s="37"/>
      <c r="F1055" s="39"/>
      <c r="G1055" s="40" t="str">
        <f aca="false">IF(OR($E1055="",$F1055=""),"",$E1055&amp;" - RT "&amp;$F1055)</f>
        <v/>
      </c>
      <c r="H1055" s="37"/>
      <c r="I1055" s="38"/>
      <c r="J1055" s="37"/>
      <c r="K1055" s="39"/>
      <c r="L1055" s="41"/>
      <c r="M1055" s="36" t="str">
        <f aca="true">IF(OR($B1055="",$L1055=""),"",DATEDIF($L1055,TODAY(),"Y"))</f>
        <v/>
      </c>
      <c r="N1055" s="40" t="str">
        <f aca="false">IF($M1055="","",INDEX(usia_label,MATCH($M1055,usia_min,1)))</f>
        <v/>
      </c>
      <c r="O1055" s="37"/>
      <c r="P1055" s="41"/>
      <c r="Q1055" s="37"/>
      <c r="R1055" s="37"/>
      <c r="S1055" s="40" t="str">
        <f aca="false">IF($G1055="","",$G1055&amp;"#"&amp;COUNTIF($G$4:$G1055,$G1055))</f>
        <v/>
      </c>
      <c r="T1055" s="40" t="str">
        <f aca="false">IF($B1055="","",IF($C1055="","NIK kosong",IF(LEN($C1055)&lt;&gt;16,"NIK bukan 16 digit",IF(COUNTIF($C$4:$C$2003,$C1055&amp;"*")&gt;1,"NIK ganda",IF($E1055="","Kadus kosong",IF($F1055="","RT kosong",IF($H1055="","Jabatan kosong",IF($I1055="","No. HP kosong",IF($J1055="","Alamat kosong",IF(AND($M1055&lt;&gt;"",$M1055&lt;17),"Usia di bawah 17",""))))))))))</f>
        <v/>
      </c>
      <c r="U1055" s="40" t="str">
        <f aca="false">IF($B1055="","",IF(AND(OR(CARI!$C$5="",ISNUMBER(SEARCH(CARI!$C$5,$B1055&amp;" "&amp;$C1055&amp;" "&amp;$I1055&amp;" "&amp;$J1055&amp;" "&amp;$Q1055))),OR(CARI!$C$6="",$E1055=CARI!$C$6),OR(CARI!$C$7="",$F1055=CARI!$C$7),OR(CARI!$C$8="",$O1055=CARI!$C$8)),MAX($U$3:U1054)+1,""))</f>
        <v/>
      </c>
      <c r="V1055" s="40" t="str">
        <f aca="false">IF($T1055="","",MAX($V$3:V1054)+1)</f>
        <v/>
      </c>
      <c r="W1055" s="40" t="str">
        <f aca="false">IF($E1055="","",$E1055&amp;"#"&amp;COUNTIF($E$4:$E1055,$E1055))</f>
        <v/>
      </c>
      <c r="X1055" s="40" t="str">
        <f aca="false">IF($B1055="","",IF(AND(OR(CETAK!$J$10="",$E1055=CETAK!$J$10),OR(CETAK!$J$11="",$F1055=CETAK!$J$11),OR(CETAK!$J$12="",$K1055=CETAK!$J$12),OR(CETAK!$J$13="",$H1055=CETAK!$J$13),OR(CETAK!$J$14="",$O1055=CETAK!$J$14)),MAX($X$3:X1054)+1,""))</f>
        <v/>
      </c>
      <c r="Y1055" s="40" t="str">
        <f aca="false">IF($B1055="","",IF(AND(OR(ABSENSI!$H$10="",$E1055=ABSENSI!$H$10),OR(ABSENSI!$H$11="",$F1055=ABSENSI!$H$11),OR(ABSENSI!$H$12="",$K1055=ABSENSI!$H$12)),MAX($Y$3:Y1054)+1,""))</f>
        <v/>
      </c>
      <c r="Z1055" s="40" t="str">
        <f aca="false">IF($B1055="","",IF(AND(OR(KARTU!$K$6="",$E1055=KARTU!$K$6),OR(KARTU!$K$7="",$F1055=KARTU!$K$7),OR(KARTU!$K$8="",$K1055=KARTU!$K$8)),MAX($Z$3:Z1054)+1,""))</f>
        <v/>
      </c>
    </row>
    <row r="1056" customFormat="false" ht="15" hidden="false" customHeight="false" outlineLevel="0" collapsed="false">
      <c r="A1056" s="36" t="str">
        <f aca="false">IF($B1056="","",COUNTA($B$4:$B1056))</f>
        <v/>
      </c>
      <c r="B1056" s="37"/>
      <c r="C1056" s="38"/>
      <c r="D1056" s="39"/>
      <c r="E1056" s="37"/>
      <c r="F1056" s="39"/>
      <c r="G1056" s="40" t="str">
        <f aca="false">IF(OR($E1056="",$F1056=""),"",$E1056&amp;" - RT "&amp;$F1056)</f>
        <v/>
      </c>
      <c r="H1056" s="37"/>
      <c r="I1056" s="38"/>
      <c r="J1056" s="37"/>
      <c r="K1056" s="39"/>
      <c r="L1056" s="41"/>
      <c r="M1056" s="36" t="str">
        <f aca="true">IF(OR($B1056="",$L1056=""),"",DATEDIF($L1056,TODAY(),"Y"))</f>
        <v/>
      </c>
      <c r="N1056" s="40" t="str">
        <f aca="false">IF($M1056="","",INDEX(usia_label,MATCH($M1056,usia_min,1)))</f>
        <v/>
      </c>
      <c r="O1056" s="37"/>
      <c r="P1056" s="41"/>
      <c r="Q1056" s="37"/>
      <c r="R1056" s="37"/>
      <c r="S1056" s="40" t="str">
        <f aca="false">IF($G1056="","",$G1056&amp;"#"&amp;COUNTIF($G$4:$G1056,$G1056))</f>
        <v/>
      </c>
      <c r="T1056" s="40" t="str">
        <f aca="false">IF($B1056="","",IF($C1056="","NIK kosong",IF(LEN($C1056)&lt;&gt;16,"NIK bukan 16 digit",IF(COUNTIF($C$4:$C$2003,$C1056&amp;"*")&gt;1,"NIK ganda",IF($E1056="","Kadus kosong",IF($F1056="","RT kosong",IF($H1056="","Jabatan kosong",IF($I1056="","No. HP kosong",IF($J1056="","Alamat kosong",IF(AND($M1056&lt;&gt;"",$M1056&lt;17),"Usia di bawah 17",""))))))))))</f>
        <v/>
      </c>
      <c r="U1056" s="40" t="str">
        <f aca="false">IF($B1056="","",IF(AND(OR(CARI!$C$5="",ISNUMBER(SEARCH(CARI!$C$5,$B1056&amp;" "&amp;$C1056&amp;" "&amp;$I1056&amp;" "&amp;$J1056&amp;" "&amp;$Q1056))),OR(CARI!$C$6="",$E1056=CARI!$C$6),OR(CARI!$C$7="",$F1056=CARI!$C$7),OR(CARI!$C$8="",$O1056=CARI!$C$8)),MAX($U$3:U1055)+1,""))</f>
        <v/>
      </c>
      <c r="V1056" s="40" t="str">
        <f aca="false">IF($T1056="","",MAX($V$3:V1055)+1)</f>
        <v/>
      </c>
      <c r="W1056" s="40" t="str">
        <f aca="false">IF($E1056="","",$E1056&amp;"#"&amp;COUNTIF($E$4:$E1056,$E1056))</f>
        <v/>
      </c>
      <c r="X1056" s="40" t="str">
        <f aca="false">IF($B1056="","",IF(AND(OR(CETAK!$J$10="",$E1056=CETAK!$J$10),OR(CETAK!$J$11="",$F1056=CETAK!$J$11),OR(CETAK!$J$12="",$K1056=CETAK!$J$12),OR(CETAK!$J$13="",$H1056=CETAK!$J$13),OR(CETAK!$J$14="",$O1056=CETAK!$J$14)),MAX($X$3:X1055)+1,""))</f>
        <v/>
      </c>
      <c r="Y1056" s="40" t="str">
        <f aca="false">IF($B1056="","",IF(AND(OR(ABSENSI!$H$10="",$E1056=ABSENSI!$H$10),OR(ABSENSI!$H$11="",$F1056=ABSENSI!$H$11),OR(ABSENSI!$H$12="",$K1056=ABSENSI!$H$12)),MAX($Y$3:Y1055)+1,""))</f>
        <v/>
      </c>
      <c r="Z1056" s="40" t="str">
        <f aca="false">IF($B1056="","",IF(AND(OR(KARTU!$K$6="",$E1056=KARTU!$K$6),OR(KARTU!$K$7="",$F1056=KARTU!$K$7),OR(KARTU!$K$8="",$K1056=KARTU!$K$8)),MAX($Z$3:Z1055)+1,""))</f>
        <v/>
      </c>
    </row>
    <row r="1057" customFormat="false" ht="15" hidden="false" customHeight="false" outlineLevel="0" collapsed="false">
      <c r="A1057" s="36" t="str">
        <f aca="false">IF($B1057="","",COUNTA($B$4:$B1057))</f>
        <v/>
      </c>
      <c r="B1057" s="37"/>
      <c r="C1057" s="38"/>
      <c r="D1057" s="39"/>
      <c r="E1057" s="37"/>
      <c r="F1057" s="39"/>
      <c r="G1057" s="40" t="str">
        <f aca="false">IF(OR($E1057="",$F1057=""),"",$E1057&amp;" - RT "&amp;$F1057)</f>
        <v/>
      </c>
      <c r="H1057" s="37"/>
      <c r="I1057" s="38"/>
      <c r="J1057" s="37"/>
      <c r="K1057" s="39"/>
      <c r="L1057" s="41"/>
      <c r="M1057" s="36" t="str">
        <f aca="true">IF(OR($B1057="",$L1057=""),"",DATEDIF($L1057,TODAY(),"Y"))</f>
        <v/>
      </c>
      <c r="N1057" s="40" t="str">
        <f aca="false">IF($M1057="","",INDEX(usia_label,MATCH($M1057,usia_min,1)))</f>
        <v/>
      </c>
      <c r="O1057" s="37"/>
      <c r="P1057" s="41"/>
      <c r="Q1057" s="37"/>
      <c r="R1057" s="37"/>
      <c r="S1057" s="40" t="str">
        <f aca="false">IF($G1057="","",$G1057&amp;"#"&amp;COUNTIF($G$4:$G1057,$G1057))</f>
        <v/>
      </c>
      <c r="T1057" s="40" t="str">
        <f aca="false">IF($B1057="","",IF($C1057="","NIK kosong",IF(LEN($C1057)&lt;&gt;16,"NIK bukan 16 digit",IF(COUNTIF($C$4:$C$2003,$C1057&amp;"*")&gt;1,"NIK ganda",IF($E1057="","Kadus kosong",IF($F1057="","RT kosong",IF($H1057="","Jabatan kosong",IF($I1057="","No. HP kosong",IF($J1057="","Alamat kosong",IF(AND($M1057&lt;&gt;"",$M1057&lt;17),"Usia di bawah 17",""))))))))))</f>
        <v/>
      </c>
      <c r="U1057" s="40" t="str">
        <f aca="false">IF($B1057="","",IF(AND(OR(CARI!$C$5="",ISNUMBER(SEARCH(CARI!$C$5,$B1057&amp;" "&amp;$C1057&amp;" "&amp;$I1057&amp;" "&amp;$J1057&amp;" "&amp;$Q1057))),OR(CARI!$C$6="",$E1057=CARI!$C$6),OR(CARI!$C$7="",$F1057=CARI!$C$7),OR(CARI!$C$8="",$O1057=CARI!$C$8)),MAX($U$3:U1056)+1,""))</f>
        <v/>
      </c>
      <c r="V1057" s="40" t="str">
        <f aca="false">IF($T1057="","",MAX($V$3:V1056)+1)</f>
        <v/>
      </c>
      <c r="W1057" s="40" t="str">
        <f aca="false">IF($E1057="","",$E1057&amp;"#"&amp;COUNTIF($E$4:$E1057,$E1057))</f>
        <v/>
      </c>
      <c r="X1057" s="40" t="str">
        <f aca="false">IF($B1057="","",IF(AND(OR(CETAK!$J$10="",$E1057=CETAK!$J$10),OR(CETAK!$J$11="",$F1057=CETAK!$J$11),OR(CETAK!$J$12="",$K1057=CETAK!$J$12),OR(CETAK!$J$13="",$H1057=CETAK!$J$13),OR(CETAK!$J$14="",$O1057=CETAK!$J$14)),MAX($X$3:X1056)+1,""))</f>
        <v/>
      </c>
      <c r="Y1057" s="40" t="str">
        <f aca="false">IF($B1057="","",IF(AND(OR(ABSENSI!$H$10="",$E1057=ABSENSI!$H$10),OR(ABSENSI!$H$11="",$F1057=ABSENSI!$H$11),OR(ABSENSI!$H$12="",$K1057=ABSENSI!$H$12)),MAX($Y$3:Y1056)+1,""))</f>
        <v/>
      </c>
      <c r="Z1057" s="40" t="str">
        <f aca="false">IF($B1057="","",IF(AND(OR(KARTU!$K$6="",$E1057=KARTU!$K$6),OR(KARTU!$K$7="",$F1057=KARTU!$K$7),OR(KARTU!$K$8="",$K1057=KARTU!$K$8)),MAX($Z$3:Z1056)+1,""))</f>
        <v/>
      </c>
    </row>
    <row r="1058" customFormat="false" ht="15" hidden="false" customHeight="false" outlineLevel="0" collapsed="false">
      <c r="A1058" s="36" t="str">
        <f aca="false">IF($B1058="","",COUNTA($B$4:$B1058))</f>
        <v/>
      </c>
      <c r="B1058" s="37"/>
      <c r="C1058" s="38"/>
      <c r="D1058" s="39"/>
      <c r="E1058" s="37"/>
      <c r="F1058" s="39"/>
      <c r="G1058" s="40" t="str">
        <f aca="false">IF(OR($E1058="",$F1058=""),"",$E1058&amp;" - RT "&amp;$F1058)</f>
        <v/>
      </c>
      <c r="H1058" s="37"/>
      <c r="I1058" s="38"/>
      <c r="J1058" s="37"/>
      <c r="K1058" s="39"/>
      <c r="L1058" s="41"/>
      <c r="M1058" s="36" t="str">
        <f aca="true">IF(OR($B1058="",$L1058=""),"",DATEDIF($L1058,TODAY(),"Y"))</f>
        <v/>
      </c>
      <c r="N1058" s="40" t="str">
        <f aca="false">IF($M1058="","",INDEX(usia_label,MATCH($M1058,usia_min,1)))</f>
        <v/>
      </c>
      <c r="O1058" s="37"/>
      <c r="P1058" s="41"/>
      <c r="Q1058" s="37"/>
      <c r="R1058" s="37"/>
      <c r="S1058" s="40" t="str">
        <f aca="false">IF($G1058="","",$G1058&amp;"#"&amp;COUNTIF($G$4:$G1058,$G1058))</f>
        <v/>
      </c>
      <c r="T1058" s="40" t="str">
        <f aca="false">IF($B1058="","",IF($C1058="","NIK kosong",IF(LEN($C1058)&lt;&gt;16,"NIK bukan 16 digit",IF(COUNTIF($C$4:$C$2003,$C1058&amp;"*")&gt;1,"NIK ganda",IF($E1058="","Kadus kosong",IF($F1058="","RT kosong",IF($H1058="","Jabatan kosong",IF($I1058="","No. HP kosong",IF($J1058="","Alamat kosong",IF(AND($M1058&lt;&gt;"",$M1058&lt;17),"Usia di bawah 17",""))))))))))</f>
        <v/>
      </c>
      <c r="U1058" s="40" t="str">
        <f aca="false">IF($B1058="","",IF(AND(OR(CARI!$C$5="",ISNUMBER(SEARCH(CARI!$C$5,$B1058&amp;" "&amp;$C1058&amp;" "&amp;$I1058&amp;" "&amp;$J1058&amp;" "&amp;$Q1058))),OR(CARI!$C$6="",$E1058=CARI!$C$6),OR(CARI!$C$7="",$F1058=CARI!$C$7),OR(CARI!$C$8="",$O1058=CARI!$C$8)),MAX($U$3:U1057)+1,""))</f>
        <v/>
      </c>
      <c r="V1058" s="40" t="str">
        <f aca="false">IF($T1058="","",MAX($V$3:V1057)+1)</f>
        <v/>
      </c>
      <c r="W1058" s="40" t="str">
        <f aca="false">IF($E1058="","",$E1058&amp;"#"&amp;COUNTIF($E$4:$E1058,$E1058))</f>
        <v/>
      </c>
      <c r="X1058" s="40" t="str">
        <f aca="false">IF($B1058="","",IF(AND(OR(CETAK!$J$10="",$E1058=CETAK!$J$10),OR(CETAK!$J$11="",$F1058=CETAK!$J$11),OR(CETAK!$J$12="",$K1058=CETAK!$J$12),OR(CETAK!$J$13="",$H1058=CETAK!$J$13),OR(CETAK!$J$14="",$O1058=CETAK!$J$14)),MAX($X$3:X1057)+1,""))</f>
        <v/>
      </c>
      <c r="Y1058" s="40" t="str">
        <f aca="false">IF($B1058="","",IF(AND(OR(ABSENSI!$H$10="",$E1058=ABSENSI!$H$10),OR(ABSENSI!$H$11="",$F1058=ABSENSI!$H$11),OR(ABSENSI!$H$12="",$K1058=ABSENSI!$H$12)),MAX($Y$3:Y1057)+1,""))</f>
        <v/>
      </c>
      <c r="Z1058" s="40" t="str">
        <f aca="false">IF($B1058="","",IF(AND(OR(KARTU!$K$6="",$E1058=KARTU!$K$6),OR(KARTU!$K$7="",$F1058=KARTU!$K$7),OR(KARTU!$K$8="",$K1058=KARTU!$K$8)),MAX($Z$3:Z1057)+1,""))</f>
        <v/>
      </c>
    </row>
    <row r="1059" customFormat="false" ht="15" hidden="false" customHeight="false" outlineLevel="0" collapsed="false">
      <c r="A1059" s="36" t="str">
        <f aca="false">IF($B1059="","",COUNTA($B$4:$B1059))</f>
        <v/>
      </c>
      <c r="B1059" s="37"/>
      <c r="C1059" s="38"/>
      <c r="D1059" s="39"/>
      <c r="E1059" s="37"/>
      <c r="F1059" s="39"/>
      <c r="G1059" s="40" t="str">
        <f aca="false">IF(OR($E1059="",$F1059=""),"",$E1059&amp;" - RT "&amp;$F1059)</f>
        <v/>
      </c>
      <c r="H1059" s="37"/>
      <c r="I1059" s="38"/>
      <c r="J1059" s="37"/>
      <c r="K1059" s="39"/>
      <c r="L1059" s="41"/>
      <c r="M1059" s="36" t="str">
        <f aca="true">IF(OR($B1059="",$L1059=""),"",DATEDIF($L1059,TODAY(),"Y"))</f>
        <v/>
      </c>
      <c r="N1059" s="40" t="str">
        <f aca="false">IF($M1059="","",INDEX(usia_label,MATCH($M1059,usia_min,1)))</f>
        <v/>
      </c>
      <c r="O1059" s="37"/>
      <c r="P1059" s="41"/>
      <c r="Q1059" s="37"/>
      <c r="R1059" s="37"/>
      <c r="S1059" s="40" t="str">
        <f aca="false">IF($G1059="","",$G1059&amp;"#"&amp;COUNTIF($G$4:$G1059,$G1059))</f>
        <v/>
      </c>
      <c r="T1059" s="40" t="str">
        <f aca="false">IF($B1059="","",IF($C1059="","NIK kosong",IF(LEN($C1059)&lt;&gt;16,"NIK bukan 16 digit",IF(COUNTIF($C$4:$C$2003,$C1059&amp;"*")&gt;1,"NIK ganda",IF($E1059="","Kadus kosong",IF($F1059="","RT kosong",IF($H1059="","Jabatan kosong",IF($I1059="","No. HP kosong",IF($J1059="","Alamat kosong",IF(AND($M1059&lt;&gt;"",$M1059&lt;17),"Usia di bawah 17",""))))))))))</f>
        <v/>
      </c>
      <c r="U1059" s="40" t="str">
        <f aca="false">IF($B1059="","",IF(AND(OR(CARI!$C$5="",ISNUMBER(SEARCH(CARI!$C$5,$B1059&amp;" "&amp;$C1059&amp;" "&amp;$I1059&amp;" "&amp;$J1059&amp;" "&amp;$Q1059))),OR(CARI!$C$6="",$E1059=CARI!$C$6),OR(CARI!$C$7="",$F1059=CARI!$C$7),OR(CARI!$C$8="",$O1059=CARI!$C$8)),MAX($U$3:U1058)+1,""))</f>
        <v/>
      </c>
      <c r="V1059" s="40" t="str">
        <f aca="false">IF($T1059="","",MAX($V$3:V1058)+1)</f>
        <v/>
      </c>
      <c r="W1059" s="40" t="str">
        <f aca="false">IF($E1059="","",$E1059&amp;"#"&amp;COUNTIF($E$4:$E1059,$E1059))</f>
        <v/>
      </c>
      <c r="X1059" s="40" t="str">
        <f aca="false">IF($B1059="","",IF(AND(OR(CETAK!$J$10="",$E1059=CETAK!$J$10),OR(CETAK!$J$11="",$F1059=CETAK!$J$11),OR(CETAK!$J$12="",$K1059=CETAK!$J$12),OR(CETAK!$J$13="",$H1059=CETAK!$J$13),OR(CETAK!$J$14="",$O1059=CETAK!$J$14)),MAX($X$3:X1058)+1,""))</f>
        <v/>
      </c>
      <c r="Y1059" s="40" t="str">
        <f aca="false">IF($B1059="","",IF(AND(OR(ABSENSI!$H$10="",$E1059=ABSENSI!$H$10),OR(ABSENSI!$H$11="",$F1059=ABSENSI!$H$11),OR(ABSENSI!$H$12="",$K1059=ABSENSI!$H$12)),MAX($Y$3:Y1058)+1,""))</f>
        <v/>
      </c>
      <c r="Z1059" s="40" t="str">
        <f aca="false">IF($B1059="","",IF(AND(OR(KARTU!$K$6="",$E1059=KARTU!$K$6),OR(KARTU!$K$7="",$F1059=KARTU!$K$7),OR(KARTU!$K$8="",$K1059=KARTU!$K$8)),MAX($Z$3:Z1058)+1,""))</f>
        <v/>
      </c>
    </row>
    <row r="1060" customFormat="false" ht="15" hidden="false" customHeight="false" outlineLevel="0" collapsed="false">
      <c r="A1060" s="36" t="str">
        <f aca="false">IF($B1060="","",COUNTA($B$4:$B1060))</f>
        <v/>
      </c>
      <c r="B1060" s="37"/>
      <c r="C1060" s="38"/>
      <c r="D1060" s="39"/>
      <c r="E1060" s="37"/>
      <c r="F1060" s="39"/>
      <c r="G1060" s="40" t="str">
        <f aca="false">IF(OR($E1060="",$F1060=""),"",$E1060&amp;" - RT "&amp;$F1060)</f>
        <v/>
      </c>
      <c r="H1060" s="37"/>
      <c r="I1060" s="38"/>
      <c r="J1060" s="37"/>
      <c r="K1060" s="39"/>
      <c r="L1060" s="41"/>
      <c r="M1060" s="36" t="str">
        <f aca="true">IF(OR($B1060="",$L1060=""),"",DATEDIF($L1060,TODAY(),"Y"))</f>
        <v/>
      </c>
      <c r="N1060" s="40" t="str">
        <f aca="false">IF($M1060="","",INDEX(usia_label,MATCH($M1060,usia_min,1)))</f>
        <v/>
      </c>
      <c r="O1060" s="37"/>
      <c r="P1060" s="41"/>
      <c r="Q1060" s="37"/>
      <c r="R1060" s="37"/>
      <c r="S1060" s="40" t="str">
        <f aca="false">IF($G1060="","",$G1060&amp;"#"&amp;COUNTIF($G$4:$G1060,$G1060))</f>
        <v/>
      </c>
      <c r="T1060" s="40" t="str">
        <f aca="false">IF($B1060="","",IF($C1060="","NIK kosong",IF(LEN($C1060)&lt;&gt;16,"NIK bukan 16 digit",IF(COUNTIF($C$4:$C$2003,$C1060&amp;"*")&gt;1,"NIK ganda",IF($E1060="","Kadus kosong",IF($F1060="","RT kosong",IF($H1060="","Jabatan kosong",IF($I1060="","No. HP kosong",IF($J1060="","Alamat kosong",IF(AND($M1060&lt;&gt;"",$M1060&lt;17),"Usia di bawah 17",""))))))))))</f>
        <v/>
      </c>
      <c r="U1060" s="40" t="str">
        <f aca="false">IF($B1060="","",IF(AND(OR(CARI!$C$5="",ISNUMBER(SEARCH(CARI!$C$5,$B1060&amp;" "&amp;$C1060&amp;" "&amp;$I1060&amp;" "&amp;$J1060&amp;" "&amp;$Q1060))),OR(CARI!$C$6="",$E1060=CARI!$C$6),OR(CARI!$C$7="",$F1060=CARI!$C$7),OR(CARI!$C$8="",$O1060=CARI!$C$8)),MAX($U$3:U1059)+1,""))</f>
        <v/>
      </c>
      <c r="V1060" s="40" t="str">
        <f aca="false">IF($T1060="","",MAX($V$3:V1059)+1)</f>
        <v/>
      </c>
      <c r="W1060" s="40" t="str">
        <f aca="false">IF($E1060="","",$E1060&amp;"#"&amp;COUNTIF($E$4:$E1060,$E1060))</f>
        <v/>
      </c>
      <c r="X1060" s="40" t="str">
        <f aca="false">IF($B1060="","",IF(AND(OR(CETAK!$J$10="",$E1060=CETAK!$J$10),OR(CETAK!$J$11="",$F1060=CETAK!$J$11),OR(CETAK!$J$12="",$K1060=CETAK!$J$12),OR(CETAK!$J$13="",$H1060=CETAK!$J$13),OR(CETAK!$J$14="",$O1060=CETAK!$J$14)),MAX($X$3:X1059)+1,""))</f>
        <v/>
      </c>
      <c r="Y1060" s="40" t="str">
        <f aca="false">IF($B1060="","",IF(AND(OR(ABSENSI!$H$10="",$E1060=ABSENSI!$H$10),OR(ABSENSI!$H$11="",$F1060=ABSENSI!$H$11),OR(ABSENSI!$H$12="",$K1060=ABSENSI!$H$12)),MAX($Y$3:Y1059)+1,""))</f>
        <v/>
      </c>
      <c r="Z1060" s="40" t="str">
        <f aca="false">IF($B1060="","",IF(AND(OR(KARTU!$K$6="",$E1060=KARTU!$K$6),OR(KARTU!$K$7="",$F1060=KARTU!$K$7),OR(KARTU!$K$8="",$K1060=KARTU!$K$8)),MAX($Z$3:Z1059)+1,""))</f>
        <v/>
      </c>
    </row>
    <row r="1061" customFormat="false" ht="15" hidden="false" customHeight="false" outlineLevel="0" collapsed="false">
      <c r="A1061" s="36" t="str">
        <f aca="false">IF($B1061="","",COUNTA($B$4:$B1061))</f>
        <v/>
      </c>
      <c r="B1061" s="37"/>
      <c r="C1061" s="38"/>
      <c r="D1061" s="39"/>
      <c r="E1061" s="37"/>
      <c r="F1061" s="39"/>
      <c r="G1061" s="40" t="str">
        <f aca="false">IF(OR($E1061="",$F1061=""),"",$E1061&amp;" - RT "&amp;$F1061)</f>
        <v/>
      </c>
      <c r="H1061" s="37"/>
      <c r="I1061" s="38"/>
      <c r="J1061" s="37"/>
      <c r="K1061" s="39"/>
      <c r="L1061" s="41"/>
      <c r="M1061" s="36" t="str">
        <f aca="true">IF(OR($B1061="",$L1061=""),"",DATEDIF($L1061,TODAY(),"Y"))</f>
        <v/>
      </c>
      <c r="N1061" s="40" t="str">
        <f aca="false">IF($M1061="","",INDEX(usia_label,MATCH($M1061,usia_min,1)))</f>
        <v/>
      </c>
      <c r="O1061" s="37"/>
      <c r="P1061" s="41"/>
      <c r="Q1061" s="37"/>
      <c r="R1061" s="37"/>
      <c r="S1061" s="40" t="str">
        <f aca="false">IF($G1061="","",$G1061&amp;"#"&amp;COUNTIF($G$4:$G1061,$G1061))</f>
        <v/>
      </c>
      <c r="T1061" s="40" t="str">
        <f aca="false">IF($B1061="","",IF($C1061="","NIK kosong",IF(LEN($C1061)&lt;&gt;16,"NIK bukan 16 digit",IF(COUNTIF($C$4:$C$2003,$C1061&amp;"*")&gt;1,"NIK ganda",IF($E1061="","Kadus kosong",IF($F1061="","RT kosong",IF($H1061="","Jabatan kosong",IF($I1061="","No. HP kosong",IF($J1061="","Alamat kosong",IF(AND($M1061&lt;&gt;"",$M1061&lt;17),"Usia di bawah 17",""))))))))))</f>
        <v/>
      </c>
      <c r="U1061" s="40" t="str">
        <f aca="false">IF($B1061="","",IF(AND(OR(CARI!$C$5="",ISNUMBER(SEARCH(CARI!$C$5,$B1061&amp;" "&amp;$C1061&amp;" "&amp;$I1061&amp;" "&amp;$J1061&amp;" "&amp;$Q1061))),OR(CARI!$C$6="",$E1061=CARI!$C$6),OR(CARI!$C$7="",$F1061=CARI!$C$7),OR(CARI!$C$8="",$O1061=CARI!$C$8)),MAX($U$3:U1060)+1,""))</f>
        <v/>
      </c>
      <c r="V1061" s="40" t="str">
        <f aca="false">IF($T1061="","",MAX($V$3:V1060)+1)</f>
        <v/>
      </c>
      <c r="W1061" s="40" t="str">
        <f aca="false">IF($E1061="","",$E1061&amp;"#"&amp;COUNTIF($E$4:$E1061,$E1061))</f>
        <v/>
      </c>
      <c r="X1061" s="40" t="str">
        <f aca="false">IF($B1061="","",IF(AND(OR(CETAK!$J$10="",$E1061=CETAK!$J$10),OR(CETAK!$J$11="",$F1061=CETAK!$J$11),OR(CETAK!$J$12="",$K1061=CETAK!$J$12),OR(CETAK!$J$13="",$H1061=CETAK!$J$13),OR(CETAK!$J$14="",$O1061=CETAK!$J$14)),MAX($X$3:X1060)+1,""))</f>
        <v/>
      </c>
      <c r="Y1061" s="40" t="str">
        <f aca="false">IF($B1061="","",IF(AND(OR(ABSENSI!$H$10="",$E1061=ABSENSI!$H$10),OR(ABSENSI!$H$11="",$F1061=ABSENSI!$H$11),OR(ABSENSI!$H$12="",$K1061=ABSENSI!$H$12)),MAX($Y$3:Y1060)+1,""))</f>
        <v/>
      </c>
      <c r="Z1061" s="40" t="str">
        <f aca="false">IF($B1061="","",IF(AND(OR(KARTU!$K$6="",$E1061=KARTU!$K$6),OR(KARTU!$K$7="",$F1061=KARTU!$K$7),OR(KARTU!$K$8="",$K1061=KARTU!$K$8)),MAX($Z$3:Z1060)+1,""))</f>
        <v/>
      </c>
    </row>
    <row r="1062" customFormat="false" ht="15" hidden="false" customHeight="false" outlineLevel="0" collapsed="false">
      <c r="A1062" s="36" t="str">
        <f aca="false">IF($B1062="","",COUNTA($B$4:$B1062))</f>
        <v/>
      </c>
      <c r="B1062" s="37"/>
      <c r="C1062" s="38"/>
      <c r="D1062" s="39"/>
      <c r="E1062" s="37"/>
      <c r="F1062" s="39"/>
      <c r="G1062" s="40" t="str">
        <f aca="false">IF(OR($E1062="",$F1062=""),"",$E1062&amp;" - RT "&amp;$F1062)</f>
        <v/>
      </c>
      <c r="H1062" s="37"/>
      <c r="I1062" s="38"/>
      <c r="J1062" s="37"/>
      <c r="K1062" s="39"/>
      <c r="L1062" s="41"/>
      <c r="M1062" s="36" t="str">
        <f aca="true">IF(OR($B1062="",$L1062=""),"",DATEDIF($L1062,TODAY(),"Y"))</f>
        <v/>
      </c>
      <c r="N1062" s="40" t="str">
        <f aca="false">IF($M1062="","",INDEX(usia_label,MATCH($M1062,usia_min,1)))</f>
        <v/>
      </c>
      <c r="O1062" s="37"/>
      <c r="P1062" s="41"/>
      <c r="Q1062" s="37"/>
      <c r="R1062" s="37"/>
      <c r="S1062" s="40" t="str">
        <f aca="false">IF($G1062="","",$G1062&amp;"#"&amp;COUNTIF($G$4:$G1062,$G1062))</f>
        <v/>
      </c>
      <c r="T1062" s="40" t="str">
        <f aca="false">IF($B1062="","",IF($C1062="","NIK kosong",IF(LEN($C1062)&lt;&gt;16,"NIK bukan 16 digit",IF(COUNTIF($C$4:$C$2003,$C1062&amp;"*")&gt;1,"NIK ganda",IF($E1062="","Kadus kosong",IF($F1062="","RT kosong",IF($H1062="","Jabatan kosong",IF($I1062="","No. HP kosong",IF($J1062="","Alamat kosong",IF(AND($M1062&lt;&gt;"",$M1062&lt;17),"Usia di bawah 17",""))))))))))</f>
        <v/>
      </c>
      <c r="U1062" s="40" t="str">
        <f aca="false">IF($B1062="","",IF(AND(OR(CARI!$C$5="",ISNUMBER(SEARCH(CARI!$C$5,$B1062&amp;" "&amp;$C1062&amp;" "&amp;$I1062&amp;" "&amp;$J1062&amp;" "&amp;$Q1062))),OR(CARI!$C$6="",$E1062=CARI!$C$6),OR(CARI!$C$7="",$F1062=CARI!$C$7),OR(CARI!$C$8="",$O1062=CARI!$C$8)),MAX($U$3:U1061)+1,""))</f>
        <v/>
      </c>
      <c r="V1062" s="40" t="str">
        <f aca="false">IF($T1062="","",MAX($V$3:V1061)+1)</f>
        <v/>
      </c>
      <c r="W1062" s="40" t="str">
        <f aca="false">IF($E1062="","",$E1062&amp;"#"&amp;COUNTIF($E$4:$E1062,$E1062))</f>
        <v/>
      </c>
      <c r="X1062" s="40" t="str">
        <f aca="false">IF($B1062="","",IF(AND(OR(CETAK!$J$10="",$E1062=CETAK!$J$10),OR(CETAK!$J$11="",$F1062=CETAK!$J$11),OR(CETAK!$J$12="",$K1062=CETAK!$J$12),OR(CETAK!$J$13="",$H1062=CETAK!$J$13),OR(CETAK!$J$14="",$O1062=CETAK!$J$14)),MAX($X$3:X1061)+1,""))</f>
        <v/>
      </c>
      <c r="Y1062" s="40" t="str">
        <f aca="false">IF($B1062="","",IF(AND(OR(ABSENSI!$H$10="",$E1062=ABSENSI!$H$10),OR(ABSENSI!$H$11="",$F1062=ABSENSI!$H$11),OR(ABSENSI!$H$12="",$K1062=ABSENSI!$H$12)),MAX($Y$3:Y1061)+1,""))</f>
        <v/>
      </c>
      <c r="Z1062" s="40" t="str">
        <f aca="false">IF($B1062="","",IF(AND(OR(KARTU!$K$6="",$E1062=KARTU!$K$6),OR(KARTU!$K$7="",$F1062=KARTU!$K$7),OR(KARTU!$K$8="",$K1062=KARTU!$K$8)),MAX($Z$3:Z1061)+1,""))</f>
        <v/>
      </c>
    </row>
    <row r="1063" customFormat="false" ht="15" hidden="false" customHeight="false" outlineLevel="0" collapsed="false">
      <c r="A1063" s="36" t="str">
        <f aca="false">IF($B1063="","",COUNTA($B$4:$B1063))</f>
        <v/>
      </c>
      <c r="B1063" s="37"/>
      <c r="C1063" s="38"/>
      <c r="D1063" s="39"/>
      <c r="E1063" s="37"/>
      <c r="F1063" s="39"/>
      <c r="G1063" s="40" t="str">
        <f aca="false">IF(OR($E1063="",$F1063=""),"",$E1063&amp;" - RT "&amp;$F1063)</f>
        <v/>
      </c>
      <c r="H1063" s="37"/>
      <c r="I1063" s="38"/>
      <c r="J1063" s="37"/>
      <c r="K1063" s="39"/>
      <c r="L1063" s="41"/>
      <c r="M1063" s="36" t="str">
        <f aca="true">IF(OR($B1063="",$L1063=""),"",DATEDIF($L1063,TODAY(),"Y"))</f>
        <v/>
      </c>
      <c r="N1063" s="40" t="str">
        <f aca="false">IF($M1063="","",INDEX(usia_label,MATCH($M1063,usia_min,1)))</f>
        <v/>
      </c>
      <c r="O1063" s="37"/>
      <c r="P1063" s="41"/>
      <c r="Q1063" s="37"/>
      <c r="R1063" s="37"/>
      <c r="S1063" s="40" t="str">
        <f aca="false">IF($G1063="","",$G1063&amp;"#"&amp;COUNTIF($G$4:$G1063,$G1063))</f>
        <v/>
      </c>
      <c r="T1063" s="40" t="str">
        <f aca="false">IF($B1063="","",IF($C1063="","NIK kosong",IF(LEN($C1063)&lt;&gt;16,"NIK bukan 16 digit",IF(COUNTIF($C$4:$C$2003,$C1063&amp;"*")&gt;1,"NIK ganda",IF($E1063="","Kadus kosong",IF($F1063="","RT kosong",IF($H1063="","Jabatan kosong",IF($I1063="","No. HP kosong",IF($J1063="","Alamat kosong",IF(AND($M1063&lt;&gt;"",$M1063&lt;17),"Usia di bawah 17",""))))))))))</f>
        <v/>
      </c>
      <c r="U1063" s="40" t="str">
        <f aca="false">IF($B1063="","",IF(AND(OR(CARI!$C$5="",ISNUMBER(SEARCH(CARI!$C$5,$B1063&amp;" "&amp;$C1063&amp;" "&amp;$I1063&amp;" "&amp;$J1063&amp;" "&amp;$Q1063))),OR(CARI!$C$6="",$E1063=CARI!$C$6),OR(CARI!$C$7="",$F1063=CARI!$C$7),OR(CARI!$C$8="",$O1063=CARI!$C$8)),MAX($U$3:U1062)+1,""))</f>
        <v/>
      </c>
      <c r="V1063" s="40" t="str">
        <f aca="false">IF($T1063="","",MAX($V$3:V1062)+1)</f>
        <v/>
      </c>
      <c r="W1063" s="40" t="str">
        <f aca="false">IF($E1063="","",$E1063&amp;"#"&amp;COUNTIF($E$4:$E1063,$E1063))</f>
        <v/>
      </c>
      <c r="X1063" s="40" t="str">
        <f aca="false">IF($B1063="","",IF(AND(OR(CETAK!$J$10="",$E1063=CETAK!$J$10),OR(CETAK!$J$11="",$F1063=CETAK!$J$11),OR(CETAK!$J$12="",$K1063=CETAK!$J$12),OR(CETAK!$J$13="",$H1063=CETAK!$J$13),OR(CETAK!$J$14="",$O1063=CETAK!$J$14)),MAX($X$3:X1062)+1,""))</f>
        <v/>
      </c>
      <c r="Y1063" s="40" t="str">
        <f aca="false">IF($B1063="","",IF(AND(OR(ABSENSI!$H$10="",$E1063=ABSENSI!$H$10),OR(ABSENSI!$H$11="",$F1063=ABSENSI!$H$11),OR(ABSENSI!$H$12="",$K1063=ABSENSI!$H$12)),MAX($Y$3:Y1062)+1,""))</f>
        <v/>
      </c>
      <c r="Z1063" s="40" t="str">
        <f aca="false">IF($B1063="","",IF(AND(OR(KARTU!$K$6="",$E1063=KARTU!$K$6),OR(KARTU!$K$7="",$F1063=KARTU!$K$7),OR(KARTU!$K$8="",$K1063=KARTU!$K$8)),MAX($Z$3:Z1062)+1,""))</f>
        <v/>
      </c>
    </row>
    <row r="1064" customFormat="false" ht="15" hidden="false" customHeight="false" outlineLevel="0" collapsed="false">
      <c r="A1064" s="36" t="str">
        <f aca="false">IF($B1064="","",COUNTA($B$4:$B1064))</f>
        <v/>
      </c>
      <c r="B1064" s="37"/>
      <c r="C1064" s="38"/>
      <c r="D1064" s="39"/>
      <c r="E1064" s="37"/>
      <c r="F1064" s="39"/>
      <c r="G1064" s="40" t="str">
        <f aca="false">IF(OR($E1064="",$F1064=""),"",$E1064&amp;" - RT "&amp;$F1064)</f>
        <v/>
      </c>
      <c r="H1064" s="37"/>
      <c r="I1064" s="38"/>
      <c r="J1064" s="37"/>
      <c r="K1064" s="39"/>
      <c r="L1064" s="41"/>
      <c r="M1064" s="36" t="str">
        <f aca="true">IF(OR($B1064="",$L1064=""),"",DATEDIF($L1064,TODAY(),"Y"))</f>
        <v/>
      </c>
      <c r="N1064" s="40" t="str">
        <f aca="false">IF($M1064="","",INDEX(usia_label,MATCH($M1064,usia_min,1)))</f>
        <v/>
      </c>
      <c r="O1064" s="37"/>
      <c r="P1064" s="41"/>
      <c r="Q1064" s="37"/>
      <c r="R1064" s="37"/>
      <c r="S1064" s="40" t="str">
        <f aca="false">IF($G1064="","",$G1064&amp;"#"&amp;COUNTIF($G$4:$G1064,$G1064))</f>
        <v/>
      </c>
      <c r="T1064" s="40" t="str">
        <f aca="false">IF($B1064="","",IF($C1064="","NIK kosong",IF(LEN($C1064)&lt;&gt;16,"NIK bukan 16 digit",IF(COUNTIF($C$4:$C$2003,$C1064&amp;"*")&gt;1,"NIK ganda",IF($E1064="","Kadus kosong",IF($F1064="","RT kosong",IF($H1064="","Jabatan kosong",IF($I1064="","No. HP kosong",IF($J1064="","Alamat kosong",IF(AND($M1064&lt;&gt;"",$M1064&lt;17),"Usia di bawah 17",""))))))))))</f>
        <v/>
      </c>
      <c r="U1064" s="40" t="str">
        <f aca="false">IF($B1064="","",IF(AND(OR(CARI!$C$5="",ISNUMBER(SEARCH(CARI!$C$5,$B1064&amp;" "&amp;$C1064&amp;" "&amp;$I1064&amp;" "&amp;$J1064&amp;" "&amp;$Q1064))),OR(CARI!$C$6="",$E1064=CARI!$C$6),OR(CARI!$C$7="",$F1064=CARI!$C$7),OR(CARI!$C$8="",$O1064=CARI!$C$8)),MAX($U$3:U1063)+1,""))</f>
        <v/>
      </c>
      <c r="V1064" s="40" t="str">
        <f aca="false">IF($T1064="","",MAX($V$3:V1063)+1)</f>
        <v/>
      </c>
      <c r="W1064" s="40" t="str">
        <f aca="false">IF($E1064="","",$E1064&amp;"#"&amp;COUNTIF($E$4:$E1064,$E1064))</f>
        <v/>
      </c>
      <c r="X1064" s="40" t="str">
        <f aca="false">IF($B1064="","",IF(AND(OR(CETAK!$J$10="",$E1064=CETAK!$J$10),OR(CETAK!$J$11="",$F1064=CETAK!$J$11),OR(CETAK!$J$12="",$K1064=CETAK!$J$12),OR(CETAK!$J$13="",$H1064=CETAK!$J$13),OR(CETAK!$J$14="",$O1064=CETAK!$J$14)),MAX($X$3:X1063)+1,""))</f>
        <v/>
      </c>
      <c r="Y1064" s="40" t="str">
        <f aca="false">IF($B1064="","",IF(AND(OR(ABSENSI!$H$10="",$E1064=ABSENSI!$H$10),OR(ABSENSI!$H$11="",$F1064=ABSENSI!$H$11),OR(ABSENSI!$H$12="",$K1064=ABSENSI!$H$12)),MAX($Y$3:Y1063)+1,""))</f>
        <v/>
      </c>
      <c r="Z1064" s="40" t="str">
        <f aca="false">IF($B1064="","",IF(AND(OR(KARTU!$K$6="",$E1064=KARTU!$K$6),OR(KARTU!$K$7="",$F1064=KARTU!$K$7),OR(KARTU!$K$8="",$K1064=KARTU!$K$8)),MAX($Z$3:Z1063)+1,""))</f>
        <v/>
      </c>
    </row>
    <row r="1065" customFormat="false" ht="15" hidden="false" customHeight="false" outlineLevel="0" collapsed="false">
      <c r="A1065" s="36" t="str">
        <f aca="false">IF($B1065="","",COUNTA($B$4:$B1065))</f>
        <v/>
      </c>
      <c r="B1065" s="37"/>
      <c r="C1065" s="38"/>
      <c r="D1065" s="39"/>
      <c r="E1065" s="37"/>
      <c r="F1065" s="39"/>
      <c r="G1065" s="40" t="str">
        <f aca="false">IF(OR($E1065="",$F1065=""),"",$E1065&amp;" - RT "&amp;$F1065)</f>
        <v/>
      </c>
      <c r="H1065" s="37"/>
      <c r="I1065" s="38"/>
      <c r="J1065" s="37"/>
      <c r="K1065" s="39"/>
      <c r="L1065" s="41"/>
      <c r="M1065" s="36" t="str">
        <f aca="true">IF(OR($B1065="",$L1065=""),"",DATEDIF($L1065,TODAY(),"Y"))</f>
        <v/>
      </c>
      <c r="N1065" s="40" t="str">
        <f aca="false">IF($M1065="","",INDEX(usia_label,MATCH($M1065,usia_min,1)))</f>
        <v/>
      </c>
      <c r="O1065" s="37"/>
      <c r="P1065" s="41"/>
      <c r="Q1065" s="37"/>
      <c r="R1065" s="37"/>
      <c r="S1065" s="40" t="str">
        <f aca="false">IF($G1065="","",$G1065&amp;"#"&amp;COUNTIF($G$4:$G1065,$G1065))</f>
        <v/>
      </c>
      <c r="T1065" s="40" t="str">
        <f aca="false">IF($B1065="","",IF($C1065="","NIK kosong",IF(LEN($C1065)&lt;&gt;16,"NIK bukan 16 digit",IF(COUNTIF($C$4:$C$2003,$C1065&amp;"*")&gt;1,"NIK ganda",IF($E1065="","Kadus kosong",IF($F1065="","RT kosong",IF($H1065="","Jabatan kosong",IF($I1065="","No. HP kosong",IF($J1065="","Alamat kosong",IF(AND($M1065&lt;&gt;"",$M1065&lt;17),"Usia di bawah 17",""))))))))))</f>
        <v/>
      </c>
      <c r="U1065" s="40" t="str">
        <f aca="false">IF($B1065="","",IF(AND(OR(CARI!$C$5="",ISNUMBER(SEARCH(CARI!$C$5,$B1065&amp;" "&amp;$C1065&amp;" "&amp;$I1065&amp;" "&amp;$J1065&amp;" "&amp;$Q1065))),OR(CARI!$C$6="",$E1065=CARI!$C$6),OR(CARI!$C$7="",$F1065=CARI!$C$7),OR(CARI!$C$8="",$O1065=CARI!$C$8)),MAX($U$3:U1064)+1,""))</f>
        <v/>
      </c>
      <c r="V1065" s="40" t="str">
        <f aca="false">IF($T1065="","",MAX($V$3:V1064)+1)</f>
        <v/>
      </c>
      <c r="W1065" s="40" t="str">
        <f aca="false">IF($E1065="","",$E1065&amp;"#"&amp;COUNTIF($E$4:$E1065,$E1065))</f>
        <v/>
      </c>
      <c r="X1065" s="40" t="str">
        <f aca="false">IF($B1065="","",IF(AND(OR(CETAK!$J$10="",$E1065=CETAK!$J$10),OR(CETAK!$J$11="",$F1065=CETAK!$J$11),OR(CETAK!$J$12="",$K1065=CETAK!$J$12),OR(CETAK!$J$13="",$H1065=CETAK!$J$13),OR(CETAK!$J$14="",$O1065=CETAK!$J$14)),MAX($X$3:X1064)+1,""))</f>
        <v/>
      </c>
      <c r="Y1065" s="40" t="str">
        <f aca="false">IF($B1065="","",IF(AND(OR(ABSENSI!$H$10="",$E1065=ABSENSI!$H$10),OR(ABSENSI!$H$11="",$F1065=ABSENSI!$H$11),OR(ABSENSI!$H$12="",$K1065=ABSENSI!$H$12)),MAX($Y$3:Y1064)+1,""))</f>
        <v/>
      </c>
      <c r="Z1065" s="40" t="str">
        <f aca="false">IF($B1065="","",IF(AND(OR(KARTU!$K$6="",$E1065=KARTU!$K$6),OR(KARTU!$K$7="",$F1065=KARTU!$K$7),OR(KARTU!$K$8="",$K1065=KARTU!$K$8)),MAX($Z$3:Z1064)+1,""))</f>
        <v/>
      </c>
    </row>
    <row r="1066" customFormat="false" ht="15" hidden="false" customHeight="false" outlineLevel="0" collapsed="false">
      <c r="A1066" s="36" t="str">
        <f aca="false">IF($B1066="","",COUNTA($B$4:$B1066))</f>
        <v/>
      </c>
      <c r="B1066" s="37"/>
      <c r="C1066" s="38"/>
      <c r="D1066" s="39"/>
      <c r="E1066" s="37"/>
      <c r="F1066" s="39"/>
      <c r="G1066" s="40" t="str">
        <f aca="false">IF(OR($E1066="",$F1066=""),"",$E1066&amp;" - RT "&amp;$F1066)</f>
        <v/>
      </c>
      <c r="H1066" s="37"/>
      <c r="I1066" s="38"/>
      <c r="J1066" s="37"/>
      <c r="K1066" s="39"/>
      <c r="L1066" s="41"/>
      <c r="M1066" s="36" t="str">
        <f aca="true">IF(OR($B1066="",$L1066=""),"",DATEDIF($L1066,TODAY(),"Y"))</f>
        <v/>
      </c>
      <c r="N1066" s="40" t="str">
        <f aca="false">IF($M1066="","",INDEX(usia_label,MATCH($M1066,usia_min,1)))</f>
        <v/>
      </c>
      <c r="O1066" s="37"/>
      <c r="P1066" s="41"/>
      <c r="Q1066" s="37"/>
      <c r="R1066" s="37"/>
      <c r="S1066" s="40" t="str">
        <f aca="false">IF($G1066="","",$G1066&amp;"#"&amp;COUNTIF($G$4:$G1066,$G1066))</f>
        <v/>
      </c>
      <c r="T1066" s="40" t="str">
        <f aca="false">IF($B1066="","",IF($C1066="","NIK kosong",IF(LEN($C1066)&lt;&gt;16,"NIK bukan 16 digit",IF(COUNTIF($C$4:$C$2003,$C1066&amp;"*")&gt;1,"NIK ganda",IF($E1066="","Kadus kosong",IF($F1066="","RT kosong",IF($H1066="","Jabatan kosong",IF($I1066="","No. HP kosong",IF($J1066="","Alamat kosong",IF(AND($M1066&lt;&gt;"",$M1066&lt;17),"Usia di bawah 17",""))))))))))</f>
        <v/>
      </c>
      <c r="U1066" s="40" t="str">
        <f aca="false">IF($B1066="","",IF(AND(OR(CARI!$C$5="",ISNUMBER(SEARCH(CARI!$C$5,$B1066&amp;" "&amp;$C1066&amp;" "&amp;$I1066&amp;" "&amp;$J1066&amp;" "&amp;$Q1066))),OR(CARI!$C$6="",$E1066=CARI!$C$6),OR(CARI!$C$7="",$F1066=CARI!$C$7),OR(CARI!$C$8="",$O1066=CARI!$C$8)),MAX($U$3:U1065)+1,""))</f>
        <v/>
      </c>
      <c r="V1066" s="40" t="str">
        <f aca="false">IF($T1066="","",MAX($V$3:V1065)+1)</f>
        <v/>
      </c>
      <c r="W1066" s="40" t="str">
        <f aca="false">IF($E1066="","",$E1066&amp;"#"&amp;COUNTIF($E$4:$E1066,$E1066))</f>
        <v/>
      </c>
      <c r="X1066" s="40" t="str">
        <f aca="false">IF($B1066="","",IF(AND(OR(CETAK!$J$10="",$E1066=CETAK!$J$10),OR(CETAK!$J$11="",$F1066=CETAK!$J$11),OR(CETAK!$J$12="",$K1066=CETAK!$J$12),OR(CETAK!$J$13="",$H1066=CETAK!$J$13),OR(CETAK!$J$14="",$O1066=CETAK!$J$14)),MAX($X$3:X1065)+1,""))</f>
        <v/>
      </c>
      <c r="Y1066" s="40" t="str">
        <f aca="false">IF($B1066="","",IF(AND(OR(ABSENSI!$H$10="",$E1066=ABSENSI!$H$10),OR(ABSENSI!$H$11="",$F1066=ABSENSI!$H$11),OR(ABSENSI!$H$12="",$K1066=ABSENSI!$H$12)),MAX($Y$3:Y1065)+1,""))</f>
        <v/>
      </c>
      <c r="Z1066" s="40" t="str">
        <f aca="false">IF($B1066="","",IF(AND(OR(KARTU!$K$6="",$E1066=KARTU!$K$6),OR(KARTU!$K$7="",$F1066=KARTU!$K$7),OR(KARTU!$K$8="",$K1066=KARTU!$K$8)),MAX($Z$3:Z1065)+1,""))</f>
        <v/>
      </c>
    </row>
    <row r="1067" customFormat="false" ht="15" hidden="false" customHeight="false" outlineLevel="0" collapsed="false">
      <c r="A1067" s="36" t="str">
        <f aca="false">IF($B1067="","",COUNTA($B$4:$B1067))</f>
        <v/>
      </c>
      <c r="B1067" s="37"/>
      <c r="C1067" s="38"/>
      <c r="D1067" s="39"/>
      <c r="E1067" s="37"/>
      <c r="F1067" s="39"/>
      <c r="G1067" s="40" t="str">
        <f aca="false">IF(OR($E1067="",$F1067=""),"",$E1067&amp;" - RT "&amp;$F1067)</f>
        <v/>
      </c>
      <c r="H1067" s="37"/>
      <c r="I1067" s="38"/>
      <c r="J1067" s="37"/>
      <c r="K1067" s="39"/>
      <c r="L1067" s="41"/>
      <c r="M1067" s="36" t="str">
        <f aca="true">IF(OR($B1067="",$L1067=""),"",DATEDIF($L1067,TODAY(),"Y"))</f>
        <v/>
      </c>
      <c r="N1067" s="40" t="str">
        <f aca="false">IF($M1067="","",INDEX(usia_label,MATCH($M1067,usia_min,1)))</f>
        <v/>
      </c>
      <c r="O1067" s="37"/>
      <c r="P1067" s="41"/>
      <c r="Q1067" s="37"/>
      <c r="R1067" s="37"/>
      <c r="S1067" s="40" t="str">
        <f aca="false">IF($G1067="","",$G1067&amp;"#"&amp;COUNTIF($G$4:$G1067,$G1067))</f>
        <v/>
      </c>
      <c r="T1067" s="40" t="str">
        <f aca="false">IF($B1067="","",IF($C1067="","NIK kosong",IF(LEN($C1067)&lt;&gt;16,"NIK bukan 16 digit",IF(COUNTIF($C$4:$C$2003,$C1067&amp;"*")&gt;1,"NIK ganda",IF($E1067="","Kadus kosong",IF($F1067="","RT kosong",IF($H1067="","Jabatan kosong",IF($I1067="","No. HP kosong",IF($J1067="","Alamat kosong",IF(AND($M1067&lt;&gt;"",$M1067&lt;17),"Usia di bawah 17",""))))))))))</f>
        <v/>
      </c>
      <c r="U1067" s="40" t="str">
        <f aca="false">IF($B1067="","",IF(AND(OR(CARI!$C$5="",ISNUMBER(SEARCH(CARI!$C$5,$B1067&amp;" "&amp;$C1067&amp;" "&amp;$I1067&amp;" "&amp;$J1067&amp;" "&amp;$Q1067))),OR(CARI!$C$6="",$E1067=CARI!$C$6),OR(CARI!$C$7="",$F1067=CARI!$C$7),OR(CARI!$C$8="",$O1067=CARI!$C$8)),MAX($U$3:U1066)+1,""))</f>
        <v/>
      </c>
      <c r="V1067" s="40" t="str">
        <f aca="false">IF($T1067="","",MAX($V$3:V1066)+1)</f>
        <v/>
      </c>
      <c r="W1067" s="40" t="str">
        <f aca="false">IF($E1067="","",$E1067&amp;"#"&amp;COUNTIF($E$4:$E1067,$E1067))</f>
        <v/>
      </c>
      <c r="X1067" s="40" t="str">
        <f aca="false">IF($B1067="","",IF(AND(OR(CETAK!$J$10="",$E1067=CETAK!$J$10),OR(CETAK!$J$11="",$F1067=CETAK!$J$11),OR(CETAK!$J$12="",$K1067=CETAK!$J$12),OR(CETAK!$J$13="",$H1067=CETAK!$J$13),OR(CETAK!$J$14="",$O1067=CETAK!$J$14)),MAX($X$3:X1066)+1,""))</f>
        <v/>
      </c>
      <c r="Y1067" s="40" t="str">
        <f aca="false">IF($B1067="","",IF(AND(OR(ABSENSI!$H$10="",$E1067=ABSENSI!$H$10),OR(ABSENSI!$H$11="",$F1067=ABSENSI!$H$11),OR(ABSENSI!$H$12="",$K1067=ABSENSI!$H$12)),MAX($Y$3:Y1066)+1,""))</f>
        <v/>
      </c>
      <c r="Z1067" s="40" t="str">
        <f aca="false">IF($B1067="","",IF(AND(OR(KARTU!$K$6="",$E1067=KARTU!$K$6),OR(KARTU!$K$7="",$F1067=KARTU!$K$7),OR(KARTU!$K$8="",$K1067=KARTU!$K$8)),MAX($Z$3:Z1066)+1,""))</f>
        <v/>
      </c>
    </row>
    <row r="1068" customFormat="false" ht="15" hidden="false" customHeight="false" outlineLevel="0" collapsed="false">
      <c r="A1068" s="36" t="str">
        <f aca="false">IF($B1068="","",COUNTA($B$4:$B1068))</f>
        <v/>
      </c>
      <c r="B1068" s="37"/>
      <c r="C1068" s="38"/>
      <c r="D1068" s="39"/>
      <c r="E1068" s="37"/>
      <c r="F1068" s="39"/>
      <c r="G1068" s="40" t="str">
        <f aca="false">IF(OR($E1068="",$F1068=""),"",$E1068&amp;" - RT "&amp;$F1068)</f>
        <v/>
      </c>
      <c r="H1068" s="37"/>
      <c r="I1068" s="38"/>
      <c r="J1068" s="37"/>
      <c r="K1068" s="39"/>
      <c r="L1068" s="41"/>
      <c r="M1068" s="36" t="str">
        <f aca="true">IF(OR($B1068="",$L1068=""),"",DATEDIF($L1068,TODAY(),"Y"))</f>
        <v/>
      </c>
      <c r="N1068" s="40" t="str">
        <f aca="false">IF($M1068="","",INDEX(usia_label,MATCH($M1068,usia_min,1)))</f>
        <v/>
      </c>
      <c r="O1068" s="37"/>
      <c r="P1068" s="41"/>
      <c r="Q1068" s="37"/>
      <c r="R1068" s="37"/>
      <c r="S1068" s="40" t="str">
        <f aca="false">IF($G1068="","",$G1068&amp;"#"&amp;COUNTIF($G$4:$G1068,$G1068))</f>
        <v/>
      </c>
      <c r="T1068" s="40" t="str">
        <f aca="false">IF($B1068="","",IF($C1068="","NIK kosong",IF(LEN($C1068)&lt;&gt;16,"NIK bukan 16 digit",IF(COUNTIF($C$4:$C$2003,$C1068&amp;"*")&gt;1,"NIK ganda",IF($E1068="","Kadus kosong",IF($F1068="","RT kosong",IF($H1068="","Jabatan kosong",IF($I1068="","No. HP kosong",IF($J1068="","Alamat kosong",IF(AND($M1068&lt;&gt;"",$M1068&lt;17),"Usia di bawah 17",""))))))))))</f>
        <v/>
      </c>
      <c r="U1068" s="40" t="str">
        <f aca="false">IF($B1068="","",IF(AND(OR(CARI!$C$5="",ISNUMBER(SEARCH(CARI!$C$5,$B1068&amp;" "&amp;$C1068&amp;" "&amp;$I1068&amp;" "&amp;$J1068&amp;" "&amp;$Q1068))),OR(CARI!$C$6="",$E1068=CARI!$C$6),OR(CARI!$C$7="",$F1068=CARI!$C$7),OR(CARI!$C$8="",$O1068=CARI!$C$8)),MAX($U$3:U1067)+1,""))</f>
        <v/>
      </c>
      <c r="V1068" s="40" t="str">
        <f aca="false">IF($T1068="","",MAX($V$3:V1067)+1)</f>
        <v/>
      </c>
      <c r="W1068" s="40" t="str">
        <f aca="false">IF($E1068="","",$E1068&amp;"#"&amp;COUNTIF($E$4:$E1068,$E1068))</f>
        <v/>
      </c>
      <c r="X1068" s="40" t="str">
        <f aca="false">IF($B1068="","",IF(AND(OR(CETAK!$J$10="",$E1068=CETAK!$J$10),OR(CETAK!$J$11="",$F1068=CETAK!$J$11),OR(CETAK!$J$12="",$K1068=CETAK!$J$12),OR(CETAK!$J$13="",$H1068=CETAK!$J$13),OR(CETAK!$J$14="",$O1068=CETAK!$J$14)),MAX($X$3:X1067)+1,""))</f>
        <v/>
      </c>
      <c r="Y1068" s="40" t="str">
        <f aca="false">IF($B1068="","",IF(AND(OR(ABSENSI!$H$10="",$E1068=ABSENSI!$H$10),OR(ABSENSI!$H$11="",$F1068=ABSENSI!$H$11),OR(ABSENSI!$H$12="",$K1068=ABSENSI!$H$12)),MAX($Y$3:Y1067)+1,""))</f>
        <v/>
      </c>
      <c r="Z1068" s="40" t="str">
        <f aca="false">IF($B1068="","",IF(AND(OR(KARTU!$K$6="",$E1068=KARTU!$K$6),OR(KARTU!$K$7="",$F1068=KARTU!$K$7),OR(KARTU!$K$8="",$K1068=KARTU!$K$8)),MAX($Z$3:Z1067)+1,""))</f>
        <v/>
      </c>
    </row>
    <row r="1069" customFormat="false" ht="15" hidden="false" customHeight="false" outlineLevel="0" collapsed="false">
      <c r="A1069" s="36" t="str">
        <f aca="false">IF($B1069="","",COUNTA($B$4:$B1069))</f>
        <v/>
      </c>
      <c r="B1069" s="37"/>
      <c r="C1069" s="38"/>
      <c r="D1069" s="39"/>
      <c r="E1069" s="37"/>
      <c r="F1069" s="39"/>
      <c r="G1069" s="40" t="str">
        <f aca="false">IF(OR($E1069="",$F1069=""),"",$E1069&amp;" - RT "&amp;$F1069)</f>
        <v/>
      </c>
      <c r="H1069" s="37"/>
      <c r="I1069" s="38"/>
      <c r="J1069" s="37"/>
      <c r="K1069" s="39"/>
      <c r="L1069" s="41"/>
      <c r="M1069" s="36" t="str">
        <f aca="true">IF(OR($B1069="",$L1069=""),"",DATEDIF($L1069,TODAY(),"Y"))</f>
        <v/>
      </c>
      <c r="N1069" s="40" t="str">
        <f aca="false">IF($M1069="","",INDEX(usia_label,MATCH($M1069,usia_min,1)))</f>
        <v/>
      </c>
      <c r="O1069" s="37"/>
      <c r="P1069" s="41"/>
      <c r="Q1069" s="37"/>
      <c r="R1069" s="37"/>
      <c r="S1069" s="40" t="str">
        <f aca="false">IF($G1069="","",$G1069&amp;"#"&amp;COUNTIF($G$4:$G1069,$G1069))</f>
        <v/>
      </c>
      <c r="T1069" s="40" t="str">
        <f aca="false">IF($B1069="","",IF($C1069="","NIK kosong",IF(LEN($C1069)&lt;&gt;16,"NIK bukan 16 digit",IF(COUNTIF($C$4:$C$2003,$C1069&amp;"*")&gt;1,"NIK ganda",IF($E1069="","Kadus kosong",IF($F1069="","RT kosong",IF($H1069="","Jabatan kosong",IF($I1069="","No. HP kosong",IF($J1069="","Alamat kosong",IF(AND($M1069&lt;&gt;"",$M1069&lt;17),"Usia di bawah 17",""))))))))))</f>
        <v/>
      </c>
      <c r="U1069" s="40" t="str">
        <f aca="false">IF($B1069="","",IF(AND(OR(CARI!$C$5="",ISNUMBER(SEARCH(CARI!$C$5,$B1069&amp;" "&amp;$C1069&amp;" "&amp;$I1069&amp;" "&amp;$J1069&amp;" "&amp;$Q1069))),OR(CARI!$C$6="",$E1069=CARI!$C$6),OR(CARI!$C$7="",$F1069=CARI!$C$7),OR(CARI!$C$8="",$O1069=CARI!$C$8)),MAX($U$3:U1068)+1,""))</f>
        <v/>
      </c>
      <c r="V1069" s="40" t="str">
        <f aca="false">IF($T1069="","",MAX($V$3:V1068)+1)</f>
        <v/>
      </c>
      <c r="W1069" s="40" t="str">
        <f aca="false">IF($E1069="","",$E1069&amp;"#"&amp;COUNTIF($E$4:$E1069,$E1069))</f>
        <v/>
      </c>
      <c r="X1069" s="40" t="str">
        <f aca="false">IF($B1069="","",IF(AND(OR(CETAK!$J$10="",$E1069=CETAK!$J$10),OR(CETAK!$J$11="",$F1069=CETAK!$J$11),OR(CETAK!$J$12="",$K1069=CETAK!$J$12),OR(CETAK!$J$13="",$H1069=CETAK!$J$13),OR(CETAK!$J$14="",$O1069=CETAK!$J$14)),MAX($X$3:X1068)+1,""))</f>
        <v/>
      </c>
      <c r="Y1069" s="40" t="str">
        <f aca="false">IF($B1069="","",IF(AND(OR(ABSENSI!$H$10="",$E1069=ABSENSI!$H$10),OR(ABSENSI!$H$11="",$F1069=ABSENSI!$H$11),OR(ABSENSI!$H$12="",$K1069=ABSENSI!$H$12)),MAX($Y$3:Y1068)+1,""))</f>
        <v/>
      </c>
      <c r="Z1069" s="40" t="str">
        <f aca="false">IF($B1069="","",IF(AND(OR(KARTU!$K$6="",$E1069=KARTU!$K$6),OR(KARTU!$K$7="",$F1069=KARTU!$K$7),OR(KARTU!$K$8="",$K1069=KARTU!$K$8)),MAX($Z$3:Z1068)+1,""))</f>
        <v/>
      </c>
    </row>
    <row r="1070" customFormat="false" ht="15" hidden="false" customHeight="false" outlineLevel="0" collapsed="false">
      <c r="A1070" s="36" t="str">
        <f aca="false">IF($B1070="","",COUNTA($B$4:$B1070))</f>
        <v/>
      </c>
      <c r="B1070" s="37"/>
      <c r="C1070" s="38"/>
      <c r="D1070" s="39"/>
      <c r="E1070" s="37"/>
      <c r="F1070" s="39"/>
      <c r="G1070" s="40" t="str">
        <f aca="false">IF(OR($E1070="",$F1070=""),"",$E1070&amp;" - RT "&amp;$F1070)</f>
        <v/>
      </c>
      <c r="H1070" s="37"/>
      <c r="I1070" s="38"/>
      <c r="J1070" s="37"/>
      <c r="K1070" s="39"/>
      <c r="L1070" s="41"/>
      <c r="M1070" s="36" t="str">
        <f aca="true">IF(OR($B1070="",$L1070=""),"",DATEDIF($L1070,TODAY(),"Y"))</f>
        <v/>
      </c>
      <c r="N1070" s="40" t="str">
        <f aca="false">IF($M1070="","",INDEX(usia_label,MATCH($M1070,usia_min,1)))</f>
        <v/>
      </c>
      <c r="O1070" s="37"/>
      <c r="P1070" s="41"/>
      <c r="Q1070" s="37"/>
      <c r="R1070" s="37"/>
      <c r="S1070" s="40" t="str">
        <f aca="false">IF($G1070="","",$G1070&amp;"#"&amp;COUNTIF($G$4:$G1070,$G1070))</f>
        <v/>
      </c>
      <c r="T1070" s="40" t="str">
        <f aca="false">IF($B1070="","",IF($C1070="","NIK kosong",IF(LEN($C1070)&lt;&gt;16,"NIK bukan 16 digit",IF(COUNTIF($C$4:$C$2003,$C1070&amp;"*")&gt;1,"NIK ganda",IF($E1070="","Kadus kosong",IF($F1070="","RT kosong",IF($H1070="","Jabatan kosong",IF($I1070="","No. HP kosong",IF($J1070="","Alamat kosong",IF(AND($M1070&lt;&gt;"",$M1070&lt;17),"Usia di bawah 17",""))))))))))</f>
        <v/>
      </c>
      <c r="U1070" s="40" t="str">
        <f aca="false">IF($B1070="","",IF(AND(OR(CARI!$C$5="",ISNUMBER(SEARCH(CARI!$C$5,$B1070&amp;" "&amp;$C1070&amp;" "&amp;$I1070&amp;" "&amp;$J1070&amp;" "&amp;$Q1070))),OR(CARI!$C$6="",$E1070=CARI!$C$6),OR(CARI!$C$7="",$F1070=CARI!$C$7),OR(CARI!$C$8="",$O1070=CARI!$C$8)),MAX($U$3:U1069)+1,""))</f>
        <v/>
      </c>
      <c r="V1070" s="40" t="str">
        <f aca="false">IF($T1070="","",MAX($V$3:V1069)+1)</f>
        <v/>
      </c>
      <c r="W1070" s="40" t="str">
        <f aca="false">IF($E1070="","",$E1070&amp;"#"&amp;COUNTIF($E$4:$E1070,$E1070))</f>
        <v/>
      </c>
      <c r="X1070" s="40" t="str">
        <f aca="false">IF($B1070="","",IF(AND(OR(CETAK!$J$10="",$E1070=CETAK!$J$10),OR(CETAK!$J$11="",$F1070=CETAK!$J$11),OR(CETAK!$J$12="",$K1070=CETAK!$J$12),OR(CETAK!$J$13="",$H1070=CETAK!$J$13),OR(CETAK!$J$14="",$O1070=CETAK!$J$14)),MAX($X$3:X1069)+1,""))</f>
        <v/>
      </c>
      <c r="Y1070" s="40" t="str">
        <f aca="false">IF($B1070="","",IF(AND(OR(ABSENSI!$H$10="",$E1070=ABSENSI!$H$10),OR(ABSENSI!$H$11="",$F1070=ABSENSI!$H$11),OR(ABSENSI!$H$12="",$K1070=ABSENSI!$H$12)),MAX($Y$3:Y1069)+1,""))</f>
        <v/>
      </c>
      <c r="Z1070" s="40" t="str">
        <f aca="false">IF($B1070="","",IF(AND(OR(KARTU!$K$6="",$E1070=KARTU!$K$6),OR(KARTU!$K$7="",$F1070=KARTU!$K$7),OR(KARTU!$K$8="",$K1070=KARTU!$K$8)),MAX($Z$3:Z1069)+1,""))</f>
        <v/>
      </c>
    </row>
    <row r="1071" customFormat="false" ht="15" hidden="false" customHeight="false" outlineLevel="0" collapsed="false">
      <c r="A1071" s="36" t="str">
        <f aca="false">IF($B1071="","",COUNTA($B$4:$B1071))</f>
        <v/>
      </c>
      <c r="B1071" s="37"/>
      <c r="C1071" s="38"/>
      <c r="D1071" s="39"/>
      <c r="E1071" s="37"/>
      <c r="F1071" s="39"/>
      <c r="G1071" s="40" t="str">
        <f aca="false">IF(OR($E1071="",$F1071=""),"",$E1071&amp;" - RT "&amp;$F1071)</f>
        <v/>
      </c>
      <c r="H1071" s="37"/>
      <c r="I1071" s="38"/>
      <c r="J1071" s="37"/>
      <c r="K1071" s="39"/>
      <c r="L1071" s="41"/>
      <c r="M1071" s="36" t="str">
        <f aca="true">IF(OR($B1071="",$L1071=""),"",DATEDIF($L1071,TODAY(),"Y"))</f>
        <v/>
      </c>
      <c r="N1071" s="40" t="str">
        <f aca="false">IF($M1071="","",INDEX(usia_label,MATCH($M1071,usia_min,1)))</f>
        <v/>
      </c>
      <c r="O1071" s="37"/>
      <c r="P1071" s="41"/>
      <c r="Q1071" s="37"/>
      <c r="R1071" s="37"/>
      <c r="S1071" s="40" t="str">
        <f aca="false">IF($G1071="","",$G1071&amp;"#"&amp;COUNTIF($G$4:$G1071,$G1071))</f>
        <v/>
      </c>
      <c r="T1071" s="40" t="str">
        <f aca="false">IF($B1071="","",IF($C1071="","NIK kosong",IF(LEN($C1071)&lt;&gt;16,"NIK bukan 16 digit",IF(COUNTIF($C$4:$C$2003,$C1071&amp;"*")&gt;1,"NIK ganda",IF($E1071="","Kadus kosong",IF($F1071="","RT kosong",IF($H1071="","Jabatan kosong",IF($I1071="","No. HP kosong",IF($J1071="","Alamat kosong",IF(AND($M1071&lt;&gt;"",$M1071&lt;17),"Usia di bawah 17",""))))))))))</f>
        <v/>
      </c>
      <c r="U1071" s="40" t="str">
        <f aca="false">IF($B1071="","",IF(AND(OR(CARI!$C$5="",ISNUMBER(SEARCH(CARI!$C$5,$B1071&amp;" "&amp;$C1071&amp;" "&amp;$I1071&amp;" "&amp;$J1071&amp;" "&amp;$Q1071))),OR(CARI!$C$6="",$E1071=CARI!$C$6),OR(CARI!$C$7="",$F1071=CARI!$C$7),OR(CARI!$C$8="",$O1071=CARI!$C$8)),MAX($U$3:U1070)+1,""))</f>
        <v/>
      </c>
      <c r="V1071" s="40" t="str">
        <f aca="false">IF($T1071="","",MAX($V$3:V1070)+1)</f>
        <v/>
      </c>
      <c r="W1071" s="40" t="str">
        <f aca="false">IF($E1071="","",$E1071&amp;"#"&amp;COUNTIF($E$4:$E1071,$E1071))</f>
        <v/>
      </c>
      <c r="X1071" s="40" t="str">
        <f aca="false">IF($B1071="","",IF(AND(OR(CETAK!$J$10="",$E1071=CETAK!$J$10),OR(CETAK!$J$11="",$F1071=CETAK!$J$11),OR(CETAK!$J$12="",$K1071=CETAK!$J$12),OR(CETAK!$J$13="",$H1071=CETAK!$J$13),OR(CETAK!$J$14="",$O1071=CETAK!$J$14)),MAX($X$3:X1070)+1,""))</f>
        <v/>
      </c>
      <c r="Y1071" s="40" t="str">
        <f aca="false">IF($B1071="","",IF(AND(OR(ABSENSI!$H$10="",$E1071=ABSENSI!$H$10),OR(ABSENSI!$H$11="",$F1071=ABSENSI!$H$11),OR(ABSENSI!$H$12="",$K1071=ABSENSI!$H$12)),MAX($Y$3:Y1070)+1,""))</f>
        <v/>
      </c>
      <c r="Z1071" s="40" t="str">
        <f aca="false">IF($B1071="","",IF(AND(OR(KARTU!$K$6="",$E1071=KARTU!$K$6),OR(KARTU!$K$7="",$F1071=KARTU!$K$7),OR(KARTU!$K$8="",$K1071=KARTU!$K$8)),MAX($Z$3:Z1070)+1,""))</f>
        <v/>
      </c>
    </row>
    <row r="1072" customFormat="false" ht="15" hidden="false" customHeight="false" outlineLevel="0" collapsed="false">
      <c r="A1072" s="36" t="str">
        <f aca="false">IF($B1072="","",COUNTA($B$4:$B1072))</f>
        <v/>
      </c>
      <c r="B1072" s="37"/>
      <c r="C1072" s="38"/>
      <c r="D1072" s="39"/>
      <c r="E1072" s="37"/>
      <c r="F1072" s="39"/>
      <c r="G1072" s="40" t="str">
        <f aca="false">IF(OR($E1072="",$F1072=""),"",$E1072&amp;" - RT "&amp;$F1072)</f>
        <v/>
      </c>
      <c r="H1072" s="37"/>
      <c r="I1072" s="38"/>
      <c r="J1072" s="37"/>
      <c r="K1072" s="39"/>
      <c r="L1072" s="41"/>
      <c r="M1072" s="36" t="str">
        <f aca="true">IF(OR($B1072="",$L1072=""),"",DATEDIF($L1072,TODAY(),"Y"))</f>
        <v/>
      </c>
      <c r="N1072" s="40" t="str">
        <f aca="false">IF($M1072="","",INDEX(usia_label,MATCH($M1072,usia_min,1)))</f>
        <v/>
      </c>
      <c r="O1072" s="37"/>
      <c r="P1072" s="41"/>
      <c r="Q1072" s="37"/>
      <c r="R1072" s="37"/>
      <c r="S1072" s="40" t="str">
        <f aca="false">IF($G1072="","",$G1072&amp;"#"&amp;COUNTIF($G$4:$G1072,$G1072))</f>
        <v/>
      </c>
      <c r="T1072" s="40" t="str">
        <f aca="false">IF($B1072="","",IF($C1072="","NIK kosong",IF(LEN($C1072)&lt;&gt;16,"NIK bukan 16 digit",IF(COUNTIF($C$4:$C$2003,$C1072&amp;"*")&gt;1,"NIK ganda",IF($E1072="","Kadus kosong",IF($F1072="","RT kosong",IF($H1072="","Jabatan kosong",IF($I1072="","No. HP kosong",IF($J1072="","Alamat kosong",IF(AND($M1072&lt;&gt;"",$M1072&lt;17),"Usia di bawah 17",""))))))))))</f>
        <v/>
      </c>
      <c r="U1072" s="40" t="str">
        <f aca="false">IF($B1072="","",IF(AND(OR(CARI!$C$5="",ISNUMBER(SEARCH(CARI!$C$5,$B1072&amp;" "&amp;$C1072&amp;" "&amp;$I1072&amp;" "&amp;$J1072&amp;" "&amp;$Q1072))),OR(CARI!$C$6="",$E1072=CARI!$C$6),OR(CARI!$C$7="",$F1072=CARI!$C$7),OR(CARI!$C$8="",$O1072=CARI!$C$8)),MAX($U$3:U1071)+1,""))</f>
        <v/>
      </c>
      <c r="V1072" s="40" t="str">
        <f aca="false">IF($T1072="","",MAX($V$3:V1071)+1)</f>
        <v/>
      </c>
      <c r="W1072" s="40" t="str">
        <f aca="false">IF($E1072="","",$E1072&amp;"#"&amp;COUNTIF($E$4:$E1072,$E1072))</f>
        <v/>
      </c>
      <c r="X1072" s="40" t="str">
        <f aca="false">IF($B1072="","",IF(AND(OR(CETAK!$J$10="",$E1072=CETAK!$J$10),OR(CETAK!$J$11="",$F1072=CETAK!$J$11),OR(CETAK!$J$12="",$K1072=CETAK!$J$12),OR(CETAK!$J$13="",$H1072=CETAK!$J$13),OR(CETAK!$J$14="",$O1072=CETAK!$J$14)),MAX($X$3:X1071)+1,""))</f>
        <v/>
      </c>
      <c r="Y1072" s="40" t="str">
        <f aca="false">IF($B1072="","",IF(AND(OR(ABSENSI!$H$10="",$E1072=ABSENSI!$H$10),OR(ABSENSI!$H$11="",$F1072=ABSENSI!$H$11),OR(ABSENSI!$H$12="",$K1072=ABSENSI!$H$12)),MAX($Y$3:Y1071)+1,""))</f>
        <v/>
      </c>
      <c r="Z1072" s="40" t="str">
        <f aca="false">IF($B1072="","",IF(AND(OR(KARTU!$K$6="",$E1072=KARTU!$K$6),OR(KARTU!$K$7="",$F1072=KARTU!$K$7),OR(KARTU!$K$8="",$K1072=KARTU!$K$8)),MAX($Z$3:Z1071)+1,""))</f>
        <v/>
      </c>
    </row>
    <row r="1073" customFormat="false" ht="15" hidden="false" customHeight="false" outlineLevel="0" collapsed="false">
      <c r="A1073" s="36" t="str">
        <f aca="false">IF($B1073="","",COUNTA($B$4:$B1073))</f>
        <v/>
      </c>
      <c r="B1073" s="37"/>
      <c r="C1073" s="38"/>
      <c r="D1073" s="39"/>
      <c r="E1073" s="37"/>
      <c r="F1073" s="39"/>
      <c r="G1073" s="40" t="str">
        <f aca="false">IF(OR($E1073="",$F1073=""),"",$E1073&amp;" - RT "&amp;$F1073)</f>
        <v/>
      </c>
      <c r="H1073" s="37"/>
      <c r="I1073" s="38"/>
      <c r="J1073" s="37"/>
      <c r="K1073" s="39"/>
      <c r="L1073" s="41"/>
      <c r="M1073" s="36" t="str">
        <f aca="true">IF(OR($B1073="",$L1073=""),"",DATEDIF($L1073,TODAY(),"Y"))</f>
        <v/>
      </c>
      <c r="N1073" s="40" t="str">
        <f aca="false">IF($M1073="","",INDEX(usia_label,MATCH($M1073,usia_min,1)))</f>
        <v/>
      </c>
      <c r="O1073" s="37"/>
      <c r="P1073" s="41"/>
      <c r="Q1073" s="37"/>
      <c r="R1073" s="37"/>
      <c r="S1073" s="40" t="str">
        <f aca="false">IF($G1073="","",$G1073&amp;"#"&amp;COUNTIF($G$4:$G1073,$G1073))</f>
        <v/>
      </c>
      <c r="T1073" s="40" t="str">
        <f aca="false">IF($B1073="","",IF($C1073="","NIK kosong",IF(LEN($C1073)&lt;&gt;16,"NIK bukan 16 digit",IF(COUNTIF($C$4:$C$2003,$C1073&amp;"*")&gt;1,"NIK ganda",IF($E1073="","Kadus kosong",IF($F1073="","RT kosong",IF($H1073="","Jabatan kosong",IF($I1073="","No. HP kosong",IF($J1073="","Alamat kosong",IF(AND($M1073&lt;&gt;"",$M1073&lt;17),"Usia di bawah 17",""))))))))))</f>
        <v/>
      </c>
      <c r="U1073" s="40" t="str">
        <f aca="false">IF($B1073="","",IF(AND(OR(CARI!$C$5="",ISNUMBER(SEARCH(CARI!$C$5,$B1073&amp;" "&amp;$C1073&amp;" "&amp;$I1073&amp;" "&amp;$J1073&amp;" "&amp;$Q1073))),OR(CARI!$C$6="",$E1073=CARI!$C$6),OR(CARI!$C$7="",$F1073=CARI!$C$7),OR(CARI!$C$8="",$O1073=CARI!$C$8)),MAX($U$3:U1072)+1,""))</f>
        <v/>
      </c>
      <c r="V1073" s="40" t="str">
        <f aca="false">IF($T1073="","",MAX($V$3:V1072)+1)</f>
        <v/>
      </c>
      <c r="W1073" s="40" t="str">
        <f aca="false">IF($E1073="","",$E1073&amp;"#"&amp;COUNTIF($E$4:$E1073,$E1073))</f>
        <v/>
      </c>
      <c r="X1073" s="40" t="str">
        <f aca="false">IF($B1073="","",IF(AND(OR(CETAK!$J$10="",$E1073=CETAK!$J$10),OR(CETAK!$J$11="",$F1073=CETAK!$J$11),OR(CETAK!$J$12="",$K1073=CETAK!$J$12),OR(CETAK!$J$13="",$H1073=CETAK!$J$13),OR(CETAK!$J$14="",$O1073=CETAK!$J$14)),MAX($X$3:X1072)+1,""))</f>
        <v/>
      </c>
      <c r="Y1073" s="40" t="str">
        <f aca="false">IF($B1073="","",IF(AND(OR(ABSENSI!$H$10="",$E1073=ABSENSI!$H$10),OR(ABSENSI!$H$11="",$F1073=ABSENSI!$H$11),OR(ABSENSI!$H$12="",$K1073=ABSENSI!$H$12)),MAX($Y$3:Y1072)+1,""))</f>
        <v/>
      </c>
      <c r="Z1073" s="40" t="str">
        <f aca="false">IF($B1073="","",IF(AND(OR(KARTU!$K$6="",$E1073=KARTU!$K$6),OR(KARTU!$K$7="",$F1073=KARTU!$K$7),OR(KARTU!$K$8="",$K1073=KARTU!$K$8)),MAX($Z$3:Z1072)+1,""))</f>
        <v/>
      </c>
    </row>
    <row r="1074" customFormat="false" ht="15" hidden="false" customHeight="false" outlineLevel="0" collapsed="false">
      <c r="A1074" s="36" t="str">
        <f aca="false">IF($B1074="","",COUNTA($B$4:$B1074))</f>
        <v/>
      </c>
      <c r="B1074" s="37"/>
      <c r="C1074" s="38"/>
      <c r="D1074" s="39"/>
      <c r="E1074" s="37"/>
      <c r="F1074" s="39"/>
      <c r="G1074" s="40" t="str">
        <f aca="false">IF(OR($E1074="",$F1074=""),"",$E1074&amp;" - RT "&amp;$F1074)</f>
        <v/>
      </c>
      <c r="H1074" s="37"/>
      <c r="I1074" s="38"/>
      <c r="J1074" s="37"/>
      <c r="K1074" s="39"/>
      <c r="L1074" s="41"/>
      <c r="M1074" s="36" t="str">
        <f aca="true">IF(OR($B1074="",$L1074=""),"",DATEDIF($L1074,TODAY(),"Y"))</f>
        <v/>
      </c>
      <c r="N1074" s="40" t="str">
        <f aca="false">IF($M1074="","",INDEX(usia_label,MATCH($M1074,usia_min,1)))</f>
        <v/>
      </c>
      <c r="O1074" s="37"/>
      <c r="P1074" s="41"/>
      <c r="Q1074" s="37"/>
      <c r="R1074" s="37"/>
      <c r="S1074" s="40" t="str">
        <f aca="false">IF($G1074="","",$G1074&amp;"#"&amp;COUNTIF($G$4:$G1074,$G1074))</f>
        <v/>
      </c>
      <c r="T1074" s="40" t="str">
        <f aca="false">IF($B1074="","",IF($C1074="","NIK kosong",IF(LEN($C1074)&lt;&gt;16,"NIK bukan 16 digit",IF(COUNTIF($C$4:$C$2003,$C1074&amp;"*")&gt;1,"NIK ganda",IF($E1074="","Kadus kosong",IF($F1074="","RT kosong",IF($H1074="","Jabatan kosong",IF($I1074="","No. HP kosong",IF($J1074="","Alamat kosong",IF(AND($M1074&lt;&gt;"",$M1074&lt;17),"Usia di bawah 17",""))))))))))</f>
        <v/>
      </c>
      <c r="U1074" s="40" t="str">
        <f aca="false">IF($B1074="","",IF(AND(OR(CARI!$C$5="",ISNUMBER(SEARCH(CARI!$C$5,$B1074&amp;" "&amp;$C1074&amp;" "&amp;$I1074&amp;" "&amp;$J1074&amp;" "&amp;$Q1074))),OR(CARI!$C$6="",$E1074=CARI!$C$6),OR(CARI!$C$7="",$F1074=CARI!$C$7),OR(CARI!$C$8="",$O1074=CARI!$C$8)),MAX($U$3:U1073)+1,""))</f>
        <v/>
      </c>
      <c r="V1074" s="40" t="str">
        <f aca="false">IF($T1074="","",MAX($V$3:V1073)+1)</f>
        <v/>
      </c>
      <c r="W1074" s="40" t="str">
        <f aca="false">IF($E1074="","",$E1074&amp;"#"&amp;COUNTIF($E$4:$E1074,$E1074))</f>
        <v/>
      </c>
      <c r="X1074" s="40" t="str">
        <f aca="false">IF($B1074="","",IF(AND(OR(CETAK!$J$10="",$E1074=CETAK!$J$10),OR(CETAK!$J$11="",$F1074=CETAK!$J$11),OR(CETAK!$J$12="",$K1074=CETAK!$J$12),OR(CETAK!$J$13="",$H1074=CETAK!$J$13),OR(CETAK!$J$14="",$O1074=CETAK!$J$14)),MAX($X$3:X1073)+1,""))</f>
        <v/>
      </c>
      <c r="Y1074" s="40" t="str">
        <f aca="false">IF($B1074="","",IF(AND(OR(ABSENSI!$H$10="",$E1074=ABSENSI!$H$10),OR(ABSENSI!$H$11="",$F1074=ABSENSI!$H$11),OR(ABSENSI!$H$12="",$K1074=ABSENSI!$H$12)),MAX($Y$3:Y1073)+1,""))</f>
        <v/>
      </c>
      <c r="Z1074" s="40" t="str">
        <f aca="false">IF($B1074="","",IF(AND(OR(KARTU!$K$6="",$E1074=KARTU!$K$6),OR(KARTU!$K$7="",$F1074=KARTU!$K$7),OR(KARTU!$K$8="",$K1074=KARTU!$K$8)),MAX($Z$3:Z1073)+1,""))</f>
        <v/>
      </c>
    </row>
    <row r="1075" customFormat="false" ht="15" hidden="false" customHeight="false" outlineLevel="0" collapsed="false">
      <c r="A1075" s="36" t="str">
        <f aca="false">IF($B1075="","",COUNTA($B$4:$B1075))</f>
        <v/>
      </c>
      <c r="B1075" s="37"/>
      <c r="C1075" s="38"/>
      <c r="D1075" s="39"/>
      <c r="E1075" s="37"/>
      <c r="F1075" s="39"/>
      <c r="G1075" s="40" t="str">
        <f aca="false">IF(OR($E1075="",$F1075=""),"",$E1075&amp;" - RT "&amp;$F1075)</f>
        <v/>
      </c>
      <c r="H1075" s="37"/>
      <c r="I1075" s="38"/>
      <c r="J1075" s="37"/>
      <c r="K1075" s="39"/>
      <c r="L1075" s="41"/>
      <c r="M1075" s="36" t="str">
        <f aca="true">IF(OR($B1075="",$L1075=""),"",DATEDIF($L1075,TODAY(),"Y"))</f>
        <v/>
      </c>
      <c r="N1075" s="40" t="str">
        <f aca="false">IF($M1075="","",INDEX(usia_label,MATCH($M1075,usia_min,1)))</f>
        <v/>
      </c>
      <c r="O1075" s="37"/>
      <c r="P1075" s="41"/>
      <c r="Q1075" s="37"/>
      <c r="R1075" s="37"/>
      <c r="S1075" s="40" t="str">
        <f aca="false">IF($G1075="","",$G1075&amp;"#"&amp;COUNTIF($G$4:$G1075,$G1075))</f>
        <v/>
      </c>
      <c r="T1075" s="40" t="str">
        <f aca="false">IF($B1075="","",IF($C1075="","NIK kosong",IF(LEN($C1075)&lt;&gt;16,"NIK bukan 16 digit",IF(COUNTIF($C$4:$C$2003,$C1075&amp;"*")&gt;1,"NIK ganda",IF($E1075="","Kadus kosong",IF($F1075="","RT kosong",IF($H1075="","Jabatan kosong",IF($I1075="","No. HP kosong",IF($J1075="","Alamat kosong",IF(AND($M1075&lt;&gt;"",$M1075&lt;17),"Usia di bawah 17",""))))))))))</f>
        <v/>
      </c>
      <c r="U1075" s="40" t="str">
        <f aca="false">IF($B1075="","",IF(AND(OR(CARI!$C$5="",ISNUMBER(SEARCH(CARI!$C$5,$B1075&amp;" "&amp;$C1075&amp;" "&amp;$I1075&amp;" "&amp;$J1075&amp;" "&amp;$Q1075))),OR(CARI!$C$6="",$E1075=CARI!$C$6),OR(CARI!$C$7="",$F1075=CARI!$C$7),OR(CARI!$C$8="",$O1075=CARI!$C$8)),MAX($U$3:U1074)+1,""))</f>
        <v/>
      </c>
      <c r="V1075" s="40" t="str">
        <f aca="false">IF($T1075="","",MAX($V$3:V1074)+1)</f>
        <v/>
      </c>
      <c r="W1075" s="40" t="str">
        <f aca="false">IF($E1075="","",$E1075&amp;"#"&amp;COUNTIF($E$4:$E1075,$E1075))</f>
        <v/>
      </c>
      <c r="X1075" s="40" t="str">
        <f aca="false">IF($B1075="","",IF(AND(OR(CETAK!$J$10="",$E1075=CETAK!$J$10),OR(CETAK!$J$11="",$F1075=CETAK!$J$11),OR(CETAK!$J$12="",$K1075=CETAK!$J$12),OR(CETAK!$J$13="",$H1075=CETAK!$J$13),OR(CETAK!$J$14="",$O1075=CETAK!$J$14)),MAX($X$3:X1074)+1,""))</f>
        <v/>
      </c>
      <c r="Y1075" s="40" t="str">
        <f aca="false">IF($B1075="","",IF(AND(OR(ABSENSI!$H$10="",$E1075=ABSENSI!$H$10),OR(ABSENSI!$H$11="",$F1075=ABSENSI!$H$11),OR(ABSENSI!$H$12="",$K1075=ABSENSI!$H$12)),MAX($Y$3:Y1074)+1,""))</f>
        <v/>
      </c>
      <c r="Z1075" s="40" t="str">
        <f aca="false">IF($B1075="","",IF(AND(OR(KARTU!$K$6="",$E1075=KARTU!$K$6),OR(KARTU!$K$7="",$F1075=KARTU!$K$7),OR(KARTU!$K$8="",$K1075=KARTU!$K$8)),MAX($Z$3:Z1074)+1,""))</f>
        <v/>
      </c>
    </row>
    <row r="1076" customFormat="false" ht="15" hidden="false" customHeight="false" outlineLevel="0" collapsed="false">
      <c r="A1076" s="36" t="str">
        <f aca="false">IF($B1076="","",COUNTA($B$4:$B1076))</f>
        <v/>
      </c>
      <c r="B1076" s="37"/>
      <c r="C1076" s="38"/>
      <c r="D1076" s="39"/>
      <c r="E1076" s="37"/>
      <c r="F1076" s="39"/>
      <c r="G1076" s="40" t="str">
        <f aca="false">IF(OR($E1076="",$F1076=""),"",$E1076&amp;" - RT "&amp;$F1076)</f>
        <v/>
      </c>
      <c r="H1076" s="37"/>
      <c r="I1076" s="38"/>
      <c r="J1076" s="37"/>
      <c r="K1076" s="39"/>
      <c r="L1076" s="41"/>
      <c r="M1076" s="36" t="str">
        <f aca="true">IF(OR($B1076="",$L1076=""),"",DATEDIF($L1076,TODAY(),"Y"))</f>
        <v/>
      </c>
      <c r="N1076" s="40" t="str">
        <f aca="false">IF($M1076="","",INDEX(usia_label,MATCH($M1076,usia_min,1)))</f>
        <v/>
      </c>
      <c r="O1076" s="37"/>
      <c r="P1076" s="41"/>
      <c r="Q1076" s="37"/>
      <c r="R1076" s="37"/>
      <c r="S1076" s="40" t="str">
        <f aca="false">IF($G1076="","",$G1076&amp;"#"&amp;COUNTIF($G$4:$G1076,$G1076))</f>
        <v/>
      </c>
      <c r="T1076" s="40" t="str">
        <f aca="false">IF($B1076="","",IF($C1076="","NIK kosong",IF(LEN($C1076)&lt;&gt;16,"NIK bukan 16 digit",IF(COUNTIF($C$4:$C$2003,$C1076&amp;"*")&gt;1,"NIK ganda",IF($E1076="","Kadus kosong",IF($F1076="","RT kosong",IF($H1076="","Jabatan kosong",IF($I1076="","No. HP kosong",IF($J1076="","Alamat kosong",IF(AND($M1076&lt;&gt;"",$M1076&lt;17),"Usia di bawah 17",""))))))))))</f>
        <v/>
      </c>
      <c r="U1076" s="40" t="str">
        <f aca="false">IF($B1076="","",IF(AND(OR(CARI!$C$5="",ISNUMBER(SEARCH(CARI!$C$5,$B1076&amp;" "&amp;$C1076&amp;" "&amp;$I1076&amp;" "&amp;$J1076&amp;" "&amp;$Q1076))),OR(CARI!$C$6="",$E1076=CARI!$C$6),OR(CARI!$C$7="",$F1076=CARI!$C$7),OR(CARI!$C$8="",$O1076=CARI!$C$8)),MAX($U$3:U1075)+1,""))</f>
        <v/>
      </c>
      <c r="V1076" s="40" t="str">
        <f aca="false">IF($T1076="","",MAX($V$3:V1075)+1)</f>
        <v/>
      </c>
      <c r="W1076" s="40" t="str">
        <f aca="false">IF($E1076="","",$E1076&amp;"#"&amp;COUNTIF($E$4:$E1076,$E1076))</f>
        <v/>
      </c>
      <c r="X1076" s="40" t="str">
        <f aca="false">IF($B1076="","",IF(AND(OR(CETAK!$J$10="",$E1076=CETAK!$J$10),OR(CETAK!$J$11="",$F1076=CETAK!$J$11),OR(CETAK!$J$12="",$K1076=CETAK!$J$12),OR(CETAK!$J$13="",$H1076=CETAK!$J$13),OR(CETAK!$J$14="",$O1076=CETAK!$J$14)),MAX($X$3:X1075)+1,""))</f>
        <v/>
      </c>
      <c r="Y1076" s="40" t="str">
        <f aca="false">IF($B1076="","",IF(AND(OR(ABSENSI!$H$10="",$E1076=ABSENSI!$H$10),OR(ABSENSI!$H$11="",$F1076=ABSENSI!$H$11),OR(ABSENSI!$H$12="",$K1076=ABSENSI!$H$12)),MAX($Y$3:Y1075)+1,""))</f>
        <v/>
      </c>
      <c r="Z1076" s="40" t="str">
        <f aca="false">IF($B1076="","",IF(AND(OR(KARTU!$K$6="",$E1076=KARTU!$K$6),OR(KARTU!$K$7="",$F1076=KARTU!$K$7),OR(KARTU!$K$8="",$K1076=KARTU!$K$8)),MAX($Z$3:Z1075)+1,""))</f>
        <v/>
      </c>
    </row>
    <row r="1077" customFormat="false" ht="15" hidden="false" customHeight="false" outlineLevel="0" collapsed="false">
      <c r="A1077" s="36" t="str">
        <f aca="false">IF($B1077="","",COUNTA($B$4:$B1077))</f>
        <v/>
      </c>
      <c r="B1077" s="37"/>
      <c r="C1077" s="38"/>
      <c r="D1077" s="39"/>
      <c r="E1077" s="37"/>
      <c r="F1077" s="39"/>
      <c r="G1077" s="40" t="str">
        <f aca="false">IF(OR($E1077="",$F1077=""),"",$E1077&amp;" - RT "&amp;$F1077)</f>
        <v/>
      </c>
      <c r="H1077" s="37"/>
      <c r="I1077" s="38"/>
      <c r="J1077" s="37"/>
      <c r="K1077" s="39"/>
      <c r="L1077" s="41"/>
      <c r="M1077" s="36" t="str">
        <f aca="true">IF(OR($B1077="",$L1077=""),"",DATEDIF($L1077,TODAY(),"Y"))</f>
        <v/>
      </c>
      <c r="N1077" s="40" t="str">
        <f aca="false">IF($M1077="","",INDEX(usia_label,MATCH($M1077,usia_min,1)))</f>
        <v/>
      </c>
      <c r="O1077" s="37"/>
      <c r="P1077" s="41"/>
      <c r="Q1077" s="37"/>
      <c r="R1077" s="37"/>
      <c r="S1077" s="40" t="str">
        <f aca="false">IF($G1077="","",$G1077&amp;"#"&amp;COUNTIF($G$4:$G1077,$G1077))</f>
        <v/>
      </c>
      <c r="T1077" s="40" t="str">
        <f aca="false">IF($B1077="","",IF($C1077="","NIK kosong",IF(LEN($C1077)&lt;&gt;16,"NIK bukan 16 digit",IF(COUNTIF($C$4:$C$2003,$C1077&amp;"*")&gt;1,"NIK ganda",IF($E1077="","Kadus kosong",IF($F1077="","RT kosong",IF($H1077="","Jabatan kosong",IF($I1077="","No. HP kosong",IF($J1077="","Alamat kosong",IF(AND($M1077&lt;&gt;"",$M1077&lt;17),"Usia di bawah 17",""))))))))))</f>
        <v/>
      </c>
      <c r="U1077" s="40" t="str">
        <f aca="false">IF($B1077="","",IF(AND(OR(CARI!$C$5="",ISNUMBER(SEARCH(CARI!$C$5,$B1077&amp;" "&amp;$C1077&amp;" "&amp;$I1077&amp;" "&amp;$J1077&amp;" "&amp;$Q1077))),OR(CARI!$C$6="",$E1077=CARI!$C$6),OR(CARI!$C$7="",$F1077=CARI!$C$7),OR(CARI!$C$8="",$O1077=CARI!$C$8)),MAX($U$3:U1076)+1,""))</f>
        <v/>
      </c>
      <c r="V1077" s="40" t="str">
        <f aca="false">IF($T1077="","",MAX($V$3:V1076)+1)</f>
        <v/>
      </c>
      <c r="W1077" s="40" t="str">
        <f aca="false">IF($E1077="","",$E1077&amp;"#"&amp;COUNTIF($E$4:$E1077,$E1077))</f>
        <v/>
      </c>
      <c r="X1077" s="40" t="str">
        <f aca="false">IF($B1077="","",IF(AND(OR(CETAK!$J$10="",$E1077=CETAK!$J$10),OR(CETAK!$J$11="",$F1077=CETAK!$J$11),OR(CETAK!$J$12="",$K1077=CETAK!$J$12),OR(CETAK!$J$13="",$H1077=CETAK!$J$13),OR(CETAK!$J$14="",$O1077=CETAK!$J$14)),MAX($X$3:X1076)+1,""))</f>
        <v/>
      </c>
      <c r="Y1077" s="40" t="str">
        <f aca="false">IF($B1077="","",IF(AND(OR(ABSENSI!$H$10="",$E1077=ABSENSI!$H$10),OR(ABSENSI!$H$11="",$F1077=ABSENSI!$H$11),OR(ABSENSI!$H$12="",$K1077=ABSENSI!$H$12)),MAX($Y$3:Y1076)+1,""))</f>
        <v/>
      </c>
      <c r="Z1077" s="40" t="str">
        <f aca="false">IF($B1077="","",IF(AND(OR(KARTU!$K$6="",$E1077=KARTU!$K$6),OR(KARTU!$K$7="",$F1077=KARTU!$K$7),OR(KARTU!$K$8="",$K1077=KARTU!$K$8)),MAX($Z$3:Z1076)+1,""))</f>
        <v/>
      </c>
    </row>
    <row r="1078" customFormat="false" ht="15" hidden="false" customHeight="false" outlineLevel="0" collapsed="false">
      <c r="A1078" s="36" t="str">
        <f aca="false">IF($B1078="","",COUNTA($B$4:$B1078))</f>
        <v/>
      </c>
      <c r="B1078" s="37"/>
      <c r="C1078" s="38"/>
      <c r="D1078" s="39"/>
      <c r="E1078" s="37"/>
      <c r="F1078" s="39"/>
      <c r="G1078" s="40" t="str">
        <f aca="false">IF(OR($E1078="",$F1078=""),"",$E1078&amp;" - RT "&amp;$F1078)</f>
        <v/>
      </c>
      <c r="H1078" s="37"/>
      <c r="I1078" s="38"/>
      <c r="J1078" s="37"/>
      <c r="K1078" s="39"/>
      <c r="L1078" s="41"/>
      <c r="M1078" s="36" t="str">
        <f aca="true">IF(OR($B1078="",$L1078=""),"",DATEDIF($L1078,TODAY(),"Y"))</f>
        <v/>
      </c>
      <c r="N1078" s="40" t="str">
        <f aca="false">IF($M1078="","",INDEX(usia_label,MATCH($M1078,usia_min,1)))</f>
        <v/>
      </c>
      <c r="O1078" s="37"/>
      <c r="P1078" s="41"/>
      <c r="Q1078" s="37"/>
      <c r="R1078" s="37"/>
      <c r="S1078" s="40" t="str">
        <f aca="false">IF($G1078="","",$G1078&amp;"#"&amp;COUNTIF($G$4:$G1078,$G1078))</f>
        <v/>
      </c>
      <c r="T1078" s="40" t="str">
        <f aca="false">IF($B1078="","",IF($C1078="","NIK kosong",IF(LEN($C1078)&lt;&gt;16,"NIK bukan 16 digit",IF(COUNTIF($C$4:$C$2003,$C1078&amp;"*")&gt;1,"NIK ganda",IF($E1078="","Kadus kosong",IF($F1078="","RT kosong",IF($H1078="","Jabatan kosong",IF($I1078="","No. HP kosong",IF($J1078="","Alamat kosong",IF(AND($M1078&lt;&gt;"",$M1078&lt;17),"Usia di bawah 17",""))))))))))</f>
        <v/>
      </c>
      <c r="U1078" s="40" t="str">
        <f aca="false">IF($B1078="","",IF(AND(OR(CARI!$C$5="",ISNUMBER(SEARCH(CARI!$C$5,$B1078&amp;" "&amp;$C1078&amp;" "&amp;$I1078&amp;" "&amp;$J1078&amp;" "&amp;$Q1078))),OR(CARI!$C$6="",$E1078=CARI!$C$6),OR(CARI!$C$7="",$F1078=CARI!$C$7),OR(CARI!$C$8="",$O1078=CARI!$C$8)),MAX($U$3:U1077)+1,""))</f>
        <v/>
      </c>
      <c r="V1078" s="40" t="str">
        <f aca="false">IF($T1078="","",MAX($V$3:V1077)+1)</f>
        <v/>
      </c>
      <c r="W1078" s="40" t="str">
        <f aca="false">IF($E1078="","",$E1078&amp;"#"&amp;COUNTIF($E$4:$E1078,$E1078))</f>
        <v/>
      </c>
      <c r="X1078" s="40" t="str">
        <f aca="false">IF($B1078="","",IF(AND(OR(CETAK!$J$10="",$E1078=CETAK!$J$10),OR(CETAK!$J$11="",$F1078=CETAK!$J$11),OR(CETAK!$J$12="",$K1078=CETAK!$J$12),OR(CETAK!$J$13="",$H1078=CETAK!$J$13),OR(CETAK!$J$14="",$O1078=CETAK!$J$14)),MAX($X$3:X1077)+1,""))</f>
        <v/>
      </c>
      <c r="Y1078" s="40" t="str">
        <f aca="false">IF($B1078="","",IF(AND(OR(ABSENSI!$H$10="",$E1078=ABSENSI!$H$10),OR(ABSENSI!$H$11="",$F1078=ABSENSI!$H$11),OR(ABSENSI!$H$12="",$K1078=ABSENSI!$H$12)),MAX($Y$3:Y1077)+1,""))</f>
        <v/>
      </c>
      <c r="Z1078" s="40" t="str">
        <f aca="false">IF($B1078="","",IF(AND(OR(KARTU!$K$6="",$E1078=KARTU!$K$6),OR(KARTU!$K$7="",$F1078=KARTU!$K$7),OR(KARTU!$K$8="",$K1078=KARTU!$K$8)),MAX($Z$3:Z1077)+1,""))</f>
        <v/>
      </c>
    </row>
    <row r="1079" customFormat="false" ht="15" hidden="false" customHeight="false" outlineLevel="0" collapsed="false">
      <c r="A1079" s="36" t="str">
        <f aca="false">IF($B1079="","",COUNTA($B$4:$B1079))</f>
        <v/>
      </c>
      <c r="B1079" s="37"/>
      <c r="C1079" s="38"/>
      <c r="D1079" s="39"/>
      <c r="E1079" s="37"/>
      <c r="F1079" s="39"/>
      <c r="G1079" s="40" t="str">
        <f aca="false">IF(OR($E1079="",$F1079=""),"",$E1079&amp;" - RT "&amp;$F1079)</f>
        <v/>
      </c>
      <c r="H1079" s="37"/>
      <c r="I1079" s="38"/>
      <c r="J1079" s="37"/>
      <c r="K1079" s="39"/>
      <c r="L1079" s="41"/>
      <c r="M1079" s="36" t="str">
        <f aca="true">IF(OR($B1079="",$L1079=""),"",DATEDIF($L1079,TODAY(),"Y"))</f>
        <v/>
      </c>
      <c r="N1079" s="40" t="str">
        <f aca="false">IF($M1079="","",INDEX(usia_label,MATCH($M1079,usia_min,1)))</f>
        <v/>
      </c>
      <c r="O1079" s="37"/>
      <c r="P1079" s="41"/>
      <c r="Q1079" s="37"/>
      <c r="R1079" s="37"/>
      <c r="S1079" s="40" t="str">
        <f aca="false">IF($G1079="","",$G1079&amp;"#"&amp;COUNTIF($G$4:$G1079,$G1079))</f>
        <v/>
      </c>
      <c r="T1079" s="40" t="str">
        <f aca="false">IF($B1079="","",IF($C1079="","NIK kosong",IF(LEN($C1079)&lt;&gt;16,"NIK bukan 16 digit",IF(COUNTIF($C$4:$C$2003,$C1079&amp;"*")&gt;1,"NIK ganda",IF($E1079="","Kadus kosong",IF($F1079="","RT kosong",IF($H1079="","Jabatan kosong",IF($I1079="","No. HP kosong",IF($J1079="","Alamat kosong",IF(AND($M1079&lt;&gt;"",$M1079&lt;17),"Usia di bawah 17",""))))))))))</f>
        <v/>
      </c>
      <c r="U1079" s="40" t="str">
        <f aca="false">IF($B1079="","",IF(AND(OR(CARI!$C$5="",ISNUMBER(SEARCH(CARI!$C$5,$B1079&amp;" "&amp;$C1079&amp;" "&amp;$I1079&amp;" "&amp;$J1079&amp;" "&amp;$Q1079))),OR(CARI!$C$6="",$E1079=CARI!$C$6),OR(CARI!$C$7="",$F1079=CARI!$C$7),OR(CARI!$C$8="",$O1079=CARI!$C$8)),MAX($U$3:U1078)+1,""))</f>
        <v/>
      </c>
      <c r="V1079" s="40" t="str">
        <f aca="false">IF($T1079="","",MAX($V$3:V1078)+1)</f>
        <v/>
      </c>
      <c r="W1079" s="40" t="str">
        <f aca="false">IF($E1079="","",$E1079&amp;"#"&amp;COUNTIF($E$4:$E1079,$E1079))</f>
        <v/>
      </c>
      <c r="X1079" s="40" t="str">
        <f aca="false">IF($B1079="","",IF(AND(OR(CETAK!$J$10="",$E1079=CETAK!$J$10),OR(CETAK!$J$11="",$F1079=CETAK!$J$11),OR(CETAK!$J$12="",$K1079=CETAK!$J$12),OR(CETAK!$J$13="",$H1079=CETAK!$J$13),OR(CETAK!$J$14="",$O1079=CETAK!$J$14)),MAX($X$3:X1078)+1,""))</f>
        <v/>
      </c>
      <c r="Y1079" s="40" t="str">
        <f aca="false">IF($B1079="","",IF(AND(OR(ABSENSI!$H$10="",$E1079=ABSENSI!$H$10),OR(ABSENSI!$H$11="",$F1079=ABSENSI!$H$11),OR(ABSENSI!$H$12="",$K1079=ABSENSI!$H$12)),MAX($Y$3:Y1078)+1,""))</f>
        <v/>
      </c>
      <c r="Z1079" s="40" t="str">
        <f aca="false">IF($B1079="","",IF(AND(OR(KARTU!$K$6="",$E1079=KARTU!$K$6),OR(KARTU!$K$7="",$F1079=KARTU!$K$7),OR(KARTU!$K$8="",$K1079=KARTU!$K$8)),MAX($Z$3:Z1078)+1,""))</f>
        <v/>
      </c>
    </row>
    <row r="1080" customFormat="false" ht="15" hidden="false" customHeight="false" outlineLevel="0" collapsed="false">
      <c r="A1080" s="36" t="str">
        <f aca="false">IF($B1080="","",COUNTA($B$4:$B1080))</f>
        <v/>
      </c>
      <c r="B1080" s="37"/>
      <c r="C1080" s="38"/>
      <c r="D1080" s="39"/>
      <c r="E1080" s="37"/>
      <c r="F1080" s="39"/>
      <c r="G1080" s="40" t="str">
        <f aca="false">IF(OR($E1080="",$F1080=""),"",$E1080&amp;" - RT "&amp;$F1080)</f>
        <v/>
      </c>
      <c r="H1080" s="37"/>
      <c r="I1080" s="38"/>
      <c r="J1080" s="37"/>
      <c r="K1080" s="39"/>
      <c r="L1080" s="41"/>
      <c r="M1080" s="36" t="str">
        <f aca="true">IF(OR($B1080="",$L1080=""),"",DATEDIF($L1080,TODAY(),"Y"))</f>
        <v/>
      </c>
      <c r="N1080" s="40" t="str">
        <f aca="false">IF($M1080="","",INDEX(usia_label,MATCH($M1080,usia_min,1)))</f>
        <v/>
      </c>
      <c r="O1080" s="37"/>
      <c r="P1080" s="41"/>
      <c r="Q1080" s="37"/>
      <c r="R1080" s="37"/>
      <c r="S1080" s="40" t="str">
        <f aca="false">IF($G1080="","",$G1080&amp;"#"&amp;COUNTIF($G$4:$G1080,$G1080))</f>
        <v/>
      </c>
      <c r="T1080" s="40" t="str">
        <f aca="false">IF($B1080="","",IF($C1080="","NIK kosong",IF(LEN($C1080)&lt;&gt;16,"NIK bukan 16 digit",IF(COUNTIF($C$4:$C$2003,$C1080&amp;"*")&gt;1,"NIK ganda",IF($E1080="","Kadus kosong",IF($F1080="","RT kosong",IF($H1080="","Jabatan kosong",IF($I1080="","No. HP kosong",IF($J1080="","Alamat kosong",IF(AND($M1080&lt;&gt;"",$M1080&lt;17),"Usia di bawah 17",""))))))))))</f>
        <v/>
      </c>
      <c r="U1080" s="40" t="str">
        <f aca="false">IF($B1080="","",IF(AND(OR(CARI!$C$5="",ISNUMBER(SEARCH(CARI!$C$5,$B1080&amp;" "&amp;$C1080&amp;" "&amp;$I1080&amp;" "&amp;$J1080&amp;" "&amp;$Q1080))),OR(CARI!$C$6="",$E1080=CARI!$C$6),OR(CARI!$C$7="",$F1080=CARI!$C$7),OR(CARI!$C$8="",$O1080=CARI!$C$8)),MAX($U$3:U1079)+1,""))</f>
        <v/>
      </c>
      <c r="V1080" s="40" t="str">
        <f aca="false">IF($T1080="","",MAX($V$3:V1079)+1)</f>
        <v/>
      </c>
      <c r="W1080" s="40" t="str">
        <f aca="false">IF($E1080="","",$E1080&amp;"#"&amp;COUNTIF($E$4:$E1080,$E1080))</f>
        <v/>
      </c>
      <c r="X1080" s="40" t="str">
        <f aca="false">IF($B1080="","",IF(AND(OR(CETAK!$J$10="",$E1080=CETAK!$J$10),OR(CETAK!$J$11="",$F1080=CETAK!$J$11),OR(CETAK!$J$12="",$K1080=CETAK!$J$12),OR(CETAK!$J$13="",$H1080=CETAK!$J$13),OR(CETAK!$J$14="",$O1080=CETAK!$J$14)),MAX($X$3:X1079)+1,""))</f>
        <v/>
      </c>
      <c r="Y1080" s="40" t="str">
        <f aca="false">IF($B1080="","",IF(AND(OR(ABSENSI!$H$10="",$E1080=ABSENSI!$H$10),OR(ABSENSI!$H$11="",$F1080=ABSENSI!$H$11),OR(ABSENSI!$H$12="",$K1080=ABSENSI!$H$12)),MAX($Y$3:Y1079)+1,""))</f>
        <v/>
      </c>
      <c r="Z1080" s="40" t="str">
        <f aca="false">IF($B1080="","",IF(AND(OR(KARTU!$K$6="",$E1080=KARTU!$K$6),OR(KARTU!$K$7="",$F1080=KARTU!$K$7),OR(KARTU!$K$8="",$K1080=KARTU!$K$8)),MAX($Z$3:Z1079)+1,""))</f>
        <v/>
      </c>
    </row>
    <row r="1081" customFormat="false" ht="15" hidden="false" customHeight="false" outlineLevel="0" collapsed="false">
      <c r="A1081" s="36" t="str">
        <f aca="false">IF($B1081="","",COUNTA($B$4:$B1081))</f>
        <v/>
      </c>
      <c r="B1081" s="37"/>
      <c r="C1081" s="38"/>
      <c r="D1081" s="39"/>
      <c r="E1081" s="37"/>
      <c r="F1081" s="39"/>
      <c r="G1081" s="40" t="str">
        <f aca="false">IF(OR($E1081="",$F1081=""),"",$E1081&amp;" - RT "&amp;$F1081)</f>
        <v/>
      </c>
      <c r="H1081" s="37"/>
      <c r="I1081" s="38"/>
      <c r="J1081" s="37"/>
      <c r="K1081" s="39"/>
      <c r="L1081" s="41"/>
      <c r="M1081" s="36" t="str">
        <f aca="true">IF(OR($B1081="",$L1081=""),"",DATEDIF($L1081,TODAY(),"Y"))</f>
        <v/>
      </c>
      <c r="N1081" s="40" t="str">
        <f aca="false">IF($M1081="","",INDEX(usia_label,MATCH($M1081,usia_min,1)))</f>
        <v/>
      </c>
      <c r="O1081" s="37"/>
      <c r="P1081" s="41"/>
      <c r="Q1081" s="37"/>
      <c r="R1081" s="37"/>
      <c r="S1081" s="40" t="str">
        <f aca="false">IF($G1081="","",$G1081&amp;"#"&amp;COUNTIF($G$4:$G1081,$G1081))</f>
        <v/>
      </c>
      <c r="T1081" s="40" t="str">
        <f aca="false">IF($B1081="","",IF($C1081="","NIK kosong",IF(LEN($C1081)&lt;&gt;16,"NIK bukan 16 digit",IF(COUNTIF($C$4:$C$2003,$C1081&amp;"*")&gt;1,"NIK ganda",IF($E1081="","Kadus kosong",IF($F1081="","RT kosong",IF($H1081="","Jabatan kosong",IF($I1081="","No. HP kosong",IF($J1081="","Alamat kosong",IF(AND($M1081&lt;&gt;"",$M1081&lt;17),"Usia di bawah 17",""))))))))))</f>
        <v/>
      </c>
      <c r="U1081" s="40" t="str">
        <f aca="false">IF($B1081="","",IF(AND(OR(CARI!$C$5="",ISNUMBER(SEARCH(CARI!$C$5,$B1081&amp;" "&amp;$C1081&amp;" "&amp;$I1081&amp;" "&amp;$J1081&amp;" "&amp;$Q1081))),OR(CARI!$C$6="",$E1081=CARI!$C$6),OR(CARI!$C$7="",$F1081=CARI!$C$7),OR(CARI!$C$8="",$O1081=CARI!$C$8)),MAX($U$3:U1080)+1,""))</f>
        <v/>
      </c>
      <c r="V1081" s="40" t="str">
        <f aca="false">IF($T1081="","",MAX($V$3:V1080)+1)</f>
        <v/>
      </c>
      <c r="W1081" s="40" t="str">
        <f aca="false">IF($E1081="","",$E1081&amp;"#"&amp;COUNTIF($E$4:$E1081,$E1081))</f>
        <v/>
      </c>
      <c r="X1081" s="40" t="str">
        <f aca="false">IF($B1081="","",IF(AND(OR(CETAK!$J$10="",$E1081=CETAK!$J$10),OR(CETAK!$J$11="",$F1081=CETAK!$J$11),OR(CETAK!$J$12="",$K1081=CETAK!$J$12),OR(CETAK!$J$13="",$H1081=CETAK!$J$13),OR(CETAK!$J$14="",$O1081=CETAK!$J$14)),MAX($X$3:X1080)+1,""))</f>
        <v/>
      </c>
      <c r="Y1081" s="40" t="str">
        <f aca="false">IF($B1081="","",IF(AND(OR(ABSENSI!$H$10="",$E1081=ABSENSI!$H$10),OR(ABSENSI!$H$11="",$F1081=ABSENSI!$H$11),OR(ABSENSI!$H$12="",$K1081=ABSENSI!$H$12)),MAX($Y$3:Y1080)+1,""))</f>
        <v/>
      </c>
      <c r="Z1081" s="40" t="str">
        <f aca="false">IF($B1081="","",IF(AND(OR(KARTU!$K$6="",$E1081=KARTU!$K$6),OR(KARTU!$K$7="",$F1081=KARTU!$K$7),OR(KARTU!$K$8="",$K1081=KARTU!$K$8)),MAX($Z$3:Z1080)+1,""))</f>
        <v/>
      </c>
    </row>
    <row r="1082" customFormat="false" ht="15" hidden="false" customHeight="false" outlineLevel="0" collapsed="false">
      <c r="A1082" s="36" t="str">
        <f aca="false">IF($B1082="","",COUNTA($B$4:$B1082))</f>
        <v/>
      </c>
      <c r="B1082" s="37"/>
      <c r="C1082" s="38"/>
      <c r="D1082" s="39"/>
      <c r="E1082" s="37"/>
      <c r="F1082" s="39"/>
      <c r="G1082" s="40" t="str">
        <f aca="false">IF(OR($E1082="",$F1082=""),"",$E1082&amp;" - RT "&amp;$F1082)</f>
        <v/>
      </c>
      <c r="H1082" s="37"/>
      <c r="I1082" s="38"/>
      <c r="J1082" s="37"/>
      <c r="K1082" s="39"/>
      <c r="L1082" s="41"/>
      <c r="M1082" s="36" t="str">
        <f aca="true">IF(OR($B1082="",$L1082=""),"",DATEDIF($L1082,TODAY(),"Y"))</f>
        <v/>
      </c>
      <c r="N1082" s="40" t="str">
        <f aca="false">IF($M1082="","",INDEX(usia_label,MATCH($M1082,usia_min,1)))</f>
        <v/>
      </c>
      <c r="O1082" s="37"/>
      <c r="P1082" s="41"/>
      <c r="Q1082" s="37"/>
      <c r="R1082" s="37"/>
      <c r="S1082" s="40" t="str">
        <f aca="false">IF($G1082="","",$G1082&amp;"#"&amp;COUNTIF($G$4:$G1082,$G1082))</f>
        <v/>
      </c>
      <c r="T1082" s="40" t="str">
        <f aca="false">IF($B1082="","",IF($C1082="","NIK kosong",IF(LEN($C1082)&lt;&gt;16,"NIK bukan 16 digit",IF(COUNTIF($C$4:$C$2003,$C1082&amp;"*")&gt;1,"NIK ganda",IF($E1082="","Kadus kosong",IF($F1082="","RT kosong",IF($H1082="","Jabatan kosong",IF($I1082="","No. HP kosong",IF($J1082="","Alamat kosong",IF(AND($M1082&lt;&gt;"",$M1082&lt;17),"Usia di bawah 17",""))))))))))</f>
        <v/>
      </c>
      <c r="U1082" s="40" t="str">
        <f aca="false">IF($B1082="","",IF(AND(OR(CARI!$C$5="",ISNUMBER(SEARCH(CARI!$C$5,$B1082&amp;" "&amp;$C1082&amp;" "&amp;$I1082&amp;" "&amp;$J1082&amp;" "&amp;$Q1082))),OR(CARI!$C$6="",$E1082=CARI!$C$6),OR(CARI!$C$7="",$F1082=CARI!$C$7),OR(CARI!$C$8="",$O1082=CARI!$C$8)),MAX($U$3:U1081)+1,""))</f>
        <v/>
      </c>
      <c r="V1082" s="40" t="str">
        <f aca="false">IF($T1082="","",MAX($V$3:V1081)+1)</f>
        <v/>
      </c>
      <c r="W1082" s="40" t="str">
        <f aca="false">IF($E1082="","",$E1082&amp;"#"&amp;COUNTIF($E$4:$E1082,$E1082))</f>
        <v/>
      </c>
      <c r="X1082" s="40" t="str">
        <f aca="false">IF($B1082="","",IF(AND(OR(CETAK!$J$10="",$E1082=CETAK!$J$10),OR(CETAK!$J$11="",$F1082=CETAK!$J$11),OR(CETAK!$J$12="",$K1082=CETAK!$J$12),OR(CETAK!$J$13="",$H1082=CETAK!$J$13),OR(CETAK!$J$14="",$O1082=CETAK!$J$14)),MAX($X$3:X1081)+1,""))</f>
        <v/>
      </c>
      <c r="Y1082" s="40" t="str">
        <f aca="false">IF($B1082="","",IF(AND(OR(ABSENSI!$H$10="",$E1082=ABSENSI!$H$10),OR(ABSENSI!$H$11="",$F1082=ABSENSI!$H$11),OR(ABSENSI!$H$12="",$K1082=ABSENSI!$H$12)),MAX($Y$3:Y1081)+1,""))</f>
        <v/>
      </c>
      <c r="Z1082" s="40" t="str">
        <f aca="false">IF($B1082="","",IF(AND(OR(KARTU!$K$6="",$E1082=KARTU!$K$6),OR(KARTU!$K$7="",$F1082=KARTU!$K$7),OR(KARTU!$K$8="",$K1082=KARTU!$K$8)),MAX($Z$3:Z1081)+1,""))</f>
        <v/>
      </c>
    </row>
    <row r="1083" customFormat="false" ht="15" hidden="false" customHeight="false" outlineLevel="0" collapsed="false">
      <c r="A1083" s="36" t="str">
        <f aca="false">IF($B1083="","",COUNTA($B$4:$B1083))</f>
        <v/>
      </c>
      <c r="B1083" s="37"/>
      <c r="C1083" s="38"/>
      <c r="D1083" s="39"/>
      <c r="E1083" s="37"/>
      <c r="F1083" s="39"/>
      <c r="G1083" s="40" t="str">
        <f aca="false">IF(OR($E1083="",$F1083=""),"",$E1083&amp;" - RT "&amp;$F1083)</f>
        <v/>
      </c>
      <c r="H1083" s="37"/>
      <c r="I1083" s="38"/>
      <c r="J1083" s="37"/>
      <c r="K1083" s="39"/>
      <c r="L1083" s="41"/>
      <c r="M1083" s="36" t="str">
        <f aca="true">IF(OR($B1083="",$L1083=""),"",DATEDIF($L1083,TODAY(),"Y"))</f>
        <v/>
      </c>
      <c r="N1083" s="40" t="str">
        <f aca="false">IF($M1083="","",INDEX(usia_label,MATCH($M1083,usia_min,1)))</f>
        <v/>
      </c>
      <c r="O1083" s="37"/>
      <c r="P1083" s="41"/>
      <c r="Q1083" s="37"/>
      <c r="R1083" s="37"/>
      <c r="S1083" s="40" t="str">
        <f aca="false">IF($G1083="","",$G1083&amp;"#"&amp;COUNTIF($G$4:$G1083,$G1083))</f>
        <v/>
      </c>
      <c r="T1083" s="40" t="str">
        <f aca="false">IF($B1083="","",IF($C1083="","NIK kosong",IF(LEN($C1083)&lt;&gt;16,"NIK bukan 16 digit",IF(COUNTIF($C$4:$C$2003,$C1083&amp;"*")&gt;1,"NIK ganda",IF($E1083="","Kadus kosong",IF($F1083="","RT kosong",IF($H1083="","Jabatan kosong",IF($I1083="","No. HP kosong",IF($J1083="","Alamat kosong",IF(AND($M1083&lt;&gt;"",$M1083&lt;17),"Usia di bawah 17",""))))))))))</f>
        <v/>
      </c>
      <c r="U1083" s="40" t="str">
        <f aca="false">IF($B1083="","",IF(AND(OR(CARI!$C$5="",ISNUMBER(SEARCH(CARI!$C$5,$B1083&amp;" "&amp;$C1083&amp;" "&amp;$I1083&amp;" "&amp;$J1083&amp;" "&amp;$Q1083))),OR(CARI!$C$6="",$E1083=CARI!$C$6),OR(CARI!$C$7="",$F1083=CARI!$C$7),OR(CARI!$C$8="",$O1083=CARI!$C$8)),MAX($U$3:U1082)+1,""))</f>
        <v/>
      </c>
      <c r="V1083" s="40" t="str">
        <f aca="false">IF($T1083="","",MAX($V$3:V1082)+1)</f>
        <v/>
      </c>
      <c r="W1083" s="40" t="str">
        <f aca="false">IF($E1083="","",$E1083&amp;"#"&amp;COUNTIF($E$4:$E1083,$E1083))</f>
        <v/>
      </c>
      <c r="X1083" s="40" t="str">
        <f aca="false">IF($B1083="","",IF(AND(OR(CETAK!$J$10="",$E1083=CETAK!$J$10),OR(CETAK!$J$11="",$F1083=CETAK!$J$11),OR(CETAK!$J$12="",$K1083=CETAK!$J$12),OR(CETAK!$J$13="",$H1083=CETAK!$J$13),OR(CETAK!$J$14="",$O1083=CETAK!$J$14)),MAX($X$3:X1082)+1,""))</f>
        <v/>
      </c>
      <c r="Y1083" s="40" t="str">
        <f aca="false">IF($B1083="","",IF(AND(OR(ABSENSI!$H$10="",$E1083=ABSENSI!$H$10),OR(ABSENSI!$H$11="",$F1083=ABSENSI!$H$11),OR(ABSENSI!$H$12="",$K1083=ABSENSI!$H$12)),MAX($Y$3:Y1082)+1,""))</f>
        <v/>
      </c>
      <c r="Z1083" s="40" t="str">
        <f aca="false">IF($B1083="","",IF(AND(OR(KARTU!$K$6="",$E1083=KARTU!$K$6),OR(KARTU!$K$7="",$F1083=KARTU!$K$7),OR(KARTU!$K$8="",$K1083=KARTU!$K$8)),MAX($Z$3:Z1082)+1,""))</f>
        <v/>
      </c>
    </row>
    <row r="1084" customFormat="false" ht="15" hidden="false" customHeight="false" outlineLevel="0" collapsed="false">
      <c r="A1084" s="36" t="str">
        <f aca="false">IF($B1084="","",COUNTA($B$4:$B1084))</f>
        <v/>
      </c>
      <c r="B1084" s="37"/>
      <c r="C1084" s="38"/>
      <c r="D1084" s="39"/>
      <c r="E1084" s="37"/>
      <c r="F1084" s="39"/>
      <c r="G1084" s="40" t="str">
        <f aca="false">IF(OR($E1084="",$F1084=""),"",$E1084&amp;" - RT "&amp;$F1084)</f>
        <v/>
      </c>
      <c r="H1084" s="37"/>
      <c r="I1084" s="38"/>
      <c r="J1084" s="37"/>
      <c r="K1084" s="39"/>
      <c r="L1084" s="41"/>
      <c r="M1084" s="36" t="str">
        <f aca="true">IF(OR($B1084="",$L1084=""),"",DATEDIF($L1084,TODAY(),"Y"))</f>
        <v/>
      </c>
      <c r="N1084" s="40" t="str">
        <f aca="false">IF($M1084="","",INDEX(usia_label,MATCH($M1084,usia_min,1)))</f>
        <v/>
      </c>
      <c r="O1084" s="37"/>
      <c r="P1084" s="41"/>
      <c r="Q1084" s="37"/>
      <c r="R1084" s="37"/>
      <c r="S1084" s="40" t="str">
        <f aca="false">IF($G1084="","",$G1084&amp;"#"&amp;COUNTIF($G$4:$G1084,$G1084))</f>
        <v/>
      </c>
      <c r="T1084" s="40" t="str">
        <f aca="false">IF($B1084="","",IF($C1084="","NIK kosong",IF(LEN($C1084)&lt;&gt;16,"NIK bukan 16 digit",IF(COUNTIF($C$4:$C$2003,$C1084&amp;"*")&gt;1,"NIK ganda",IF($E1084="","Kadus kosong",IF($F1084="","RT kosong",IF($H1084="","Jabatan kosong",IF($I1084="","No. HP kosong",IF($J1084="","Alamat kosong",IF(AND($M1084&lt;&gt;"",$M1084&lt;17),"Usia di bawah 17",""))))))))))</f>
        <v/>
      </c>
      <c r="U1084" s="40" t="str">
        <f aca="false">IF($B1084="","",IF(AND(OR(CARI!$C$5="",ISNUMBER(SEARCH(CARI!$C$5,$B1084&amp;" "&amp;$C1084&amp;" "&amp;$I1084&amp;" "&amp;$J1084&amp;" "&amp;$Q1084))),OR(CARI!$C$6="",$E1084=CARI!$C$6),OR(CARI!$C$7="",$F1084=CARI!$C$7),OR(CARI!$C$8="",$O1084=CARI!$C$8)),MAX($U$3:U1083)+1,""))</f>
        <v/>
      </c>
      <c r="V1084" s="40" t="str">
        <f aca="false">IF($T1084="","",MAX($V$3:V1083)+1)</f>
        <v/>
      </c>
      <c r="W1084" s="40" t="str">
        <f aca="false">IF($E1084="","",$E1084&amp;"#"&amp;COUNTIF($E$4:$E1084,$E1084))</f>
        <v/>
      </c>
      <c r="X1084" s="40" t="str">
        <f aca="false">IF($B1084="","",IF(AND(OR(CETAK!$J$10="",$E1084=CETAK!$J$10),OR(CETAK!$J$11="",$F1084=CETAK!$J$11),OR(CETAK!$J$12="",$K1084=CETAK!$J$12),OR(CETAK!$J$13="",$H1084=CETAK!$J$13),OR(CETAK!$J$14="",$O1084=CETAK!$J$14)),MAX($X$3:X1083)+1,""))</f>
        <v/>
      </c>
      <c r="Y1084" s="40" t="str">
        <f aca="false">IF($B1084="","",IF(AND(OR(ABSENSI!$H$10="",$E1084=ABSENSI!$H$10),OR(ABSENSI!$H$11="",$F1084=ABSENSI!$H$11),OR(ABSENSI!$H$12="",$K1084=ABSENSI!$H$12)),MAX($Y$3:Y1083)+1,""))</f>
        <v/>
      </c>
      <c r="Z1084" s="40" t="str">
        <f aca="false">IF($B1084="","",IF(AND(OR(KARTU!$K$6="",$E1084=KARTU!$K$6),OR(KARTU!$K$7="",$F1084=KARTU!$K$7),OR(KARTU!$K$8="",$K1084=KARTU!$K$8)),MAX($Z$3:Z1083)+1,""))</f>
        <v/>
      </c>
    </row>
    <row r="1085" customFormat="false" ht="15" hidden="false" customHeight="false" outlineLevel="0" collapsed="false">
      <c r="A1085" s="36" t="str">
        <f aca="false">IF($B1085="","",COUNTA($B$4:$B1085))</f>
        <v/>
      </c>
      <c r="B1085" s="37"/>
      <c r="C1085" s="38"/>
      <c r="D1085" s="39"/>
      <c r="E1085" s="37"/>
      <c r="F1085" s="39"/>
      <c r="G1085" s="40" t="str">
        <f aca="false">IF(OR($E1085="",$F1085=""),"",$E1085&amp;" - RT "&amp;$F1085)</f>
        <v/>
      </c>
      <c r="H1085" s="37"/>
      <c r="I1085" s="38"/>
      <c r="J1085" s="37"/>
      <c r="K1085" s="39"/>
      <c r="L1085" s="41"/>
      <c r="M1085" s="36" t="str">
        <f aca="true">IF(OR($B1085="",$L1085=""),"",DATEDIF($L1085,TODAY(),"Y"))</f>
        <v/>
      </c>
      <c r="N1085" s="40" t="str">
        <f aca="false">IF($M1085="","",INDEX(usia_label,MATCH($M1085,usia_min,1)))</f>
        <v/>
      </c>
      <c r="O1085" s="37"/>
      <c r="P1085" s="41"/>
      <c r="Q1085" s="37"/>
      <c r="R1085" s="37"/>
      <c r="S1085" s="40" t="str">
        <f aca="false">IF($G1085="","",$G1085&amp;"#"&amp;COUNTIF($G$4:$G1085,$G1085))</f>
        <v/>
      </c>
      <c r="T1085" s="40" t="str">
        <f aca="false">IF($B1085="","",IF($C1085="","NIK kosong",IF(LEN($C1085)&lt;&gt;16,"NIK bukan 16 digit",IF(COUNTIF($C$4:$C$2003,$C1085&amp;"*")&gt;1,"NIK ganda",IF($E1085="","Kadus kosong",IF($F1085="","RT kosong",IF($H1085="","Jabatan kosong",IF($I1085="","No. HP kosong",IF($J1085="","Alamat kosong",IF(AND($M1085&lt;&gt;"",$M1085&lt;17),"Usia di bawah 17",""))))))))))</f>
        <v/>
      </c>
      <c r="U1085" s="40" t="str">
        <f aca="false">IF($B1085="","",IF(AND(OR(CARI!$C$5="",ISNUMBER(SEARCH(CARI!$C$5,$B1085&amp;" "&amp;$C1085&amp;" "&amp;$I1085&amp;" "&amp;$J1085&amp;" "&amp;$Q1085))),OR(CARI!$C$6="",$E1085=CARI!$C$6),OR(CARI!$C$7="",$F1085=CARI!$C$7),OR(CARI!$C$8="",$O1085=CARI!$C$8)),MAX($U$3:U1084)+1,""))</f>
        <v/>
      </c>
      <c r="V1085" s="40" t="str">
        <f aca="false">IF($T1085="","",MAX($V$3:V1084)+1)</f>
        <v/>
      </c>
      <c r="W1085" s="40" t="str">
        <f aca="false">IF($E1085="","",$E1085&amp;"#"&amp;COUNTIF($E$4:$E1085,$E1085))</f>
        <v/>
      </c>
      <c r="X1085" s="40" t="str">
        <f aca="false">IF($B1085="","",IF(AND(OR(CETAK!$J$10="",$E1085=CETAK!$J$10),OR(CETAK!$J$11="",$F1085=CETAK!$J$11),OR(CETAK!$J$12="",$K1085=CETAK!$J$12),OR(CETAK!$J$13="",$H1085=CETAK!$J$13),OR(CETAK!$J$14="",$O1085=CETAK!$J$14)),MAX($X$3:X1084)+1,""))</f>
        <v/>
      </c>
      <c r="Y1085" s="40" t="str">
        <f aca="false">IF($B1085="","",IF(AND(OR(ABSENSI!$H$10="",$E1085=ABSENSI!$H$10),OR(ABSENSI!$H$11="",$F1085=ABSENSI!$H$11),OR(ABSENSI!$H$12="",$K1085=ABSENSI!$H$12)),MAX($Y$3:Y1084)+1,""))</f>
        <v/>
      </c>
      <c r="Z1085" s="40" t="str">
        <f aca="false">IF($B1085="","",IF(AND(OR(KARTU!$K$6="",$E1085=KARTU!$K$6),OR(KARTU!$K$7="",$F1085=KARTU!$K$7),OR(KARTU!$K$8="",$K1085=KARTU!$K$8)),MAX($Z$3:Z1084)+1,""))</f>
        <v/>
      </c>
    </row>
    <row r="1086" customFormat="false" ht="15" hidden="false" customHeight="false" outlineLevel="0" collapsed="false">
      <c r="A1086" s="36" t="str">
        <f aca="false">IF($B1086="","",COUNTA($B$4:$B1086))</f>
        <v/>
      </c>
      <c r="B1086" s="37"/>
      <c r="C1086" s="38"/>
      <c r="D1086" s="39"/>
      <c r="E1086" s="37"/>
      <c r="F1086" s="39"/>
      <c r="G1086" s="40" t="str">
        <f aca="false">IF(OR($E1086="",$F1086=""),"",$E1086&amp;" - RT "&amp;$F1086)</f>
        <v/>
      </c>
      <c r="H1086" s="37"/>
      <c r="I1086" s="38"/>
      <c r="J1086" s="37"/>
      <c r="K1086" s="39"/>
      <c r="L1086" s="41"/>
      <c r="M1086" s="36" t="str">
        <f aca="true">IF(OR($B1086="",$L1086=""),"",DATEDIF($L1086,TODAY(),"Y"))</f>
        <v/>
      </c>
      <c r="N1086" s="40" t="str">
        <f aca="false">IF($M1086="","",INDEX(usia_label,MATCH($M1086,usia_min,1)))</f>
        <v/>
      </c>
      <c r="O1086" s="37"/>
      <c r="P1086" s="41"/>
      <c r="Q1086" s="37"/>
      <c r="R1086" s="37"/>
      <c r="S1086" s="40" t="str">
        <f aca="false">IF($G1086="","",$G1086&amp;"#"&amp;COUNTIF($G$4:$G1086,$G1086))</f>
        <v/>
      </c>
      <c r="T1086" s="40" t="str">
        <f aca="false">IF($B1086="","",IF($C1086="","NIK kosong",IF(LEN($C1086)&lt;&gt;16,"NIK bukan 16 digit",IF(COUNTIF($C$4:$C$2003,$C1086&amp;"*")&gt;1,"NIK ganda",IF($E1086="","Kadus kosong",IF($F1086="","RT kosong",IF($H1086="","Jabatan kosong",IF($I1086="","No. HP kosong",IF($J1086="","Alamat kosong",IF(AND($M1086&lt;&gt;"",$M1086&lt;17),"Usia di bawah 17",""))))))))))</f>
        <v/>
      </c>
      <c r="U1086" s="40" t="str">
        <f aca="false">IF($B1086="","",IF(AND(OR(CARI!$C$5="",ISNUMBER(SEARCH(CARI!$C$5,$B1086&amp;" "&amp;$C1086&amp;" "&amp;$I1086&amp;" "&amp;$J1086&amp;" "&amp;$Q1086))),OR(CARI!$C$6="",$E1086=CARI!$C$6),OR(CARI!$C$7="",$F1086=CARI!$C$7),OR(CARI!$C$8="",$O1086=CARI!$C$8)),MAX($U$3:U1085)+1,""))</f>
        <v/>
      </c>
      <c r="V1086" s="40" t="str">
        <f aca="false">IF($T1086="","",MAX($V$3:V1085)+1)</f>
        <v/>
      </c>
      <c r="W1086" s="40" t="str">
        <f aca="false">IF($E1086="","",$E1086&amp;"#"&amp;COUNTIF($E$4:$E1086,$E1086))</f>
        <v/>
      </c>
      <c r="X1086" s="40" t="str">
        <f aca="false">IF($B1086="","",IF(AND(OR(CETAK!$J$10="",$E1086=CETAK!$J$10),OR(CETAK!$J$11="",$F1086=CETAK!$J$11),OR(CETAK!$J$12="",$K1086=CETAK!$J$12),OR(CETAK!$J$13="",$H1086=CETAK!$J$13),OR(CETAK!$J$14="",$O1086=CETAK!$J$14)),MAX($X$3:X1085)+1,""))</f>
        <v/>
      </c>
      <c r="Y1086" s="40" t="str">
        <f aca="false">IF($B1086="","",IF(AND(OR(ABSENSI!$H$10="",$E1086=ABSENSI!$H$10),OR(ABSENSI!$H$11="",$F1086=ABSENSI!$H$11),OR(ABSENSI!$H$12="",$K1086=ABSENSI!$H$12)),MAX($Y$3:Y1085)+1,""))</f>
        <v/>
      </c>
      <c r="Z1086" s="40" t="str">
        <f aca="false">IF($B1086="","",IF(AND(OR(KARTU!$K$6="",$E1086=KARTU!$K$6),OR(KARTU!$K$7="",$F1086=KARTU!$K$7),OR(KARTU!$K$8="",$K1086=KARTU!$K$8)),MAX($Z$3:Z1085)+1,""))</f>
        <v/>
      </c>
    </row>
    <row r="1087" customFormat="false" ht="15" hidden="false" customHeight="false" outlineLevel="0" collapsed="false">
      <c r="A1087" s="36" t="str">
        <f aca="false">IF($B1087="","",COUNTA($B$4:$B1087))</f>
        <v/>
      </c>
      <c r="B1087" s="37"/>
      <c r="C1087" s="38"/>
      <c r="D1087" s="39"/>
      <c r="E1087" s="37"/>
      <c r="F1087" s="39"/>
      <c r="G1087" s="40" t="str">
        <f aca="false">IF(OR($E1087="",$F1087=""),"",$E1087&amp;" - RT "&amp;$F1087)</f>
        <v/>
      </c>
      <c r="H1087" s="37"/>
      <c r="I1087" s="38"/>
      <c r="J1087" s="37"/>
      <c r="K1087" s="39"/>
      <c r="L1087" s="41"/>
      <c r="M1087" s="36" t="str">
        <f aca="true">IF(OR($B1087="",$L1087=""),"",DATEDIF($L1087,TODAY(),"Y"))</f>
        <v/>
      </c>
      <c r="N1087" s="40" t="str">
        <f aca="false">IF($M1087="","",INDEX(usia_label,MATCH($M1087,usia_min,1)))</f>
        <v/>
      </c>
      <c r="O1087" s="37"/>
      <c r="P1087" s="41"/>
      <c r="Q1087" s="37"/>
      <c r="R1087" s="37"/>
      <c r="S1087" s="40" t="str">
        <f aca="false">IF($G1087="","",$G1087&amp;"#"&amp;COUNTIF($G$4:$G1087,$G1087))</f>
        <v/>
      </c>
      <c r="T1087" s="40" t="str">
        <f aca="false">IF($B1087="","",IF($C1087="","NIK kosong",IF(LEN($C1087)&lt;&gt;16,"NIK bukan 16 digit",IF(COUNTIF($C$4:$C$2003,$C1087&amp;"*")&gt;1,"NIK ganda",IF($E1087="","Kadus kosong",IF($F1087="","RT kosong",IF($H1087="","Jabatan kosong",IF($I1087="","No. HP kosong",IF($J1087="","Alamat kosong",IF(AND($M1087&lt;&gt;"",$M1087&lt;17),"Usia di bawah 17",""))))))))))</f>
        <v/>
      </c>
      <c r="U1087" s="40" t="str">
        <f aca="false">IF($B1087="","",IF(AND(OR(CARI!$C$5="",ISNUMBER(SEARCH(CARI!$C$5,$B1087&amp;" "&amp;$C1087&amp;" "&amp;$I1087&amp;" "&amp;$J1087&amp;" "&amp;$Q1087))),OR(CARI!$C$6="",$E1087=CARI!$C$6),OR(CARI!$C$7="",$F1087=CARI!$C$7),OR(CARI!$C$8="",$O1087=CARI!$C$8)),MAX($U$3:U1086)+1,""))</f>
        <v/>
      </c>
      <c r="V1087" s="40" t="str">
        <f aca="false">IF($T1087="","",MAX($V$3:V1086)+1)</f>
        <v/>
      </c>
      <c r="W1087" s="40" t="str">
        <f aca="false">IF($E1087="","",$E1087&amp;"#"&amp;COUNTIF($E$4:$E1087,$E1087))</f>
        <v/>
      </c>
      <c r="X1087" s="40" t="str">
        <f aca="false">IF($B1087="","",IF(AND(OR(CETAK!$J$10="",$E1087=CETAK!$J$10),OR(CETAK!$J$11="",$F1087=CETAK!$J$11),OR(CETAK!$J$12="",$K1087=CETAK!$J$12),OR(CETAK!$J$13="",$H1087=CETAK!$J$13),OR(CETAK!$J$14="",$O1087=CETAK!$J$14)),MAX($X$3:X1086)+1,""))</f>
        <v/>
      </c>
      <c r="Y1087" s="40" t="str">
        <f aca="false">IF($B1087="","",IF(AND(OR(ABSENSI!$H$10="",$E1087=ABSENSI!$H$10),OR(ABSENSI!$H$11="",$F1087=ABSENSI!$H$11),OR(ABSENSI!$H$12="",$K1087=ABSENSI!$H$12)),MAX($Y$3:Y1086)+1,""))</f>
        <v/>
      </c>
      <c r="Z1087" s="40" t="str">
        <f aca="false">IF($B1087="","",IF(AND(OR(KARTU!$K$6="",$E1087=KARTU!$K$6),OR(KARTU!$K$7="",$F1087=KARTU!$K$7),OR(KARTU!$K$8="",$K1087=KARTU!$K$8)),MAX($Z$3:Z1086)+1,""))</f>
        <v/>
      </c>
    </row>
    <row r="1088" customFormat="false" ht="15" hidden="false" customHeight="false" outlineLevel="0" collapsed="false">
      <c r="A1088" s="36" t="str">
        <f aca="false">IF($B1088="","",COUNTA($B$4:$B1088))</f>
        <v/>
      </c>
      <c r="B1088" s="37"/>
      <c r="C1088" s="38"/>
      <c r="D1088" s="39"/>
      <c r="E1088" s="37"/>
      <c r="F1088" s="39"/>
      <c r="G1088" s="40" t="str">
        <f aca="false">IF(OR($E1088="",$F1088=""),"",$E1088&amp;" - RT "&amp;$F1088)</f>
        <v/>
      </c>
      <c r="H1088" s="37"/>
      <c r="I1088" s="38"/>
      <c r="J1088" s="37"/>
      <c r="K1088" s="39"/>
      <c r="L1088" s="41"/>
      <c r="M1088" s="36" t="str">
        <f aca="true">IF(OR($B1088="",$L1088=""),"",DATEDIF($L1088,TODAY(),"Y"))</f>
        <v/>
      </c>
      <c r="N1088" s="40" t="str">
        <f aca="false">IF($M1088="","",INDEX(usia_label,MATCH($M1088,usia_min,1)))</f>
        <v/>
      </c>
      <c r="O1088" s="37"/>
      <c r="P1088" s="41"/>
      <c r="Q1088" s="37"/>
      <c r="R1088" s="37"/>
      <c r="S1088" s="40" t="str">
        <f aca="false">IF($G1088="","",$G1088&amp;"#"&amp;COUNTIF($G$4:$G1088,$G1088))</f>
        <v/>
      </c>
      <c r="T1088" s="40" t="str">
        <f aca="false">IF($B1088="","",IF($C1088="","NIK kosong",IF(LEN($C1088)&lt;&gt;16,"NIK bukan 16 digit",IF(COUNTIF($C$4:$C$2003,$C1088&amp;"*")&gt;1,"NIK ganda",IF($E1088="","Kadus kosong",IF($F1088="","RT kosong",IF($H1088="","Jabatan kosong",IF($I1088="","No. HP kosong",IF($J1088="","Alamat kosong",IF(AND($M1088&lt;&gt;"",$M1088&lt;17),"Usia di bawah 17",""))))))))))</f>
        <v/>
      </c>
      <c r="U1088" s="40" t="str">
        <f aca="false">IF($B1088="","",IF(AND(OR(CARI!$C$5="",ISNUMBER(SEARCH(CARI!$C$5,$B1088&amp;" "&amp;$C1088&amp;" "&amp;$I1088&amp;" "&amp;$J1088&amp;" "&amp;$Q1088))),OR(CARI!$C$6="",$E1088=CARI!$C$6),OR(CARI!$C$7="",$F1088=CARI!$C$7),OR(CARI!$C$8="",$O1088=CARI!$C$8)),MAX($U$3:U1087)+1,""))</f>
        <v/>
      </c>
      <c r="V1088" s="40" t="str">
        <f aca="false">IF($T1088="","",MAX($V$3:V1087)+1)</f>
        <v/>
      </c>
      <c r="W1088" s="40" t="str">
        <f aca="false">IF($E1088="","",$E1088&amp;"#"&amp;COUNTIF($E$4:$E1088,$E1088))</f>
        <v/>
      </c>
      <c r="X1088" s="40" t="str">
        <f aca="false">IF($B1088="","",IF(AND(OR(CETAK!$J$10="",$E1088=CETAK!$J$10),OR(CETAK!$J$11="",$F1088=CETAK!$J$11),OR(CETAK!$J$12="",$K1088=CETAK!$J$12),OR(CETAK!$J$13="",$H1088=CETAK!$J$13),OR(CETAK!$J$14="",$O1088=CETAK!$J$14)),MAX($X$3:X1087)+1,""))</f>
        <v/>
      </c>
      <c r="Y1088" s="40" t="str">
        <f aca="false">IF($B1088="","",IF(AND(OR(ABSENSI!$H$10="",$E1088=ABSENSI!$H$10),OR(ABSENSI!$H$11="",$F1088=ABSENSI!$H$11),OR(ABSENSI!$H$12="",$K1088=ABSENSI!$H$12)),MAX($Y$3:Y1087)+1,""))</f>
        <v/>
      </c>
      <c r="Z1088" s="40" t="str">
        <f aca="false">IF($B1088="","",IF(AND(OR(KARTU!$K$6="",$E1088=KARTU!$K$6),OR(KARTU!$K$7="",$F1088=KARTU!$K$7),OR(KARTU!$K$8="",$K1088=KARTU!$K$8)),MAX($Z$3:Z1087)+1,""))</f>
        <v/>
      </c>
    </row>
    <row r="1089" customFormat="false" ht="15" hidden="false" customHeight="false" outlineLevel="0" collapsed="false">
      <c r="A1089" s="36" t="str">
        <f aca="false">IF($B1089="","",COUNTA($B$4:$B1089))</f>
        <v/>
      </c>
      <c r="B1089" s="37"/>
      <c r="C1089" s="38"/>
      <c r="D1089" s="39"/>
      <c r="E1089" s="37"/>
      <c r="F1089" s="39"/>
      <c r="G1089" s="40" t="str">
        <f aca="false">IF(OR($E1089="",$F1089=""),"",$E1089&amp;" - RT "&amp;$F1089)</f>
        <v/>
      </c>
      <c r="H1089" s="37"/>
      <c r="I1089" s="38"/>
      <c r="J1089" s="37"/>
      <c r="K1089" s="39"/>
      <c r="L1089" s="41"/>
      <c r="M1089" s="36" t="str">
        <f aca="true">IF(OR($B1089="",$L1089=""),"",DATEDIF($L1089,TODAY(),"Y"))</f>
        <v/>
      </c>
      <c r="N1089" s="40" t="str">
        <f aca="false">IF($M1089="","",INDEX(usia_label,MATCH($M1089,usia_min,1)))</f>
        <v/>
      </c>
      <c r="O1089" s="37"/>
      <c r="P1089" s="41"/>
      <c r="Q1089" s="37"/>
      <c r="R1089" s="37"/>
      <c r="S1089" s="40" t="str">
        <f aca="false">IF($G1089="","",$G1089&amp;"#"&amp;COUNTIF($G$4:$G1089,$G1089))</f>
        <v/>
      </c>
      <c r="T1089" s="40" t="str">
        <f aca="false">IF($B1089="","",IF($C1089="","NIK kosong",IF(LEN($C1089)&lt;&gt;16,"NIK bukan 16 digit",IF(COUNTIF($C$4:$C$2003,$C1089&amp;"*")&gt;1,"NIK ganda",IF($E1089="","Kadus kosong",IF($F1089="","RT kosong",IF($H1089="","Jabatan kosong",IF($I1089="","No. HP kosong",IF($J1089="","Alamat kosong",IF(AND($M1089&lt;&gt;"",$M1089&lt;17),"Usia di bawah 17",""))))))))))</f>
        <v/>
      </c>
      <c r="U1089" s="40" t="str">
        <f aca="false">IF($B1089="","",IF(AND(OR(CARI!$C$5="",ISNUMBER(SEARCH(CARI!$C$5,$B1089&amp;" "&amp;$C1089&amp;" "&amp;$I1089&amp;" "&amp;$J1089&amp;" "&amp;$Q1089))),OR(CARI!$C$6="",$E1089=CARI!$C$6),OR(CARI!$C$7="",$F1089=CARI!$C$7),OR(CARI!$C$8="",$O1089=CARI!$C$8)),MAX($U$3:U1088)+1,""))</f>
        <v/>
      </c>
      <c r="V1089" s="40" t="str">
        <f aca="false">IF($T1089="","",MAX($V$3:V1088)+1)</f>
        <v/>
      </c>
      <c r="W1089" s="40" t="str">
        <f aca="false">IF($E1089="","",$E1089&amp;"#"&amp;COUNTIF($E$4:$E1089,$E1089))</f>
        <v/>
      </c>
      <c r="X1089" s="40" t="str">
        <f aca="false">IF($B1089="","",IF(AND(OR(CETAK!$J$10="",$E1089=CETAK!$J$10),OR(CETAK!$J$11="",$F1089=CETAK!$J$11),OR(CETAK!$J$12="",$K1089=CETAK!$J$12),OR(CETAK!$J$13="",$H1089=CETAK!$J$13),OR(CETAK!$J$14="",$O1089=CETAK!$J$14)),MAX($X$3:X1088)+1,""))</f>
        <v/>
      </c>
      <c r="Y1089" s="40" t="str">
        <f aca="false">IF($B1089="","",IF(AND(OR(ABSENSI!$H$10="",$E1089=ABSENSI!$H$10),OR(ABSENSI!$H$11="",$F1089=ABSENSI!$H$11),OR(ABSENSI!$H$12="",$K1089=ABSENSI!$H$12)),MAX($Y$3:Y1088)+1,""))</f>
        <v/>
      </c>
      <c r="Z1089" s="40" t="str">
        <f aca="false">IF($B1089="","",IF(AND(OR(KARTU!$K$6="",$E1089=KARTU!$K$6),OR(KARTU!$K$7="",$F1089=KARTU!$K$7),OR(KARTU!$K$8="",$K1089=KARTU!$K$8)),MAX($Z$3:Z1088)+1,""))</f>
        <v/>
      </c>
    </row>
    <row r="1090" customFormat="false" ht="15" hidden="false" customHeight="false" outlineLevel="0" collapsed="false">
      <c r="A1090" s="36" t="str">
        <f aca="false">IF($B1090="","",COUNTA($B$4:$B1090))</f>
        <v/>
      </c>
      <c r="B1090" s="37"/>
      <c r="C1090" s="38"/>
      <c r="D1090" s="39"/>
      <c r="E1090" s="37"/>
      <c r="F1090" s="39"/>
      <c r="G1090" s="40" t="str">
        <f aca="false">IF(OR($E1090="",$F1090=""),"",$E1090&amp;" - RT "&amp;$F1090)</f>
        <v/>
      </c>
      <c r="H1090" s="37"/>
      <c r="I1090" s="38"/>
      <c r="J1090" s="37"/>
      <c r="K1090" s="39"/>
      <c r="L1090" s="41"/>
      <c r="M1090" s="36" t="str">
        <f aca="true">IF(OR($B1090="",$L1090=""),"",DATEDIF($L1090,TODAY(),"Y"))</f>
        <v/>
      </c>
      <c r="N1090" s="40" t="str">
        <f aca="false">IF($M1090="","",INDEX(usia_label,MATCH($M1090,usia_min,1)))</f>
        <v/>
      </c>
      <c r="O1090" s="37"/>
      <c r="P1090" s="41"/>
      <c r="Q1090" s="37"/>
      <c r="R1090" s="37"/>
      <c r="S1090" s="40" t="str">
        <f aca="false">IF($G1090="","",$G1090&amp;"#"&amp;COUNTIF($G$4:$G1090,$G1090))</f>
        <v/>
      </c>
      <c r="T1090" s="40" t="str">
        <f aca="false">IF($B1090="","",IF($C1090="","NIK kosong",IF(LEN($C1090)&lt;&gt;16,"NIK bukan 16 digit",IF(COUNTIF($C$4:$C$2003,$C1090&amp;"*")&gt;1,"NIK ganda",IF($E1090="","Kadus kosong",IF($F1090="","RT kosong",IF($H1090="","Jabatan kosong",IF($I1090="","No. HP kosong",IF($J1090="","Alamat kosong",IF(AND($M1090&lt;&gt;"",$M1090&lt;17),"Usia di bawah 17",""))))))))))</f>
        <v/>
      </c>
      <c r="U1090" s="40" t="str">
        <f aca="false">IF($B1090="","",IF(AND(OR(CARI!$C$5="",ISNUMBER(SEARCH(CARI!$C$5,$B1090&amp;" "&amp;$C1090&amp;" "&amp;$I1090&amp;" "&amp;$J1090&amp;" "&amp;$Q1090))),OR(CARI!$C$6="",$E1090=CARI!$C$6),OR(CARI!$C$7="",$F1090=CARI!$C$7),OR(CARI!$C$8="",$O1090=CARI!$C$8)),MAX($U$3:U1089)+1,""))</f>
        <v/>
      </c>
      <c r="V1090" s="40" t="str">
        <f aca="false">IF($T1090="","",MAX($V$3:V1089)+1)</f>
        <v/>
      </c>
      <c r="W1090" s="40" t="str">
        <f aca="false">IF($E1090="","",$E1090&amp;"#"&amp;COUNTIF($E$4:$E1090,$E1090))</f>
        <v/>
      </c>
      <c r="X1090" s="40" t="str">
        <f aca="false">IF($B1090="","",IF(AND(OR(CETAK!$J$10="",$E1090=CETAK!$J$10),OR(CETAK!$J$11="",$F1090=CETAK!$J$11),OR(CETAK!$J$12="",$K1090=CETAK!$J$12),OR(CETAK!$J$13="",$H1090=CETAK!$J$13),OR(CETAK!$J$14="",$O1090=CETAK!$J$14)),MAX($X$3:X1089)+1,""))</f>
        <v/>
      </c>
      <c r="Y1090" s="40" t="str">
        <f aca="false">IF($B1090="","",IF(AND(OR(ABSENSI!$H$10="",$E1090=ABSENSI!$H$10),OR(ABSENSI!$H$11="",$F1090=ABSENSI!$H$11),OR(ABSENSI!$H$12="",$K1090=ABSENSI!$H$12)),MAX($Y$3:Y1089)+1,""))</f>
        <v/>
      </c>
      <c r="Z1090" s="40" t="str">
        <f aca="false">IF($B1090="","",IF(AND(OR(KARTU!$K$6="",$E1090=KARTU!$K$6),OR(KARTU!$K$7="",$F1090=KARTU!$K$7),OR(KARTU!$K$8="",$K1090=KARTU!$K$8)),MAX($Z$3:Z1089)+1,""))</f>
        <v/>
      </c>
    </row>
    <row r="1091" customFormat="false" ht="15" hidden="false" customHeight="false" outlineLevel="0" collapsed="false">
      <c r="A1091" s="36" t="str">
        <f aca="false">IF($B1091="","",COUNTA($B$4:$B1091))</f>
        <v/>
      </c>
      <c r="B1091" s="37"/>
      <c r="C1091" s="38"/>
      <c r="D1091" s="39"/>
      <c r="E1091" s="37"/>
      <c r="F1091" s="39"/>
      <c r="G1091" s="40" t="str">
        <f aca="false">IF(OR($E1091="",$F1091=""),"",$E1091&amp;" - RT "&amp;$F1091)</f>
        <v/>
      </c>
      <c r="H1091" s="37"/>
      <c r="I1091" s="38"/>
      <c r="J1091" s="37"/>
      <c r="K1091" s="39"/>
      <c r="L1091" s="41"/>
      <c r="M1091" s="36" t="str">
        <f aca="true">IF(OR($B1091="",$L1091=""),"",DATEDIF($L1091,TODAY(),"Y"))</f>
        <v/>
      </c>
      <c r="N1091" s="40" t="str">
        <f aca="false">IF($M1091="","",INDEX(usia_label,MATCH($M1091,usia_min,1)))</f>
        <v/>
      </c>
      <c r="O1091" s="37"/>
      <c r="P1091" s="41"/>
      <c r="Q1091" s="37"/>
      <c r="R1091" s="37"/>
      <c r="S1091" s="40" t="str">
        <f aca="false">IF($G1091="","",$G1091&amp;"#"&amp;COUNTIF($G$4:$G1091,$G1091))</f>
        <v/>
      </c>
      <c r="T1091" s="40" t="str">
        <f aca="false">IF($B1091="","",IF($C1091="","NIK kosong",IF(LEN($C1091)&lt;&gt;16,"NIK bukan 16 digit",IF(COUNTIF($C$4:$C$2003,$C1091&amp;"*")&gt;1,"NIK ganda",IF($E1091="","Kadus kosong",IF($F1091="","RT kosong",IF($H1091="","Jabatan kosong",IF($I1091="","No. HP kosong",IF($J1091="","Alamat kosong",IF(AND($M1091&lt;&gt;"",$M1091&lt;17),"Usia di bawah 17",""))))))))))</f>
        <v/>
      </c>
      <c r="U1091" s="40" t="str">
        <f aca="false">IF($B1091="","",IF(AND(OR(CARI!$C$5="",ISNUMBER(SEARCH(CARI!$C$5,$B1091&amp;" "&amp;$C1091&amp;" "&amp;$I1091&amp;" "&amp;$J1091&amp;" "&amp;$Q1091))),OR(CARI!$C$6="",$E1091=CARI!$C$6),OR(CARI!$C$7="",$F1091=CARI!$C$7),OR(CARI!$C$8="",$O1091=CARI!$C$8)),MAX($U$3:U1090)+1,""))</f>
        <v/>
      </c>
      <c r="V1091" s="40" t="str">
        <f aca="false">IF($T1091="","",MAX($V$3:V1090)+1)</f>
        <v/>
      </c>
      <c r="W1091" s="40" t="str">
        <f aca="false">IF($E1091="","",$E1091&amp;"#"&amp;COUNTIF($E$4:$E1091,$E1091))</f>
        <v/>
      </c>
      <c r="X1091" s="40" t="str">
        <f aca="false">IF($B1091="","",IF(AND(OR(CETAK!$J$10="",$E1091=CETAK!$J$10),OR(CETAK!$J$11="",$F1091=CETAK!$J$11),OR(CETAK!$J$12="",$K1091=CETAK!$J$12),OR(CETAK!$J$13="",$H1091=CETAK!$J$13),OR(CETAK!$J$14="",$O1091=CETAK!$J$14)),MAX($X$3:X1090)+1,""))</f>
        <v/>
      </c>
      <c r="Y1091" s="40" t="str">
        <f aca="false">IF($B1091="","",IF(AND(OR(ABSENSI!$H$10="",$E1091=ABSENSI!$H$10),OR(ABSENSI!$H$11="",$F1091=ABSENSI!$H$11),OR(ABSENSI!$H$12="",$K1091=ABSENSI!$H$12)),MAX($Y$3:Y1090)+1,""))</f>
        <v/>
      </c>
      <c r="Z1091" s="40" t="str">
        <f aca="false">IF($B1091="","",IF(AND(OR(KARTU!$K$6="",$E1091=KARTU!$K$6),OR(KARTU!$K$7="",$F1091=KARTU!$K$7),OR(KARTU!$K$8="",$K1091=KARTU!$K$8)),MAX($Z$3:Z1090)+1,""))</f>
        <v/>
      </c>
    </row>
    <row r="1092" customFormat="false" ht="15" hidden="false" customHeight="false" outlineLevel="0" collapsed="false">
      <c r="A1092" s="36" t="str">
        <f aca="false">IF($B1092="","",COUNTA($B$4:$B1092))</f>
        <v/>
      </c>
      <c r="B1092" s="37"/>
      <c r="C1092" s="38"/>
      <c r="D1092" s="39"/>
      <c r="E1092" s="37"/>
      <c r="F1092" s="39"/>
      <c r="G1092" s="40" t="str">
        <f aca="false">IF(OR($E1092="",$F1092=""),"",$E1092&amp;" - RT "&amp;$F1092)</f>
        <v/>
      </c>
      <c r="H1092" s="37"/>
      <c r="I1092" s="38"/>
      <c r="J1092" s="37"/>
      <c r="K1092" s="39"/>
      <c r="L1092" s="41"/>
      <c r="M1092" s="36" t="str">
        <f aca="true">IF(OR($B1092="",$L1092=""),"",DATEDIF($L1092,TODAY(),"Y"))</f>
        <v/>
      </c>
      <c r="N1092" s="40" t="str">
        <f aca="false">IF($M1092="","",INDEX(usia_label,MATCH($M1092,usia_min,1)))</f>
        <v/>
      </c>
      <c r="O1092" s="37"/>
      <c r="P1092" s="41"/>
      <c r="Q1092" s="37"/>
      <c r="R1092" s="37"/>
      <c r="S1092" s="40" t="str">
        <f aca="false">IF($G1092="","",$G1092&amp;"#"&amp;COUNTIF($G$4:$G1092,$G1092))</f>
        <v/>
      </c>
      <c r="T1092" s="40" t="str">
        <f aca="false">IF($B1092="","",IF($C1092="","NIK kosong",IF(LEN($C1092)&lt;&gt;16,"NIK bukan 16 digit",IF(COUNTIF($C$4:$C$2003,$C1092&amp;"*")&gt;1,"NIK ganda",IF($E1092="","Kadus kosong",IF($F1092="","RT kosong",IF($H1092="","Jabatan kosong",IF($I1092="","No. HP kosong",IF($J1092="","Alamat kosong",IF(AND($M1092&lt;&gt;"",$M1092&lt;17),"Usia di bawah 17",""))))))))))</f>
        <v/>
      </c>
      <c r="U1092" s="40" t="str">
        <f aca="false">IF($B1092="","",IF(AND(OR(CARI!$C$5="",ISNUMBER(SEARCH(CARI!$C$5,$B1092&amp;" "&amp;$C1092&amp;" "&amp;$I1092&amp;" "&amp;$J1092&amp;" "&amp;$Q1092))),OR(CARI!$C$6="",$E1092=CARI!$C$6),OR(CARI!$C$7="",$F1092=CARI!$C$7),OR(CARI!$C$8="",$O1092=CARI!$C$8)),MAX($U$3:U1091)+1,""))</f>
        <v/>
      </c>
      <c r="V1092" s="40" t="str">
        <f aca="false">IF($T1092="","",MAX($V$3:V1091)+1)</f>
        <v/>
      </c>
      <c r="W1092" s="40" t="str">
        <f aca="false">IF($E1092="","",$E1092&amp;"#"&amp;COUNTIF($E$4:$E1092,$E1092))</f>
        <v/>
      </c>
      <c r="X1092" s="40" t="str">
        <f aca="false">IF($B1092="","",IF(AND(OR(CETAK!$J$10="",$E1092=CETAK!$J$10),OR(CETAK!$J$11="",$F1092=CETAK!$J$11),OR(CETAK!$J$12="",$K1092=CETAK!$J$12),OR(CETAK!$J$13="",$H1092=CETAK!$J$13),OR(CETAK!$J$14="",$O1092=CETAK!$J$14)),MAX($X$3:X1091)+1,""))</f>
        <v/>
      </c>
      <c r="Y1092" s="40" t="str">
        <f aca="false">IF($B1092="","",IF(AND(OR(ABSENSI!$H$10="",$E1092=ABSENSI!$H$10),OR(ABSENSI!$H$11="",$F1092=ABSENSI!$H$11),OR(ABSENSI!$H$12="",$K1092=ABSENSI!$H$12)),MAX($Y$3:Y1091)+1,""))</f>
        <v/>
      </c>
      <c r="Z1092" s="40" t="str">
        <f aca="false">IF($B1092="","",IF(AND(OR(KARTU!$K$6="",$E1092=KARTU!$K$6),OR(KARTU!$K$7="",$F1092=KARTU!$K$7),OR(KARTU!$K$8="",$K1092=KARTU!$K$8)),MAX($Z$3:Z1091)+1,""))</f>
        <v/>
      </c>
    </row>
    <row r="1093" customFormat="false" ht="15" hidden="false" customHeight="false" outlineLevel="0" collapsed="false">
      <c r="A1093" s="36" t="str">
        <f aca="false">IF($B1093="","",COUNTA($B$4:$B1093))</f>
        <v/>
      </c>
      <c r="B1093" s="37"/>
      <c r="C1093" s="38"/>
      <c r="D1093" s="39"/>
      <c r="E1093" s="37"/>
      <c r="F1093" s="39"/>
      <c r="G1093" s="40" t="str">
        <f aca="false">IF(OR($E1093="",$F1093=""),"",$E1093&amp;" - RT "&amp;$F1093)</f>
        <v/>
      </c>
      <c r="H1093" s="37"/>
      <c r="I1093" s="38"/>
      <c r="J1093" s="37"/>
      <c r="K1093" s="39"/>
      <c r="L1093" s="41"/>
      <c r="M1093" s="36" t="str">
        <f aca="true">IF(OR($B1093="",$L1093=""),"",DATEDIF($L1093,TODAY(),"Y"))</f>
        <v/>
      </c>
      <c r="N1093" s="40" t="str">
        <f aca="false">IF($M1093="","",INDEX(usia_label,MATCH($M1093,usia_min,1)))</f>
        <v/>
      </c>
      <c r="O1093" s="37"/>
      <c r="P1093" s="41"/>
      <c r="Q1093" s="37"/>
      <c r="R1093" s="37"/>
      <c r="S1093" s="40" t="str">
        <f aca="false">IF($G1093="","",$G1093&amp;"#"&amp;COUNTIF($G$4:$G1093,$G1093))</f>
        <v/>
      </c>
      <c r="T1093" s="40" t="str">
        <f aca="false">IF($B1093="","",IF($C1093="","NIK kosong",IF(LEN($C1093)&lt;&gt;16,"NIK bukan 16 digit",IF(COUNTIF($C$4:$C$2003,$C1093&amp;"*")&gt;1,"NIK ganda",IF($E1093="","Kadus kosong",IF($F1093="","RT kosong",IF($H1093="","Jabatan kosong",IF($I1093="","No. HP kosong",IF($J1093="","Alamat kosong",IF(AND($M1093&lt;&gt;"",$M1093&lt;17),"Usia di bawah 17",""))))))))))</f>
        <v/>
      </c>
      <c r="U1093" s="40" t="str">
        <f aca="false">IF($B1093="","",IF(AND(OR(CARI!$C$5="",ISNUMBER(SEARCH(CARI!$C$5,$B1093&amp;" "&amp;$C1093&amp;" "&amp;$I1093&amp;" "&amp;$J1093&amp;" "&amp;$Q1093))),OR(CARI!$C$6="",$E1093=CARI!$C$6),OR(CARI!$C$7="",$F1093=CARI!$C$7),OR(CARI!$C$8="",$O1093=CARI!$C$8)),MAX($U$3:U1092)+1,""))</f>
        <v/>
      </c>
      <c r="V1093" s="40" t="str">
        <f aca="false">IF($T1093="","",MAX($V$3:V1092)+1)</f>
        <v/>
      </c>
      <c r="W1093" s="40" t="str">
        <f aca="false">IF($E1093="","",$E1093&amp;"#"&amp;COUNTIF($E$4:$E1093,$E1093))</f>
        <v/>
      </c>
      <c r="X1093" s="40" t="str">
        <f aca="false">IF($B1093="","",IF(AND(OR(CETAK!$J$10="",$E1093=CETAK!$J$10),OR(CETAK!$J$11="",$F1093=CETAK!$J$11),OR(CETAK!$J$12="",$K1093=CETAK!$J$12),OR(CETAK!$J$13="",$H1093=CETAK!$J$13),OR(CETAK!$J$14="",$O1093=CETAK!$J$14)),MAX($X$3:X1092)+1,""))</f>
        <v/>
      </c>
      <c r="Y1093" s="40" t="str">
        <f aca="false">IF($B1093="","",IF(AND(OR(ABSENSI!$H$10="",$E1093=ABSENSI!$H$10),OR(ABSENSI!$H$11="",$F1093=ABSENSI!$H$11),OR(ABSENSI!$H$12="",$K1093=ABSENSI!$H$12)),MAX($Y$3:Y1092)+1,""))</f>
        <v/>
      </c>
      <c r="Z1093" s="40" t="str">
        <f aca="false">IF($B1093="","",IF(AND(OR(KARTU!$K$6="",$E1093=KARTU!$K$6),OR(KARTU!$K$7="",$F1093=KARTU!$K$7),OR(KARTU!$K$8="",$K1093=KARTU!$K$8)),MAX($Z$3:Z1092)+1,""))</f>
        <v/>
      </c>
    </row>
    <row r="1094" customFormat="false" ht="15" hidden="false" customHeight="false" outlineLevel="0" collapsed="false">
      <c r="A1094" s="36" t="str">
        <f aca="false">IF($B1094="","",COUNTA($B$4:$B1094))</f>
        <v/>
      </c>
      <c r="B1094" s="37"/>
      <c r="C1094" s="38"/>
      <c r="D1094" s="39"/>
      <c r="E1094" s="37"/>
      <c r="F1094" s="39"/>
      <c r="G1094" s="40" t="str">
        <f aca="false">IF(OR($E1094="",$F1094=""),"",$E1094&amp;" - RT "&amp;$F1094)</f>
        <v/>
      </c>
      <c r="H1094" s="37"/>
      <c r="I1094" s="38"/>
      <c r="J1094" s="37"/>
      <c r="K1094" s="39"/>
      <c r="L1094" s="41"/>
      <c r="M1094" s="36" t="str">
        <f aca="true">IF(OR($B1094="",$L1094=""),"",DATEDIF($L1094,TODAY(),"Y"))</f>
        <v/>
      </c>
      <c r="N1094" s="40" t="str">
        <f aca="false">IF($M1094="","",INDEX(usia_label,MATCH($M1094,usia_min,1)))</f>
        <v/>
      </c>
      <c r="O1094" s="37"/>
      <c r="P1094" s="41"/>
      <c r="Q1094" s="37"/>
      <c r="R1094" s="37"/>
      <c r="S1094" s="40" t="str">
        <f aca="false">IF($G1094="","",$G1094&amp;"#"&amp;COUNTIF($G$4:$G1094,$G1094))</f>
        <v/>
      </c>
      <c r="T1094" s="40" t="str">
        <f aca="false">IF($B1094="","",IF($C1094="","NIK kosong",IF(LEN($C1094)&lt;&gt;16,"NIK bukan 16 digit",IF(COUNTIF($C$4:$C$2003,$C1094&amp;"*")&gt;1,"NIK ganda",IF($E1094="","Kadus kosong",IF($F1094="","RT kosong",IF($H1094="","Jabatan kosong",IF($I1094="","No. HP kosong",IF($J1094="","Alamat kosong",IF(AND($M1094&lt;&gt;"",$M1094&lt;17),"Usia di bawah 17",""))))))))))</f>
        <v/>
      </c>
      <c r="U1094" s="40" t="str">
        <f aca="false">IF($B1094="","",IF(AND(OR(CARI!$C$5="",ISNUMBER(SEARCH(CARI!$C$5,$B1094&amp;" "&amp;$C1094&amp;" "&amp;$I1094&amp;" "&amp;$J1094&amp;" "&amp;$Q1094))),OR(CARI!$C$6="",$E1094=CARI!$C$6),OR(CARI!$C$7="",$F1094=CARI!$C$7),OR(CARI!$C$8="",$O1094=CARI!$C$8)),MAX($U$3:U1093)+1,""))</f>
        <v/>
      </c>
      <c r="V1094" s="40" t="str">
        <f aca="false">IF($T1094="","",MAX($V$3:V1093)+1)</f>
        <v/>
      </c>
      <c r="W1094" s="40" t="str">
        <f aca="false">IF($E1094="","",$E1094&amp;"#"&amp;COUNTIF($E$4:$E1094,$E1094))</f>
        <v/>
      </c>
      <c r="X1094" s="40" t="str">
        <f aca="false">IF($B1094="","",IF(AND(OR(CETAK!$J$10="",$E1094=CETAK!$J$10),OR(CETAK!$J$11="",$F1094=CETAK!$J$11),OR(CETAK!$J$12="",$K1094=CETAK!$J$12),OR(CETAK!$J$13="",$H1094=CETAK!$J$13),OR(CETAK!$J$14="",$O1094=CETAK!$J$14)),MAX($X$3:X1093)+1,""))</f>
        <v/>
      </c>
      <c r="Y1094" s="40" t="str">
        <f aca="false">IF($B1094="","",IF(AND(OR(ABSENSI!$H$10="",$E1094=ABSENSI!$H$10),OR(ABSENSI!$H$11="",$F1094=ABSENSI!$H$11),OR(ABSENSI!$H$12="",$K1094=ABSENSI!$H$12)),MAX($Y$3:Y1093)+1,""))</f>
        <v/>
      </c>
      <c r="Z1094" s="40" t="str">
        <f aca="false">IF($B1094="","",IF(AND(OR(KARTU!$K$6="",$E1094=KARTU!$K$6),OR(KARTU!$K$7="",$F1094=KARTU!$K$7),OR(KARTU!$K$8="",$K1094=KARTU!$K$8)),MAX($Z$3:Z1093)+1,""))</f>
        <v/>
      </c>
    </row>
    <row r="1095" customFormat="false" ht="15" hidden="false" customHeight="false" outlineLevel="0" collapsed="false">
      <c r="A1095" s="36" t="str">
        <f aca="false">IF($B1095="","",COUNTA($B$4:$B1095))</f>
        <v/>
      </c>
      <c r="B1095" s="37"/>
      <c r="C1095" s="38"/>
      <c r="D1095" s="39"/>
      <c r="E1095" s="37"/>
      <c r="F1095" s="39"/>
      <c r="G1095" s="40" t="str">
        <f aca="false">IF(OR($E1095="",$F1095=""),"",$E1095&amp;" - RT "&amp;$F1095)</f>
        <v/>
      </c>
      <c r="H1095" s="37"/>
      <c r="I1095" s="38"/>
      <c r="J1095" s="37"/>
      <c r="K1095" s="39"/>
      <c r="L1095" s="41"/>
      <c r="M1095" s="36" t="str">
        <f aca="true">IF(OR($B1095="",$L1095=""),"",DATEDIF($L1095,TODAY(),"Y"))</f>
        <v/>
      </c>
      <c r="N1095" s="40" t="str">
        <f aca="false">IF($M1095="","",INDEX(usia_label,MATCH($M1095,usia_min,1)))</f>
        <v/>
      </c>
      <c r="O1095" s="37"/>
      <c r="P1095" s="41"/>
      <c r="Q1095" s="37"/>
      <c r="R1095" s="37"/>
      <c r="S1095" s="40" t="str">
        <f aca="false">IF($G1095="","",$G1095&amp;"#"&amp;COUNTIF($G$4:$G1095,$G1095))</f>
        <v/>
      </c>
      <c r="T1095" s="40" t="str">
        <f aca="false">IF($B1095="","",IF($C1095="","NIK kosong",IF(LEN($C1095)&lt;&gt;16,"NIK bukan 16 digit",IF(COUNTIF($C$4:$C$2003,$C1095&amp;"*")&gt;1,"NIK ganda",IF($E1095="","Kadus kosong",IF($F1095="","RT kosong",IF($H1095="","Jabatan kosong",IF($I1095="","No. HP kosong",IF($J1095="","Alamat kosong",IF(AND($M1095&lt;&gt;"",$M1095&lt;17),"Usia di bawah 17",""))))))))))</f>
        <v/>
      </c>
      <c r="U1095" s="40" t="str">
        <f aca="false">IF($B1095="","",IF(AND(OR(CARI!$C$5="",ISNUMBER(SEARCH(CARI!$C$5,$B1095&amp;" "&amp;$C1095&amp;" "&amp;$I1095&amp;" "&amp;$J1095&amp;" "&amp;$Q1095))),OR(CARI!$C$6="",$E1095=CARI!$C$6),OR(CARI!$C$7="",$F1095=CARI!$C$7),OR(CARI!$C$8="",$O1095=CARI!$C$8)),MAX($U$3:U1094)+1,""))</f>
        <v/>
      </c>
      <c r="V1095" s="40" t="str">
        <f aca="false">IF($T1095="","",MAX($V$3:V1094)+1)</f>
        <v/>
      </c>
      <c r="W1095" s="40" t="str">
        <f aca="false">IF($E1095="","",$E1095&amp;"#"&amp;COUNTIF($E$4:$E1095,$E1095))</f>
        <v/>
      </c>
      <c r="X1095" s="40" t="str">
        <f aca="false">IF($B1095="","",IF(AND(OR(CETAK!$J$10="",$E1095=CETAK!$J$10),OR(CETAK!$J$11="",$F1095=CETAK!$J$11),OR(CETAK!$J$12="",$K1095=CETAK!$J$12),OR(CETAK!$J$13="",$H1095=CETAK!$J$13),OR(CETAK!$J$14="",$O1095=CETAK!$J$14)),MAX($X$3:X1094)+1,""))</f>
        <v/>
      </c>
      <c r="Y1095" s="40" t="str">
        <f aca="false">IF($B1095="","",IF(AND(OR(ABSENSI!$H$10="",$E1095=ABSENSI!$H$10),OR(ABSENSI!$H$11="",$F1095=ABSENSI!$H$11),OR(ABSENSI!$H$12="",$K1095=ABSENSI!$H$12)),MAX($Y$3:Y1094)+1,""))</f>
        <v/>
      </c>
      <c r="Z1095" s="40" t="str">
        <f aca="false">IF($B1095="","",IF(AND(OR(KARTU!$K$6="",$E1095=KARTU!$K$6),OR(KARTU!$K$7="",$F1095=KARTU!$K$7),OR(KARTU!$K$8="",$K1095=KARTU!$K$8)),MAX($Z$3:Z1094)+1,""))</f>
        <v/>
      </c>
    </row>
    <row r="1096" customFormat="false" ht="15" hidden="false" customHeight="false" outlineLevel="0" collapsed="false">
      <c r="A1096" s="36" t="str">
        <f aca="false">IF($B1096="","",COUNTA($B$4:$B1096))</f>
        <v/>
      </c>
      <c r="B1096" s="37"/>
      <c r="C1096" s="38"/>
      <c r="D1096" s="39"/>
      <c r="E1096" s="37"/>
      <c r="F1096" s="39"/>
      <c r="G1096" s="40" t="str">
        <f aca="false">IF(OR($E1096="",$F1096=""),"",$E1096&amp;" - RT "&amp;$F1096)</f>
        <v/>
      </c>
      <c r="H1096" s="37"/>
      <c r="I1096" s="38"/>
      <c r="J1096" s="37"/>
      <c r="K1096" s="39"/>
      <c r="L1096" s="41"/>
      <c r="M1096" s="36" t="str">
        <f aca="true">IF(OR($B1096="",$L1096=""),"",DATEDIF($L1096,TODAY(),"Y"))</f>
        <v/>
      </c>
      <c r="N1096" s="40" t="str">
        <f aca="false">IF($M1096="","",INDEX(usia_label,MATCH($M1096,usia_min,1)))</f>
        <v/>
      </c>
      <c r="O1096" s="37"/>
      <c r="P1096" s="41"/>
      <c r="Q1096" s="37"/>
      <c r="R1096" s="37"/>
      <c r="S1096" s="40" t="str">
        <f aca="false">IF($G1096="","",$G1096&amp;"#"&amp;COUNTIF($G$4:$G1096,$G1096))</f>
        <v/>
      </c>
      <c r="T1096" s="40" t="str">
        <f aca="false">IF($B1096="","",IF($C1096="","NIK kosong",IF(LEN($C1096)&lt;&gt;16,"NIK bukan 16 digit",IF(COUNTIF($C$4:$C$2003,$C1096&amp;"*")&gt;1,"NIK ganda",IF($E1096="","Kadus kosong",IF($F1096="","RT kosong",IF($H1096="","Jabatan kosong",IF($I1096="","No. HP kosong",IF($J1096="","Alamat kosong",IF(AND($M1096&lt;&gt;"",$M1096&lt;17),"Usia di bawah 17",""))))))))))</f>
        <v/>
      </c>
      <c r="U1096" s="40" t="str">
        <f aca="false">IF($B1096="","",IF(AND(OR(CARI!$C$5="",ISNUMBER(SEARCH(CARI!$C$5,$B1096&amp;" "&amp;$C1096&amp;" "&amp;$I1096&amp;" "&amp;$J1096&amp;" "&amp;$Q1096))),OR(CARI!$C$6="",$E1096=CARI!$C$6),OR(CARI!$C$7="",$F1096=CARI!$C$7),OR(CARI!$C$8="",$O1096=CARI!$C$8)),MAX($U$3:U1095)+1,""))</f>
        <v/>
      </c>
      <c r="V1096" s="40" t="str">
        <f aca="false">IF($T1096="","",MAX($V$3:V1095)+1)</f>
        <v/>
      </c>
      <c r="W1096" s="40" t="str">
        <f aca="false">IF($E1096="","",$E1096&amp;"#"&amp;COUNTIF($E$4:$E1096,$E1096))</f>
        <v/>
      </c>
      <c r="X1096" s="40" t="str">
        <f aca="false">IF($B1096="","",IF(AND(OR(CETAK!$J$10="",$E1096=CETAK!$J$10),OR(CETAK!$J$11="",$F1096=CETAK!$J$11),OR(CETAK!$J$12="",$K1096=CETAK!$J$12),OR(CETAK!$J$13="",$H1096=CETAK!$J$13),OR(CETAK!$J$14="",$O1096=CETAK!$J$14)),MAX($X$3:X1095)+1,""))</f>
        <v/>
      </c>
      <c r="Y1096" s="40" t="str">
        <f aca="false">IF($B1096="","",IF(AND(OR(ABSENSI!$H$10="",$E1096=ABSENSI!$H$10),OR(ABSENSI!$H$11="",$F1096=ABSENSI!$H$11),OR(ABSENSI!$H$12="",$K1096=ABSENSI!$H$12)),MAX($Y$3:Y1095)+1,""))</f>
        <v/>
      </c>
      <c r="Z1096" s="40" t="str">
        <f aca="false">IF($B1096="","",IF(AND(OR(KARTU!$K$6="",$E1096=KARTU!$K$6),OR(KARTU!$K$7="",$F1096=KARTU!$K$7),OR(KARTU!$K$8="",$K1096=KARTU!$K$8)),MAX($Z$3:Z1095)+1,""))</f>
        <v/>
      </c>
    </row>
    <row r="1097" customFormat="false" ht="15" hidden="false" customHeight="false" outlineLevel="0" collapsed="false">
      <c r="A1097" s="36" t="str">
        <f aca="false">IF($B1097="","",COUNTA($B$4:$B1097))</f>
        <v/>
      </c>
      <c r="B1097" s="37"/>
      <c r="C1097" s="38"/>
      <c r="D1097" s="39"/>
      <c r="E1097" s="37"/>
      <c r="F1097" s="39"/>
      <c r="G1097" s="40" t="str">
        <f aca="false">IF(OR($E1097="",$F1097=""),"",$E1097&amp;" - RT "&amp;$F1097)</f>
        <v/>
      </c>
      <c r="H1097" s="37"/>
      <c r="I1097" s="38"/>
      <c r="J1097" s="37"/>
      <c r="K1097" s="39"/>
      <c r="L1097" s="41"/>
      <c r="M1097" s="36" t="str">
        <f aca="true">IF(OR($B1097="",$L1097=""),"",DATEDIF($L1097,TODAY(),"Y"))</f>
        <v/>
      </c>
      <c r="N1097" s="40" t="str">
        <f aca="false">IF($M1097="","",INDEX(usia_label,MATCH($M1097,usia_min,1)))</f>
        <v/>
      </c>
      <c r="O1097" s="37"/>
      <c r="P1097" s="41"/>
      <c r="Q1097" s="37"/>
      <c r="R1097" s="37"/>
      <c r="S1097" s="40" t="str">
        <f aca="false">IF($G1097="","",$G1097&amp;"#"&amp;COUNTIF($G$4:$G1097,$G1097))</f>
        <v/>
      </c>
      <c r="T1097" s="40" t="str">
        <f aca="false">IF($B1097="","",IF($C1097="","NIK kosong",IF(LEN($C1097)&lt;&gt;16,"NIK bukan 16 digit",IF(COUNTIF($C$4:$C$2003,$C1097&amp;"*")&gt;1,"NIK ganda",IF($E1097="","Kadus kosong",IF($F1097="","RT kosong",IF($H1097="","Jabatan kosong",IF($I1097="","No. HP kosong",IF($J1097="","Alamat kosong",IF(AND($M1097&lt;&gt;"",$M1097&lt;17),"Usia di bawah 17",""))))))))))</f>
        <v/>
      </c>
      <c r="U1097" s="40" t="str">
        <f aca="false">IF($B1097="","",IF(AND(OR(CARI!$C$5="",ISNUMBER(SEARCH(CARI!$C$5,$B1097&amp;" "&amp;$C1097&amp;" "&amp;$I1097&amp;" "&amp;$J1097&amp;" "&amp;$Q1097))),OR(CARI!$C$6="",$E1097=CARI!$C$6),OR(CARI!$C$7="",$F1097=CARI!$C$7),OR(CARI!$C$8="",$O1097=CARI!$C$8)),MAX($U$3:U1096)+1,""))</f>
        <v/>
      </c>
      <c r="V1097" s="40" t="str">
        <f aca="false">IF($T1097="","",MAX($V$3:V1096)+1)</f>
        <v/>
      </c>
      <c r="W1097" s="40" t="str">
        <f aca="false">IF($E1097="","",$E1097&amp;"#"&amp;COUNTIF($E$4:$E1097,$E1097))</f>
        <v/>
      </c>
      <c r="X1097" s="40" t="str">
        <f aca="false">IF($B1097="","",IF(AND(OR(CETAK!$J$10="",$E1097=CETAK!$J$10),OR(CETAK!$J$11="",$F1097=CETAK!$J$11),OR(CETAK!$J$12="",$K1097=CETAK!$J$12),OR(CETAK!$J$13="",$H1097=CETAK!$J$13),OR(CETAK!$J$14="",$O1097=CETAK!$J$14)),MAX($X$3:X1096)+1,""))</f>
        <v/>
      </c>
      <c r="Y1097" s="40" t="str">
        <f aca="false">IF($B1097="","",IF(AND(OR(ABSENSI!$H$10="",$E1097=ABSENSI!$H$10),OR(ABSENSI!$H$11="",$F1097=ABSENSI!$H$11),OR(ABSENSI!$H$12="",$K1097=ABSENSI!$H$12)),MAX($Y$3:Y1096)+1,""))</f>
        <v/>
      </c>
      <c r="Z1097" s="40" t="str">
        <f aca="false">IF($B1097="","",IF(AND(OR(KARTU!$K$6="",$E1097=KARTU!$K$6),OR(KARTU!$K$7="",$F1097=KARTU!$K$7),OR(KARTU!$K$8="",$K1097=KARTU!$K$8)),MAX($Z$3:Z1096)+1,""))</f>
        <v/>
      </c>
    </row>
    <row r="1098" customFormat="false" ht="15" hidden="false" customHeight="false" outlineLevel="0" collapsed="false">
      <c r="A1098" s="36" t="str">
        <f aca="false">IF($B1098="","",COUNTA($B$4:$B1098))</f>
        <v/>
      </c>
      <c r="B1098" s="37"/>
      <c r="C1098" s="38"/>
      <c r="D1098" s="39"/>
      <c r="E1098" s="37"/>
      <c r="F1098" s="39"/>
      <c r="G1098" s="40" t="str">
        <f aca="false">IF(OR($E1098="",$F1098=""),"",$E1098&amp;" - RT "&amp;$F1098)</f>
        <v/>
      </c>
      <c r="H1098" s="37"/>
      <c r="I1098" s="38"/>
      <c r="J1098" s="37"/>
      <c r="K1098" s="39"/>
      <c r="L1098" s="41"/>
      <c r="M1098" s="36" t="str">
        <f aca="true">IF(OR($B1098="",$L1098=""),"",DATEDIF($L1098,TODAY(),"Y"))</f>
        <v/>
      </c>
      <c r="N1098" s="40" t="str">
        <f aca="false">IF($M1098="","",INDEX(usia_label,MATCH($M1098,usia_min,1)))</f>
        <v/>
      </c>
      <c r="O1098" s="37"/>
      <c r="P1098" s="41"/>
      <c r="Q1098" s="37"/>
      <c r="R1098" s="37"/>
      <c r="S1098" s="40" t="str">
        <f aca="false">IF($G1098="","",$G1098&amp;"#"&amp;COUNTIF($G$4:$G1098,$G1098))</f>
        <v/>
      </c>
      <c r="T1098" s="40" t="str">
        <f aca="false">IF($B1098="","",IF($C1098="","NIK kosong",IF(LEN($C1098)&lt;&gt;16,"NIK bukan 16 digit",IF(COUNTIF($C$4:$C$2003,$C1098&amp;"*")&gt;1,"NIK ganda",IF($E1098="","Kadus kosong",IF($F1098="","RT kosong",IF($H1098="","Jabatan kosong",IF($I1098="","No. HP kosong",IF($J1098="","Alamat kosong",IF(AND($M1098&lt;&gt;"",$M1098&lt;17),"Usia di bawah 17",""))))))))))</f>
        <v/>
      </c>
      <c r="U1098" s="40" t="str">
        <f aca="false">IF($B1098="","",IF(AND(OR(CARI!$C$5="",ISNUMBER(SEARCH(CARI!$C$5,$B1098&amp;" "&amp;$C1098&amp;" "&amp;$I1098&amp;" "&amp;$J1098&amp;" "&amp;$Q1098))),OR(CARI!$C$6="",$E1098=CARI!$C$6),OR(CARI!$C$7="",$F1098=CARI!$C$7),OR(CARI!$C$8="",$O1098=CARI!$C$8)),MAX($U$3:U1097)+1,""))</f>
        <v/>
      </c>
      <c r="V1098" s="40" t="str">
        <f aca="false">IF($T1098="","",MAX($V$3:V1097)+1)</f>
        <v/>
      </c>
      <c r="W1098" s="40" t="str">
        <f aca="false">IF($E1098="","",$E1098&amp;"#"&amp;COUNTIF($E$4:$E1098,$E1098))</f>
        <v/>
      </c>
      <c r="X1098" s="40" t="str">
        <f aca="false">IF($B1098="","",IF(AND(OR(CETAK!$J$10="",$E1098=CETAK!$J$10),OR(CETAK!$J$11="",$F1098=CETAK!$J$11),OR(CETAK!$J$12="",$K1098=CETAK!$J$12),OR(CETAK!$J$13="",$H1098=CETAK!$J$13),OR(CETAK!$J$14="",$O1098=CETAK!$J$14)),MAX($X$3:X1097)+1,""))</f>
        <v/>
      </c>
      <c r="Y1098" s="40" t="str">
        <f aca="false">IF($B1098="","",IF(AND(OR(ABSENSI!$H$10="",$E1098=ABSENSI!$H$10),OR(ABSENSI!$H$11="",$F1098=ABSENSI!$H$11),OR(ABSENSI!$H$12="",$K1098=ABSENSI!$H$12)),MAX($Y$3:Y1097)+1,""))</f>
        <v/>
      </c>
      <c r="Z1098" s="40" t="str">
        <f aca="false">IF($B1098="","",IF(AND(OR(KARTU!$K$6="",$E1098=KARTU!$K$6),OR(KARTU!$K$7="",$F1098=KARTU!$K$7),OR(KARTU!$K$8="",$K1098=KARTU!$K$8)),MAX($Z$3:Z1097)+1,""))</f>
        <v/>
      </c>
    </row>
    <row r="1099" customFormat="false" ht="15" hidden="false" customHeight="false" outlineLevel="0" collapsed="false">
      <c r="A1099" s="36" t="str">
        <f aca="false">IF($B1099="","",COUNTA($B$4:$B1099))</f>
        <v/>
      </c>
      <c r="B1099" s="37"/>
      <c r="C1099" s="38"/>
      <c r="D1099" s="39"/>
      <c r="E1099" s="37"/>
      <c r="F1099" s="39"/>
      <c r="G1099" s="40" t="str">
        <f aca="false">IF(OR($E1099="",$F1099=""),"",$E1099&amp;" - RT "&amp;$F1099)</f>
        <v/>
      </c>
      <c r="H1099" s="37"/>
      <c r="I1099" s="38"/>
      <c r="J1099" s="37"/>
      <c r="K1099" s="39"/>
      <c r="L1099" s="41"/>
      <c r="M1099" s="36" t="str">
        <f aca="true">IF(OR($B1099="",$L1099=""),"",DATEDIF($L1099,TODAY(),"Y"))</f>
        <v/>
      </c>
      <c r="N1099" s="40" t="str">
        <f aca="false">IF($M1099="","",INDEX(usia_label,MATCH($M1099,usia_min,1)))</f>
        <v/>
      </c>
      <c r="O1099" s="37"/>
      <c r="P1099" s="41"/>
      <c r="Q1099" s="37"/>
      <c r="R1099" s="37"/>
      <c r="S1099" s="40" t="str">
        <f aca="false">IF($G1099="","",$G1099&amp;"#"&amp;COUNTIF($G$4:$G1099,$G1099))</f>
        <v/>
      </c>
      <c r="T1099" s="40" t="str">
        <f aca="false">IF($B1099="","",IF($C1099="","NIK kosong",IF(LEN($C1099)&lt;&gt;16,"NIK bukan 16 digit",IF(COUNTIF($C$4:$C$2003,$C1099&amp;"*")&gt;1,"NIK ganda",IF($E1099="","Kadus kosong",IF($F1099="","RT kosong",IF($H1099="","Jabatan kosong",IF($I1099="","No. HP kosong",IF($J1099="","Alamat kosong",IF(AND($M1099&lt;&gt;"",$M1099&lt;17),"Usia di bawah 17",""))))))))))</f>
        <v/>
      </c>
      <c r="U1099" s="40" t="str">
        <f aca="false">IF($B1099="","",IF(AND(OR(CARI!$C$5="",ISNUMBER(SEARCH(CARI!$C$5,$B1099&amp;" "&amp;$C1099&amp;" "&amp;$I1099&amp;" "&amp;$J1099&amp;" "&amp;$Q1099))),OR(CARI!$C$6="",$E1099=CARI!$C$6),OR(CARI!$C$7="",$F1099=CARI!$C$7),OR(CARI!$C$8="",$O1099=CARI!$C$8)),MAX($U$3:U1098)+1,""))</f>
        <v/>
      </c>
      <c r="V1099" s="40" t="str">
        <f aca="false">IF($T1099="","",MAX($V$3:V1098)+1)</f>
        <v/>
      </c>
      <c r="W1099" s="40" t="str">
        <f aca="false">IF($E1099="","",$E1099&amp;"#"&amp;COUNTIF($E$4:$E1099,$E1099))</f>
        <v/>
      </c>
      <c r="X1099" s="40" t="str">
        <f aca="false">IF($B1099="","",IF(AND(OR(CETAK!$J$10="",$E1099=CETAK!$J$10),OR(CETAK!$J$11="",$F1099=CETAK!$J$11),OR(CETAK!$J$12="",$K1099=CETAK!$J$12),OR(CETAK!$J$13="",$H1099=CETAK!$J$13),OR(CETAK!$J$14="",$O1099=CETAK!$J$14)),MAX($X$3:X1098)+1,""))</f>
        <v/>
      </c>
      <c r="Y1099" s="40" t="str">
        <f aca="false">IF($B1099="","",IF(AND(OR(ABSENSI!$H$10="",$E1099=ABSENSI!$H$10),OR(ABSENSI!$H$11="",$F1099=ABSENSI!$H$11),OR(ABSENSI!$H$12="",$K1099=ABSENSI!$H$12)),MAX($Y$3:Y1098)+1,""))</f>
        <v/>
      </c>
      <c r="Z1099" s="40" t="str">
        <f aca="false">IF($B1099="","",IF(AND(OR(KARTU!$K$6="",$E1099=KARTU!$K$6),OR(KARTU!$K$7="",$F1099=KARTU!$K$7),OR(KARTU!$K$8="",$K1099=KARTU!$K$8)),MAX($Z$3:Z1098)+1,""))</f>
        <v/>
      </c>
    </row>
    <row r="1100" customFormat="false" ht="15" hidden="false" customHeight="false" outlineLevel="0" collapsed="false">
      <c r="A1100" s="36" t="str">
        <f aca="false">IF($B1100="","",COUNTA($B$4:$B1100))</f>
        <v/>
      </c>
      <c r="B1100" s="37"/>
      <c r="C1100" s="38"/>
      <c r="D1100" s="39"/>
      <c r="E1100" s="37"/>
      <c r="F1100" s="39"/>
      <c r="G1100" s="40" t="str">
        <f aca="false">IF(OR($E1100="",$F1100=""),"",$E1100&amp;" - RT "&amp;$F1100)</f>
        <v/>
      </c>
      <c r="H1100" s="37"/>
      <c r="I1100" s="38"/>
      <c r="J1100" s="37"/>
      <c r="K1100" s="39"/>
      <c r="L1100" s="41"/>
      <c r="M1100" s="36" t="str">
        <f aca="true">IF(OR($B1100="",$L1100=""),"",DATEDIF($L1100,TODAY(),"Y"))</f>
        <v/>
      </c>
      <c r="N1100" s="40" t="str">
        <f aca="false">IF($M1100="","",INDEX(usia_label,MATCH($M1100,usia_min,1)))</f>
        <v/>
      </c>
      <c r="O1100" s="37"/>
      <c r="P1100" s="41"/>
      <c r="Q1100" s="37"/>
      <c r="R1100" s="37"/>
      <c r="S1100" s="40" t="str">
        <f aca="false">IF($G1100="","",$G1100&amp;"#"&amp;COUNTIF($G$4:$G1100,$G1100))</f>
        <v/>
      </c>
      <c r="T1100" s="40" t="str">
        <f aca="false">IF($B1100="","",IF($C1100="","NIK kosong",IF(LEN($C1100)&lt;&gt;16,"NIK bukan 16 digit",IF(COUNTIF($C$4:$C$2003,$C1100&amp;"*")&gt;1,"NIK ganda",IF($E1100="","Kadus kosong",IF($F1100="","RT kosong",IF($H1100="","Jabatan kosong",IF($I1100="","No. HP kosong",IF($J1100="","Alamat kosong",IF(AND($M1100&lt;&gt;"",$M1100&lt;17),"Usia di bawah 17",""))))))))))</f>
        <v/>
      </c>
      <c r="U1100" s="40" t="str">
        <f aca="false">IF($B1100="","",IF(AND(OR(CARI!$C$5="",ISNUMBER(SEARCH(CARI!$C$5,$B1100&amp;" "&amp;$C1100&amp;" "&amp;$I1100&amp;" "&amp;$J1100&amp;" "&amp;$Q1100))),OR(CARI!$C$6="",$E1100=CARI!$C$6),OR(CARI!$C$7="",$F1100=CARI!$C$7),OR(CARI!$C$8="",$O1100=CARI!$C$8)),MAX($U$3:U1099)+1,""))</f>
        <v/>
      </c>
      <c r="V1100" s="40" t="str">
        <f aca="false">IF($T1100="","",MAX($V$3:V1099)+1)</f>
        <v/>
      </c>
      <c r="W1100" s="40" t="str">
        <f aca="false">IF($E1100="","",$E1100&amp;"#"&amp;COUNTIF($E$4:$E1100,$E1100))</f>
        <v/>
      </c>
      <c r="X1100" s="40" t="str">
        <f aca="false">IF($B1100="","",IF(AND(OR(CETAK!$J$10="",$E1100=CETAK!$J$10),OR(CETAK!$J$11="",$F1100=CETAK!$J$11),OR(CETAK!$J$12="",$K1100=CETAK!$J$12),OR(CETAK!$J$13="",$H1100=CETAK!$J$13),OR(CETAK!$J$14="",$O1100=CETAK!$J$14)),MAX($X$3:X1099)+1,""))</f>
        <v/>
      </c>
      <c r="Y1100" s="40" t="str">
        <f aca="false">IF($B1100="","",IF(AND(OR(ABSENSI!$H$10="",$E1100=ABSENSI!$H$10),OR(ABSENSI!$H$11="",$F1100=ABSENSI!$H$11),OR(ABSENSI!$H$12="",$K1100=ABSENSI!$H$12)),MAX($Y$3:Y1099)+1,""))</f>
        <v/>
      </c>
      <c r="Z1100" s="40" t="str">
        <f aca="false">IF($B1100="","",IF(AND(OR(KARTU!$K$6="",$E1100=KARTU!$K$6),OR(KARTU!$K$7="",$F1100=KARTU!$K$7),OR(KARTU!$K$8="",$K1100=KARTU!$K$8)),MAX($Z$3:Z1099)+1,""))</f>
        <v/>
      </c>
    </row>
    <row r="1101" customFormat="false" ht="15" hidden="false" customHeight="false" outlineLevel="0" collapsed="false">
      <c r="A1101" s="36" t="str">
        <f aca="false">IF($B1101="","",COUNTA($B$4:$B1101))</f>
        <v/>
      </c>
      <c r="B1101" s="37"/>
      <c r="C1101" s="38"/>
      <c r="D1101" s="39"/>
      <c r="E1101" s="37"/>
      <c r="F1101" s="39"/>
      <c r="G1101" s="40" t="str">
        <f aca="false">IF(OR($E1101="",$F1101=""),"",$E1101&amp;" - RT "&amp;$F1101)</f>
        <v/>
      </c>
      <c r="H1101" s="37"/>
      <c r="I1101" s="38"/>
      <c r="J1101" s="37"/>
      <c r="K1101" s="39"/>
      <c r="L1101" s="41"/>
      <c r="M1101" s="36" t="str">
        <f aca="true">IF(OR($B1101="",$L1101=""),"",DATEDIF($L1101,TODAY(),"Y"))</f>
        <v/>
      </c>
      <c r="N1101" s="40" t="str">
        <f aca="false">IF($M1101="","",INDEX(usia_label,MATCH($M1101,usia_min,1)))</f>
        <v/>
      </c>
      <c r="O1101" s="37"/>
      <c r="P1101" s="41"/>
      <c r="Q1101" s="37"/>
      <c r="R1101" s="37"/>
      <c r="S1101" s="40" t="str">
        <f aca="false">IF($G1101="","",$G1101&amp;"#"&amp;COUNTIF($G$4:$G1101,$G1101))</f>
        <v/>
      </c>
      <c r="T1101" s="40" t="str">
        <f aca="false">IF($B1101="","",IF($C1101="","NIK kosong",IF(LEN($C1101)&lt;&gt;16,"NIK bukan 16 digit",IF(COUNTIF($C$4:$C$2003,$C1101&amp;"*")&gt;1,"NIK ganda",IF($E1101="","Kadus kosong",IF($F1101="","RT kosong",IF($H1101="","Jabatan kosong",IF($I1101="","No. HP kosong",IF($J1101="","Alamat kosong",IF(AND($M1101&lt;&gt;"",$M1101&lt;17),"Usia di bawah 17",""))))))))))</f>
        <v/>
      </c>
      <c r="U1101" s="40" t="str">
        <f aca="false">IF($B1101="","",IF(AND(OR(CARI!$C$5="",ISNUMBER(SEARCH(CARI!$C$5,$B1101&amp;" "&amp;$C1101&amp;" "&amp;$I1101&amp;" "&amp;$J1101&amp;" "&amp;$Q1101))),OR(CARI!$C$6="",$E1101=CARI!$C$6),OR(CARI!$C$7="",$F1101=CARI!$C$7),OR(CARI!$C$8="",$O1101=CARI!$C$8)),MAX($U$3:U1100)+1,""))</f>
        <v/>
      </c>
      <c r="V1101" s="40" t="str">
        <f aca="false">IF($T1101="","",MAX($V$3:V1100)+1)</f>
        <v/>
      </c>
      <c r="W1101" s="40" t="str">
        <f aca="false">IF($E1101="","",$E1101&amp;"#"&amp;COUNTIF($E$4:$E1101,$E1101))</f>
        <v/>
      </c>
      <c r="X1101" s="40" t="str">
        <f aca="false">IF($B1101="","",IF(AND(OR(CETAK!$J$10="",$E1101=CETAK!$J$10),OR(CETAK!$J$11="",$F1101=CETAK!$J$11),OR(CETAK!$J$12="",$K1101=CETAK!$J$12),OR(CETAK!$J$13="",$H1101=CETAK!$J$13),OR(CETAK!$J$14="",$O1101=CETAK!$J$14)),MAX($X$3:X1100)+1,""))</f>
        <v/>
      </c>
      <c r="Y1101" s="40" t="str">
        <f aca="false">IF($B1101="","",IF(AND(OR(ABSENSI!$H$10="",$E1101=ABSENSI!$H$10),OR(ABSENSI!$H$11="",$F1101=ABSENSI!$H$11),OR(ABSENSI!$H$12="",$K1101=ABSENSI!$H$12)),MAX($Y$3:Y1100)+1,""))</f>
        <v/>
      </c>
      <c r="Z1101" s="40" t="str">
        <f aca="false">IF($B1101="","",IF(AND(OR(KARTU!$K$6="",$E1101=KARTU!$K$6),OR(KARTU!$K$7="",$F1101=KARTU!$K$7),OR(KARTU!$K$8="",$K1101=KARTU!$K$8)),MAX($Z$3:Z1100)+1,""))</f>
        <v/>
      </c>
    </row>
    <row r="1102" customFormat="false" ht="15" hidden="false" customHeight="false" outlineLevel="0" collapsed="false">
      <c r="A1102" s="36" t="str">
        <f aca="false">IF($B1102="","",COUNTA($B$4:$B1102))</f>
        <v/>
      </c>
      <c r="B1102" s="37"/>
      <c r="C1102" s="38"/>
      <c r="D1102" s="39"/>
      <c r="E1102" s="37"/>
      <c r="F1102" s="39"/>
      <c r="G1102" s="40" t="str">
        <f aca="false">IF(OR($E1102="",$F1102=""),"",$E1102&amp;" - RT "&amp;$F1102)</f>
        <v/>
      </c>
      <c r="H1102" s="37"/>
      <c r="I1102" s="38"/>
      <c r="J1102" s="37"/>
      <c r="K1102" s="39"/>
      <c r="L1102" s="41"/>
      <c r="M1102" s="36" t="str">
        <f aca="true">IF(OR($B1102="",$L1102=""),"",DATEDIF($L1102,TODAY(),"Y"))</f>
        <v/>
      </c>
      <c r="N1102" s="40" t="str">
        <f aca="false">IF($M1102="","",INDEX(usia_label,MATCH($M1102,usia_min,1)))</f>
        <v/>
      </c>
      <c r="O1102" s="37"/>
      <c r="P1102" s="41"/>
      <c r="Q1102" s="37"/>
      <c r="R1102" s="37"/>
      <c r="S1102" s="40" t="str">
        <f aca="false">IF($G1102="","",$G1102&amp;"#"&amp;COUNTIF($G$4:$G1102,$G1102))</f>
        <v/>
      </c>
      <c r="T1102" s="40" t="str">
        <f aca="false">IF($B1102="","",IF($C1102="","NIK kosong",IF(LEN($C1102)&lt;&gt;16,"NIK bukan 16 digit",IF(COUNTIF($C$4:$C$2003,$C1102&amp;"*")&gt;1,"NIK ganda",IF($E1102="","Kadus kosong",IF($F1102="","RT kosong",IF($H1102="","Jabatan kosong",IF($I1102="","No. HP kosong",IF($J1102="","Alamat kosong",IF(AND($M1102&lt;&gt;"",$M1102&lt;17),"Usia di bawah 17",""))))))))))</f>
        <v/>
      </c>
      <c r="U1102" s="40" t="str">
        <f aca="false">IF($B1102="","",IF(AND(OR(CARI!$C$5="",ISNUMBER(SEARCH(CARI!$C$5,$B1102&amp;" "&amp;$C1102&amp;" "&amp;$I1102&amp;" "&amp;$J1102&amp;" "&amp;$Q1102))),OR(CARI!$C$6="",$E1102=CARI!$C$6),OR(CARI!$C$7="",$F1102=CARI!$C$7),OR(CARI!$C$8="",$O1102=CARI!$C$8)),MAX($U$3:U1101)+1,""))</f>
        <v/>
      </c>
      <c r="V1102" s="40" t="str">
        <f aca="false">IF($T1102="","",MAX($V$3:V1101)+1)</f>
        <v/>
      </c>
      <c r="W1102" s="40" t="str">
        <f aca="false">IF($E1102="","",$E1102&amp;"#"&amp;COUNTIF($E$4:$E1102,$E1102))</f>
        <v/>
      </c>
      <c r="X1102" s="40" t="str">
        <f aca="false">IF($B1102="","",IF(AND(OR(CETAK!$J$10="",$E1102=CETAK!$J$10),OR(CETAK!$J$11="",$F1102=CETAK!$J$11),OR(CETAK!$J$12="",$K1102=CETAK!$J$12),OR(CETAK!$J$13="",$H1102=CETAK!$J$13),OR(CETAK!$J$14="",$O1102=CETAK!$J$14)),MAX($X$3:X1101)+1,""))</f>
        <v/>
      </c>
      <c r="Y1102" s="40" t="str">
        <f aca="false">IF($B1102="","",IF(AND(OR(ABSENSI!$H$10="",$E1102=ABSENSI!$H$10),OR(ABSENSI!$H$11="",$F1102=ABSENSI!$H$11),OR(ABSENSI!$H$12="",$K1102=ABSENSI!$H$12)),MAX($Y$3:Y1101)+1,""))</f>
        <v/>
      </c>
      <c r="Z1102" s="40" t="str">
        <f aca="false">IF($B1102="","",IF(AND(OR(KARTU!$K$6="",$E1102=KARTU!$K$6),OR(KARTU!$K$7="",$F1102=KARTU!$K$7),OR(KARTU!$K$8="",$K1102=KARTU!$K$8)),MAX($Z$3:Z1101)+1,""))</f>
        <v/>
      </c>
    </row>
    <row r="1103" customFormat="false" ht="15" hidden="false" customHeight="false" outlineLevel="0" collapsed="false">
      <c r="A1103" s="36" t="str">
        <f aca="false">IF($B1103="","",COUNTA($B$4:$B1103))</f>
        <v/>
      </c>
      <c r="B1103" s="37"/>
      <c r="C1103" s="38"/>
      <c r="D1103" s="39"/>
      <c r="E1103" s="37"/>
      <c r="F1103" s="39"/>
      <c r="G1103" s="40" t="str">
        <f aca="false">IF(OR($E1103="",$F1103=""),"",$E1103&amp;" - RT "&amp;$F1103)</f>
        <v/>
      </c>
      <c r="H1103" s="37"/>
      <c r="I1103" s="38"/>
      <c r="J1103" s="37"/>
      <c r="K1103" s="39"/>
      <c r="L1103" s="41"/>
      <c r="M1103" s="36" t="str">
        <f aca="true">IF(OR($B1103="",$L1103=""),"",DATEDIF($L1103,TODAY(),"Y"))</f>
        <v/>
      </c>
      <c r="N1103" s="40" t="str">
        <f aca="false">IF($M1103="","",INDEX(usia_label,MATCH($M1103,usia_min,1)))</f>
        <v/>
      </c>
      <c r="O1103" s="37"/>
      <c r="P1103" s="41"/>
      <c r="Q1103" s="37"/>
      <c r="R1103" s="37"/>
      <c r="S1103" s="40" t="str">
        <f aca="false">IF($G1103="","",$G1103&amp;"#"&amp;COUNTIF($G$4:$G1103,$G1103))</f>
        <v/>
      </c>
      <c r="T1103" s="40" t="str">
        <f aca="false">IF($B1103="","",IF($C1103="","NIK kosong",IF(LEN($C1103)&lt;&gt;16,"NIK bukan 16 digit",IF(COUNTIF($C$4:$C$2003,$C1103&amp;"*")&gt;1,"NIK ganda",IF($E1103="","Kadus kosong",IF($F1103="","RT kosong",IF($H1103="","Jabatan kosong",IF($I1103="","No. HP kosong",IF($J1103="","Alamat kosong",IF(AND($M1103&lt;&gt;"",$M1103&lt;17),"Usia di bawah 17",""))))))))))</f>
        <v/>
      </c>
      <c r="U1103" s="40" t="str">
        <f aca="false">IF($B1103="","",IF(AND(OR(CARI!$C$5="",ISNUMBER(SEARCH(CARI!$C$5,$B1103&amp;" "&amp;$C1103&amp;" "&amp;$I1103&amp;" "&amp;$J1103&amp;" "&amp;$Q1103))),OR(CARI!$C$6="",$E1103=CARI!$C$6),OR(CARI!$C$7="",$F1103=CARI!$C$7),OR(CARI!$C$8="",$O1103=CARI!$C$8)),MAX($U$3:U1102)+1,""))</f>
        <v/>
      </c>
      <c r="V1103" s="40" t="str">
        <f aca="false">IF($T1103="","",MAX($V$3:V1102)+1)</f>
        <v/>
      </c>
      <c r="W1103" s="40" t="str">
        <f aca="false">IF($E1103="","",$E1103&amp;"#"&amp;COUNTIF($E$4:$E1103,$E1103))</f>
        <v/>
      </c>
      <c r="X1103" s="40" t="str">
        <f aca="false">IF($B1103="","",IF(AND(OR(CETAK!$J$10="",$E1103=CETAK!$J$10),OR(CETAK!$J$11="",$F1103=CETAK!$J$11),OR(CETAK!$J$12="",$K1103=CETAK!$J$12),OR(CETAK!$J$13="",$H1103=CETAK!$J$13),OR(CETAK!$J$14="",$O1103=CETAK!$J$14)),MAX($X$3:X1102)+1,""))</f>
        <v/>
      </c>
      <c r="Y1103" s="40" t="str">
        <f aca="false">IF($B1103="","",IF(AND(OR(ABSENSI!$H$10="",$E1103=ABSENSI!$H$10),OR(ABSENSI!$H$11="",$F1103=ABSENSI!$H$11),OR(ABSENSI!$H$12="",$K1103=ABSENSI!$H$12)),MAX($Y$3:Y1102)+1,""))</f>
        <v/>
      </c>
      <c r="Z1103" s="40" t="str">
        <f aca="false">IF($B1103="","",IF(AND(OR(KARTU!$K$6="",$E1103=KARTU!$K$6),OR(KARTU!$K$7="",$F1103=KARTU!$K$7),OR(KARTU!$K$8="",$K1103=KARTU!$K$8)),MAX($Z$3:Z1102)+1,""))</f>
        <v/>
      </c>
    </row>
    <row r="1104" customFormat="false" ht="15" hidden="false" customHeight="false" outlineLevel="0" collapsed="false">
      <c r="A1104" s="36" t="str">
        <f aca="false">IF($B1104="","",COUNTA($B$4:$B1104))</f>
        <v/>
      </c>
      <c r="B1104" s="37"/>
      <c r="C1104" s="38"/>
      <c r="D1104" s="39"/>
      <c r="E1104" s="37"/>
      <c r="F1104" s="39"/>
      <c r="G1104" s="40" t="str">
        <f aca="false">IF(OR($E1104="",$F1104=""),"",$E1104&amp;" - RT "&amp;$F1104)</f>
        <v/>
      </c>
      <c r="H1104" s="37"/>
      <c r="I1104" s="38"/>
      <c r="J1104" s="37"/>
      <c r="K1104" s="39"/>
      <c r="L1104" s="41"/>
      <c r="M1104" s="36" t="str">
        <f aca="true">IF(OR($B1104="",$L1104=""),"",DATEDIF($L1104,TODAY(),"Y"))</f>
        <v/>
      </c>
      <c r="N1104" s="40" t="str">
        <f aca="false">IF($M1104="","",INDEX(usia_label,MATCH($M1104,usia_min,1)))</f>
        <v/>
      </c>
      <c r="O1104" s="37"/>
      <c r="P1104" s="41"/>
      <c r="Q1104" s="37"/>
      <c r="R1104" s="37"/>
      <c r="S1104" s="40" t="str">
        <f aca="false">IF($G1104="","",$G1104&amp;"#"&amp;COUNTIF($G$4:$G1104,$G1104))</f>
        <v/>
      </c>
      <c r="T1104" s="40" t="str">
        <f aca="false">IF($B1104="","",IF($C1104="","NIK kosong",IF(LEN($C1104)&lt;&gt;16,"NIK bukan 16 digit",IF(COUNTIF($C$4:$C$2003,$C1104&amp;"*")&gt;1,"NIK ganda",IF($E1104="","Kadus kosong",IF($F1104="","RT kosong",IF($H1104="","Jabatan kosong",IF($I1104="","No. HP kosong",IF($J1104="","Alamat kosong",IF(AND($M1104&lt;&gt;"",$M1104&lt;17),"Usia di bawah 17",""))))))))))</f>
        <v/>
      </c>
      <c r="U1104" s="40" t="str">
        <f aca="false">IF($B1104="","",IF(AND(OR(CARI!$C$5="",ISNUMBER(SEARCH(CARI!$C$5,$B1104&amp;" "&amp;$C1104&amp;" "&amp;$I1104&amp;" "&amp;$J1104&amp;" "&amp;$Q1104))),OR(CARI!$C$6="",$E1104=CARI!$C$6),OR(CARI!$C$7="",$F1104=CARI!$C$7),OR(CARI!$C$8="",$O1104=CARI!$C$8)),MAX($U$3:U1103)+1,""))</f>
        <v/>
      </c>
      <c r="V1104" s="40" t="str">
        <f aca="false">IF($T1104="","",MAX($V$3:V1103)+1)</f>
        <v/>
      </c>
      <c r="W1104" s="40" t="str">
        <f aca="false">IF($E1104="","",$E1104&amp;"#"&amp;COUNTIF($E$4:$E1104,$E1104))</f>
        <v/>
      </c>
      <c r="X1104" s="40" t="str">
        <f aca="false">IF($B1104="","",IF(AND(OR(CETAK!$J$10="",$E1104=CETAK!$J$10),OR(CETAK!$J$11="",$F1104=CETAK!$J$11),OR(CETAK!$J$12="",$K1104=CETAK!$J$12),OR(CETAK!$J$13="",$H1104=CETAK!$J$13),OR(CETAK!$J$14="",$O1104=CETAK!$J$14)),MAX($X$3:X1103)+1,""))</f>
        <v/>
      </c>
      <c r="Y1104" s="40" t="str">
        <f aca="false">IF($B1104="","",IF(AND(OR(ABSENSI!$H$10="",$E1104=ABSENSI!$H$10),OR(ABSENSI!$H$11="",$F1104=ABSENSI!$H$11),OR(ABSENSI!$H$12="",$K1104=ABSENSI!$H$12)),MAX($Y$3:Y1103)+1,""))</f>
        <v/>
      </c>
      <c r="Z1104" s="40" t="str">
        <f aca="false">IF($B1104="","",IF(AND(OR(KARTU!$K$6="",$E1104=KARTU!$K$6),OR(KARTU!$K$7="",$F1104=KARTU!$K$7),OR(KARTU!$K$8="",$K1104=KARTU!$K$8)),MAX($Z$3:Z1103)+1,""))</f>
        <v/>
      </c>
    </row>
    <row r="1105" customFormat="false" ht="15" hidden="false" customHeight="false" outlineLevel="0" collapsed="false">
      <c r="A1105" s="36" t="str">
        <f aca="false">IF($B1105="","",COUNTA($B$4:$B1105))</f>
        <v/>
      </c>
      <c r="B1105" s="37"/>
      <c r="C1105" s="38"/>
      <c r="D1105" s="39"/>
      <c r="E1105" s="37"/>
      <c r="F1105" s="39"/>
      <c r="G1105" s="40" t="str">
        <f aca="false">IF(OR($E1105="",$F1105=""),"",$E1105&amp;" - RT "&amp;$F1105)</f>
        <v/>
      </c>
      <c r="H1105" s="37"/>
      <c r="I1105" s="38"/>
      <c r="J1105" s="37"/>
      <c r="K1105" s="39"/>
      <c r="L1105" s="41"/>
      <c r="M1105" s="36" t="str">
        <f aca="true">IF(OR($B1105="",$L1105=""),"",DATEDIF($L1105,TODAY(),"Y"))</f>
        <v/>
      </c>
      <c r="N1105" s="40" t="str">
        <f aca="false">IF($M1105="","",INDEX(usia_label,MATCH($M1105,usia_min,1)))</f>
        <v/>
      </c>
      <c r="O1105" s="37"/>
      <c r="P1105" s="41"/>
      <c r="Q1105" s="37"/>
      <c r="R1105" s="37"/>
      <c r="S1105" s="40" t="str">
        <f aca="false">IF($G1105="","",$G1105&amp;"#"&amp;COUNTIF($G$4:$G1105,$G1105))</f>
        <v/>
      </c>
      <c r="T1105" s="40" t="str">
        <f aca="false">IF($B1105="","",IF($C1105="","NIK kosong",IF(LEN($C1105)&lt;&gt;16,"NIK bukan 16 digit",IF(COUNTIF($C$4:$C$2003,$C1105&amp;"*")&gt;1,"NIK ganda",IF($E1105="","Kadus kosong",IF($F1105="","RT kosong",IF($H1105="","Jabatan kosong",IF($I1105="","No. HP kosong",IF($J1105="","Alamat kosong",IF(AND($M1105&lt;&gt;"",$M1105&lt;17),"Usia di bawah 17",""))))))))))</f>
        <v/>
      </c>
      <c r="U1105" s="40" t="str">
        <f aca="false">IF($B1105="","",IF(AND(OR(CARI!$C$5="",ISNUMBER(SEARCH(CARI!$C$5,$B1105&amp;" "&amp;$C1105&amp;" "&amp;$I1105&amp;" "&amp;$J1105&amp;" "&amp;$Q1105))),OR(CARI!$C$6="",$E1105=CARI!$C$6),OR(CARI!$C$7="",$F1105=CARI!$C$7),OR(CARI!$C$8="",$O1105=CARI!$C$8)),MAX($U$3:U1104)+1,""))</f>
        <v/>
      </c>
      <c r="V1105" s="40" t="str">
        <f aca="false">IF($T1105="","",MAX($V$3:V1104)+1)</f>
        <v/>
      </c>
      <c r="W1105" s="40" t="str">
        <f aca="false">IF($E1105="","",$E1105&amp;"#"&amp;COUNTIF($E$4:$E1105,$E1105))</f>
        <v/>
      </c>
      <c r="X1105" s="40" t="str">
        <f aca="false">IF($B1105="","",IF(AND(OR(CETAK!$J$10="",$E1105=CETAK!$J$10),OR(CETAK!$J$11="",$F1105=CETAK!$J$11),OR(CETAK!$J$12="",$K1105=CETAK!$J$12),OR(CETAK!$J$13="",$H1105=CETAK!$J$13),OR(CETAK!$J$14="",$O1105=CETAK!$J$14)),MAX($X$3:X1104)+1,""))</f>
        <v/>
      </c>
      <c r="Y1105" s="40" t="str">
        <f aca="false">IF($B1105="","",IF(AND(OR(ABSENSI!$H$10="",$E1105=ABSENSI!$H$10),OR(ABSENSI!$H$11="",$F1105=ABSENSI!$H$11),OR(ABSENSI!$H$12="",$K1105=ABSENSI!$H$12)),MAX($Y$3:Y1104)+1,""))</f>
        <v/>
      </c>
      <c r="Z1105" s="40" t="str">
        <f aca="false">IF($B1105="","",IF(AND(OR(KARTU!$K$6="",$E1105=KARTU!$K$6),OR(KARTU!$K$7="",$F1105=KARTU!$K$7),OR(KARTU!$K$8="",$K1105=KARTU!$K$8)),MAX($Z$3:Z1104)+1,""))</f>
        <v/>
      </c>
    </row>
    <row r="1106" customFormat="false" ht="15" hidden="false" customHeight="false" outlineLevel="0" collapsed="false">
      <c r="A1106" s="36" t="str">
        <f aca="false">IF($B1106="","",COUNTA($B$4:$B1106))</f>
        <v/>
      </c>
      <c r="B1106" s="37"/>
      <c r="C1106" s="38"/>
      <c r="D1106" s="39"/>
      <c r="E1106" s="37"/>
      <c r="F1106" s="39"/>
      <c r="G1106" s="40" t="str">
        <f aca="false">IF(OR($E1106="",$F1106=""),"",$E1106&amp;" - RT "&amp;$F1106)</f>
        <v/>
      </c>
      <c r="H1106" s="37"/>
      <c r="I1106" s="38"/>
      <c r="J1106" s="37"/>
      <c r="K1106" s="39"/>
      <c r="L1106" s="41"/>
      <c r="M1106" s="36" t="str">
        <f aca="true">IF(OR($B1106="",$L1106=""),"",DATEDIF($L1106,TODAY(),"Y"))</f>
        <v/>
      </c>
      <c r="N1106" s="40" t="str">
        <f aca="false">IF($M1106="","",INDEX(usia_label,MATCH($M1106,usia_min,1)))</f>
        <v/>
      </c>
      <c r="O1106" s="37"/>
      <c r="P1106" s="41"/>
      <c r="Q1106" s="37"/>
      <c r="R1106" s="37"/>
      <c r="S1106" s="40" t="str">
        <f aca="false">IF($G1106="","",$G1106&amp;"#"&amp;COUNTIF($G$4:$G1106,$G1106))</f>
        <v/>
      </c>
      <c r="T1106" s="40" t="str">
        <f aca="false">IF($B1106="","",IF($C1106="","NIK kosong",IF(LEN($C1106)&lt;&gt;16,"NIK bukan 16 digit",IF(COUNTIF($C$4:$C$2003,$C1106&amp;"*")&gt;1,"NIK ganda",IF($E1106="","Kadus kosong",IF($F1106="","RT kosong",IF($H1106="","Jabatan kosong",IF($I1106="","No. HP kosong",IF($J1106="","Alamat kosong",IF(AND($M1106&lt;&gt;"",$M1106&lt;17),"Usia di bawah 17",""))))))))))</f>
        <v/>
      </c>
      <c r="U1106" s="40" t="str">
        <f aca="false">IF($B1106="","",IF(AND(OR(CARI!$C$5="",ISNUMBER(SEARCH(CARI!$C$5,$B1106&amp;" "&amp;$C1106&amp;" "&amp;$I1106&amp;" "&amp;$J1106&amp;" "&amp;$Q1106))),OR(CARI!$C$6="",$E1106=CARI!$C$6),OR(CARI!$C$7="",$F1106=CARI!$C$7),OR(CARI!$C$8="",$O1106=CARI!$C$8)),MAX($U$3:U1105)+1,""))</f>
        <v/>
      </c>
      <c r="V1106" s="40" t="str">
        <f aca="false">IF($T1106="","",MAX($V$3:V1105)+1)</f>
        <v/>
      </c>
      <c r="W1106" s="40" t="str">
        <f aca="false">IF($E1106="","",$E1106&amp;"#"&amp;COUNTIF($E$4:$E1106,$E1106))</f>
        <v/>
      </c>
      <c r="X1106" s="40" t="str">
        <f aca="false">IF($B1106="","",IF(AND(OR(CETAK!$J$10="",$E1106=CETAK!$J$10),OR(CETAK!$J$11="",$F1106=CETAK!$J$11),OR(CETAK!$J$12="",$K1106=CETAK!$J$12),OR(CETAK!$J$13="",$H1106=CETAK!$J$13),OR(CETAK!$J$14="",$O1106=CETAK!$J$14)),MAX($X$3:X1105)+1,""))</f>
        <v/>
      </c>
      <c r="Y1106" s="40" t="str">
        <f aca="false">IF($B1106="","",IF(AND(OR(ABSENSI!$H$10="",$E1106=ABSENSI!$H$10),OR(ABSENSI!$H$11="",$F1106=ABSENSI!$H$11),OR(ABSENSI!$H$12="",$K1106=ABSENSI!$H$12)),MAX($Y$3:Y1105)+1,""))</f>
        <v/>
      </c>
      <c r="Z1106" s="40" t="str">
        <f aca="false">IF($B1106="","",IF(AND(OR(KARTU!$K$6="",$E1106=KARTU!$K$6),OR(KARTU!$K$7="",$F1106=KARTU!$K$7),OR(KARTU!$K$8="",$K1106=KARTU!$K$8)),MAX($Z$3:Z1105)+1,""))</f>
        <v/>
      </c>
    </row>
    <row r="1107" customFormat="false" ht="15" hidden="false" customHeight="false" outlineLevel="0" collapsed="false">
      <c r="A1107" s="36" t="str">
        <f aca="false">IF($B1107="","",COUNTA($B$4:$B1107))</f>
        <v/>
      </c>
      <c r="B1107" s="37"/>
      <c r="C1107" s="38"/>
      <c r="D1107" s="39"/>
      <c r="E1107" s="37"/>
      <c r="F1107" s="39"/>
      <c r="G1107" s="40" t="str">
        <f aca="false">IF(OR($E1107="",$F1107=""),"",$E1107&amp;" - RT "&amp;$F1107)</f>
        <v/>
      </c>
      <c r="H1107" s="37"/>
      <c r="I1107" s="38"/>
      <c r="J1107" s="37"/>
      <c r="K1107" s="39"/>
      <c r="L1107" s="41"/>
      <c r="M1107" s="36" t="str">
        <f aca="true">IF(OR($B1107="",$L1107=""),"",DATEDIF($L1107,TODAY(),"Y"))</f>
        <v/>
      </c>
      <c r="N1107" s="40" t="str">
        <f aca="false">IF($M1107="","",INDEX(usia_label,MATCH($M1107,usia_min,1)))</f>
        <v/>
      </c>
      <c r="O1107" s="37"/>
      <c r="P1107" s="41"/>
      <c r="Q1107" s="37"/>
      <c r="R1107" s="37"/>
      <c r="S1107" s="40" t="str">
        <f aca="false">IF($G1107="","",$G1107&amp;"#"&amp;COUNTIF($G$4:$G1107,$G1107))</f>
        <v/>
      </c>
      <c r="T1107" s="40" t="str">
        <f aca="false">IF($B1107="","",IF($C1107="","NIK kosong",IF(LEN($C1107)&lt;&gt;16,"NIK bukan 16 digit",IF(COUNTIF($C$4:$C$2003,$C1107&amp;"*")&gt;1,"NIK ganda",IF($E1107="","Kadus kosong",IF($F1107="","RT kosong",IF($H1107="","Jabatan kosong",IF($I1107="","No. HP kosong",IF($J1107="","Alamat kosong",IF(AND($M1107&lt;&gt;"",$M1107&lt;17),"Usia di bawah 17",""))))))))))</f>
        <v/>
      </c>
      <c r="U1107" s="40" t="str">
        <f aca="false">IF($B1107="","",IF(AND(OR(CARI!$C$5="",ISNUMBER(SEARCH(CARI!$C$5,$B1107&amp;" "&amp;$C1107&amp;" "&amp;$I1107&amp;" "&amp;$J1107&amp;" "&amp;$Q1107))),OR(CARI!$C$6="",$E1107=CARI!$C$6),OR(CARI!$C$7="",$F1107=CARI!$C$7),OR(CARI!$C$8="",$O1107=CARI!$C$8)),MAX($U$3:U1106)+1,""))</f>
        <v/>
      </c>
      <c r="V1107" s="40" t="str">
        <f aca="false">IF($T1107="","",MAX($V$3:V1106)+1)</f>
        <v/>
      </c>
      <c r="W1107" s="40" t="str">
        <f aca="false">IF($E1107="","",$E1107&amp;"#"&amp;COUNTIF($E$4:$E1107,$E1107))</f>
        <v/>
      </c>
      <c r="X1107" s="40" t="str">
        <f aca="false">IF($B1107="","",IF(AND(OR(CETAK!$J$10="",$E1107=CETAK!$J$10),OR(CETAK!$J$11="",$F1107=CETAK!$J$11),OR(CETAK!$J$12="",$K1107=CETAK!$J$12),OR(CETAK!$J$13="",$H1107=CETAK!$J$13),OR(CETAK!$J$14="",$O1107=CETAK!$J$14)),MAX($X$3:X1106)+1,""))</f>
        <v/>
      </c>
      <c r="Y1107" s="40" t="str">
        <f aca="false">IF($B1107="","",IF(AND(OR(ABSENSI!$H$10="",$E1107=ABSENSI!$H$10),OR(ABSENSI!$H$11="",$F1107=ABSENSI!$H$11),OR(ABSENSI!$H$12="",$K1107=ABSENSI!$H$12)),MAX($Y$3:Y1106)+1,""))</f>
        <v/>
      </c>
      <c r="Z1107" s="40" t="str">
        <f aca="false">IF($B1107="","",IF(AND(OR(KARTU!$K$6="",$E1107=KARTU!$K$6),OR(KARTU!$K$7="",$F1107=KARTU!$K$7),OR(KARTU!$K$8="",$K1107=KARTU!$K$8)),MAX($Z$3:Z1106)+1,""))</f>
        <v/>
      </c>
    </row>
    <row r="1108" customFormat="false" ht="15" hidden="false" customHeight="false" outlineLevel="0" collapsed="false">
      <c r="A1108" s="36" t="str">
        <f aca="false">IF($B1108="","",COUNTA($B$4:$B1108))</f>
        <v/>
      </c>
      <c r="B1108" s="37"/>
      <c r="C1108" s="38"/>
      <c r="D1108" s="39"/>
      <c r="E1108" s="37"/>
      <c r="F1108" s="39"/>
      <c r="G1108" s="40" t="str">
        <f aca="false">IF(OR($E1108="",$F1108=""),"",$E1108&amp;" - RT "&amp;$F1108)</f>
        <v/>
      </c>
      <c r="H1108" s="37"/>
      <c r="I1108" s="38"/>
      <c r="J1108" s="37"/>
      <c r="K1108" s="39"/>
      <c r="L1108" s="41"/>
      <c r="M1108" s="36" t="str">
        <f aca="true">IF(OR($B1108="",$L1108=""),"",DATEDIF($L1108,TODAY(),"Y"))</f>
        <v/>
      </c>
      <c r="N1108" s="40" t="str">
        <f aca="false">IF($M1108="","",INDEX(usia_label,MATCH($M1108,usia_min,1)))</f>
        <v/>
      </c>
      <c r="O1108" s="37"/>
      <c r="P1108" s="41"/>
      <c r="Q1108" s="37"/>
      <c r="R1108" s="37"/>
      <c r="S1108" s="40" t="str">
        <f aca="false">IF($G1108="","",$G1108&amp;"#"&amp;COUNTIF($G$4:$G1108,$G1108))</f>
        <v/>
      </c>
      <c r="T1108" s="40" t="str">
        <f aca="false">IF($B1108="","",IF($C1108="","NIK kosong",IF(LEN($C1108)&lt;&gt;16,"NIK bukan 16 digit",IF(COUNTIF($C$4:$C$2003,$C1108&amp;"*")&gt;1,"NIK ganda",IF($E1108="","Kadus kosong",IF($F1108="","RT kosong",IF($H1108="","Jabatan kosong",IF($I1108="","No. HP kosong",IF($J1108="","Alamat kosong",IF(AND($M1108&lt;&gt;"",$M1108&lt;17),"Usia di bawah 17",""))))))))))</f>
        <v/>
      </c>
      <c r="U1108" s="40" t="str">
        <f aca="false">IF($B1108="","",IF(AND(OR(CARI!$C$5="",ISNUMBER(SEARCH(CARI!$C$5,$B1108&amp;" "&amp;$C1108&amp;" "&amp;$I1108&amp;" "&amp;$J1108&amp;" "&amp;$Q1108))),OR(CARI!$C$6="",$E1108=CARI!$C$6),OR(CARI!$C$7="",$F1108=CARI!$C$7),OR(CARI!$C$8="",$O1108=CARI!$C$8)),MAX($U$3:U1107)+1,""))</f>
        <v/>
      </c>
      <c r="V1108" s="40" t="str">
        <f aca="false">IF($T1108="","",MAX($V$3:V1107)+1)</f>
        <v/>
      </c>
      <c r="W1108" s="40" t="str">
        <f aca="false">IF($E1108="","",$E1108&amp;"#"&amp;COUNTIF($E$4:$E1108,$E1108))</f>
        <v/>
      </c>
      <c r="X1108" s="40" t="str">
        <f aca="false">IF($B1108="","",IF(AND(OR(CETAK!$J$10="",$E1108=CETAK!$J$10),OR(CETAK!$J$11="",$F1108=CETAK!$J$11),OR(CETAK!$J$12="",$K1108=CETAK!$J$12),OR(CETAK!$J$13="",$H1108=CETAK!$J$13),OR(CETAK!$J$14="",$O1108=CETAK!$J$14)),MAX($X$3:X1107)+1,""))</f>
        <v/>
      </c>
      <c r="Y1108" s="40" t="str">
        <f aca="false">IF($B1108="","",IF(AND(OR(ABSENSI!$H$10="",$E1108=ABSENSI!$H$10),OR(ABSENSI!$H$11="",$F1108=ABSENSI!$H$11),OR(ABSENSI!$H$12="",$K1108=ABSENSI!$H$12)),MAX($Y$3:Y1107)+1,""))</f>
        <v/>
      </c>
      <c r="Z1108" s="40" t="str">
        <f aca="false">IF($B1108="","",IF(AND(OR(KARTU!$K$6="",$E1108=KARTU!$K$6),OR(KARTU!$K$7="",$F1108=KARTU!$K$7),OR(KARTU!$K$8="",$K1108=KARTU!$K$8)),MAX($Z$3:Z1107)+1,""))</f>
        <v/>
      </c>
    </row>
    <row r="1109" customFormat="false" ht="15" hidden="false" customHeight="false" outlineLevel="0" collapsed="false">
      <c r="A1109" s="36" t="str">
        <f aca="false">IF($B1109="","",COUNTA($B$4:$B1109))</f>
        <v/>
      </c>
      <c r="B1109" s="37"/>
      <c r="C1109" s="38"/>
      <c r="D1109" s="39"/>
      <c r="E1109" s="37"/>
      <c r="F1109" s="39"/>
      <c r="G1109" s="40" t="str">
        <f aca="false">IF(OR($E1109="",$F1109=""),"",$E1109&amp;" - RT "&amp;$F1109)</f>
        <v/>
      </c>
      <c r="H1109" s="37"/>
      <c r="I1109" s="38"/>
      <c r="J1109" s="37"/>
      <c r="K1109" s="39"/>
      <c r="L1109" s="41"/>
      <c r="M1109" s="36" t="str">
        <f aca="true">IF(OR($B1109="",$L1109=""),"",DATEDIF($L1109,TODAY(),"Y"))</f>
        <v/>
      </c>
      <c r="N1109" s="40" t="str">
        <f aca="false">IF($M1109="","",INDEX(usia_label,MATCH($M1109,usia_min,1)))</f>
        <v/>
      </c>
      <c r="O1109" s="37"/>
      <c r="P1109" s="41"/>
      <c r="Q1109" s="37"/>
      <c r="R1109" s="37"/>
      <c r="S1109" s="40" t="str">
        <f aca="false">IF($G1109="","",$G1109&amp;"#"&amp;COUNTIF($G$4:$G1109,$G1109))</f>
        <v/>
      </c>
      <c r="T1109" s="40" t="str">
        <f aca="false">IF($B1109="","",IF($C1109="","NIK kosong",IF(LEN($C1109)&lt;&gt;16,"NIK bukan 16 digit",IF(COUNTIF($C$4:$C$2003,$C1109&amp;"*")&gt;1,"NIK ganda",IF($E1109="","Kadus kosong",IF($F1109="","RT kosong",IF($H1109="","Jabatan kosong",IF($I1109="","No. HP kosong",IF($J1109="","Alamat kosong",IF(AND($M1109&lt;&gt;"",$M1109&lt;17),"Usia di bawah 17",""))))))))))</f>
        <v/>
      </c>
      <c r="U1109" s="40" t="str">
        <f aca="false">IF($B1109="","",IF(AND(OR(CARI!$C$5="",ISNUMBER(SEARCH(CARI!$C$5,$B1109&amp;" "&amp;$C1109&amp;" "&amp;$I1109&amp;" "&amp;$J1109&amp;" "&amp;$Q1109))),OR(CARI!$C$6="",$E1109=CARI!$C$6),OR(CARI!$C$7="",$F1109=CARI!$C$7),OR(CARI!$C$8="",$O1109=CARI!$C$8)),MAX($U$3:U1108)+1,""))</f>
        <v/>
      </c>
      <c r="V1109" s="40" t="str">
        <f aca="false">IF($T1109="","",MAX($V$3:V1108)+1)</f>
        <v/>
      </c>
      <c r="W1109" s="40" t="str">
        <f aca="false">IF($E1109="","",$E1109&amp;"#"&amp;COUNTIF($E$4:$E1109,$E1109))</f>
        <v/>
      </c>
      <c r="X1109" s="40" t="str">
        <f aca="false">IF($B1109="","",IF(AND(OR(CETAK!$J$10="",$E1109=CETAK!$J$10),OR(CETAK!$J$11="",$F1109=CETAK!$J$11),OR(CETAK!$J$12="",$K1109=CETAK!$J$12),OR(CETAK!$J$13="",$H1109=CETAK!$J$13),OR(CETAK!$J$14="",$O1109=CETAK!$J$14)),MAX($X$3:X1108)+1,""))</f>
        <v/>
      </c>
      <c r="Y1109" s="40" t="str">
        <f aca="false">IF($B1109="","",IF(AND(OR(ABSENSI!$H$10="",$E1109=ABSENSI!$H$10),OR(ABSENSI!$H$11="",$F1109=ABSENSI!$H$11),OR(ABSENSI!$H$12="",$K1109=ABSENSI!$H$12)),MAX($Y$3:Y1108)+1,""))</f>
        <v/>
      </c>
      <c r="Z1109" s="40" t="str">
        <f aca="false">IF($B1109="","",IF(AND(OR(KARTU!$K$6="",$E1109=KARTU!$K$6),OR(KARTU!$K$7="",$F1109=KARTU!$K$7),OR(KARTU!$K$8="",$K1109=KARTU!$K$8)),MAX($Z$3:Z1108)+1,""))</f>
        <v/>
      </c>
    </row>
    <row r="1110" customFormat="false" ht="15" hidden="false" customHeight="false" outlineLevel="0" collapsed="false">
      <c r="A1110" s="36" t="str">
        <f aca="false">IF($B1110="","",COUNTA($B$4:$B1110))</f>
        <v/>
      </c>
      <c r="B1110" s="37"/>
      <c r="C1110" s="38"/>
      <c r="D1110" s="39"/>
      <c r="E1110" s="37"/>
      <c r="F1110" s="39"/>
      <c r="G1110" s="40" t="str">
        <f aca="false">IF(OR($E1110="",$F1110=""),"",$E1110&amp;" - RT "&amp;$F1110)</f>
        <v/>
      </c>
      <c r="H1110" s="37"/>
      <c r="I1110" s="38"/>
      <c r="J1110" s="37"/>
      <c r="K1110" s="39"/>
      <c r="L1110" s="41"/>
      <c r="M1110" s="36" t="str">
        <f aca="true">IF(OR($B1110="",$L1110=""),"",DATEDIF($L1110,TODAY(),"Y"))</f>
        <v/>
      </c>
      <c r="N1110" s="40" t="str">
        <f aca="false">IF($M1110="","",INDEX(usia_label,MATCH($M1110,usia_min,1)))</f>
        <v/>
      </c>
      <c r="O1110" s="37"/>
      <c r="P1110" s="41"/>
      <c r="Q1110" s="37"/>
      <c r="R1110" s="37"/>
      <c r="S1110" s="40" t="str">
        <f aca="false">IF($G1110="","",$G1110&amp;"#"&amp;COUNTIF($G$4:$G1110,$G1110))</f>
        <v/>
      </c>
      <c r="T1110" s="40" t="str">
        <f aca="false">IF($B1110="","",IF($C1110="","NIK kosong",IF(LEN($C1110)&lt;&gt;16,"NIK bukan 16 digit",IF(COUNTIF($C$4:$C$2003,$C1110&amp;"*")&gt;1,"NIK ganda",IF($E1110="","Kadus kosong",IF($F1110="","RT kosong",IF($H1110="","Jabatan kosong",IF($I1110="","No. HP kosong",IF($J1110="","Alamat kosong",IF(AND($M1110&lt;&gt;"",$M1110&lt;17),"Usia di bawah 17",""))))))))))</f>
        <v/>
      </c>
      <c r="U1110" s="40" t="str">
        <f aca="false">IF($B1110="","",IF(AND(OR(CARI!$C$5="",ISNUMBER(SEARCH(CARI!$C$5,$B1110&amp;" "&amp;$C1110&amp;" "&amp;$I1110&amp;" "&amp;$J1110&amp;" "&amp;$Q1110))),OR(CARI!$C$6="",$E1110=CARI!$C$6),OR(CARI!$C$7="",$F1110=CARI!$C$7),OR(CARI!$C$8="",$O1110=CARI!$C$8)),MAX($U$3:U1109)+1,""))</f>
        <v/>
      </c>
      <c r="V1110" s="40" t="str">
        <f aca="false">IF($T1110="","",MAX($V$3:V1109)+1)</f>
        <v/>
      </c>
      <c r="W1110" s="40" t="str">
        <f aca="false">IF($E1110="","",$E1110&amp;"#"&amp;COUNTIF($E$4:$E1110,$E1110))</f>
        <v/>
      </c>
      <c r="X1110" s="40" t="str">
        <f aca="false">IF($B1110="","",IF(AND(OR(CETAK!$J$10="",$E1110=CETAK!$J$10),OR(CETAK!$J$11="",$F1110=CETAK!$J$11),OR(CETAK!$J$12="",$K1110=CETAK!$J$12),OR(CETAK!$J$13="",$H1110=CETAK!$J$13),OR(CETAK!$J$14="",$O1110=CETAK!$J$14)),MAX($X$3:X1109)+1,""))</f>
        <v/>
      </c>
      <c r="Y1110" s="40" t="str">
        <f aca="false">IF($B1110="","",IF(AND(OR(ABSENSI!$H$10="",$E1110=ABSENSI!$H$10),OR(ABSENSI!$H$11="",$F1110=ABSENSI!$H$11),OR(ABSENSI!$H$12="",$K1110=ABSENSI!$H$12)),MAX($Y$3:Y1109)+1,""))</f>
        <v/>
      </c>
      <c r="Z1110" s="40" t="str">
        <f aca="false">IF($B1110="","",IF(AND(OR(KARTU!$K$6="",$E1110=KARTU!$K$6),OR(KARTU!$K$7="",$F1110=KARTU!$K$7),OR(KARTU!$K$8="",$K1110=KARTU!$K$8)),MAX($Z$3:Z1109)+1,""))</f>
        <v/>
      </c>
    </row>
    <row r="1111" customFormat="false" ht="15" hidden="false" customHeight="false" outlineLevel="0" collapsed="false">
      <c r="A1111" s="36" t="str">
        <f aca="false">IF($B1111="","",COUNTA($B$4:$B1111))</f>
        <v/>
      </c>
      <c r="B1111" s="37"/>
      <c r="C1111" s="38"/>
      <c r="D1111" s="39"/>
      <c r="E1111" s="37"/>
      <c r="F1111" s="39"/>
      <c r="G1111" s="40" t="str">
        <f aca="false">IF(OR($E1111="",$F1111=""),"",$E1111&amp;" - RT "&amp;$F1111)</f>
        <v/>
      </c>
      <c r="H1111" s="37"/>
      <c r="I1111" s="38"/>
      <c r="J1111" s="37"/>
      <c r="K1111" s="39"/>
      <c r="L1111" s="41"/>
      <c r="M1111" s="36" t="str">
        <f aca="true">IF(OR($B1111="",$L1111=""),"",DATEDIF($L1111,TODAY(),"Y"))</f>
        <v/>
      </c>
      <c r="N1111" s="40" t="str">
        <f aca="false">IF($M1111="","",INDEX(usia_label,MATCH($M1111,usia_min,1)))</f>
        <v/>
      </c>
      <c r="O1111" s="37"/>
      <c r="P1111" s="41"/>
      <c r="Q1111" s="37"/>
      <c r="R1111" s="37"/>
      <c r="S1111" s="40" t="str">
        <f aca="false">IF($G1111="","",$G1111&amp;"#"&amp;COUNTIF($G$4:$G1111,$G1111))</f>
        <v/>
      </c>
      <c r="T1111" s="40" t="str">
        <f aca="false">IF($B1111="","",IF($C1111="","NIK kosong",IF(LEN($C1111)&lt;&gt;16,"NIK bukan 16 digit",IF(COUNTIF($C$4:$C$2003,$C1111&amp;"*")&gt;1,"NIK ganda",IF($E1111="","Kadus kosong",IF($F1111="","RT kosong",IF($H1111="","Jabatan kosong",IF($I1111="","No. HP kosong",IF($J1111="","Alamat kosong",IF(AND($M1111&lt;&gt;"",$M1111&lt;17),"Usia di bawah 17",""))))))))))</f>
        <v/>
      </c>
      <c r="U1111" s="40" t="str">
        <f aca="false">IF($B1111="","",IF(AND(OR(CARI!$C$5="",ISNUMBER(SEARCH(CARI!$C$5,$B1111&amp;" "&amp;$C1111&amp;" "&amp;$I1111&amp;" "&amp;$J1111&amp;" "&amp;$Q1111))),OR(CARI!$C$6="",$E1111=CARI!$C$6),OR(CARI!$C$7="",$F1111=CARI!$C$7),OR(CARI!$C$8="",$O1111=CARI!$C$8)),MAX($U$3:U1110)+1,""))</f>
        <v/>
      </c>
      <c r="V1111" s="40" t="str">
        <f aca="false">IF($T1111="","",MAX($V$3:V1110)+1)</f>
        <v/>
      </c>
      <c r="W1111" s="40" t="str">
        <f aca="false">IF($E1111="","",$E1111&amp;"#"&amp;COUNTIF($E$4:$E1111,$E1111))</f>
        <v/>
      </c>
      <c r="X1111" s="40" t="str">
        <f aca="false">IF($B1111="","",IF(AND(OR(CETAK!$J$10="",$E1111=CETAK!$J$10),OR(CETAK!$J$11="",$F1111=CETAK!$J$11),OR(CETAK!$J$12="",$K1111=CETAK!$J$12),OR(CETAK!$J$13="",$H1111=CETAK!$J$13),OR(CETAK!$J$14="",$O1111=CETAK!$J$14)),MAX($X$3:X1110)+1,""))</f>
        <v/>
      </c>
      <c r="Y1111" s="40" t="str">
        <f aca="false">IF($B1111="","",IF(AND(OR(ABSENSI!$H$10="",$E1111=ABSENSI!$H$10),OR(ABSENSI!$H$11="",$F1111=ABSENSI!$H$11),OR(ABSENSI!$H$12="",$K1111=ABSENSI!$H$12)),MAX($Y$3:Y1110)+1,""))</f>
        <v/>
      </c>
      <c r="Z1111" s="40" t="str">
        <f aca="false">IF($B1111="","",IF(AND(OR(KARTU!$K$6="",$E1111=KARTU!$K$6),OR(KARTU!$K$7="",$F1111=KARTU!$K$7),OR(KARTU!$K$8="",$K1111=KARTU!$K$8)),MAX($Z$3:Z1110)+1,""))</f>
        <v/>
      </c>
    </row>
    <row r="1112" customFormat="false" ht="15" hidden="false" customHeight="false" outlineLevel="0" collapsed="false">
      <c r="A1112" s="36" t="str">
        <f aca="false">IF($B1112="","",COUNTA($B$4:$B1112))</f>
        <v/>
      </c>
      <c r="B1112" s="37"/>
      <c r="C1112" s="38"/>
      <c r="D1112" s="39"/>
      <c r="E1112" s="37"/>
      <c r="F1112" s="39"/>
      <c r="G1112" s="40" t="str">
        <f aca="false">IF(OR($E1112="",$F1112=""),"",$E1112&amp;" - RT "&amp;$F1112)</f>
        <v/>
      </c>
      <c r="H1112" s="37"/>
      <c r="I1112" s="38"/>
      <c r="J1112" s="37"/>
      <c r="K1112" s="39"/>
      <c r="L1112" s="41"/>
      <c r="M1112" s="36" t="str">
        <f aca="true">IF(OR($B1112="",$L1112=""),"",DATEDIF($L1112,TODAY(),"Y"))</f>
        <v/>
      </c>
      <c r="N1112" s="40" t="str">
        <f aca="false">IF($M1112="","",INDEX(usia_label,MATCH($M1112,usia_min,1)))</f>
        <v/>
      </c>
      <c r="O1112" s="37"/>
      <c r="P1112" s="41"/>
      <c r="Q1112" s="37"/>
      <c r="R1112" s="37"/>
      <c r="S1112" s="40" t="str">
        <f aca="false">IF($G1112="","",$G1112&amp;"#"&amp;COUNTIF($G$4:$G1112,$G1112))</f>
        <v/>
      </c>
      <c r="T1112" s="40" t="str">
        <f aca="false">IF($B1112="","",IF($C1112="","NIK kosong",IF(LEN($C1112)&lt;&gt;16,"NIK bukan 16 digit",IF(COUNTIF($C$4:$C$2003,$C1112&amp;"*")&gt;1,"NIK ganda",IF($E1112="","Kadus kosong",IF($F1112="","RT kosong",IF($H1112="","Jabatan kosong",IF($I1112="","No. HP kosong",IF($J1112="","Alamat kosong",IF(AND($M1112&lt;&gt;"",$M1112&lt;17),"Usia di bawah 17",""))))))))))</f>
        <v/>
      </c>
      <c r="U1112" s="40" t="str">
        <f aca="false">IF($B1112="","",IF(AND(OR(CARI!$C$5="",ISNUMBER(SEARCH(CARI!$C$5,$B1112&amp;" "&amp;$C1112&amp;" "&amp;$I1112&amp;" "&amp;$J1112&amp;" "&amp;$Q1112))),OR(CARI!$C$6="",$E1112=CARI!$C$6),OR(CARI!$C$7="",$F1112=CARI!$C$7),OR(CARI!$C$8="",$O1112=CARI!$C$8)),MAX($U$3:U1111)+1,""))</f>
        <v/>
      </c>
      <c r="V1112" s="40" t="str">
        <f aca="false">IF($T1112="","",MAX($V$3:V1111)+1)</f>
        <v/>
      </c>
      <c r="W1112" s="40" t="str">
        <f aca="false">IF($E1112="","",$E1112&amp;"#"&amp;COUNTIF($E$4:$E1112,$E1112))</f>
        <v/>
      </c>
      <c r="X1112" s="40" t="str">
        <f aca="false">IF($B1112="","",IF(AND(OR(CETAK!$J$10="",$E1112=CETAK!$J$10),OR(CETAK!$J$11="",$F1112=CETAK!$J$11),OR(CETAK!$J$12="",$K1112=CETAK!$J$12),OR(CETAK!$J$13="",$H1112=CETAK!$J$13),OR(CETAK!$J$14="",$O1112=CETAK!$J$14)),MAX($X$3:X1111)+1,""))</f>
        <v/>
      </c>
      <c r="Y1112" s="40" t="str">
        <f aca="false">IF($B1112="","",IF(AND(OR(ABSENSI!$H$10="",$E1112=ABSENSI!$H$10),OR(ABSENSI!$H$11="",$F1112=ABSENSI!$H$11),OR(ABSENSI!$H$12="",$K1112=ABSENSI!$H$12)),MAX($Y$3:Y1111)+1,""))</f>
        <v/>
      </c>
      <c r="Z1112" s="40" t="str">
        <f aca="false">IF($B1112="","",IF(AND(OR(KARTU!$K$6="",$E1112=KARTU!$K$6),OR(KARTU!$K$7="",$F1112=KARTU!$K$7),OR(KARTU!$K$8="",$K1112=KARTU!$K$8)),MAX($Z$3:Z1111)+1,""))</f>
        <v/>
      </c>
    </row>
    <row r="1113" customFormat="false" ht="15" hidden="false" customHeight="false" outlineLevel="0" collapsed="false">
      <c r="A1113" s="36" t="str">
        <f aca="false">IF($B1113="","",COUNTA($B$4:$B1113))</f>
        <v/>
      </c>
      <c r="B1113" s="37"/>
      <c r="C1113" s="38"/>
      <c r="D1113" s="39"/>
      <c r="E1113" s="37"/>
      <c r="F1113" s="39"/>
      <c r="G1113" s="40" t="str">
        <f aca="false">IF(OR($E1113="",$F1113=""),"",$E1113&amp;" - RT "&amp;$F1113)</f>
        <v/>
      </c>
      <c r="H1113" s="37"/>
      <c r="I1113" s="38"/>
      <c r="J1113" s="37"/>
      <c r="K1113" s="39"/>
      <c r="L1113" s="41"/>
      <c r="M1113" s="36" t="str">
        <f aca="true">IF(OR($B1113="",$L1113=""),"",DATEDIF($L1113,TODAY(),"Y"))</f>
        <v/>
      </c>
      <c r="N1113" s="40" t="str">
        <f aca="false">IF($M1113="","",INDEX(usia_label,MATCH($M1113,usia_min,1)))</f>
        <v/>
      </c>
      <c r="O1113" s="37"/>
      <c r="P1113" s="41"/>
      <c r="Q1113" s="37"/>
      <c r="R1113" s="37"/>
      <c r="S1113" s="40" t="str">
        <f aca="false">IF($G1113="","",$G1113&amp;"#"&amp;COUNTIF($G$4:$G1113,$G1113))</f>
        <v/>
      </c>
      <c r="T1113" s="40" t="str">
        <f aca="false">IF($B1113="","",IF($C1113="","NIK kosong",IF(LEN($C1113)&lt;&gt;16,"NIK bukan 16 digit",IF(COUNTIF($C$4:$C$2003,$C1113&amp;"*")&gt;1,"NIK ganda",IF($E1113="","Kadus kosong",IF($F1113="","RT kosong",IF($H1113="","Jabatan kosong",IF($I1113="","No. HP kosong",IF($J1113="","Alamat kosong",IF(AND($M1113&lt;&gt;"",$M1113&lt;17),"Usia di bawah 17",""))))))))))</f>
        <v/>
      </c>
      <c r="U1113" s="40" t="str">
        <f aca="false">IF($B1113="","",IF(AND(OR(CARI!$C$5="",ISNUMBER(SEARCH(CARI!$C$5,$B1113&amp;" "&amp;$C1113&amp;" "&amp;$I1113&amp;" "&amp;$J1113&amp;" "&amp;$Q1113))),OR(CARI!$C$6="",$E1113=CARI!$C$6),OR(CARI!$C$7="",$F1113=CARI!$C$7),OR(CARI!$C$8="",$O1113=CARI!$C$8)),MAX($U$3:U1112)+1,""))</f>
        <v/>
      </c>
      <c r="V1113" s="40" t="str">
        <f aca="false">IF($T1113="","",MAX($V$3:V1112)+1)</f>
        <v/>
      </c>
      <c r="W1113" s="40" t="str">
        <f aca="false">IF($E1113="","",$E1113&amp;"#"&amp;COUNTIF($E$4:$E1113,$E1113))</f>
        <v/>
      </c>
      <c r="X1113" s="40" t="str">
        <f aca="false">IF($B1113="","",IF(AND(OR(CETAK!$J$10="",$E1113=CETAK!$J$10),OR(CETAK!$J$11="",$F1113=CETAK!$J$11),OR(CETAK!$J$12="",$K1113=CETAK!$J$12),OR(CETAK!$J$13="",$H1113=CETAK!$J$13),OR(CETAK!$J$14="",$O1113=CETAK!$J$14)),MAX($X$3:X1112)+1,""))</f>
        <v/>
      </c>
      <c r="Y1113" s="40" t="str">
        <f aca="false">IF($B1113="","",IF(AND(OR(ABSENSI!$H$10="",$E1113=ABSENSI!$H$10),OR(ABSENSI!$H$11="",$F1113=ABSENSI!$H$11),OR(ABSENSI!$H$12="",$K1113=ABSENSI!$H$12)),MAX($Y$3:Y1112)+1,""))</f>
        <v/>
      </c>
      <c r="Z1113" s="40" t="str">
        <f aca="false">IF($B1113="","",IF(AND(OR(KARTU!$K$6="",$E1113=KARTU!$K$6),OR(KARTU!$K$7="",$F1113=KARTU!$K$7),OR(KARTU!$K$8="",$K1113=KARTU!$K$8)),MAX($Z$3:Z1112)+1,""))</f>
        <v/>
      </c>
    </row>
    <row r="1114" customFormat="false" ht="15" hidden="false" customHeight="false" outlineLevel="0" collapsed="false">
      <c r="A1114" s="36" t="str">
        <f aca="false">IF($B1114="","",COUNTA($B$4:$B1114))</f>
        <v/>
      </c>
      <c r="B1114" s="37"/>
      <c r="C1114" s="38"/>
      <c r="D1114" s="39"/>
      <c r="E1114" s="37"/>
      <c r="F1114" s="39"/>
      <c r="G1114" s="40" t="str">
        <f aca="false">IF(OR($E1114="",$F1114=""),"",$E1114&amp;" - RT "&amp;$F1114)</f>
        <v/>
      </c>
      <c r="H1114" s="37"/>
      <c r="I1114" s="38"/>
      <c r="J1114" s="37"/>
      <c r="K1114" s="39"/>
      <c r="L1114" s="41"/>
      <c r="M1114" s="36" t="str">
        <f aca="true">IF(OR($B1114="",$L1114=""),"",DATEDIF($L1114,TODAY(),"Y"))</f>
        <v/>
      </c>
      <c r="N1114" s="40" t="str">
        <f aca="false">IF($M1114="","",INDEX(usia_label,MATCH($M1114,usia_min,1)))</f>
        <v/>
      </c>
      <c r="O1114" s="37"/>
      <c r="P1114" s="41"/>
      <c r="Q1114" s="37"/>
      <c r="R1114" s="37"/>
      <c r="S1114" s="40" t="str">
        <f aca="false">IF($G1114="","",$G1114&amp;"#"&amp;COUNTIF($G$4:$G1114,$G1114))</f>
        <v/>
      </c>
      <c r="T1114" s="40" t="str">
        <f aca="false">IF($B1114="","",IF($C1114="","NIK kosong",IF(LEN($C1114)&lt;&gt;16,"NIK bukan 16 digit",IF(COUNTIF($C$4:$C$2003,$C1114&amp;"*")&gt;1,"NIK ganda",IF($E1114="","Kadus kosong",IF($F1114="","RT kosong",IF($H1114="","Jabatan kosong",IF($I1114="","No. HP kosong",IF($J1114="","Alamat kosong",IF(AND($M1114&lt;&gt;"",$M1114&lt;17),"Usia di bawah 17",""))))))))))</f>
        <v/>
      </c>
      <c r="U1114" s="40" t="str">
        <f aca="false">IF($B1114="","",IF(AND(OR(CARI!$C$5="",ISNUMBER(SEARCH(CARI!$C$5,$B1114&amp;" "&amp;$C1114&amp;" "&amp;$I1114&amp;" "&amp;$J1114&amp;" "&amp;$Q1114))),OR(CARI!$C$6="",$E1114=CARI!$C$6),OR(CARI!$C$7="",$F1114=CARI!$C$7),OR(CARI!$C$8="",$O1114=CARI!$C$8)),MAX($U$3:U1113)+1,""))</f>
        <v/>
      </c>
      <c r="V1114" s="40" t="str">
        <f aca="false">IF($T1114="","",MAX($V$3:V1113)+1)</f>
        <v/>
      </c>
      <c r="W1114" s="40" t="str">
        <f aca="false">IF($E1114="","",$E1114&amp;"#"&amp;COUNTIF($E$4:$E1114,$E1114))</f>
        <v/>
      </c>
      <c r="X1114" s="40" t="str">
        <f aca="false">IF($B1114="","",IF(AND(OR(CETAK!$J$10="",$E1114=CETAK!$J$10),OR(CETAK!$J$11="",$F1114=CETAK!$J$11),OR(CETAK!$J$12="",$K1114=CETAK!$J$12),OR(CETAK!$J$13="",$H1114=CETAK!$J$13),OR(CETAK!$J$14="",$O1114=CETAK!$J$14)),MAX($X$3:X1113)+1,""))</f>
        <v/>
      </c>
      <c r="Y1114" s="40" t="str">
        <f aca="false">IF($B1114="","",IF(AND(OR(ABSENSI!$H$10="",$E1114=ABSENSI!$H$10),OR(ABSENSI!$H$11="",$F1114=ABSENSI!$H$11),OR(ABSENSI!$H$12="",$K1114=ABSENSI!$H$12)),MAX($Y$3:Y1113)+1,""))</f>
        <v/>
      </c>
      <c r="Z1114" s="40" t="str">
        <f aca="false">IF($B1114="","",IF(AND(OR(KARTU!$K$6="",$E1114=KARTU!$K$6),OR(KARTU!$K$7="",$F1114=KARTU!$K$7),OR(KARTU!$K$8="",$K1114=KARTU!$K$8)),MAX($Z$3:Z1113)+1,""))</f>
        <v/>
      </c>
    </row>
    <row r="1115" customFormat="false" ht="15" hidden="false" customHeight="false" outlineLevel="0" collapsed="false">
      <c r="A1115" s="36" t="str">
        <f aca="false">IF($B1115="","",COUNTA($B$4:$B1115))</f>
        <v/>
      </c>
      <c r="B1115" s="37"/>
      <c r="C1115" s="38"/>
      <c r="D1115" s="39"/>
      <c r="E1115" s="37"/>
      <c r="F1115" s="39"/>
      <c r="G1115" s="40" t="str">
        <f aca="false">IF(OR($E1115="",$F1115=""),"",$E1115&amp;" - RT "&amp;$F1115)</f>
        <v/>
      </c>
      <c r="H1115" s="37"/>
      <c r="I1115" s="38"/>
      <c r="J1115" s="37"/>
      <c r="K1115" s="39"/>
      <c r="L1115" s="41"/>
      <c r="M1115" s="36" t="str">
        <f aca="true">IF(OR($B1115="",$L1115=""),"",DATEDIF($L1115,TODAY(),"Y"))</f>
        <v/>
      </c>
      <c r="N1115" s="40" t="str">
        <f aca="false">IF($M1115="","",INDEX(usia_label,MATCH($M1115,usia_min,1)))</f>
        <v/>
      </c>
      <c r="O1115" s="37"/>
      <c r="P1115" s="41"/>
      <c r="Q1115" s="37"/>
      <c r="R1115" s="37"/>
      <c r="S1115" s="40" t="str">
        <f aca="false">IF($G1115="","",$G1115&amp;"#"&amp;COUNTIF($G$4:$G1115,$G1115))</f>
        <v/>
      </c>
      <c r="T1115" s="40" t="str">
        <f aca="false">IF($B1115="","",IF($C1115="","NIK kosong",IF(LEN($C1115)&lt;&gt;16,"NIK bukan 16 digit",IF(COUNTIF($C$4:$C$2003,$C1115&amp;"*")&gt;1,"NIK ganda",IF($E1115="","Kadus kosong",IF($F1115="","RT kosong",IF($H1115="","Jabatan kosong",IF($I1115="","No. HP kosong",IF($J1115="","Alamat kosong",IF(AND($M1115&lt;&gt;"",$M1115&lt;17),"Usia di bawah 17",""))))))))))</f>
        <v/>
      </c>
      <c r="U1115" s="40" t="str">
        <f aca="false">IF($B1115="","",IF(AND(OR(CARI!$C$5="",ISNUMBER(SEARCH(CARI!$C$5,$B1115&amp;" "&amp;$C1115&amp;" "&amp;$I1115&amp;" "&amp;$J1115&amp;" "&amp;$Q1115))),OR(CARI!$C$6="",$E1115=CARI!$C$6),OR(CARI!$C$7="",$F1115=CARI!$C$7),OR(CARI!$C$8="",$O1115=CARI!$C$8)),MAX($U$3:U1114)+1,""))</f>
        <v/>
      </c>
      <c r="V1115" s="40" t="str">
        <f aca="false">IF($T1115="","",MAX($V$3:V1114)+1)</f>
        <v/>
      </c>
      <c r="W1115" s="40" t="str">
        <f aca="false">IF($E1115="","",$E1115&amp;"#"&amp;COUNTIF($E$4:$E1115,$E1115))</f>
        <v/>
      </c>
      <c r="X1115" s="40" t="str">
        <f aca="false">IF($B1115="","",IF(AND(OR(CETAK!$J$10="",$E1115=CETAK!$J$10),OR(CETAK!$J$11="",$F1115=CETAK!$J$11),OR(CETAK!$J$12="",$K1115=CETAK!$J$12),OR(CETAK!$J$13="",$H1115=CETAK!$J$13),OR(CETAK!$J$14="",$O1115=CETAK!$J$14)),MAX($X$3:X1114)+1,""))</f>
        <v/>
      </c>
      <c r="Y1115" s="40" t="str">
        <f aca="false">IF($B1115="","",IF(AND(OR(ABSENSI!$H$10="",$E1115=ABSENSI!$H$10),OR(ABSENSI!$H$11="",$F1115=ABSENSI!$H$11),OR(ABSENSI!$H$12="",$K1115=ABSENSI!$H$12)),MAX($Y$3:Y1114)+1,""))</f>
        <v/>
      </c>
      <c r="Z1115" s="40" t="str">
        <f aca="false">IF($B1115="","",IF(AND(OR(KARTU!$K$6="",$E1115=KARTU!$K$6),OR(KARTU!$K$7="",$F1115=KARTU!$K$7),OR(KARTU!$K$8="",$K1115=KARTU!$K$8)),MAX($Z$3:Z1114)+1,""))</f>
        <v/>
      </c>
    </row>
    <row r="1116" customFormat="false" ht="15" hidden="false" customHeight="false" outlineLevel="0" collapsed="false">
      <c r="A1116" s="36" t="str">
        <f aca="false">IF($B1116="","",COUNTA($B$4:$B1116))</f>
        <v/>
      </c>
      <c r="B1116" s="37"/>
      <c r="C1116" s="38"/>
      <c r="D1116" s="39"/>
      <c r="E1116" s="37"/>
      <c r="F1116" s="39"/>
      <c r="G1116" s="40" t="str">
        <f aca="false">IF(OR($E1116="",$F1116=""),"",$E1116&amp;" - RT "&amp;$F1116)</f>
        <v/>
      </c>
      <c r="H1116" s="37"/>
      <c r="I1116" s="38"/>
      <c r="J1116" s="37"/>
      <c r="K1116" s="39"/>
      <c r="L1116" s="41"/>
      <c r="M1116" s="36" t="str">
        <f aca="true">IF(OR($B1116="",$L1116=""),"",DATEDIF($L1116,TODAY(),"Y"))</f>
        <v/>
      </c>
      <c r="N1116" s="40" t="str">
        <f aca="false">IF($M1116="","",INDEX(usia_label,MATCH($M1116,usia_min,1)))</f>
        <v/>
      </c>
      <c r="O1116" s="37"/>
      <c r="P1116" s="41"/>
      <c r="Q1116" s="37"/>
      <c r="R1116" s="37"/>
      <c r="S1116" s="40" t="str">
        <f aca="false">IF($G1116="","",$G1116&amp;"#"&amp;COUNTIF($G$4:$G1116,$G1116))</f>
        <v/>
      </c>
      <c r="T1116" s="40" t="str">
        <f aca="false">IF($B1116="","",IF($C1116="","NIK kosong",IF(LEN($C1116)&lt;&gt;16,"NIK bukan 16 digit",IF(COUNTIF($C$4:$C$2003,$C1116&amp;"*")&gt;1,"NIK ganda",IF($E1116="","Kadus kosong",IF($F1116="","RT kosong",IF($H1116="","Jabatan kosong",IF($I1116="","No. HP kosong",IF($J1116="","Alamat kosong",IF(AND($M1116&lt;&gt;"",$M1116&lt;17),"Usia di bawah 17",""))))))))))</f>
        <v/>
      </c>
      <c r="U1116" s="40" t="str">
        <f aca="false">IF($B1116="","",IF(AND(OR(CARI!$C$5="",ISNUMBER(SEARCH(CARI!$C$5,$B1116&amp;" "&amp;$C1116&amp;" "&amp;$I1116&amp;" "&amp;$J1116&amp;" "&amp;$Q1116))),OR(CARI!$C$6="",$E1116=CARI!$C$6),OR(CARI!$C$7="",$F1116=CARI!$C$7),OR(CARI!$C$8="",$O1116=CARI!$C$8)),MAX($U$3:U1115)+1,""))</f>
        <v/>
      </c>
      <c r="V1116" s="40" t="str">
        <f aca="false">IF($T1116="","",MAX($V$3:V1115)+1)</f>
        <v/>
      </c>
      <c r="W1116" s="40" t="str">
        <f aca="false">IF($E1116="","",$E1116&amp;"#"&amp;COUNTIF($E$4:$E1116,$E1116))</f>
        <v/>
      </c>
      <c r="X1116" s="40" t="str">
        <f aca="false">IF($B1116="","",IF(AND(OR(CETAK!$J$10="",$E1116=CETAK!$J$10),OR(CETAK!$J$11="",$F1116=CETAK!$J$11),OR(CETAK!$J$12="",$K1116=CETAK!$J$12),OR(CETAK!$J$13="",$H1116=CETAK!$J$13),OR(CETAK!$J$14="",$O1116=CETAK!$J$14)),MAX($X$3:X1115)+1,""))</f>
        <v/>
      </c>
      <c r="Y1116" s="40" t="str">
        <f aca="false">IF($B1116="","",IF(AND(OR(ABSENSI!$H$10="",$E1116=ABSENSI!$H$10),OR(ABSENSI!$H$11="",$F1116=ABSENSI!$H$11),OR(ABSENSI!$H$12="",$K1116=ABSENSI!$H$12)),MAX($Y$3:Y1115)+1,""))</f>
        <v/>
      </c>
      <c r="Z1116" s="40" t="str">
        <f aca="false">IF($B1116="","",IF(AND(OR(KARTU!$K$6="",$E1116=KARTU!$K$6),OR(KARTU!$K$7="",$F1116=KARTU!$K$7),OR(KARTU!$K$8="",$K1116=KARTU!$K$8)),MAX($Z$3:Z1115)+1,""))</f>
        <v/>
      </c>
    </row>
    <row r="1117" customFormat="false" ht="15" hidden="false" customHeight="false" outlineLevel="0" collapsed="false">
      <c r="A1117" s="36" t="str">
        <f aca="false">IF($B1117="","",COUNTA($B$4:$B1117))</f>
        <v/>
      </c>
      <c r="B1117" s="37"/>
      <c r="C1117" s="38"/>
      <c r="D1117" s="39"/>
      <c r="E1117" s="37"/>
      <c r="F1117" s="39"/>
      <c r="G1117" s="40" t="str">
        <f aca="false">IF(OR($E1117="",$F1117=""),"",$E1117&amp;" - RT "&amp;$F1117)</f>
        <v/>
      </c>
      <c r="H1117" s="37"/>
      <c r="I1117" s="38"/>
      <c r="J1117" s="37"/>
      <c r="K1117" s="39"/>
      <c r="L1117" s="41"/>
      <c r="M1117" s="36" t="str">
        <f aca="true">IF(OR($B1117="",$L1117=""),"",DATEDIF($L1117,TODAY(),"Y"))</f>
        <v/>
      </c>
      <c r="N1117" s="40" t="str">
        <f aca="false">IF($M1117="","",INDEX(usia_label,MATCH($M1117,usia_min,1)))</f>
        <v/>
      </c>
      <c r="O1117" s="37"/>
      <c r="P1117" s="41"/>
      <c r="Q1117" s="37"/>
      <c r="R1117" s="37"/>
      <c r="S1117" s="40" t="str">
        <f aca="false">IF($G1117="","",$G1117&amp;"#"&amp;COUNTIF($G$4:$G1117,$G1117))</f>
        <v/>
      </c>
      <c r="T1117" s="40" t="str">
        <f aca="false">IF($B1117="","",IF($C1117="","NIK kosong",IF(LEN($C1117)&lt;&gt;16,"NIK bukan 16 digit",IF(COUNTIF($C$4:$C$2003,$C1117&amp;"*")&gt;1,"NIK ganda",IF($E1117="","Kadus kosong",IF($F1117="","RT kosong",IF($H1117="","Jabatan kosong",IF($I1117="","No. HP kosong",IF($J1117="","Alamat kosong",IF(AND($M1117&lt;&gt;"",$M1117&lt;17),"Usia di bawah 17",""))))))))))</f>
        <v/>
      </c>
      <c r="U1117" s="40" t="str">
        <f aca="false">IF($B1117="","",IF(AND(OR(CARI!$C$5="",ISNUMBER(SEARCH(CARI!$C$5,$B1117&amp;" "&amp;$C1117&amp;" "&amp;$I1117&amp;" "&amp;$J1117&amp;" "&amp;$Q1117))),OR(CARI!$C$6="",$E1117=CARI!$C$6),OR(CARI!$C$7="",$F1117=CARI!$C$7),OR(CARI!$C$8="",$O1117=CARI!$C$8)),MAX($U$3:U1116)+1,""))</f>
        <v/>
      </c>
      <c r="V1117" s="40" t="str">
        <f aca="false">IF($T1117="","",MAX($V$3:V1116)+1)</f>
        <v/>
      </c>
      <c r="W1117" s="40" t="str">
        <f aca="false">IF($E1117="","",$E1117&amp;"#"&amp;COUNTIF($E$4:$E1117,$E1117))</f>
        <v/>
      </c>
      <c r="X1117" s="40" t="str">
        <f aca="false">IF($B1117="","",IF(AND(OR(CETAK!$J$10="",$E1117=CETAK!$J$10),OR(CETAK!$J$11="",$F1117=CETAK!$J$11),OR(CETAK!$J$12="",$K1117=CETAK!$J$12),OR(CETAK!$J$13="",$H1117=CETAK!$J$13),OR(CETAK!$J$14="",$O1117=CETAK!$J$14)),MAX($X$3:X1116)+1,""))</f>
        <v/>
      </c>
      <c r="Y1117" s="40" t="str">
        <f aca="false">IF($B1117="","",IF(AND(OR(ABSENSI!$H$10="",$E1117=ABSENSI!$H$10),OR(ABSENSI!$H$11="",$F1117=ABSENSI!$H$11),OR(ABSENSI!$H$12="",$K1117=ABSENSI!$H$12)),MAX($Y$3:Y1116)+1,""))</f>
        <v/>
      </c>
      <c r="Z1117" s="40" t="str">
        <f aca="false">IF($B1117="","",IF(AND(OR(KARTU!$K$6="",$E1117=KARTU!$K$6),OR(KARTU!$K$7="",$F1117=KARTU!$K$7),OR(KARTU!$K$8="",$K1117=KARTU!$K$8)),MAX($Z$3:Z1116)+1,""))</f>
        <v/>
      </c>
    </row>
    <row r="1118" customFormat="false" ht="15" hidden="false" customHeight="false" outlineLevel="0" collapsed="false">
      <c r="A1118" s="36" t="str">
        <f aca="false">IF($B1118="","",COUNTA($B$4:$B1118))</f>
        <v/>
      </c>
      <c r="B1118" s="37"/>
      <c r="C1118" s="38"/>
      <c r="D1118" s="39"/>
      <c r="E1118" s="37"/>
      <c r="F1118" s="39"/>
      <c r="G1118" s="40" t="str">
        <f aca="false">IF(OR($E1118="",$F1118=""),"",$E1118&amp;" - RT "&amp;$F1118)</f>
        <v/>
      </c>
      <c r="H1118" s="37"/>
      <c r="I1118" s="38"/>
      <c r="J1118" s="37"/>
      <c r="K1118" s="39"/>
      <c r="L1118" s="41"/>
      <c r="M1118" s="36" t="str">
        <f aca="true">IF(OR($B1118="",$L1118=""),"",DATEDIF($L1118,TODAY(),"Y"))</f>
        <v/>
      </c>
      <c r="N1118" s="40" t="str">
        <f aca="false">IF($M1118="","",INDEX(usia_label,MATCH($M1118,usia_min,1)))</f>
        <v/>
      </c>
      <c r="O1118" s="37"/>
      <c r="P1118" s="41"/>
      <c r="Q1118" s="37"/>
      <c r="R1118" s="37"/>
      <c r="S1118" s="40" t="str">
        <f aca="false">IF($G1118="","",$G1118&amp;"#"&amp;COUNTIF($G$4:$G1118,$G1118))</f>
        <v/>
      </c>
      <c r="T1118" s="40" t="str">
        <f aca="false">IF($B1118="","",IF($C1118="","NIK kosong",IF(LEN($C1118)&lt;&gt;16,"NIK bukan 16 digit",IF(COUNTIF($C$4:$C$2003,$C1118&amp;"*")&gt;1,"NIK ganda",IF($E1118="","Kadus kosong",IF($F1118="","RT kosong",IF($H1118="","Jabatan kosong",IF($I1118="","No. HP kosong",IF($J1118="","Alamat kosong",IF(AND($M1118&lt;&gt;"",$M1118&lt;17),"Usia di bawah 17",""))))))))))</f>
        <v/>
      </c>
      <c r="U1118" s="40" t="str">
        <f aca="false">IF($B1118="","",IF(AND(OR(CARI!$C$5="",ISNUMBER(SEARCH(CARI!$C$5,$B1118&amp;" "&amp;$C1118&amp;" "&amp;$I1118&amp;" "&amp;$J1118&amp;" "&amp;$Q1118))),OR(CARI!$C$6="",$E1118=CARI!$C$6),OR(CARI!$C$7="",$F1118=CARI!$C$7),OR(CARI!$C$8="",$O1118=CARI!$C$8)),MAX($U$3:U1117)+1,""))</f>
        <v/>
      </c>
      <c r="V1118" s="40" t="str">
        <f aca="false">IF($T1118="","",MAX($V$3:V1117)+1)</f>
        <v/>
      </c>
      <c r="W1118" s="40" t="str">
        <f aca="false">IF($E1118="","",$E1118&amp;"#"&amp;COUNTIF($E$4:$E1118,$E1118))</f>
        <v/>
      </c>
      <c r="X1118" s="40" t="str">
        <f aca="false">IF($B1118="","",IF(AND(OR(CETAK!$J$10="",$E1118=CETAK!$J$10),OR(CETAK!$J$11="",$F1118=CETAK!$J$11),OR(CETAK!$J$12="",$K1118=CETAK!$J$12),OR(CETAK!$J$13="",$H1118=CETAK!$J$13),OR(CETAK!$J$14="",$O1118=CETAK!$J$14)),MAX($X$3:X1117)+1,""))</f>
        <v/>
      </c>
      <c r="Y1118" s="40" t="str">
        <f aca="false">IF($B1118="","",IF(AND(OR(ABSENSI!$H$10="",$E1118=ABSENSI!$H$10),OR(ABSENSI!$H$11="",$F1118=ABSENSI!$H$11),OR(ABSENSI!$H$12="",$K1118=ABSENSI!$H$12)),MAX($Y$3:Y1117)+1,""))</f>
        <v/>
      </c>
      <c r="Z1118" s="40" t="str">
        <f aca="false">IF($B1118="","",IF(AND(OR(KARTU!$K$6="",$E1118=KARTU!$K$6),OR(KARTU!$K$7="",$F1118=KARTU!$K$7),OR(KARTU!$K$8="",$K1118=KARTU!$K$8)),MAX($Z$3:Z1117)+1,""))</f>
        <v/>
      </c>
    </row>
    <row r="1119" customFormat="false" ht="15" hidden="false" customHeight="false" outlineLevel="0" collapsed="false">
      <c r="A1119" s="36" t="str">
        <f aca="false">IF($B1119="","",COUNTA($B$4:$B1119))</f>
        <v/>
      </c>
      <c r="B1119" s="37"/>
      <c r="C1119" s="38"/>
      <c r="D1119" s="39"/>
      <c r="E1119" s="37"/>
      <c r="F1119" s="39"/>
      <c r="G1119" s="40" t="str">
        <f aca="false">IF(OR($E1119="",$F1119=""),"",$E1119&amp;" - RT "&amp;$F1119)</f>
        <v/>
      </c>
      <c r="H1119" s="37"/>
      <c r="I1119" s="38"/>
      <c r="J1119" s="37"/>
      <c r="K1119" s="39"/>
      <c r="L1119" s="41"/>
      <c r="M1119" s="36" t="str">
        <f aca="true">IF(OR($B1119="",$L1119=""),"",DATEDIF($L1119,TODAY(),"Y"))</f>
        <v/>
      </c>
      <c r="N1119" s="40" t="str">
        <f aca="false">IF($M1119="","",INDEX(usia_label,MATCH($M1119,usia_min,1)))</f>
        <v/>
      </c>
      <c r="O1119" s="37"/>
      <c r="P1119" s="41"/>
      <c r="Q1119" s="37"/>
      <c r="R1119" s="37"/>
      <c r="S1119" s="40" t="str">
        <f aca="false">IF($G1119="","",$G1119&amp;"#"&amp;COUNTIF($G$4:$G1119,$G1119))</f>
        <v/>
      </c>
      <c r="T1119" s="40" t="str">
        <f aca="false">IF($B1119="","",IF($C1119="","NIK kosong",IF(LEN($C1119)&lt;&gt;16,"NIK bukan 16 digit",IF(COUNTIF($C$4:$C$2003,$C1119&amp;"*")&gt;1,"NIK ganda",IF($E1119="","Kadus kosong",IF($F1119="","RT kosong",IF($H1119="","Jabatan kosong",IF($I1119="","No. HP kosong",IF($J1119="","Alamat kosong",IF(AND($M1119&lt;&gt;"",$M1119&lt;17),"Usia di bawah 17",""))))))))))</f>
        <v/>
      </c>
      <c r="U1119" s="40" t="str">
        <f aca="false">IF($B1119="","",IF(AND(OR(CARI!$C$5="",ISNUMBER(SEARCH(CARI!$C$5,$B1119&amp;" "&amp;$C1119&amp;" "&amp;$I1119&amp;" "&amp;$J1119&amp;" "&amp;$Q1119))),OR(CARI!$C$6="",$E1119=CARI!$C$6),OR(CARI!$C$7="",$F1119=CARI!$C$7),OR(CARI!$C$8="",$O1119=CARI!$C$8)),MAX($U$3:U1118)+1,""))</f>
        <v/>
      </c>
      <c r="V1119" s="40" t="str">
        <f aca="false">IF($T1119="","",MAX($V$3:V1118)+1)</f>
        <v/>
      </c>
      <c r="W1119" s="40" t="str">
        <f aca="false">IF($E1119="","",$E1119&amp;"#"&amp;COUNTIF($E$4:$E1119,$E1119))</f>
        <v/>
      </c>
      <c r="X1119" s="40" t="str">
        <f aca="false">IF($B1119="","",IF(AND(OR(CETAK!$J$10="",$E1119=CETAK!$J$10),OR(CETAK!$J$11="",$F1119=CETAK!$J$11),OR(CETAK!$J$12="",$K1119=CETAK!$J$12),OR(CETAK!$J$13="",$H1119=CETAK!$J$13),OR(CETAK!$J$14="",$O1119=CETAK!$J$14)),MAX($X$3:X1118)+1,""))</f>
        <v/>
      </c>
      <c r="Y1119" s="40" t="str">
        <f aca="false">IF($B1119="","",IF(AND(OR(ABSENSI!$H$10="",$E1119=ABSENSI!$H$10),OR(ABSENSI!$H$11="",$F1119=ABSENSI!$H$11),OR(ABSENSI!$H$12="",$K1119=ABSENSI!$H$12)),MAX($Y$3:Y1118)+1,""))</f>
        <v/>
      </c>
      <c r="Z1119" s="40" t="str">
        <f aca="false">IF($B1119="","",IF(AND(OR(KARTU!$K$6="",$E1119=KARTU!$K$6),OR(KARTU!$K$7="",$F1119=KARTU!$K$7),OR(KARTU!$K$8="",$K1119=KARTU!$K$8)),MAX($Z$3:Z1118)+1,""))</f>
        <v/>
      </c>
    </row>
    <row r="1120" customFormat="false" ht="15" hidden="false" customHeight="false" outlineLevel="0" collapsed="false">
      <c r="A1120" s="36" t="str">
        <f aca="false">IF($B1120="","",COUNTA($B$4:$B1120))</f>
        <v/>
      </c>
      <c r="B1120" s="37"/>
      <c r="C1120" s="38"/>
      <c r="D1120" s="39"/>
      <c r="E1120" s="37"/>
      <c r="F1120" s="39"/>
      <c r="G1120" s="40" t="str">
        <f aca="false">IF(OR($E1120="",$F1120=""),"",$E1120&amp;" - RT "&amp;$F1120)</f>
        <v/>
      </c>
      <c r="H1120" s="37"/>
      <c r="I1120" s="38"/>
      <c r="J1120" s="37"/>
      <c r="K1120" s="39"/>
      <c r="L1120" s="41"/>
      <c r="M1120" s="36" t="str">
        <f aca="true">IF(OR($B1120="",$L1120=""),"",DATEDIF($L1120,TODAY(),"Y"))</f>
        <v/>
      </c>
      <c r="N1120" s="40" t="str">
        <f aca="false">IF($M1120="","",INDEX(usia_label,MATCH($M1120,usia_min,1)))</f>
        <v/>
      </c>
      <c r="O1120" s="37"/>
      <c r="P1120" s="41"/>
      <c r="Q1120" s="37"/>
      <c r="R1120" s="37"/>
      <c r="S1120" s="40" t="str">
        <f aca="false">IF($G1120="","",$G1120&amp;"#"&amp;COUNTIF($G$4:$G1120,$G1120))</f>
        <v/>
      </c>
      <c r="T1120" s="40" t="str">
        <f aca="false">IF($B1120="","",IF($C1120="","NIK kosong",IF(LEN($C1120)&lt;&gt;16,"NIK bukan 16 digit",IF(COUNTIF($C$4:$C$2003,$C1120&amp;"*")&gt;1,"NIK ganda",IF($E1120="","Kadus kosong",IF($F1120="","RT kosong",IF($H1120="","Jabatan kosong",IF($I1120="","No. HP kosong",IF($J1120="","Alamat kosong",IF(AND($M1120&lt;&gt;"",$M1120&lt;17),"Usia di bawah 17",""))))))))))</f>
        <v/>
      </c>
      <c r="U1120" s="40" t="str">
        <f aca="false">IF($B1120="","",IF(AND(OR(CARI!$C$5="",ISNUMBER(SEARCH(CARI!$C$5,$B1120&amp;" "&amp;$C1120&amp;" "&amp;$I1120&amp;" "&amp;$J1120&amp;" "&amp;$Q1120))),OR(CARI!$C$6="",$E1120=CARI!$C$6),OR(CARI!$C$7="",$F1120=CARI!$C$7),OR(CARI!$C$8="",$O1120=CARI!$C$8)),MAX($U$3:U1119)+1,""))</f>
        <v/>
      </c>
      <c r="V1120" s="40" t="str">
        <f aca="false">IF($T1120="","",MAX($V$3:V1119)+1)</f>
        <v/>
      </c>
      <c r="W1120" s="40" t="str">
        <f aca="false">IF($E1120="","",$E1120&amp;"#"&amp;COUNTIF($E$4:$E1120,$E1120))</f>
        <v/>
      </c>
      <c r="X1120" s="40" t="str">
        <f aca="false">IF($B1120="","",IF(AND(OR(CETAK!$J$10="",$E1120=CETAK!$J$10),OR(CETAK!$J$11="",$F1120=CETAK!$J$11),OR(CETAK!$J$12="",$K1120=CETAK!$J$12),OR(CETAK!$J$13="",$H1120=CETAK!$J$13),OR(CETAK!$J$14="",$O1120=CETAK!$J$14)),MAX($X$3:X1119)+1,""))</f>
        <v/>
      </c>
      <c r="Y1120" s="40" t="str">
        <f aca="false">IF($B1120="","",IF(AND(OR(ABSENSI!$H$10="",$E1120=ABSENSI!$H$10),OR(ABSENSI!$H$11="",$F1120=ABSENSI!$H$11),OR(ABSENSI!$H$12="",$K1120=ABSENSI!$H$12)),MAX($Y$3:Y1119)+1,""))</f>
        <v/>
      </c>
      <c r="Z1120" s="40" t="str">
        <f aca="false">IF($B1120="","",IF(AND(OR(KARTU!$K$6="",$E1120=KARTU!$K$6),OR(KARTU!$K$7="",$F1120=KARTU!$K$7),OR(KARTU!$K$8="",$K1120=KARTU!$K$8)),MAX($Z$3:Z1119)+1,""))</f>
        <v/>
      </c>
    </row>
    <row r="1121" customFormat="false" ht="15" hidden="false" customHeight="false" outlineLevel="0" collapsed="false">
      <c r="A1121" s="36" t="str">
        <f aca="false">IF($B1121="","",COUNTA($B$4:$B1121))</f>
        <v/>
      </c>
      <c r="B1121" s="37"/>
      <c r="C1121" s="38"/>
      <c r="D1121" s="39"/>
      <c r="E1121" s="37"/>
      <c r="F1121" s="39"/>
      <c r="G1121" s="40" t="str">
        <f aca="false">IF(OR($E1121="",$F1121=""),"",$E1121&amp;" - RT "&amp;$F1121)</f>
        <v/>
      </c>
      <c r="H1121" s="37"/>
      <c r="I1121" s="38"/>
      <c r="J1121" s="37"/>
      <c r="K1121" s="39"/>
      <c r="L1121" s="41"/>
      <c r="M1121" s="36" t="str">
        <f aca="true">IF(OR($B1121="",$L1121=""),"",DATEDIF($L1121,TODAY(),"Y"))</f>
        <v/>
      </c>
      <c r="N1121" s="40" t="str">
        <f aca="false">IF($M1121="","",INDEX(usia_label,MATCH($M1121,usia_min,1)))</f>
        <v/>
      </c>
      <c r="O1121" s="37"/>
      <c r="P1121" s="41"/>
      <c r="Q1121" s="37"/>
      <c r="R1121" s="37"/>
      <c r="S1121" s="40" t="str">
        <f aca="false">IF($G1121="","",$G1121&amp;"#"&amp;COUNTIF($G$4:$G1121,$G1121))</f>
        <v/>
      </c>
      <c r="T1121" s="40" t="str">
        <f aca="false">IF($B1121="","",IF($C1121="","NIK kosong",IF(LEN($C1121)&lt;&gt;16,"NIK bukan 16 digit",IF(COUNTIF($C$4:$C$2003,$C1121&amp;"*")&gt;1,"NIK ganda",IF($E1121="","Kadus kosong",IF($F1121="","RT kosong",IF($H1121="","Jabatan kosong",IF($I1121="","No. HP kosong",IF($J1121="","Alamat kosong",IF(AND($M1121&lt;&gt;"",$M1121&lt;17),"Usia di bawah 17",""))))))))))</f>
        <v/>
      </c>
      <c r="U1121" s="40" t="str">
        <f aca="false">IF($B1121="","",IF(AND(OR(CARI!$C$5="",ISNUMBER(SEARCH(CARI!$C$5,$B1121&amp;" "&amp;$C1121&amp;" "&amp;$I1121&amp;" "&amp;$J1121&amp;" "&amp;$Q1121))),OR(CARI!$C$6="",$E1121=CARI!$C$6),OR(CARI!$C$7="",$F1121=CARI!$C$7),OR(CARI!$C$8="",$O1121=CARI!$C$8)),MAX($U$3:U1120)+1,""))</f>
        <v/>
      </c>
      <c r="V1121" s="40" t="str">
        <f aca="false">IF($T1121="","",MAX($V$3:V1120)+1)</f>
        <v/>
      </c>
      <c r="W1121" s="40" t="str">
        <f aca="false">IF($E1121="","",$E1121&amp;"#"&amp;COUNTIF($E$4:$E1121,$E1121))</f>
        <v/>
      </c>
      <c r="X1121" s="40" t="str">
        <f aca="false">IF($B1121="","",IF(AND(OR(CETAK!$J$10="",$E1121=CETAK!$J$10),OR(CETAK!$J$11="",$F1121=CETAK!$J$11),OR(CETAK!$J$12="",$K1121=CETAK!$J$12),OR(CETAK!$J$13="",$H1121=CETAK!$J$13),OR(CETAK!$J$14="",$O1121=CETAK!$J$14)),MAX($X$3:X1120)+1,""))</f>
        <v/>
      </c>
      <c r="Y1121" s="40" t="str">
        <f aca="false">IF($B1121="","",IF(AND(OR(ABSENSI!$H$10="",$E1121=ABSENSI!$H$10),OR(ABSENSI!$H$11="",$F1121=ABSENSI!$H$11),OR(ABSENSI!$H$12="",$K1121=ABSENSI!$H$12)),MAX($Y$3:Y1120)+1,""))</f>
        <v/>
      </c>
      <c r="Z1121" s="40" t="str">
        <f aca="false">IF($B1121="","",IF(AND(OR(KARTU!$K$6="",$E1121=KARTU!$K$6),OR(KARTU!$K$7="",$F1121=KARTU!$K$7),OR(KARTU!$K$8="",$K1121=KARTU!$K$8)),MAX($Z$3:Z1120)+1,""))</f>
        <v/>
      </c>
    </row>
    <row r="1122" customFormat="false" ht="15" hidden="false" customHeight="false" outlineLevel="0" collapsed="false">
      <c r="A1122" s="36" t="str">
        <f aca="false">IF($B1122="","",COUNTA($B$4:$B1122))</f>
        <v/>
      </c>
      <c r="B1122" s="37"/>
      <c r="C1122" s="38"/>
      <c r="D1122" s="39"/>
      <c r="E1122" s="37"/>
      <c r="F1122" s="39"/>
      <c r="G1122" s="40" t="str">
        <f aca="false">IF(OR($E1122="",$F1122=""),"",$E1122&amp;" - RT "&amp;$F1122)</f>
        <v/>
      </c>
      <c r="H1122" s="37"/>
      <c r="I1122" s="38"/>
      <c r="J1122" s="37"/>
      <c r="K1122" s="39"/>
      <c r="L1122" s="41"/>
      <c r="M1122" s="36" t="str">
        <f aca="true">IF(OR($B1122="",$L1122=""),"",DATEDIF($L1122,TODAY(),"Y"))</f>
        <v/>
      </c>
      <c r="N1122" s="40" t="str">
        <f aca="false">IF($M1122="","",INDEX(usia_label,MATCH($M1122,usia_min,1)))</f>
        <v/>
      </c>
      <c r="O1122" s="37"/>
      <c r="P1122" s="41"/>
      <c r="Q1122" s="37"/>
      <c r="R1122" s="37"/>
      <c r="S1122" s="40" t="str">
        <f aca="false">IF($G1122="","",$G1122&amp;"#"&amp;COUNTIF($G$4:$G1122,$G1122))</f>
        <v/>
      </c>
      <c r="T1122" s="40" t="str">
        <f aca="false">IF($B1122="","",IF($C1122="","NIK kosong",IF(LEN($C1122)&lt;&gt;16,"NIK bukan 16 digit",IF(COUNTIF($C$4:$C$2003,$C1122&amp;"*")&gt;1,"NIK ganda",IF($E1122="","Kadus kosong",IF($F1122="","RT kosong",IF($H1122="","Jabatan kosong",IF($I1122="","No. HP kosong",IF($J1122="","Alamat kosong",IF(AND($M1122&lt;&gt;"",$M1122&lt;17),"Usia di bawah 17",""))))))))))</f>
        <v/>
      </c>
      <c r="U1122" s="40" t="str">
        <f aca="false">IF($B1122="","",IF(AND(OR(CARI!$C$5="",ISNUMBER(SEARCH(CARI!$C$5,$B1122&amp;" "&amp;$C1122&amp;" "&amp;$I1122&amp;" "&amp;$J1122&amp;" "&amp;$Q1122))),OR(CARI!$C$6="",$E1122=CARI!$C$6),OR(CARI!$C$7="",$F1122=CARI!$C$7),OR(CARI!$C$8="",$O1122=CARI!$C$8)),MAX($U$3:U1121)+1,""))</f>
        <v/>
      </c>
      <c r="V1122" s="40" t="str">
        <f aca="false">IF($T1122="","",MAX($V$3:V1121)+1)</f>
        <v/>
      </c>
      <c r="W1122" s="40" t="str">
        <f aca="false">IF($E1122="","",$E1122&amp;"#"&amp;COUNTIF($E$4:$E1122,$E1122))</f>
        <v/>
      </c>
      <c r="X1122" s="40" t="str">
        <f aca="false">IF($B1122="","",IF(AND(OR(CETAK!$J$10="",$E1122=CETAK!$J$10),OR(CETAK!$J$11="",$F1122=CETAK!$J$11),OR(CETAK!$J$12="",$K1122=CETAK!$J$12),OR(CETAK!$J$13="",$H1122=CETAK!$J$13),OR(CETAK!$J$14="",$O1122=CETAK!$J$14)),MAX($X$3:X1121)+1,""))</f>
        <v/>
      </c>
      <c r="Y1122" s="40" t="str">
        <f aca="false">IF($B1122="","",IF(AND(OR(ABSENSI!$H$10="",$E1122=ABSENSI!$H$10),OR(ABSENSI!$H$11="",$F1122=ABSENSI!$H$11),OR(ABSENSI!$H$12="",$K1122=ABSENSI!$H$12)),MAX($Y$3:Y1121)+1,""))</f>
        <v/>
      </c>
      <c r="Z1122" s="40" t="str">
        <f aca="false">IF($B1122="","",IF(AND(OR(KARTU!$K$6="",$E1122=KARTU!$K$6),OR(KARTU!$K$7="",$F1122=KARTU!$K$7),OR(KARTU!$K$8="",$K1122=KARTU!$K$8)),MAX($Z$3:Z1121)+1,""))</f>
        <v/>
      </c>
    </row>
    <row r="1123" customFormat="false" ht="15" hidden="false" customHeight="false" outlineLevel="0" collapsed="false">
      <c r="A1123" s="36" t="str">
        <f aca="false">IF($B1123="","",COUNTA($B$4:$B1123))</f>
        <v/>
      </c>
      <c r="B1123" s="37"/>
      <c r="C1123" s="38"/>
      <c r="D1123" s="39"/>
      <c r="E1123" s="37"/>
      <c r="F1123" s="39"/>
      <c r="G1123" s="40" t="str">
        <f aca="false">IF(OR($E1123="",$F1123=""),"",$E1123&amp;" - RT "&amp;$F1123)</f>
        <v/>
      </c>
      <c r="H1123" s="37"/>
      <c r="I1123" s="38"/>
      <c r="J1123" s="37"/>
      <c r="K1123" s="39"/>
      <c r="L1123" s="41"/>
      <c r="M1123" s="36" t="str">
        <f aca="true">IF(OR($B1123="",$L1123=""),"",DATEDIF($L1123,TODAY(),"Y"))</f>
        <v/>
      </c>
      <c r="N1123" s="40" t="str">
        <f aca="false">IF($M1123="","",INDEX(usia_label,MATCH($M1123,usia_min,1)))</f>
        <v/>
      </c>
      <c r="O1123" s="37"/>
      <c r="P1123" s="41"/>
      <c r="Q1123" s="37"/>
      <c r="R1123" s="37"/>
      <c r="S1123" s="40" t="str">
        <f aca="false">IF($G1123="","",$G1123&amp;"#"&amp;COUNTIF($G$4:$G1123,$G1123))</f>
        <v/>
      </c>
      <c r="T1123" s="40" t="str">
        <f aca="false">IF($B1123="","",IF($C1123="","NIK kosong",IF(LEN($C1123)&lt;&gt;16,"NIK bukan 16 digit",IF(COUNTIF($C$4:$C$2003,$C1123&amp;"*")&gt;1,"NIK ganda",IF($E1123="","Kadus kosong",IF($F1123="","RT kosong",IF($H1123="","Jabatan kosong",IF($I1123="","No. HP kosong",IF($J1123="","Alamat kosong",IF(AND($M1123&lt;&gt;"",$M1123&lt;17),"Usia di bawah 17",""))))))))))</f>
        <v/>
      </c>
      <c r="U1123" s="40" t="str">
        <f aca="false">IF($B1123="","",IF(AND(OR(CARI!$C$5="",ISNUMBER(SEARCH(CARI!$C$5,$B1123&amp;" "&amp;$C1123&amp;" "&amp;$I1123&amp;" "&amp;$J1123&amp;" "&amp;$Q1123))),OR(CARI!$C$6="",$E1123=CARI!$C$6),OR(CARI!$C$7="",$F1123=CARI!$C$7),OR(CARI!$C$8="",$O1123=CARI!$C$8)),MAX($U$3:U1122)+1,""))</f>
        <v/>
      </c>
      <c r="V1123" s="40" t="str">
        <f aca="false">IF($T1123="","",MAX($V$3:V1122)+1)</f>
        <v/>
      </c>
      <c r="W1123" s="40" t="str">
        <f aca="false">IF($E1123="","",$E1123&amp;"#"&amp;COUNTIF($E$4:$E1123,$E1123))</f>
        <v/>
      </c>
      <c r="X1123" s="40" t="str">
        <f aca="false">IF($B1123="","",IF(AND(OR(CETAK!$J$10="",$E1123=CETAK!$J$10),OR(CETAK!$J$11="",$F1123=CETAK!$J$11),OR(CETAK!$J$12="",$K1123=CETAK!$J$12),OR(CETAK!$J$13="",$H1123=CETAK!$J$13),OR(CETAK!$J$14="",$O1123=CETAK!$J$14)),MAX($X$3:X1122)+1,""))</f>
        <v/>
      </c>
      <c r="Y1123" s="40" t="str">
        <f aca="false">IF($B1123="","",IF(AND(OR(ABSENSI!$H$10="",$E1123=ABSENSI!$H$10),OR(ABSENSI!$H$11="",$F1123=ABSENSI!$H$11),OR(ABSENSI!$H$12="",$K1123=ABSENSI!$H$12)),MAX($Y$3:Y1122)+1,""))</f>
        <v/>
      </c>
      <c r="Z1123" s="40" t="str">
        <f aca="false">IF($B1123="","",IF(AND(OR(KARTU!$K$6="",$E1123=KARTU!$K$6),OR(KARTU!$K$7="",$F1123=KARTU!$K$7),OR(KARTU!$K$8="",$K1123=KARTU!$K$8)),MAX($Z$3:Z1122)+1,""))</f>
        <v/>
      </c>
    </row>
    <row r="1124" customFormat="false" ht="15" hidden="false" customHeight="false" outlineLevel="0" collapsed="false">
      <c r="A1124" s="36" t="str">
        <f aca="false">IF($B1124="","",COUNTA($B$4:$B1124))</f>
        <v/>
      </c>
      <c r="B1124" s="37"/>
      <c r="C1124" s="38"/>
      <c r="D1124" s="39"/>
      <c r="E1124" s="37"/>
      <c r="F1124" s="39"/>
      <c r="G1124" s="40" t="str">
        <f aca="false">IF(OR($E1124="",$F1124=""),"",$E1124&amp;" - RT "&amp;$F1124)</f>
        <v/>
      </c>
      <c r="H1124" s="37"/>
      <c r="I1124" s="38"/>
      <c r="J1124" s="37"/>
      <c r="K1124" s="39"/>
      <c r="L1124" s="41"/>
      <c r="M1124" s="36" t="str">
        <f aca="true">IF(OR($B1124="",$L1124=""),"",DATEDIF($L1124,TODAY(),"Y"))</f>
        <v/>
      </c>
      <c r="N1124" s="40" t="str">
        <f aca="false">IF($M1124="","",INDEX(usia_label,MATCH($M1124,usia_min,1)))</f>
        <v/>
      </c>
      <c r="O1124" s="37"/>
      <c r="P1124" s="41"/>
      <c r="Q1124" s="37"/>
      <c r="R1124" s="37"/>
      <c r="S1124" s="40" t="str">
        <f aca="false">IF($G1124="","",$G1124&amp;"#"&amp;COUNTIF($G$4:$G1124,$G1124))</f>
        <v/>
      </c>
      <c r="T1124" s="40" t="str">
        <f aca="false">IF($B1124="","",IF($C1124="","NIK kosong",IF(LEN($C1124)&lt;&gt;16,"NIK bukan 16 digit",IF(COUNTIF($C$4:$C$2003,$C1124&amp;"*")&gt;1,"NIK ganda",IF($E1124="","Kadus kosong",IF($F1124="","RT kosong",IF($H1124="","Jabatan kosong",IF($I1124="","No. HP kosong",IF($J1124="","Alamat kosong",IF(AND($M1124&lt;&gt;"",$M1124&lt;17),"Usia di bawah 17",""))))))))))</f>
        <v/>
      </c>
      <c r="U1124" s="40" t="str">
        <f aca="false">IF($B1124="","",IF(AND(OR(CARI!$C$5="",ISNUMBER(SEARCH(CARI!$C$5,$B1124&amp;" "&amp;$C1124&amp;" "&amp;$I1124&amp;" "&amp;$J1124&amp;" "&amp;$Q1124))),OR(CARI!$C$6="",$E1124=CARI!$C$6),OR(CARI!$C$7="",$F1124=CARI!$C$7),OR(CARI!$C$8="",$O1124=CARI!$C$8)),MAX($U$3:U1123)+1,""))</f>
        <v/>
      </c>
      <c r="V1124" s="40" t="str">
        <f aca="false">IF($T1124="","",MAX($V$3:V1123)+1)</f>
        <v/>
      </c>
      <c r="W1124" s="40" t="str">
        <f aca="false">IF($E1124="","",$E1124&amp;"#"&amp;COUNTIF($E$4:$E1124,$E1124))</f>
        <v/>
      </c>
      <c r="X1124" s="40" t="str">
        <f aca="false">IF($B1124="","",IF(AND(OR(CETAK!$J$10="",$E1124=CETAK!$J$10),OR(CETAK!$J$11="",$F1124=CETAK!$J$11),OR(CETAK!$J$12="",$K1124=CETAK!$J$12),OR(CETAK!$J$13="",$H1124=CETAK!$J$13),OR(CETAK!$J$14="",$O1124=CETAK!$J$14)),MAX($X$3:X1123)+1,""))</f>
        <v/>
      </c>
      <c r="Y1124" s="40" t="str">
        <f aca="false">IF($B1124="","",IF(AND(OR(ABSENSI!$H$10="",$E1124=ABSENSI!$H$10),OR(ABSENSI!$H$11="",$F1124=ABSENSI!$H$11),OR(ABSENSI!$H$12="",$K1124=ABSENSI!$H$12)),MAX($Y$3:Y1123)+1,""))</f>
        <v/>
      </c>
      <c r="Z1124" s="40" t="str">
        <f aca="false">IF($B1124="","",IF(AND(OR(KARTU!$K$6="",$E1124=KARTU!$K$6),OR(KARTU!$K$7="",$F1124=KARTU!$K$7),OR(KARTU!$K$8="",$K1124=KARTU!$K$8)),MAX($Z$3:Z1123)+1,""))</f>
        <v/>
      </c>
    </row>
    <row r="1125" customFormat="false" ht="15" hidden="false" customHeight="false" outlineLevel="0" collapsed="false">
      <c r="A1125" s="36" t="str">
        <f aca="false">IF($B1125="","",COUNTA($B$4:$B1125))</f>
        <v/>
      </c>
      <c r="B1125" s="37"/>
      <c r="C1125" s="38"/>
      <c r="D1125" s="39"/>
      <c r="E1125" s="37"/>
      <c r="F1125" s="39"/>
      <c r="G1125" s="40" t="str">
        <f aca="false">IF(OR($E1125="",$F1125=""),"",$E1125&amp;" - RT "&amp;$F1125)</f>
        <v/>
      </c>
      <c r="H1125" s="37"/>
      <c r="I1125" s="38"/>
      <c r="J1125" s="37"/>
      <c r="K1125" s="39"/>
      <c r="L1125" s="41"/>
      <c r="M1125" s="36" t="str">
        <f aca="true">IF(OR($B1125="",$L1125=""),"",DATEDIF($L1125,TODAY(),"Y"))</f>
        <v/>
      </c>
      <c r="N1125" s="40" t="str">
        <f aca="false">IF($M1125="","",INDEX(usia_label,MATCH($M1125,usia_min,1)))</f>
        <v/>
      </c>
      <c r="O1125" s="37"/>
      <c r="P1125" s="41"/>
      <c r="Q1125" s="37"/>
      <c r="R1125" s="37"/>
      <c r="S1125" s="40" t="str">
        <f aca="false">IF($G1125="","",$G1125&amp;"#"&amp;COUNTIF($G$4:$G1125,$G1125))</f>
        <v/>
      </c>
      <c r="T1125" s="40" t="str">
        <f aca="false">IF($B1125="","",IF($C1125="","NIK kosong",IF(LEN($C1125)&lt;&gt;16,"NIK bukan 16 digit",IF(COUNTIF($C$4:$C$2003,$C1125&amp;"*")&gt;1,"NIK ganda",IF($E1125="","Kadus kosong",IF($F1125="","RT kosong",IF($H1125="","Jabatan kosong",IF($I1125="","No. HP kosong",IF($J1125="","Alamat kosong",IF(AND($M1125&lt;&gt;"",$M1125&lt;17),"Usia di bawah 17",""))))))))))</f>
        <v/>
      </c>
      <c r="U1125" s="40" t="str">
        <f aca="false">IF($B1125="","",IF(AND(OR(CARI!$C$5="",ISNUMBER(SEARCH(CARI!$C$5,$B1125&amp;" "&amp;$C1125&amp;" "&amp;$I1125&amp;" "&amp;$J1125&amp;" "&amp;$Q1125))),OR(CARI!$C$6="",$E1125=CARI!$C$6),OR(CARI!$C$7="",$F1125=CARI!$C$7),OR(CARI!$C$8="",$O1125=CARI!$C$8)),MAX($U$3:U1124)+1,""))</f>
        <v/>
      </c>
      <c r="V1125" s="40" t="str">
        <f aca="false">IF($T1125="","",MAX($V$3:V1124)+1)</f>
        <v/>
      </c>
      <c r="W1125" s="40" t="str">
        <f aca="false">IF($E1125="","",$E1125&amp;"#"&amp;COUNTIF($E$4:$E1125,$E1125))</f>
        <v/>
      </c>
      <c r="X1125" s="40" t="str">
        <f aca="false">IF($B1125="","",IF(AND(OR(CETAK!$J$10="",$E1125=CETAK!$J$10),OR(CETAK!$J$11="",$F1125=CETAK!$J$11),OR(CETAK!$J$12="",$K1125=CETAK!$J$12),OR(CETAK!$J$13="",$H1125=CETAK!$J$13),OR(CETAK!$J$14="",$O1125=CETAK!$J$14)),MAX($X$3:X1124)+1,""))</f>
        <v/>
      </c>
      <c r="Y1125" s="40" t="str">
        <f aca="false">IF($B1125="","",IF(AND(OR(ABSENSI!$H$10="",$E1125=ABSENSI!$H$10),OR(ABSENSI!$H$11="",$F1125=ABSENSI!$H$11),OR(ABSENSI!$H$12="",$K1125=ABSENSI!$H$12)),MAX($Y$3:Y1124)+1,""))</f>
        <v/>
      </c>
      <c r="Z1125" s="40" t="str">
        <f aca="false">IF($B1125="","",IF(AND(OR(KARTU!$K$6="",$E1125=KARTU!$K$6),OR(KARTU!$K$7="",$F1125=KARTU!$K$7),OR(KARTU!$K$8="",$K1125=KARTU!$K$8)),MAX($Z$3:Z1124)+1,""))</f>
        <v/>
      </c>
    </row>
    <row r="1126" customFormat="false" ht="15" hidden="false" customHeight="false" outlineLevel="0" collapsed="false">
      <c r="A1126" s="36" t="str">
        <f aca="false">IF($B1126="","",COUNTA($B$4:$B1126))</f>
        <v/>
      </c>
      <c r="B1126" s="37"/>
      <c r="C1126" s="38"/>
      <c r="D1126" s="39"/>
      <c r="E1126" s="37"/>
      <c r="F1126" s="39"/>
      <c r="G1126" s="40" t="str">
        <f aca="false">IF(OR($E1126="",$F1126=""),"",$E1126&amp;" - RT "&amp;$F1126)</f>
        <v/>
      </c>
      <c r="H1126" s="37"/>
      <c r="I1126" s="38"/>
      <c r="J1126" s="37"/>
      <c r="K1126" s="39"/>
      <c r="L1126" s="41"/>
      <c r="M1126" s="36" t="str">
        <f aca="true">IF(OR($B1126="",$L1126=""),"",DATEDIF($L1126,TODAY(),"Y"))</f>
        <v/>
      </c>
      <c r="N1126" s="40" t="str">
        <f aca="false">IF($M1126="","",INDEX(usia_label,MATCH($M1126,usia_min,1)))</f>
        <v/>
      </c>
      <c r="O1126" s="37"/>
      <c r="P1126" s="41"/>
      <c r="Q1126" s="37"/>
      <c r="R1126" s="37"/>
      <c r="S1126" s="40" t="str">
        <f aca="false">IF($G1126="","",$G1126&amp;"#"&amp;COUNTIF($G$4:$G1126,$G1126))</f>
        <v/>
      </c>
      <c r="T1126" s="40" t="str">
        <f aca="false">IF($B1126="","",IF($C1126="","NIK kosong",IF(LEN($C1126)&lt;&gt;16,"NIK bukan 16 digit",IF(COUNTIF($C$4:$C$2003,$C1126&amp;"*")&gt;1,"NIK ganda",IF($E1126="","Kadus kosong",IF($F1126="","RT kosong",IF($H1126="","Jabatan kosong",IF($I1126="","No. HP kosong",IF($J1126="","Alamat kosong",IF(AND($M1126&lt;&gt;"",$M1126&lt;17),"Usia di bawah 17",""))))))))))</f>
        <v/>
      </c>
      <c r="U1126" s="40" t="str">
        <f aca="false">IF($B1126="","",IF(AND(OR(CARI!$C$5="",ISNUMBER(SEARCH(CARI!$C$5,$B1126&amp;" "&amp;$C1126&amp;" "&amp;$I1126&amp;" "&amp;$J1126&amp;" "&amp;$Q1126))),OR(CARI!$C$6="",$E1126=CARI!$C$6),OR(CARI!$C$7="",$F1126=CARI!$C$7),OR(CARI!$C$8="",$O1126=CARI!$C$8)),MAX($U$3:U1125)+1,""))</f>
        <v/>
      </c>
      <c r="V1126" s="40" t="str">
        <f aca="false">IF($T1126="","",MAX($V$3:V1125)+1)</f>
        <v/>
      </c>
      <c r="W1126" s="40" t="str">
        <f aca="false">IF($E1126="","",$E1126&amp;"#"&amp;COUNTIF($E$4:$E1126,$E1126))</f>
        <v/>
      </c>
      <c r="X1126" s="40" t="str">
        <f aca="false">IF($B1126="","",IF(AND(OR(CETAK!$J$10="",$E1126=CETAK!$J$10),OR(CETAK!$J$11="",$F1126=CETAK!$J$11),OR(CETAK!$J$12="",$K1126=CETAK!$J$12),OR(CETAK!$J$13="",$H1126=CETAK!$J$13),OR(CETAK!$J$14="",$O1126=CETAK!$J$14)),MAX($X$3:X1125)+1,""))</f>
        <v/>
      </c>
      <c r="Y1126" s="40" t="str">
        <f aca="false">IF($B1126="","",IF(AND(OR(ABSENSI!$H$10="",$E1126=ABSENSI!$H$10),OR(ABSENSI!$H$11="",$F1126=ABSENSI!$H$11),OR(ABSENSI!$H$12="",$K1126=ABSENSI!$H$12)),MAX($Y$3:Y1125)+1,""))</f>
        <v/>
      </c>
      <c r="Z1126" s="40" t="str">
        <f aca="false">IF($B1126="","",IF(AND(OR(KARTU!$K$6="",$E1126=KARTU!$K$6),OR(KARTU!$K$7="",$F1126=KARTU!$K$7),OR(KARTU!$K$8="",$K1126=KARTU!$K$8)),MAX($Z$3:Z1125)+1,""))</f>
        <v/>
      </c>
    </row>
    <row r="1127" customFormat="false" ht="15" hidden="false" customHeight="false" outlineLevel="0" collapsed="false">
      <c r="A1127" s="36" t="str">
        <f aca="false">IF($B1127="","",COUNTA($B$4:$B1127))</f>
        <v/>
      </c>
      <c r="B1127" s="37"/>
      <c r="C1127" s="38"/>
      <c r="D1127" s="39"/>
      <c r="E1127" s="37"/>
      <c r="F1127" s="39"/>
      <c r="G1127" s="40" t="str">
        <f aca="false">IF(OR($E1127="",$F1127=""),"",$E1127&amp;" - RT "&amp;$F1127)</f>
        <v/>
      </c>
      <c r="H1127" s="37"/>
      <c r="I1127" s="38"/>
      <c r="J1127" s="37"/>
      <c r="K1127" s="39"/>
      <c r="L1127" s="41"/>
      <c r="M1127" s="36" t="str">
        <f aca="true">IF(OR($B1127="",$L1127=""),"",DATEDIF($L1127,TODAY(),"Y"))</f>
        <v/>
      </c>
      <c r="N1127" s="40" t="str">
        <f aca="false">IF($M1127="","",INDEX(usia_label,MATCH($M1127,usia_min,1)))</f>
        <v/>
      </c>
      <c r="O1127" s="37"/>
      <c r="P1127" s="41"/>
      <c r="Q1127" s="37"/>
      <c r="R1127" s="37"/>
      <c r="S1127" s="40" t="str">
        <f aca="false">IF($G1127="","",$G1127&amp;"#"&amp;COUNTIF($G$4:$G1127,$G1127))</f>
        <v/>
      </c>
      <c r="T1127" s="40" t="str">
        <f aca="false">IF($B1127="","",IF($C1127="","NIK kosong",IF(LEN($C1127)&lt;&gt;16,"NIK bukan 16 digit",IF(COUNTIF($C$4:$C$2003,$C1127&amp;"*")&gt;1,"NIK ganda",IF($E1127="","Kadus kosong",IF($F1127="","RT kosong",IF($H1127="","Jabatan kosong",IF($I1127="","No. HP kosong",IF($J1127="","Alamat kosong",IF(AND($M1127&lt;&gt;"",$M1127&lt;17),"Usia di bawah 17",""))))))))))</f>
        <v/>
      </c>
      <c r="U1127" s="40" t="str">
        <f aca="false">IF($B1127="","",IF(AND(OR(CARI!$C$5="",ISNUMBER(SEARCH(CARI!$C$5,$B1127&amp;" "&amp;$C1127&amp;" "&amp;$I1127&amp;" "&amp;$J1127&amp;" "&amp;$Q1127))),OR(CARI!$C$6="",$E1127=CARI!$C$6),OR(CARI!$C$7="",$F1127=CARI!$C$7),OR(CARI!$C$8="",$O1127=CARI!$C$8)),MAX($U$3:U1126)+1,""))</f>
        <v/>
      </c>
      <c r="V1127" s="40" t="str">
        <f aca="false">IF($T1127="","",MAX($V$3:V1126)+1)</f>
        <v/>
      </c>
      <c r="W1127" s="40" t="str">
        <f aca="false">IF($E1127="","",$E1127&amp;"#"&amp;COUNTIF($E$4:$E1127,$E1127))</f>
        <v/>
      </c>
      <c r="X1127" s="40" t="str">
        <f aca="false">IF($B1127="","",IF(AND(OR(CETAK!$J$10="",$E1127=CETAK!$J$10),OR(CETAK!$J$11="",$F1127=CETAK!$J$11),OR(CETAK!$J$12="",$K1127=CETAK!$J$12),OR(CETAK!$J$13="",$H1127=CETAK!$J$13),OR(CETAK!$J$14="",$O1127=CETAK!$J$14)),MAX($X$3:X1126)+1,""))</f>
        <v/>
      </c>
      <c r="Y1127" s="40" t="str">
        <f aca="false">IF($B1127="","",IF(AND(OR(ABSENSI!$H$10="",$E1127=ABSENSI!$H$10),OR(ABSENSI!$H$11="",$F1127=ABSENSI!$H$11),OR(ABSENSI!$H$12="",$K1127=ABSENSI!$H$12)),MAX($Y$3:Y1126)+1,""))</f>
        <v/>
      </c>
      <c r="Z1127" s="40" t="str">
        <f aca="false">IF($B1127="","",IF(AND(OR(KARTU!$K$6="",$E1127=KARTU!$K$6),OR(KARTU!$K$7="",$F1127=KARTU!$K$7),OR(KARTU!$K$8="",$K1127=KARTU!$K$8)),MAX($Z$3:Z1126)+1,""))</f>
        <v/>
      </c>
    </row>
    <row r="1128" customFormat="false" ht="15" hidden="false" customHeight="false" outlineLevel="0" collapsed="false">
      <c r="A1128" s="36" t="str">
        <f aca="false">IF($B1128="","",COUNTA($B$4:$B1128))</f>
        <v/>
      </c>
      <c r="B1128" s="37"/>
      <c r="C1128" s="38"/>
      <c r="D1128" s="39"/>
      <c r="E1128" s="37"/>
      <c r="F1128" s="39"/>
      <c r="G1128" s="40" t="str">
        <f aca="false">IF(OR($E1128="",$F1128=""),"",$E1128&amp;" - RT "&amp;$F1128)</f>
        <v/>
      </c>
      <c r="H1128" s="37"/>
      <c r="I1128" s="38"/>
      <c r="J1128" s="37"/>
      <c r="K1128" s="39"/>
      <c r="L1128" s="41"/>
      <c r="M1128" s="36" t="str">
        <f aca="true">IF(OR($B1128="",$L1128=""),"",DATEDIF($L1128,TODAY(),"Y"))</f>
        <v/>
      </c>
      <c r="N1128" s="40" t="str">
        <f aca="false">IF($M1128="","",INDEX(usia_label,MATCH($M1128,usia_min,1)))</f>
        <v/>
      </c>
      <c r="O1128" s="37"/>
      <c r="P1128" s="41"/>
      <c r="Q1128" s="37"/>
      <c r="R1128" s="37"/>
      <c r="S1128" s="40" t="str">
        <f aca="false">IF($G1128="","",$G1128&amp;"#"&amp;COUNTIF($G$4:$G1128,$G1128))</f>
        <v/>
      </c>
      <c r="T1128" s="40" t="str">
        <f aca="false">IF($B1128="","",IF($C1128="","NIK kosong",IF(LEN($C1128)&lt;&gt;16,"NIK bukan 16 digit",IF(COUNTIF($C$4:$C$2003,$C1128&amp;"*")&gt;1,"NIK ganda",IF($E1128="","Kadus kosong",IF($F1128="","RT kosong",IF($H1128="","Jabatan kosong",IF($I1128="","No. HP kosong",IF($J1128="","Alamat kosong",IF(AND($M1128&lt;&gt;"",$M1128&lt;17),"Usia di bawah 17",""))))))))))</f>
        <v/>
      </c>
      <c r="U1128" s="40" t="str">
        <f aca="false">IF($B1128="","",IF(AND(OR(CARI!$C$5="",ISNUMBER(SEARCH(CARI!$C$5,$B1128&amp;" "&amp;$C1128&amp;" "&amp;$I1128&amp;" "&amp;$J1128&amp;" "&amp;$Q1128))),OR(CARI!$C$6="",$E1128=CARI!$C$6),OR(CARI!$C$7="",$F1128=CARI!$C$7),OR(CARI!$C$8="",$O1128=CARI!$C$8)),MAX($U$3:U1127)+1,""))</f>
        <v/>
      </c>
      <c r="V1128" s="40" t="str">
        <f aca="false">IF($T1128="","",MAX($V$3:V1127)+1)</f>
        <v/>
      </c>
      <c r="W1128" s="40" t="str">
        <f aca="false">IF($E1128="","",$E1128&amp;"#"&amp;COUNTIF($E$4:$E1128,$E1128))</f>
        <v/>
      </c>
      <c r="X1128" s="40" t="str">
        <f aca="false">IF($B1128="","",IF(AND(OR(CETAK!$J$10="",$E1128=CETAK!$J$10),OR(CETAK!$J$11="",$F1128=CETAK!$J$11),OR(CETAK!$J$12="",$K1128=CETAK!$J$12),OR(CETAK!$J$13="",$H1128=CETAK!$J$13),OR(CETAK!$J$14="",$O1128=CETAK!$J$14)),MAX($X$3:X1127)+1,""))</f>
        <v/>
      </c>
      <c r="Y1128" s="40" t="str">
        <f aca="false">IF($B1128="","",IF(AND(OR(ABSENSI!$H$10="",$E1128=ABSENSI!$H$10),OR(ABSENSI!$H$11="",$F1128=ABSENSI!$H$11),OR(ABSENSI!$H$12="",$K1128=ABSENSI!$H$12)),MAX($Y$3:Y1127)+1,""))</f>
        <v/>
      </c>
      <c r="Z1128" s="40" t="str">
        <f aca="false">IF($B1128="","",IF(AND(OR(KARTU!$K$6="",$E1128=KARTU!$K$6),OR(KARTU!$K$7="",$F1128=KARTU!$K$7),OR(KARTU!$K$8="",$K1128=KARTU!$K$8)),MAX($Z$3:Z1127)+1,""))</f>
        <v/>
      </c>
    </row>
    <row r="1129" customFormat="false" ht="15" hidden="false" customHeight="false" outlineLevel="0" collapsed="false">
      <c r="A1129" s="36" t="str">
        <f aca="false">IF($B1129="","",COUNTA($B$4:$B1129))</f>
        <v/>
      </c>
      <c r="B1129" s="37"/>
      <c r="C1129" s="38"/>
      <c r="D1129" s="39"/>
      <c r="E1129" s="37"/>
      <c r="F1129" s="39"/>
      <c r="G1129" s="40" t="str">
        <f aca="false">IF(OR($E1129="",$F1129=""),"",$E1129&amp;" - RT "&amp;$F1129)</f>
        <v/>
      </c>
      <c r="H1129" s="37"/>
      <c r="I1129" s="38"/>
      <c r="J1129" s="37"/>
      <c r="K1129" s="39"/>
      <c r="L1129" s="41"/>
      <c r="M1129" s="36" t="str">
        <f aca="true">IF(OR($B1129="",$L1129=""),"",DATEDIF($L1129,TODAY(),"Y"))</f>
        <v/>
      </c>
      <c r="N1129" s="40" t="str">
        <f aca="false">IF($M1129="","",INDEX(usia_label,MATCH($M1129,usia_min,1)))</f>
        <v/>
      </c>
      <c r="O1129" s="37"/>
      <c r="P1129" s="41"/>
      <c r="Q1129" s="37"/>
      <c r="R1129" s="37"/>
      <c r="S1129" s="40" t="str">
        <f aca="false">IF($G1129="","",$G1129&amp;"#"&amp;COUNTIF($G$4:$G1129,$G1129))</f>
        <v/>
      </c>
      <c r="T1129" s="40" t="str">
        <f aca="false">IF($B1129="","",IF($C1129="","NIK kosong",IF(LEN($C1129)&lt;&gt;16,"NIK bukan 16 digit",IF(COUNTIF($C$4:$C$2003,$C1129&amp;"*")&gt;1,"NIK ganda",IF($E1129="","Kadus kosong",IF($F1129="","RT kosong",IF($H1129="","Jabatan kosong",IF($I1129="","No. HP kosong",IF($J1129="","Alamat kosong",IF(AND($M1129&lt;&gt;"",$M1129&lt;17),"Usia di bawah 17",""))))))))))</f>
        <v/>
      </c>
      <c r="U1129" s="40" t="str">
        <f aca="false">IF($B1129="","",IF(AND(OR(CARI!$C$5="",ISNUMBER(SEARCH(CARI!$C$5,$B1129&amp;" "&amp;$C1129&amp;" "&amp;$I1129&amp;" "&amp;$J1129&amp;" "&amp;$Q1129))),OR(CARI!$C$6="",$E1129=CARI!$C$6),OR(CARI!$C$7="",$F1129=CARI!$C$7),OR(CARI!$C$8="",$O1129=CARI!$C$8)),MAX($U$3:U1128)+1,""))</f>
        <v/>
      </c>
      <c r="V1129" s="40" t="str">
        <f aca="false">IF($T1129="","",MAX($V$3:V1128)+1)</f>
        <v/>
      </c>
      <c r="W1129" s="40" t="str">
        <f aca="false">IF($E1129="","",$E1129&amp;"#"&amp;COUNTIF($E$4:$E1129,$E1129))</f>
        <v/>
      </c>
      <c r="X1129" s="40" t="str">
        <f aca="false">IF($B1129="","",IF(AND(OR(CETAK!$J$10="",$E1129=CETAK!$J$10),OR(CETAK!$J$11="",$F1129=CETAK!$J$11),OR(CETAK!$J$12="",$K1129=CETAK!$J$12),OR(CETAK!$J$13="",$H1129=CETAK!$J$13),OR(CETAK!$J$14="",$O1129=CETAK!$J$14)),MAX($X$3:X1128)+1,""))</f>
        <v/>
      </c>
      <c r="Y1129" s="40" t="str">
        <f aca="false">IF($B1129="","",IF(AND(OR(ABSENSI!$H$10="",$E1129=ABSENSI!$H$10),OR(ABSENSI!$H$11="",$F1129=ABSENSI!$H$11),OR(ABSENSI!$H$12="",$K1129=ABSENSI!$H$12)),MAX($Y$3:Y1128)+1,""))</f>
        <v/>
      </c>
      <c r="Z1129" s="40" t="str">
        <f aca="false">IF($B1129="","",IF(AND(OR(KARTU!$K$6="",$E1129=KARTU!$K$6),OR(KARTU!$K$7="",$F1129=KARTU!$K$7),OR(KARTU!$K$8="",$K1129=KARTU!$K$8)),MAX($Z$3:Z1128)+1,""))</f>
        <v/>
      </c>
    </row>
    <row r="1130" customFormat="false" ht="15" hidden="false" customHeight="false" outlineLevel="0" collapsed="false">
      <c r="A1130" s="36" t="str">
        <f aca="false">IF($B1130="","",COUNTA($B$4:$B1130))</f>
        <v/>
      </c>
      <c r="B1130" s="37"/>
      <c r="C1130" s="38"/>
      <c r="D1130" s="39"/>
      <c r="E1130" s="37"/>
      <c r="F1130" s="39"/>
      <c r="G1130" s="40" t="str">
        <f aca="false">IF(OR($E1130="",$F1130=""),"",$E1130&amp;" - RT "&amp;$F1130)</f>
        <v/>
      </c>
      <c r="H1130" s="37"/>
      <c r="I1130" s="38"/>
      <c r="J1130" s="37"/>
      <c r="K1130" s="39"/>
      <c r="L1130" s="41"/>
      <c r="M1130" s="36" t="str">
        <f aca="true">IF(OR($B1130="",$L1130=""),"",DATEDIF($L1130,TODAY(),"Y"))</f>
        <v/>
      </c>
      <c r="N1130" s="40" t="str">
        <f aca="false">IF($M1130="","",INDEX(usia_label,MATCH($M1130,usia_min,1)))</f>
        <v/>
      </c>
      <c r="O1130" s="37"/>
      <c r="P1130" s="41"/>
      <c r="Q1130" s="37"/>
      <c r="R1130" s="37"/>
      <c r="S1130" s="40" t="str">
        <f aca="false">IF($G1130="","",$G1130&amp;"#"&amp;COUNTIF($G$4:$G1130,$G1130))</f>
        <v/>
      </c>
      <c r="T1130" s="40" t="str">
        <f aca="false">IF($B1130="","",IF($C1130="","NIK kosong",IF(LEN($C1130)&lt;&gt;16,"NIK bukan 16 digit",IF(COUNTIF($C$4:$C$2003,$C1130&amp;"*")&gt;1,"NIK ganda",IF($E1130="","Kadus kosong",IF($F1130="","RT kosong",IF($H1130="","Jabatan kosong",IF($I1130="","No. HP kosong",IF($J1130="","Alamat kosong",IF(AND($M1130&lt;&gt;"",$M1130&lt;17),"Usia di bawah 17",""))))))))))</f>
        <v/>
      </c>
      <c r="U1130" s="40" t="str">
        <f aca="false">IF($B1130="","",IF(AND(OR(CARI!$C$5="",ISNUMBER(SEARCH(CARI!$C$5,$B1130&amp;" "&amp;$C1130&amp;" "&amp;$I1130&amp;" "&amp;$J1130&amp;" "&amp;$Q1130))),OR(CARI!$C$6="",$E1130=CARI!$C$6),OR(CARI!$C$7="",$F1130=CARI!$C$7),OR(CARI!$C$8="",$O1130=CARI!$C$8)),MAX($U$3:U1129)+1,""))</f>
        <v/>
      </c>
      <c r="V1130" s="40" t="str">
        <f aca="false">IF($T1130="","",MAX($V$3:V1129)+1)</f>
        <v/>
      </c>
      <c r="W1130" s="40" t="str">
        <f aca="false">IF($E1130="","",$E1130&amp;"#"&amp;COUNTIF($E$4:$E1130,$E1130))</f>
        <v/>
      </c>
      <c r="X1130" s="40" t="str">
        <f aca="false">IF($B1130="","",IF(AND(OR(CETAK!$J$10="",$E1130=CETAK!$J$10),OR(CETAK!$J$11="",$F1130=CETAK!$J$11),OR(CETAK!$J$12="",$K1130=CETAK!$J$12),OR(CETAK!$J$13="",$H1130=CETAK!$J$13),OR(CETAK!$J$14="",$O1130=CETAK!$J$14)),MAX($X$3:X1129)+1,""))</f>
        <v/>
      </c>
      <c r="Y1130" s="40" t="str">
        <f aca="false">IF($B1130="","",IF(AND(OR(ABSENSI!$H$10="",$E1130=ABSENSI!$H$10),OR(ABSENSI!$H$11="",$F1130=ABSENSI!$H$11),OR(ABSENSI!$H$12="",$K1130=ABSENSI!$H$12)),MAX($Y$3:Y1129)+1,""))</f>
        <v/>
      </c>
      <c r="Z1130" s="40" t="str">
        <f aca="false">IF($B1130="","",IF(AND(OR(KARTU!$K$6="",$E1130=KARTU!$K$6),OR(KARTU!$K$7="",$F1130=KARTU!$K$7),OR(KARTU!$K$8="",$K1130=KARTU!$K$8)),MAX($Z$3:Z1129)+1,""))</f>
        <v/>
      </c>
    </row>
    <row r="1131" customFormat="false" ht="15" hidden="false" customHeight="false" outlineLevel="0" collapsed="false">
      <c r="A1131" s="36" t="str">
        <f aca="false">IF($B1131="","",COUNTA($B$4:$B1131))</f>
        <v/>
      </c>
      <c r="B1131" s="37"/>
      <c r="C1131" s="38"/>
      <c r="D1131" s="39"/>
      <c r="E1131" s="37"/>
      <c r="F1131" s="39"/>
      <c r="G1131" s="40" t="str">
        <f aca="false">IF(OR($E1131="",$F1131=""),"",$E1131&amp;" - RT "&amp;$F1131)</f>
        <v/>
      </c>
      <c r="H1131" s="37"/>
      <c r="I1131" s="38"/>
      <c r="J1131" s="37"/>
      <c r="K1131" s="39"/>
      <c r="L1131" s="41"/>
      <c r="M1131" s="36" t="str">
        <f aca="true">IF(OR($B1131="",$L1131=""),"",DATEDIF($L1131,TODAY(),"Y"))</f>
        <v/>
      </c>
      <c r="N1131" s="40" t="str">
        <f aca="false">IF($M1131="","",INDEX(usia_label,MATCH($M1131,usia_min,1)))</f>
        <v/>
      </c>
      <c r="O1131" s="37"/>
      <c r="P1131" s="41"/>
      <c r="Q1131" s="37"/>
      <c r="R1131" s="37"/>
      <c r="S1131" s="40" t="str">
        <f aca="false">IF($G1131="","",$G1131&amp;"#"&amp;COUNTIF($G$4:$G1131,$G1131))</f>
        <v/>
      </c>
      <c r="T1131" s="40" t="str">
        <f aca="false">IF($B1131="","",IF($C1131="","NIK kosong",IF(LEN($C1131)&lt;&gt;16,"NIK bukan 16 digit",IF(COUNTIF($C$4:$C$2003,$C1131&amp;"*")&gt;1,"NIK ganda",IF($E1131="","Kadus kosong",IF($F1131="","RT kosong",IF($H1131="","Jabatan kosong",IF($I1131="","No. HP kosong",IF($J1131="","Alamat kosong",IF(AND($M1131&lt;&gt;"",$M1131&lt;17),"Usia di bawah 17",""))))))))))</f>
        <v/>
      </c>
      <c r="U1131" s="40" t="str">
        <f aca="false">IF($B1131="","",IF(AND(OR(CARI!$C$5="",ISNUMBER(SEARCH(CARI!$C$5,$B1131&amp;" "&amp;$C1131&amp;" "&amp;$I1131&amp;" "&amp;$J1131&amp;" "&amp;$Q1131))),OR(CARI!$C$6="",$E1131=CARI!$C$6),OR(CARI!$C$7="",$F1131=CARI!$C$7),OR(CARI!$C$8="",$O1131=CARI!$C$8)),MAX($U$3:U1130)+1,""))</f>
        <v/>
      </c>
      <c r="V1131" s="40" t="str">
        <f aca="false">IF($T1131="","",MAX($V$3:V1130)+1)</f>
        <v/>
      </c>
      <c r="W1131" s="40" t="str">
        <f aca="false">IF($E1131="","",$E1131&amp;"#"&amp;COUNTIF($E$4:$E1131,$E1131))</f>
        <v/>
      </c>
      <c r="X1131" s="40" t="str">
        <f aca="false">IF($B1131="","",IF(AND(OR(CETAK!$J$10="",$E1131=CETAK!$J$10),OR(CETAK!$J$11="",$F1131=CETAK!$J$11),OR(CETAK!$J$12="",$K1131=CETAK!$J$12),OR(CETAK!$J$13="",$H1131=CETAK!$J$13),OR(CETAK!$J$14="",$O1131=CETAK!$J$14)),MAX($X$3:X1130)+1,""))</f>
        <v/>
      </c>
      <c r="Y1131" s="40" t="str">
        <f aca="false">IF($B1131="","",IF(AND(OR(ABSENSI!$H$10="",$E1131=ABSENSI!$H$10),OR(ABSENSI!$H$11="",$F1131=ABSENSI!$H$11),OR(ABSENSI!$H$12="",$K1131=ABSENSI!$H$12)),MAX($Y$3:Y1130)+1,""))</f>
        <v/>
      </c>
      <c r="Z1131" s="40" t="str">
        <f aca="false">IF($B1131="","",IF(AND(OR(KARTU!$K$6="",$E1131=KARTU!$K$6),OR(KARTU!$K$7="",$F1131=KARTU!$K$7),OR(KARTU!$K$8="",$K1131=KARTU!$K$8)),MAX($Z$3:Z1130)+1,""))</f>
        <v/>
      </c>
    </row>
    <row r="1132" customFormat="false" ht="15" hidden="false" customHeight="false" outlineLevel="0" collapsed="false">
      <c r="A1132" s="36" t="str">
        <f aca="false">IF($B1132="","",COUNTA($B$4:$B1132))</f>
        <v/>
      </c>
      <c r="B1132" s="37"/>
      <c r="C1132" s="38"/>
      <c r="D1132" s="39"/>
      <c r="E1132" s="37"/>
      <c r="F1132" s="39"/>
      <c r="G1132" s="40" t="str">
        <f aca="false">IF(OR($E1132="",$F1132=""),"",$E1132&amp;" - RT "&amp;$F1132)</f>
        <v/>
      </c>
      <c r="H1132" s="37"/>
      <c r="I1132" s="38"/>
      <c r="J1132" s="37"/>
      <c r="K1132" s="39"/>
      <c r="L1132" s="41"/>
      <c r="M1132" s="36" t="str">
        <f aca="true">IF(OR($B1132="",$L1132=""),"",DATEDIF($L1132,TODAY(),"Y"))</f>
        <v/>
      </c>
      <c r="N1132" s="40" t="str">
        <f aca="false">IF($M1132="","",INDEX(usia_label,MATCH($M1132,usia_min,1)))</f>
        <v/>
      </c>
      <c r="O1132" s="37"/>
      <c r="P1132" s="41"/>
      <c r="Q1132" s="37"/>
      <c r="R1132" s="37"/>
      <c r="S1132" s="40" t="str">
        <f aca="false">IF($G1132="","",$G1132&amp;"#"&amp;COUNTIF($G$4:$G1132,$G1132))</f>
        <v/>
      </c>
      <c r="T1132" s="40" t="str">
        <f aca="false">IF($B1132="","",IF($C1132="","NIK kosong",IF(LEN($C1132)&lt;&gt;16,"NIK bukan 16 digit",IF(COUNTIF($C$4:$C$2003,$C1132&amp;"*")&gt;1,"NIK ganda",IF($E1132="","Kadus kosong",IF($F1132="","RT kosong",IF($H1132="","Jabatan kosong",IF($I1132="","No. HP kosong",IF($J1132="","Alamat kosong",IF(AND($M1132&lt;&gt;"",$M1132&lt;17),"Usia di bawah 17",""))))))))))</f>
        <v/>
      </c>
      <c r="U1132" s="40" t="str">
        <f aca="false">IF($B1132="","",IF(AND(OR(CARI!$C$5="",ISNUMBER(SEARCH(CARI!$C$5,$B1132&amp;" "&amp;$C1132&amp;" "&amp;$I1132&amp;" "&amp;$J1132&amp;" "&amp;$Q1132))),OR(CARI!$C$6="",$E1132=CARI!$C$6),OR(CARI!$C$7="",$F1132=CARI!$C$7),OR(CARI!$C$8="",$O1132=CARI!$C$8)),MAX($U$3:U1131)+1,""))</f>
        <v/>
      </c>
      <c r="V1132" s="40" t="str">
        <f aca="false">IF($T1132="","",MAX($V$3:V1131)+1)</f>
        <v/>
      </c>
      <c r="W1132" s="40" t="str">
        <f aca="false">IF($E1132="","",$E1132&amp;"#"&amp;COUNTIF($E$4:$E1132,$E1132))</f>
        <v/>
      </c>
      <c r="X1132" s="40" t="str">
        <f aca="false">IF($B1132="","",IF(AND(OR(CETAK!$J$10="",$E1132=CETAK!$J$10),OR(CETAK!$J$11="",$F1132=CETAK!$J$11),OR(CETAK!$J$12="",$K1132=CETAK!$J$12),OR(CETAK!$J$13="",$H1132=CETAK!$J$13),OR(CETAK!$J$14="",$O1132=CETAK!$J$14)),MAX($X$3:X1131)+1,""))</f>
        <v/>
      </c>
      <c r="Y1132" s="40" t="str">
        <f aca="false">IF($B1132="","",IF(AND(OR(ABSENSI!$H$10="",$E1132=ABSENSI!$H$10),OR(ABSENSI!$H$11="",$F1132=ABSENSI!$H$11),OR(ABSENSI!$H$12="",$K1132=ABSENSI!$H$12)),MAX($Y$3:Y1131)+1,""))</f>
        <v/>
      </c>
      <c r="Z1132" s="40" t="str">
        <f aca="false">IF($B1132="","",IF(AND(OR(KARTU!$K$6="",$E1132=KARTU!$K$6),OR(KARTU!$K$7="",$F1132=KARTU!$K$7),OR(KARTU!$K$8="",$K1132=KARTU!$K$8)),MAX($Z$3:Z1131)+1,""))</f>
        <v/>
      </c>
    </row>
    <row r="1133" customFormat="false" ht="15" hidden="false" customHeight="false" outlineLevel="0" collapsed="false">
      <c r="A1133" s="36" t="str">
        <f aca="false">IF($B1133="","",COUNTA($B$4:$B1133))</f>
        <v/>
      </c>
      <c r="B1133" s="37"/>
      <c r="C1133" s="38"/>
      <c r="D1133" s="39"/>
      <c r="E1133" s="37"/>
      <c r="F1133" s="39"/>
      <c r="G1133" s="40" t="str">
        <f aca="false">IF(OR($E1133="",$F1133=""),"",$E1133&amp;" - RT "&amp;$F1133)</f>
        <v/>
      </c>
      <c r="H1133" s="37"/>
      <c r="I1133" s="38"/>
      <c r="J1133" s="37"/>
      <c r="K1133" s="39"/>
      <c r="L1133" s="41"/>
      <c r="M1133" s="36" t="str">
        <f aca="true">IF(OR($B1133="",$L1133=""),"",DATEDIF($L1133,TODAY(),"Y"))</f>
        <v/>
      </c>
      <c r="N1133" s="40" t="str">
        <f aca="false">IF($M1133="","",INDEX(usia_label,MATCH($M1133,usia_min,1)))</f>
        <v/>
      </c>
      <c r="O1133" s="37"/>
      <c r="P1133" s="41"/>
      <c r="Q1133" s="37"/>
      <c r="R1133" s="37"/>
      <c r="S1133" s="40" t="str">
        <f aca="false">IF($G1133="","",$G1133&amp;"#"&amp;COUNTIF($G$4:$G1133,$G1133))</f>
        <v/>
      </c>
      <c r="T1133" s="40" t="str">
        <f aca="false">IF($B1133="","",IF($C1133="","NIK kosong",IF(LEN($C1133)&lt;&gt;16,"NIK bukan 16 digit",IF(COUNTIF($C$4:$C$2003,$C1133&amp;"*")&gt;1,"NIK ganda",IF($E1133="","Kadus kosong",IF($F1133="","RT kosong",IF($H1133="","Jabatan kosong",IF($I1133="","No. HP kosong",IF($J1133="","Alamat kosong",IF(AND($M1133&lt;&gt;"",$M1133&lt;17),"Usia di bawah 17",""))))))))))</f>
        <v/>
      </c>
      <c r="U1133" s="40" t="str">
        <f aca="false">IF($B1133="","",IF(AND(OR(CARI!$C$5="",ISNUMBER(SEARCH(CARI!$C$5,$B1133&amp;" "&amp;$C1133&amp;" "&amp;$I1133&amp;" "&amp;$J1133&amp;" "&amp;$Q1133))),OR(CARI!$C$6="",$E1133=CARI!$C$6),OR(CARI!$C$7="",$F1133=CARI!$C$7),OR(CARI!$C$8="",$O1133=CARI!$C$8)),MAX($U$3:U1132)+1,""))</f>
        <v/>
      </c>
      <c r="V1133" s="40" t="str">
        <f aca="false">IF($T1133="","",MAX($V$3:V1132)+1)</f>
        <v/>
      </c>
      <c r="W1133" s="40" t="str">
        <f aca="false">IF($E1133="","",$E1133&amp;"#"&amp;COUNTIF($E$4:$E1133,$E1133))</f>
        <v/>
      </c>
      <c r="X1133" s="40" t="str">
        <f aca="false">IF($B1133="","",IF(AND(OR(CETAK!$J$10="",$E1133=CETAK!$J$10),OR(CETAK!$J$11="",$F1133=CETAK!$J$11),OR(CETAK!$J$12="",$K1133=CETAK!$J$12),OR(CETAK!$J$13="",$H1133=CETAK!$J$13),OR(CETAK!$J$14="",$O1133=CETAK!$J$14)),MAX($X$3:X1132)+1,""))</f>
        <v/>
      </c>
      <c r="Y1133" s="40" t="str">
        <f aca="false">IF($B1133="","",IF(AND(OR(ABSENSI!$H$10="",$E1133=ABSENSI!$H$10),OR(ABSENSI!$H$11="",$F1133=ABSENSI!$H$11),OR(ABSENSI!$H$12="",$K1133=ABSENSI!$H$12)),MAX($Y$3:Y1132)+1,""))</f>
        <v/>
      </c>
      <c r="Z1133" s="40" t="str">
        <f aca="false">IF($B1133="","",IF(AND(OR(KARTU!$K$6="",$E1133=KARTU!$K$6),OR(KARTU!$K$7="",$F1133=KARTU!$K$7),OR(KARTU!$K$8="",$K1133=KARTU!$K$8)),MAX($Z$3:Z1132)+1,""))</f>
        <v/>
      </c>
    </row>
    <row r="1134" customFormat="false" ht="15" hidden="false" customHeight="false" outlineLevel="0" collapsed="false">
      <c r="A1134" s="36" t="str">
        <f aca="false">IF($B1134="","",COUNTA($B$4:$B1134))</f>
        <v/>
      </c>
      <c r="B1134" s="37"/>
      <c r="C1134" s="38"/>
      <c r="D1134" s="39"/>
      <c r="E1134" s="37"/>
      <c r="F1134" s="39"/>
      <c r="G1134" s="40" t="str">
        <f aca="false">IF(OR($E1134="",$F1134=""),"",$E1134&amp;" - RT "&amp;$F1134)</f>
        <v/>
      </c>
      <c r="H1134" s="37"/>
      <c r="I1134" s="38"/>
      <c r="J1134" s="37"/>
      <c r="K1134" s="39"/>
      <c r="L1134" s="41"/>
      <c r="M1134" s="36" t="str">
        <f aca="true">IF(OR($B1134="",$L1134=""),"",DATEDIF($L1134,TODAY(),"Y"))</f>
        <v/>
      </c>
      <c r="N1134" s="40" t="str">
        <f aca="false">IF($M1134="","",INDEX(usia_label,MATCH($M1134,usia_min,1)))</f>
        <v/>
      </c>
      <c r="O1134" s="37"/>
      <c r="P1134" s="41"/>
      <c r="Q1134" s="37"/>
      <c r="R1134" s="37"/>
      <c r="S1134" s="40" t="str">
        <f aca="false">IF($G1134="","",$G1134&amp;"#"&amp;COUNTIF($G$4:$G1134,$G1134))</f>
        <v/>
      </c>
      <c r="T1134" s="40" t="str">
        <f aca="false">IF($B1134="","",IF($C1134="","NIK kosong",IF(LEN($C1134)&lt;&gt;16,"NIK bukan 16 digit",IF(COUNTIF($C$4:$C$2003,$C1134&amp;"*")&gt;1,"NIK ganda",IF($E1134="","Kadus kosong",IF($F1134="","RT kosong",IF($H1134="","Jabatan kosong",IF($I1134="","No. HP kosong",IF($J1134="","Alamat kosong",IF(AND($M1134&lt;&gt;"",$M1134&lt;17),"Usia di bawah 17",""))))))))))</f>
        <v/>
      </c>
      <c r="U1134" s="40" t="str">
        <f aca="false">IF($B1134="","",IF(AND(OR(CARI!$C$5="",ISNUMBER(SEARCH(CARI!$C$5,$B1134&amp;" "&amp;$C1134&amp;" "&amp;$I1134&amp;" "&amp;$J1134&amp;" "&amp;$Q1134))),OR(CARI!$C$6="",$E1134=CARI!$C$6),OR(CARI!$C$7="",$F1134=CARI!$C$7),OR(CARI!$C$8="",$O1134=CARI!$C$8)),MAX($U$3:U1133)+1,""))</f>
        <v/>
      </c>
      <c r="V1134" s="40" t="str">
        <f aca="false">IF($T1134="","",MAX($V$3:V1133)+1)</f>
        <v/>
      </c>
      <c r="W1134" s="40" t="str">
        <f aca="false">IF($E1134="","",$E1134&amp;"#"&amp;COUNTIF($E$4:$E1134,$E1134))</f>
        <v/>
      </c>
      <c r="X1134" s="40" t="str">
        <f aca="false">IF($B1134="","",IF(AND(OR(CETAK!$J$10="",$E1134=CETAK!$J$10),OR(CETAK!$J$11="",$F1134=CETAK!$J$11),OR(CETAK!$J$12="",$K1134=CETAK!$J$12),OR(CETAK!$J$13="",$H1134=CETAK!$J$13),OR(CETAK!$J$14="",$O1134=CETAK!$J$14)),MAX($X$3:X1133)+1,""))</f>
        <v/>
      </c>
      <c r="Y1134" s="40" t="str">
        <f aca="false">IF($B1134="","",IF(AND(OR(ABSENSI!$H$10="",$E1134=ABSENSI!$H$10),OR(ABSENSI!$H$11="",$F1134=ABSENSI!$H$11),OR(ABSENSI!$H$12="",$K1134=ABSENSI!$H$12)),MAX($Y$3:Y1133)+1,""))</f>
        <v/>
      </c>
      <c r="Z1134" s="40" t="str">
        <f aca="false">IF($B1134="","",IF(AND(OR(KARTU!$K$6="",$E1134=KARTU!$K$6),OR(KARTU!$K$7="",$F1134=KARTU!$K$7),OR(KARTU!$K$8="",$K1134=KARTU!$K$8)),MAX($Z$3:Z1133)+1,""))</f>
        <v/>
      </c>
    </row>
    <row r="1135" customFormat="false" ht="15" hidden="false" customHeight="false" outlineLevel="0" collapsed="false">
      <c r="A1135" s="36" t="str">
        <f aca="false">IF($B1135="","",COUNTA($B$4:$B1135))</f>
        <v/>
      </c>
      <c r="B1135" s="37"/>
      <c r="C1135" s="38"/>
      <c r="D1135" s="39"/>
      <c r="E1135" s="37"/>
      <c r="F1135" s="39"/>
      <c r="G1135" s="40" t="str">
        <f aca="false">IF(OR($E1135="",$F1135=""),"",$E1135&amp;" - RT "&amp;$F1135)</f>
        <v/>
      </c>
      <c r="H1135" s="37"/>
      <c r="I1135" s="38"/>
      <c r="J1135" s="37"/>
      <c r="K1135" s="39"/>
      <c r="L1135" s="41"/>
      <c r="M1135" s="36" t="str">
        <f aca="true">IF(OR($B1135="",$L1135=""),"",DATEDIF($L1135,TODAY(),"Y"))</f>
        <v/>
      </c>
      <c r="N1135" s="40" t="str">
        <f aca="false">IF($M1135="","",INDEX(usia_label,MATCH($M1135,usia_min,1)))</f>
        <v/>
      </c>
      <c r="O1135" s="37"/>
      <c r="P1135" s="41"/>
      <c r="Q1135" s="37"/>
      <c r="R1135" s="37"/>
      <c r="S1135" s="40" t="str">
        <f aca="false">IF($G1135="","",$G1135&amp;"#"&amp;COUNTIF($G$4:$G1135,$G1135))</f>
        <v/>
      </c>
      <c r="T1135" s="40" t="str">
        <f aca="false">IF($B1135="","",IF($C1135="","NIK kosong",IF(LEN($C1135)&lt;&gt;16,"NIK bukan 16 digit",IF(COUNTIF($C$4:$C$2003,$C1135&amp;"*")&gt;1,"NIK ganda",IF($E1135="","Kadus kosong",IF($F1135="","RT kosong",IF($H1135="","Jabatan kosong",IF($I1135="","No. HP kosong",IF($J1135="","Alamat kosong",IF(AND($M1135&lt;&gt;"",$M1135&lt;17),"Usia di bawah 17",""))))))))))</f>
        <v/>
      </c>
      <c r="U1135" s="40" t="str">
        <f aca="false">IF($B1135="","",IF(AND(OR(CARI!$C$5="",ISNUMBER(SEARCH(CARI!$C$5,$B1135&amp;" "&amp;$C1135&amp;" "&amp;$I1135&amp;" "&amp;$J1135&amp;" "&amp;$Q1135))),OR(CARI!$C$6="",$E1135=CARI!$C$6),OR(CARI!$C$7="",$F1135=CARI!$C$7),OR(CARI!$C$8="",$O1135=CARI!$C$8)),MAX($U$3:U1134)+1,""))</f>
        <v/>
      </c>
      <c r="V1135" s="40" t="str">
        <f aca="false">IF($T1135="","",MAX($V$3:V1134)+1)</f>
        <v/>
      </c>
      <c r="W1135" s="40" t="str">
        <f aca="false">IF($E1135="","",$E1135&amp;"#"&amp;COUNTIF($E$4:$E1135,$E1135))</f>
        <v/>
      </c>
      <c r="X1135" s="40" t="str">
        <f aca="false">IF($B1135="","",IF(AND(OR(CETAK!$J$10="",$E1135=CETAK!$J$10),OR(CETAK!$J$11="",$F1135=CETAK!$J$11),OR(CETAK!$J$12="",$K1135=CETAK!$J$12),OR(CETAK!$J$13="",$H1135=CETAK!$J$13),OR(CETAK!$J$14="",$O1135=CETAK!$J$14)),MAX($X$3:X1134)+1,""))</f>
        <v/>
      </c>
      <c r="Y1135" s="40" t="str">
        <f aca="false">IF($B1135="","",IF(AND(OR(ABSENSI!$H$10="",$E1135=ABSENSI!$H$10),OR(ABSENSI!$H$11="",$F1135=ABSENSI!$H$11),OR(ABSENSI!$H$12="",$K1135=ABSENSI!$H$12)),MAX($Y$3:Y1134)+1,""))</f>
        <v/>
      </c>
      <c r="Z1135" s="40" t="str">
        <f aca="false">IF($B1135="","",IF(AND(OR(KARTU!$K$6="",$E1135=KARTU!$K$6),OR(KARTU!$K$7="",$F1135=KARTU!$K$7),OR(KARTU!$K$8="",$K1135=KARTU!$K$8)),MAX($Z$3:Z1134)+1,""))</f>
        <v/>
      </c>
    </row>
    <row r="1136" customFormat="false" ht="15" hidden="false" customHeight="false" outlineLevel="0" collapsed="false">
      <c r="A1136" s="36" t="str">
        <f aca="false">IF($B1136="","",COUNTA($B$4:$B1136))</f>
        <v/>
      </c>
      <c r="B1136" s="37"/>
      <c r="C1136" s="38"/>
      <c r="D1136" s="39"/>
      <c r="E1136" s="37"/>
      <c r="F1136" s="39"/>
      <c r="G1136" s="40" t="str">
        <f aca="false">IF(OR($E1136="",$F1136=""),"",$E1136&amp;" - RT "&amp;$F1136)</f>
        <v/>
      </c>
      <c r="H1136" s="37"/>
      <c r="I1136" s="38"/>
      <c r="J1136" s="37"/>
      <c r="K1136" s="39"/>
      <c r="L1136" s="41"/>
      <c r="M1136" s="36" t="str">
        <f aca="true">IF(OR($B1136="",$L1136=""),"",DATEDIF($L1136,TODAY(),"Y"))</f>
        <v/>
      </c>
      <c r="N1136" s="40" t="str">
        <f aca="false">IF($M1136="","",INDEX(usia_label,MATCH($M1136,usia_min,1)))</f>
        <v/>
      </c>
      <c r="O1136" s="37"/>
      <c r="P1136" s="41"/>
      <c r="Q1136" s="37"/>
      <c r="R1136" s="37"/>
      <c r="S1136" s="40" t="str">
        <f aca="false">IF($G1136="","",$G1136&amp;"#"&amp;COUNTIF($G$4:$G1136,$G1136))</f>
        <v/>
      </c>
      <c r="T1136" s="40" t="str">
        <f aca="false">IF($B1136="","",IF($C1136="","NIK kosong",IF(LEN($C1136)&lt;&gt;16,"NIK bukan 16 digit",IF(COUNTIF($C$4:$C$2003,$C1136&amp;"*")&gt;1,"NIK ganda",IF($E1136="","Kadus kosong",IF($F1136="","RT kosong",IF($H1136="","Jabatan kosong",IF($I1136="","No. HP kosong",IF($J1136="","Alamat kosong",IF(AND($M1136&lt;&gt;"",$M1136&lt;17),"Usia di bawah 17",""))))))))))</f>
        <v/>
      </c>
      <c r="U1136" s="40" t="str">
        <f aca="false">IF($B1136="","",IF(AND(OR(CARI!$C$5="",ISNUMBER(SEARCH(CARI!$C$5,$B1136&amp;" "&amp;$C1136&amp;" "&amp;$I1136&amp;" "&amp;$J1136&amp;" "&amp;$Q1136))),OR(CARI!$C$6="",$E1136=CARI!$C$6),OR(CARI!$C$7="",$F1136=CARI!$C$7),OR(CARI!$C$8="",$O1136=CARI!$C$8)),MAX($U$3:U1135)+1,""))</f>
        <v/>
      </c>
      <c r="V1136" s="40" t="str">
        <f aca="false">IF($T1136="","",MAX($V$3:V1135)+1)</f>
        <v/>
      </c>
      <c r="W1136" s="40" t="str">
        <f aca="false">IF($E1136="","",$E1136&amp;"#"&amp;COUNTIF($E$4:$E1136,$E1136))</f>
        <v/>
      </c>
      <c r="X1136" s="40" t="str">
        <f aca="false">IF($B1136="","",IF(AND(OR(CETAK!$J$10="",$E1136=CETAK!$J$10),OR(CETAK!$J$11="",$F1136=CETAK!$J$11),OR(CETAK!$J$12="",$K1136=CETAK!$J$12),OR(CETAK!$J$13="",$H1136=CETAK!$J$13),OR(CETAK!$J$14="",$O1136=CETAK!$J$14)),MAX($X$3:X1135)+1,""))</f>
        <v/>
      </c>
      <c r="Y1136" s="40" t="str">
        <f aca="false">IF($B1136="","",IF(AND(OR(ABSENSI!$H$10="",$E1136=ABSENSI!$H$10),OR(ABSENSI!$H$11="",$F1136=ABSENSI!$H$11),OR(ABSENSI!$H$12="",$K1136=ABSENSI!$H$12)),MAX($Y$3:Y1135)+1,""))</f>
        <v/>
      </c>
      <c r="Z1136" s="40" t="str">
        <f aca="false">IF($B1136="","",IF(AND(OR(KARTU!$K$6="",$E1136=KARTU!$K$6),OR(KARTU!$K$7="",$F1136=KARTU!$K$7),OR(KARTU!$K$8="",$K1136=KARTU!$K$8)),MAX($Z$3:Z1135)+1,""))</f>
        <v/>
      </c>
    </row>
    <row r="1137" customFormat="false" ht="15" hidden="false" customHeight="false" outlineLevel="0" collapsed="false">
      <c r="A1137" s="36" t="str">
        <f aca="false">IF($B1137="","",COUNTA($B$4:$B1137))</f>
        <v/>
      </c>
      <c r="B1137" s="37"/>
      <c r="C1137" s="38"/>
      <c r="D1137" s="39"/>
      <c r="E1137" s="37"/>
      <c r="F1137" s="39"/>
      <c r="G1137" s="40" t="str">
        <f aca="false">IF(OR($E1137="",$F1137=""),"",$E1137&amp;" - RT "&amp;$F1137)</f>
        <v/>
      </c>
      <c r="H1137" s="37"/>
      <c r="I1137" s="38"/>
      <c r="J1137" s="37"/>
      <c r="K1137" s="39"/>
      <c r="L1137" s="41"/>
      <c r="M1137" s="36" t="str">
        <f aca="true">IF(OR($B1137="",$L1137=""),"",DATEDIF($L1137,TODAY(),"Y"))</f>
        <v/>
      </c>
      <c r="N1137" s="40" t="str">
        <f aca="false">IF($M1137="","",INDEX(usia_label,MATCH($M1137,usia_min,1)))</f>
        <v/>
      </c>
      <c r="O1137" s="37"/>
      <c r="P1137" s="41"/>
      <c r="Q1137" s="37"/>
      <c r="R1137" s="37"/>
      <c r="S1137" s="40" t="str">
        <f aca="false">IF($G1137="","",$G1137&amp;"#"&amp;COUNTIF($G$4:$G1137,$G1137))</f>
        <v/>
      </c>
      <c r="T1137" s="40" t="str">
        <f aca="false">IF($B1137="","",IF($C1137="","NIK kosong",IF(LEN($C1137)&lt;&gt;16,"NIK bukan 16 digit",IF(COUNTIF($C$4:$C$2003,$C1137&amp;"*")&gt;1,"NIK ganda",IF($E1137="","Kadus kosong",IF($F1137="","RT kosong",IF($H1137="","Jabatan kosong",IF($I1137="","No. HP kosong",IF($J1137="","Alamat kosong",IF(AND($M1137&lt;&gt;"",$M1137&lt;17),"Usia di bawah 17",""))))))))))</f>
        <v/>
      </c>
      <c r="U1137" s="40" t="str">
        <f aca="false">IF($B1137="","",IF(AND(OR(CARI!$C$5="",ISNUMBER(SEARCH(CARI!$C$5,$B1137&amp;" "&amp;$C1137&amp;" "&amp;$I1137&amp;" "&amp;$J1137&amp;" "&amp;$Q1137))),OR(CARI!$C$6="",$E1137=CARI!$C$6),OR(CARI!$C$7="",$F1137=CARI!$C$7),OR(CARI!$C$8="",$O1137=CARI!$C$8)),MAX($U$3:U1136)+1,""))</f>
        <v/>
      </c>
      <c r="V1137" s="40" t="str">
        <f aca="false">IF($T1137="","",MAX($V$3:V1136)+1)</f>
        <v/>
      </c>
      <c r="W1137" s="40" t="str">
        <f aca="false">IF($E1137="","",$E1137&amp;"#"&amp;COUNTIF($E$4:$E1137,$E1137))</f>
        <v/>
      </c>
      <c r="X1137" s="40" t="str">
        <f aca="false">IF($B1137="","",IF(AND(OR(CETAK!$J$10="",$E1137=CETAK!$J$10),OR(CETAK!$J$11="",$F1137=CETAK!$J$11),OR(CETAK!$J$12="",$K1137=CETAK!$J$12),OR(CETAK!$J$13="",$H1137=CETAK!$J$13),OR(CETAK!$J$14="",$O1137=CETAK!$J$14)),MAX($X$3:X1136)+1,""))</f>
        <v/>
      </c>
      <c r="Y1137" s="40" t="str">
        <f aca="false">IF($B1137="","",IF(AND(OR(ABSENSI!$H$10="",$E1137=ABSENSI!$H$10),OR(ABSENSI!$H$11="",$F1137=ABSENSI!$H$11),OR(ABSENSI!$H$12="",$K1137=ABSENSI!$H$12)),MAX($Y$3:Y1136)+1,""))</f>
        <v/>
      </c>
      <c r="Z1137" s="40" t="str">
        <f aca="false">IF($B1137="","",IF(AND(OR(KARTU!$K$6="",$E1137=KARTU!$K$6),OR(KARTU!$K$7="",$F1137=KARTU!$K$7),OR(KARTU!$K$8="",$K1137=KARTU!$K$8)),MAX($Z$3:Z1136)+1,""))</f>
        <v/>
      </c>
    </row>
    <row r="1138" customFormat="false" ht="15" hidden="false" customHeight="false" outlineLevel="0" collapsed="false">
      <c r="A1138" s="36" t="str">
        <f aca="false">IF($B1138="","",COUNTA($B$4:$B1138))</f>
        <v/>
      </c>
      <c r="B1138" s="37"/>
      <c r="C1138" s="38"/>
      <c r="D1138" s="39"/>
      <c r="E1138" s="37"/>
      <c r="F1138" s="39"/>
      <c r="G1138" s="40" t="str">
        <f aca="false">IF(OR($E1138="",$F1138=""),"",$E1138&amp;" - RT "&amp;$F1138)</f>
        <v/>
      </c>
      <c r="H1138" s="37"/>
      <c r="I1138" s="38"/>
      <c r="J1138" s="37"/>
      <c r="K1138" s="39"/>
      <c r="L1138" s="41"/>
      <c r="M1138" s="36" t="str">
        <f aca="true">IF(OR($B1138="",$L1138=""),"",DATEDIF($L1138,TODAY(),"Y"))</f>
        <v/>
      </c>
      <c r="N1138" s="40" t="str">
        <f aca="false">IF($M1138="","",INDEX(usia_label,MATCH($M1138,usia_min,1)))</f>
        <v/>
      </c>
      <c r="O1138" s="37"/>
      <c r="P1138" s="41"/>
      <c r="Q1138" s="37"/>
      <c r="R1138" s="37"/>
      <c r="S1138" s="40" t="str">
        <f aca="false">IF($G1138="","",$G1138&amp;"#"&amp;COUNTIF($G$4:$G1138,$G1138))</f>
        <v/>
      </c>
      <c r="T1138" s="40" t="str">
        <f aca="false">IF($B1138="","",IF($C1138="","NIK kosong",IF(LEN($C1138)&lt;&gt;16,"NIK bukan 16 digit",IF(COUNTIF($C$4:$C$2003,$C1138&amp;"*")&gt;1,"NIK ganda",IF($E1138="","Kadus kosong",IF($F1138="","RT kosong",IF($H1138="","Jabatan kosong",IF($I1138="","No. HP kosong",IF($J1138="","Alamat kosong",IF(AND($M1138&lt;&gt;"",$M1138&lt;17),"Usia di bawah 17",""))))))))))</f>
        <v/>
      </c>
      <c r="U1138" s="40" t="str">
        <f aca="false">IF($B1138="","",IF(AND(OR(CARI!$C$5="",ISNUMBER(SEARCH(CARI!$C$5,$B1138&amp;" "&amp;$C1138&amp;" "&amp;$I1138&amp;" "&amp;$J1138&amp;" "&amp;$Q1138))),OR(CARI!$C$6="",$E1138=CARI!$C$6),OR(CARI!$C$7="",$F1138=CARI!$C$7),OR(CARI!$C$8="",$O1138=CARI!$C$8)),MAX($U$3:U1137)+1,""))</f>
        <v/>
      </c>
      <c r="V1138" s="40" t="str">
        <f aca="false">IF($T1138="","",MAX($V$3:V1137)+1)</f>
        <v/>
      </c>
      <c r="W1138" s="40" t="str">
        <f aca="false">IF($E1138="","",$E1138&amp;"#"&amp;COUNTIF($E$4:$E1138,$E1138))</f>
        <v/>
      </c>
      <c r="X1138" s="40" t="str">
        <f aca="false">IF($B1138="","",IF(AND(OR(CETAK!$J$10="",$E1138=CETAK!$J$10),OR(CETAK!$J$11="",$F1138=CETAK!$J$11),OR(CETAK!$J$12="",$K1138=CETAK!$J$12),OR(CETAK!$J$13="",$H1138=CETAK!$J$13),OR(CETAK!$J$14="",$O1138=CETAK!$J$14)),MAX($X$3:X1137)+1,""))</f>
        <v/>
      </c>
      <c r="Y1138" s="40" t="str">
        <f aca="false">IF($B1138="","",IF(AND(OR(ABSENSI!$H$10="",$E1138=ABSENSI!$H$10),OR(ABSENSI!$H$11="",$F1138=ABSENSI!$H$11),OR(ABSENSI!$H$12="",$K1138=ABSENSI!$H$12)),MAX($Y$3:Y1137)+1,""))</f>
        <v/>
      </c>
      <c r="Z1138" s="40" t="str">
        <f aca="false">IF($B1138="","",IF(AND(OR(KARTU!$K$6="",$E1138=KARTU!$K$6),OR(KARTU!$K$7="",$F1138=KARTU!$K$7),OR(KARTU!$K$8="",$K1138=KARTU!$K$8)),MAX($Z$3:Z1137)+1,""))</f>
        <v/>
      </c>
    </row>
    <row r="1139" customFormat="false" ht="15" hidden="false" customHeight="false" outlineLevel="0" collapsed="false">
      <c r="A1139" s="36" t="str">
        <f aca="false">IF($B1139="","",COUNTA($B$4:$B1139))</f>
        <v/>
      </c>
      <c r="B1139" s="37"/>
      <c r="C1139" s="38"/>
      <c r="D1139" s="39"/>
      <c r="E1139" s="37"/>
      <c r="F1139" s="39"/>
      <c r="G1139" s="40" t="str">
        <f aca="false">IF(OR($E1139="",$F1139=""),"",$E1139&amp;" - RT "&amp;$F1139)</f>
        <v/>
      </c>
      <c r="H1139" s="37"/>
      <c r="I1139" s="38"/>
      <c r="J1139" s="37"/>
      <c r="K1139" s="39"/>
      <c r="L1139" s="41"/>
      <c r="M1139" s="36" t="str">
        <f aca="true">IF(OR($B1139="",$L1139=""),"",DATEDIF($L1139,TODAY(),"Y"))</f>
        <v/>
      </c>
      <c r="N1139" s="40" t="str">
        <f aca="false">IF($M1139="","",INDEX(usia_label,MATCH($M1139,usia_min,1)))</f>
        <v/>
      </c>
      <c r="O1139" s="37"/>
      <c r="P1139" s="41"/>
      <c r="Q1139" s="37"/>
      <c r="R1139" s="37"/>
      <c r="S1139" s="40" t="str">
        <f aca="false">IF($G1139="","",$G1139&amp;"#"&amp;COUNTIF($G$4:$G1139,$G1139))</f>
        <v/>
      </c>
      <c r="T1139" s="40" t="str">
        <f aca="false">IF($B1139="","",IF($C1139="","NIK kosong",IF(LEN($C1139)&lt;&gt;16,"NIK bukan 16 digit",IF(COUNTIF($C$4:$C$2003,$C1139&amp;"*")&gt;1,"NIK ganda",IF($E1139="","Kadus kosong",IF($F1139="","RT kosong",IF($H1139="","Jabatan kosong",IF($I1139="","No. HP kosong",IF($J1139="","Alamat kosong",IF(AND($M1139&lt;&gt;"",$M1139&lt;17),"Usia di bawah 17",""))))))))))</f>
        <v/>
      </c>
      <c r="U1139" s="40" t="str">
        <f aca="false">IF($B1139="","",IF(AND(OR(CARI!$C$5="",ISNUMBER(SEARCH(CARI!$C$5,$B1139&amp;" "&amp;$C1139&amp;" "&amp;$I1139&amp;" "&amp;$J1139&amp;" "&amp;$Q1139))),OR(CARI!$C$6="",$E1139=CARI!$C$6),OR(CARI!$C$7="",$F1139=CARI!$C$7),OR(CARI!$C$8="",$O1139=CARI!$C$8)),MAX($U$3:U1138)+1,""))</f>
        <v/>
      </c>
      <c r="V1139" s="40" t="str">
        <f aca="false">IF($T1139="","",MAX($V$3:V1138)+1)</f>
        <v/>
      </c>
      <c r="W1139" s="40" t="str">
        <f aca="false">IF($E1139="","",$E1139&amp;"#"&amp;COUNTIF($E$4:$E1139,$E1139))</f>
        <v/>
      </c>
      <c r="X1139" s="40" t="str">
        <f aca="false">IF($B1139="","",IF(AND(OR(CETAK!$J$10="",$E1139=CETAK!$J$10),OR(CETAK!$J$11="",$F1139=CETAK!$J$11),OR(CETAK!$J$12="",$K1139=CETAK!$J$12),OR(CETAK!$J$13="",$H1139=CETAK!$J$13),OR(CETAK!$J$14="",$O1139=CETAK!$J$14)),MAX($X$3:X1138)+1,""))</f>
        <v/>
      </c>
      <c r="Y1139" s="40" t="str">
        <f aca="false">IF($B1139="","",IF(AND(OR(ABSENSI!$H$10="",$E1139=ABSENSI!$H$10),OR(ABSENSI!$H$11="",$F1139=ABSENSI!$H$11),OR(ABSENSI!$H$12="",$K1139=ABSENSI!$H$12)),MAX($Y$3:Y1138)+1,""))</f>
        <v/>
      </c>
      <c r="Z1139" s="40" t="str">
        <f aca="false">IF($B1139="","",IF(AND(OR(KARTU!$K$6="",$E1139=KARTU!$K$6),OR(KARTU!$K$7="",$F1139=KARTU!$K$7),OR(KARTU!$K$8="",$K1139=KARTU!$K$8)),MAX($Z$3:Z1138)+1,""))</f>
        <v/>
      </c>
    </row>
    <row r="1140" customFormat="false" ht="15" hidden="false" customHeight="false" outlineLevel="0" collapsed="false">
      <c r="A1140" s="36" t="str">
        <f aca="false">IF($B1140="","",COUNTA($B$4:$B1140))</f>
        <v/>
      </c>
      <c r="B1140" s="37"/>
      <c r="C1140" s="38"/>
      <c r="D1140" s="39"/>
      <c r="E1140" s="37"/>
      <c r="F1140" s="39"/>
      <c r="G1140" s="40" t="str">
        <f aca="false">IF(OR($E1140="",$F1140=""),"",$E1140&amp;" - RT "&amp;$F1140)</f>
        <v/>
      </c>
      <c r="H1140" s="37"/>
      <c r="I1140" s="38"/>
      <c r="J1140" s="37"/>
      <c r="K1140" s="39"/>
      <c r="L1140" s="41"/>
      <c r="M1140" s="36" t="str">
        <f aca="true">IF(OR($B1140="",$L1140=""),"",DATEDIF($L1140,TODAY(),"Y"))</f>
        <v/>
      </c>
      <c r="N1140" s="40" t="str">
        <f aca="false">IF($M1140="","",INDEX(usia_label,MATCH($M1140,usia_min,1)))</f>
        <v/>
      </c>
      <c r="O1140" s="37"/>
      <c r="P1140" s="41"/>
      <c r="Q1140" s="37"/>
      <c r="R1140" s="37"/>
      <c r="S1140" s="40" t="str">
        <f aca="false">IF($G1140="","",$G1140&amp;"#"&amp;COUNTIF($G$4:$G1140,$G1140))</f>
        <v/>
      </c>
      <c r="T1140" s="40" t="str">
        <f aca="false">IF($B1140="","",IF($C1140="","NIK kosong",IF(LEN($C1140)&lt;&gt;16,"NIK bukan 16 digit",IF(COUNTIF($C$4:$C$2003,$C1140&amp;"*")&gt;1,"NIK ganda",IF($E1140="","Kadus kosong",IF($F1140="","RT kosong",IF($H1140="","Jabatan kosong",IF($I1140="","No. HP kosong",IF($J1140="","Alamat kosong",IF(AND($M1140&lt;&gt;"",$M1140&lt;17),"Usia di bawah 17",""))))))))))</f>
        <v/>
      </c>
      <c r="U1140" s="40" t="str">
        <f aca="false">IF($B1140="","",IF(AND(OR(CARI!$C$5="",ISNUMBER(SEARCH(CARI!$C$5,$B1140&amp;" "&amp;$C1140&amp;" "&amp;$I1140&amp;" "&amp;$J1140&amp;" "&amp;$Q1140))),OR(CARI!$C$6="",$E1140=CARI!$C$6),OR(CARI!$C$7="",$F1140=CARI!$C$7),OR(CARI!$C$8="",$O1140=CARI!$C$8)),MAX($U$3:U1139)+1,""))</f>
        <v/>
      </c>
      <c r="V1140" s="40" t="str">
        <f aca="false">IF($T1140="","",MAX($V$3:V1139)+1)</f>
        <v/>
      </c>
      <c r="W1140" s="40" t="str">
        <f aca="false">IF($E1140="","",$E1140&amp;"#"&amp;COUNTIF($E$4:$E1140,$E1140))</f>
        <v/>
      </c>
      <c r="X1140" s="40" t="str">
        <f aca="false">IF($B1140="","",IF(AND(OR(CETAK!$J$10="",$E1140=CETAK!$J$10),OR(CETAK!$J$11="",$F1140=CETAK!$J$11),OR(CETAK!$J$12="",$K1140=CETAK!$J$12),OR(CETAK!$J$13="",$H1140=CETAK!$J$13),OR(CETAK!$J$14="",$O1140=CETAK!$J$14)),MAX($X$3:X1139)+1,""))</f>
        <v/>
      </c>
      <c r="Y1140" s="40" t="str">
        <f aca="false">IF($B1140="","",IF(AND(OR(ABSENSI!$H$10="",$E1140=ABSENSI!$H$10),OR(ABSENSI!$H$11="",$F1140=ABSENSI!$H$11),OR(ABSENSI!$H$12="",$K1140=ABSENSI!$H$12)),MAX($Y$3:Y1139)+1,""))</f>
        <v/>
      </c>
      <c r="Z1140" s="40" t="str">
        <f aca="false">IF($B1140="","",IF(AND(OR(KARTU!$K$6="",$E1140=KARTU!$K$6),OR(KARTU!$K$7="",$F1140=KARTU!$K$7),OR(KARTU!$K$8="",$K1140=KARTU!$K$8)),MAX($Z$3:Z1139)+1,""))</f>
        <v/>
      </c>
    </row>
    <row r="1141" customFormat="false" ht="15" hidden="false" customHeight="false" outlineLevel="0" collapsed="false">
      <c r="A1141" s="36" t="str">
        <f aca="false">IF($B1141="","",COUNTA($B$4:$B1141))</f>
        <v/>
      </c>
      <c r="B1141" s="37"/>
      <c r="C1141" s="38"/>
      <c r="D1141" s="39"/>
      <c r="E1141" s="37"/>
      <c r="F1141" s="39"/>
      <c r="G1141" s="40" t="str">
        <f aca="false">IF(OR($E1141="",$F1141=""),"",$E1141&amp;" - RT "&amp;$F1141)</f>
        <v/>
      </c>
      <c r="H1141" s="37"/>
      <c r="I1141" s="38"/>
      <c r="J1141" s="37"/>
      <c r="K1141" s="39"/>
      <c r="L1141" s="41"/>
      <c r="M1141" s="36" t="str">
        <f aca="true">IF(OR($B1141="",$L1141=""),"",DATEDIF($L1141,TODAY(),"Y"))</f>
        <v/>
      </c>
      <c r="N1141" s="40" t="str">
        <f aca="false">IF($M1141="","",INDEX(usia_label,MATCH($M1141,usia_min,1)))</f>
        <v/>
      </c>
      <c r="O1141" s="37"/>
      <c r="P1141" s="41"/>
      <c r="Q1141" s="37"/>
      <c r="R1141" s="37"/>
      <c r="S1141" s="40" t="str">
        <f aca="false">IF($G1141="","",$G1141&amp;"#"&amp;COUNTIF($G$4:$G1141,$G1141))</f>
        <v/>
      </c>
      <c r="T1141" s="40" t="str">
        <f aca="false">IF($B1141="","",IF($C1141="","NIK kosong",IF(LEN($C1141)&lt;&gt;16,"NIK bukan 16 digit",IF(COUNTIF($C$4:$C$2003,$C1141&amp;"*")&gt;1,"NIK ganda",IF($E1141="","Kadus kosong",IF($F1141="","RT kosong",IF($H1141="","Jabatan kosong",IF($I1141="","No. HP kosong",IF($J1141="","Alamat kosong",IF(AND($M1141&lt;&gt;"",$M1141&lt;17),"Usia di bawah 17",""))))))))))</f>
        <v/>
      </c>
      <c r="U1141" s="40" t="str">
        <f aca="false">IF($B1141="","",IF(AND(OR(CARI!$C$5="",ISNUMBER(SEARCH(CARI!$C$5,$B1141&amp;" "&amp;$C1141&amp;" "&amp;$I1141&amp;" "&amp;$J1141&amp;" "&amp;$Q1141))),OR(CARI!$C$6="",$E1141=CARI!$C$6),OR(CARI!$C$7="",$F1141=CARI!$C$7),OR(CARI!$C$8="",$O1141=CARI!$C$8)),MAX($U$3:U1140)+1,""))</f>
        <v/>
      </c>
      <c r="V1141" s="40" t="str">
        <f aca="false">IF($T1141="","",MAX($V$3:V1140)+1)</f>
        <v/>
      </c>
      <c r="W1141" s="40" t="str">
        <f aca="false">IF($E1141="","",$E1141&amp;"#"&amp;COUNTIF($E$4:$E1141,$E1141))</f>
        <v/>
      </c>
      <c r="X1141" s="40" t="str">
        <f aca="false">IF($B1141="","",IF(AND(OR(CETAK!$J$10="",$E1141=CETAK!$J$10),OR(CETAK!$J$11="",$F1141=CETAK!$J$11),OR(CETAK!$J$12="",$K1141=CETAK!$J$12),OR(CETAK!$J$13="",$H1141=CETAK!$J$13),OR(CETAK!$J$14="",$O1141=CETAK!$J$14)),MAX($X$3:X1140)+1,""))</f>
        <v/>
      </c>
      <c r="Y1141" s="40" t="str">
        <f aca="false">IF($B1141="","",IF(AND(OR(ABSENSI!$H$10="",$E1141=ABSENSI!$H$10),OR(ABSENSI!$H$11="",$F1141=ABSENSI!$H$11),OR(ABSENSI!$H$12="",$K1141=ABSENSI!$H$12)),MAX($Y$3:Y1140)+1,""))</f>
        <v/>
      </c>
      <c r="Z1141" s="40" t="str">
        <f aca="false">IF($B1141="","",IF(AND(OR(KARTU!$K$6="",$E1141=KARTU!$K$6),OR(KARTU!$K$7="",$F1141=KARTU!$K$7),OR(KARTU!$K$8="",$K1141=KARTU!$K$8)),MAX($Z$3:Z1140)+1,""))</f>
        <v/>
      </c>
    </row>
    <row r="1142" customFormat="false" ht="15" hidden="false" customHeight="false" outlineLevel="0" collapsed="false">
      <c r="A1142" s="36" t="str">
        <f aca="false">IF($B1142="","",COUNTA($B$4:$B1142))</f>
        <v/>
      </c>
      <c r="B1142" s="37"/>
      <c r="C1142" s="38"/>
      <c r="D1142" s="39"/>
      <c r="E1142" s="37"/>
      <c r="F1142" s="39"/>
      <c r="G1142" s="40" t="str">
        <f aca="false">IF(OR($E1142="",$F1142=""),"",$E1142&amp;" - RT "&amp;$F1142)</f>
        <v/>
      </c>
      <c r="H1142" s="37"/>
      <c r="I1142" s="38"/>
      <c r="J1142" s="37"/>
      <c r="K1142" s="39"/>
      <c r="L1142" s="41"/>
      <c r="M1142" s="36" t="str">
        <f aca="true">IF(OR($B1142="",$L1142=""),"",DATEDIF($L1142,TODAY(),"Y"))</f>
        <v/>
      </c>
      <c r="N1142" s="40" t="str">
        <f aca="false">IF($M1142="","",INDEX(usia_label,MATCH($M1142,usia_min,1)))</f>
        <v/>
      </c>
      <c r="O1142" s="37"/>
      <c r="P1142" s="41"/>
      <c r="Q1142" s="37"/>
      <c r="R1142" s="37"/>
      <c r="S1142" s="40" t="str">
        <f aca="false">IF($G1142="","",$G1142&amp;"#"&amp;COUNTIF($G$4:$G1142,$G1142))</f>
        <v/>
      </c>
      <c r="T1142" s="40" t="str">
        <f aca="false">IF($B1142="","",IF($C1142="","NIK kosong",IF(LEN($C1142)&lt;&gt;16,"NIK bukan 16 digit",IF(COUNTIF($C$4:$C$2003,$C1142&amp;"*")&gt;1,"NIK ganda",IF($E1142="","Kadus kosong",IF($F1142="","RT kosong",IF($H1142="","Jabatan kosong",IF($I1142="","No. HP kosong",IF($J1142="","Alamat kosong",IF(AND($M1142&lt;&gt;"",$M1142&lt;17),"Usia di bawah 17",""))))))))))</f>
        <v/>
      </c>
      <c r="U1142" s="40" t="str">
        <f aca="false">IF($B1142="","",IF(AND(OR(CARI!$C$5="",ISNUMBER(SEARCH(CARI!$C$5,$B1142&amp;" "&amp;$C1142&amp;" "&amp;$I1142&amp;" "&amp;$J1142&amp;" "&amp;$Q1142))),OR(CARI!$C$6="",$E1142=CARI!$C$6),OR(CARI!$C$7="",$F1142=CARI!$C$7),OR(CARI!$C$8="",$O1142=CARI!$C$8)),MAX($U$3:U1141)+1,""))</f>
        <v/>
      </c>
      <c r="V1142" s="40" t="str">
        <f aca="false">IF($T1142="","",MAX($V$3:V1141)+1)</f>
        <v/>
      </c>
      <c r="W1142" s="40" t="str">
        <f aca="false">IF($E1142="","",$E1142&amp;"#"&amp;COUNTIF($E$4:$E1142,$E1142))</f>
        <v/>
      </c>
      <c r="X1142" s="40" t="str">
        <f aca="false">IF($B1142="","",IF(AND(OR(CETAK!$J$10="",$E1142=CETAK!$J$10),OR(CETAK!$J$11="",$F1142=CETAK!$J$11),OR(CETAK!$J$12="",$K1142=CETAK!$J$12),OR(CETAK!$J$13="",$H1142=CETAK!$J$13),OR(CETAK!$J$14="",$O1142=CETAK!$J$14)),MAX($X$3:X1141)+1,""))</f>
        <v/>
      </c>
      <c r="Y1142" s="40" t="str">
        <f aca="false">IF($B1142="","",IF(AND(OR(ABSENSI!$H$10="",$E1142=ABSENSI!$H$10),OR(ABSENSI!$H$11="",$F1142=ABSENSI!$H$11),OR(ABSENSI!$H$12="",$K1142=ABSENSI!$H$12)),MAX($Y$3:Y1141)+1,""))</f>
        <v/>
      </c>
      <c r="Z1142" s="40" t="str">
        <f aca="false">IF($B1142="","",IF(AND(OR(KARTU!$K$6="",$E1142=KARTU!$K$6),OR(KARTU!$K$7="",$F1142=KARTU!$K$7),OR(KARTU!$K$8="",$K1142=KARTU!$K$8)),MAX($Z$3:Z1141)+1,""))</f>
        <v/>
      </c>
    </row>
    <row r="1143" customFormat="false" ht="15" hidden="false" customHeight="false" outlineLevel="0" collapsed="false">
      <c r="A1143" s="36" t="str">
        <f aca="false">IF($B1143="","",COUNTA($B$4:$B1143))</f>
        <v/>
      </c>
      <c r="B1143" s="37"/>
      <c r="C1143" s="38"/>
      <c r="D1143" s="39"/>
      <c r="E1143" s="37"/>
      <c r="F1143" s="39"/>
      <c r="G1143" s="40" t="str">
        <f aca="false">IF(OR($E1143="",$F1143=""),"",$E1143&amp;" - RT "&amp;$F1143)</f>
        <v/>
      </c>
      <c r="H1143" s="37"/>
      <c r="I1143" s="38"/>
      <c r="J1143" s="37"/>
      <c r="K1143" s="39"/>
      <c r="L1143" s="41"/>
      <c r="M1143" s="36" t="str">
        <f aca="true">IF(OR($B1143="",$L1143=""),"",DATEDIF($L1143,TODAY(),"Y"))</f>
        <v/>
      </c>
      <c r="N1143" s="40" t="str">
        <f aca="false">IF($M1143="","",INDEX(usia_label,MATCH($M1143,usia_min,1)))</f>
        <v/>
      </c>
      <c r="O1143" s="37"/>
      <c r="P1143" s="41"/>
      <c r="Q1143" s="37"/>
      <c r="R1143" s="37"/>
      <c r="S1143" s="40" t="str">
        <f aca="false">IF($G1143="","",$G1143&amp;"#"&amp;COUNTIF($G$4:$G1143,$G1143))</f>
        <v/>
      </c>
      <c r="T1143" s="40" t="str">
        <f aca="false">IF($B1143="","",IF($C1143="","NIK kosong",IF(LEN($C1143)&lt;&gt;16,"NIK bukan 16 digit",IF(COUNTIF($C$4:$C$2003,$C1143&amp;"*")&gt;1,"NIK ganda",IF($E1143="","Kadus kosong",IF($F1143="","RT kosong",IF($H1143="","Jabatan kosong",IF($I1143="","No. HP kosong",IF($J1143="","Alamat kosong",IF(AND($M1143&lt;&gt;"",$M1143&lt;17),"Usia di bawah 17",""))))))))))</f>
        <v/>
      </c>
      <c r="U1143" s="40" t="str">
        <f aca="false">IF($B1143="","",IF(AND(OR(CARI!$C$5="",ISNUMBER(SEARCH(CARI!$C$5,$B1143&amp;" "&amp;$C1143&amp;" "&amp;$I1143&amp;" "&amp;$J1143&amp;" "&amp;$Q1143))),OR(CARI!$C$6="",$E1143=CARI!$C$6),OR(CARI!$C$7="",$F1143=CARI!$C$7),OR(CARI!$C$8="",$O1143=CARI!$C$8)),MAX($U$3:U1142)+1,""))</f>
        <v/>
      </c>
      <c r="V1143" s="40" t="str">
        <f aca="false">IF($T1143="","",MAX($V$3:V1142)+1)</f>
        <v/>
      </c>
      <c r="W1143" s="40" t="str">
        <f aca="false">IF($E1143="","",$E1143&amp;"#"&amp;COUNTIF($E$4:$E1143,$E1143))</f>
        <v/>
      </c>
      <c r="X1143" s="40" t="str">
        <f aca="false">IF($B1143="","",IF(AND(OR(CETAK!$J$10="",$E1143=CETAK!$J$10),OR(CETAK!$J$11="",$F1143=CETAK!$J$11),OR(CETAK!$J$12="",$K1143=CETAK!$J$12),OR(CETAK!$J$13="",$H1143=CETAK!$J$13),OR(CETAK!$J$14="",$O1143=CETAK!$J$14)),MAX($X$3:X1142)+1,""))</f>
        <v/>
      </c>
      <c r="Y1143" s="40" t="str">
        <f aca="false">IF($B1143="","",IF(AND(OR(ABSENSI!$H$10="",$E1143=ABSENSI!$H$10),OR(ABSENSI!$H$11="",$F1143=ABSENSI!$H$11),OR(ABSENSI!$H$12="",$K1143=ABSENSI!$H$12)),MAX($Y$3:Y1142)+1,""))</f>
        <v/>
      </c>
      <c r="Z1143" s="40" t="str">
        <f aca="false">IF($B1143="","",IF(AND(OR(KARTU!$K$6="",$E1143=KARTU!$K$6),OR(KARTU!$K$7="",$F1143=KARTU!$K$7),OR(KARTU!$K$8="",$K1143=KARTU!$K$8)),MAX($Z$3:Z1142)+1,""))</f>
        <v/>
      </c>
    </row>
    <row r="1144" customFormat="false" ht="15" hidden="false" customHeight="false" outlineLevel="0" collapsed="false">
      <c r="A1144" s="36" t="str">
        <f aca="false">IF($B1144="","",COUNTA($B$4:$B1144))</f>
        <v/>
      </c>
      <c r="B1144" s="37"/>
      <c r="C1144" s="38"/>
      <c r="D1144" s="39"/>
      <c r="E1144" s="37"/>
      <c r="F1144" s="39"/>
      <c r="G1144" s="40" t="str">
        <f aca="false">IF(OR($E1144="",$F1144=""),"",$E1144&amp;" - RT "&amp;$F1144)</f>
        <v/>
      </c>
      <c r="H1144" s="37"/>
      <c r="I1144" s="38"/>
      <c r="J1144" s="37"/>
      <c r="K1144" s="39"/>
      <c r="L1144" s="41"/>
      <c r="M1144" s="36" t="str">
        <f aca="true">IF(OR($B1144="",$L1144=""),"",DATEDIF($L1144,TODAY(),"Y"))</f>
        <v/>
      </c>
      <c r="N1144" s="40" t="str">
        <f aca="false">IF($M1144="","",INDEX(usia_label,MATCH($M1144,usia_min,1)))</f>
        <v/>
      </c>
      <c r="O1144" s="37"/>
      <c r="P1144" s="41"/>
      <c r="Q1144" s="37"/>
      <c r="R1144" s="37"/>
      <c r="S1144" s="40" t="str">
        <f aca="false">IF($G1144="","",$G1144&amp;"#"&amp;COUNTIF($G$4:$G1144,$G1144))</f>
        <v/>
      </c>
      <c r="T1144" s="40" t="str">
        <f aca="false">IF($B1144="","",IF($C1144="","NIK kosong",IF(LEN($C1144)&lt;&gt;16,"NIK bukan 16 digit",IF(COUNTIF($C$4:$C$2003,$C1144&amp;"*")&gt;1,"NIK ganda",IF($E1144="","Kadus kosong",IF($F1144="","RT kosong",IF($H1144="","Jabatan kosong",IF($I1144="","No. HP kosong",IF($J1144="","Alamat kosong",IF(AND($M1144&lt;&gt;"",$M1144&lt;17),"Usia di bawah 17",""))))))))))</f>
        <v/>
      </c>
      <c r="U1144" s="40" t="str">
        <f aca="false">IF($B1144="","",IF(AND(OR(CARI!$C$5="",ISNUMBER(SEARCH(CARI!$C$5,$B1144&amp;" "&amp;$C1144&amp;" "&amp;$I1144&amp;" "&amp;$J1144&amp;" "&amp;$Q1144))),OR(CARI!$C$6="",$E1144=CARI!$C$6),OR(CARI!$C$7="",$F1144=CARI!$C$7),OR(CARI!$C$8="",$O1144=CARI!$C$8)),MAX($U$3:U1143)+1,""))</f>
        <v/>
      </c>
      <c r="V1144" s="40" t="str">
        <f aca="false">IF($T1144="","",MAX($V$3:V1143)+1)</f>
        <v/>
      </c>
      <c r="W1144" s="40" t="str">
        <f aca="false">IF($E1144="","",$E1144&amp;"#"&amp;COUNTIF($E$4:$E1144,$E1144))</f>
        <v/>
      </c>
      <c r="X1144" s="40" t="str">
        <f aca="false">IF($B1144="","",IF(AND(OR(CETAK!$J$10="",$E1144=CETAK!$J$10),OR(CETAK!$J$11="",$F1144=CETAK!$J$11),OR(CETAK!$J$12="",$K1144=CETAK!$J$12),OR(CETAK!$J$13="",$H1144=CETAK!$J$13),OR(CETAK!$J$14="",$O1144=CETAK!$J$14)),MAX($X$3:X1143)+1,""))</f>
        <v/>
      </c>
      <c r="Y1144" s="40" t="str">
        <f aca="false">IF($B1144="","",IF(AND(OR(ABSENSI!$H$10="",$E1144=ABSENSI!$H$10),OR(ABSENSI!$H$11="",$F1144=ABSENSI!$H$11),OR(ABSENSI!$H$12="",$K1144=ABSENSI!$H$12)),MAX($Y$3:Y1143)+1,""))</f>
        <v/>
      </c>
      <c r="Z1144" s="40" t="str">
        <f aca="false">IF($B1144="","",IF(AND(OR(KARTU!$K$6="",$E1144=KARTU!$K$6),OR(KARTU!$K$7="",$F1144=KARTU!$K$7),OR(KARTU!$K$8="",$K1144=KARTU!$K$8)),MAX($Z$3:Z1143)+1,""))</f>
        <v/>
      </c>
    </row>
    <row r="1145" customFormat="false" ht="15" hidden="false" customHeight="false" outlineLevel="0" collapsed="false">
      <c r="A1145" s="36" t="str">
        <f aca="false">IF($B1145="","",COUNTA($B$4:$B1145))</f>
        <v/>
      </c>
      <c r="B1145" s="37"/>
      <c r="C1145" s="38"/>
      <c r="D1145" s="39"/>
      <c r="E1145" s="37"/>
      <c r="F1145" s="39"/>
      <c r="G1145" s="40" t="str">
        <f aca="false">IF(OR($E1145="",$F1145=""),"",$E1145&amp;" - RT "&amp;$F1145)</f>
        <v/>
      </c>
      <c r="H1145" s="37"/>
      <c r="I1145" s="38"/>
      <c r="J1145" s="37"/>
      <c r="K1145" s="39"/>
      <c r="L1145" s="41"/>
      <c r="M1145" s="36" t="str">
        <f aca="true">IF(OR($B1145="",$L1145=""),"",DATEDIF($L1145,TODAY(),"Y"))</f>
        <v/>
      </c>
      <c r="N1145" s="40" t="str">
        <f aca="false">IF($M1145="","",INDEX(usia_label,MATCH($M1145,usia_min,1)))</f>
        <v/>
      </c>
      <c r="O1145" s="37"/>
      <c r="P1145" s="41"/>
      <c r="Q1145" s="37"/>
      <c r="R1145" s="37"/>
      <c r="S1145" s="40" t="str">
        <f aca="false">IF($G1145="","",$G1145&amp;"#"&amp;COUNTIF($G$4:$G1145,$G1145))</f>
        <v/>
      </c>
      <c r="T1145" s="40" t="str">
        <f aca="false">IF($B1145="","",IF($C1145="","NIK kosong",IF(LEN($C1145)&lt;&gt;16,"NIK bukan 16 digit",IF(COUNTIF($C$4:$C$2003,$C1145&amp;"*")&gt;1,"NIK ganda",IF($E1145="","Kadus kosong",IF($F1145="","RT kosong",IF($H1145="","Jabatan kosong",IF($I1145="","No. HP kosong",IF($J1145="","Alamat kosong",IF(AND($M1145&lt;&gt;"",$M1145&lt;17),"Usia di bawah 17",""))))))))))</f>
        <v/>
      </c>
      <c r="U1145" s="40" t="str">
        <f aca="false">IF($B1145="","",IF(AND(OR(CARI!$C$5="",ISNUMBER(SEARCH(CARI!$C$5,$B1145&amp;" "&amp;$C1145&amp;" "&amp;$I1145&amp;" "&amp;$J1145&amp;" "&amp;$Q1145))),OR(CARI!$C$6="",$E1145=CARI!$C$6),OR(CARI!$C$7="",$F1145=CARI!$C$7),OR(CARI!$C$8="",$O1145=CARI!$C$8)),MAX($U$3:U1144)+1,""))</f>
        <v/>
      </c>
      <c r="V1145" s="40" t="str">
        <f aca="false">IF($T1145="","",MAX($V$3:V1144)+1)</f>
        <v/>
      </c>
      <c r="W1145" s="40" t="str">
        <f aca="false">IF($E1145="","",$E1145&amp;"#"&amp;COUNTIF($E$4:$E1145,$E1145))</f>
        <v/>
      </c>
      <c r="X1145" s="40" t="str">
        <f aca="false">IF($B1145="","",IF(AND(OR(CETAK!$J$10="",$E1145=CETAK!$J$10),OR(CETAK!$J$11="",$F1145=CETAK!$J$11),OR(CETAK!$J$12="",$K1145=CETAK!$J$12),OR(CETAK!$J$13="",$H1145=CETAK!$J$13),OR(CETAK!$J$14="",$O1145=CETAK!$J$14)),MAX($X$3:X1144)+1,""))</f>
        <v/>
      </c>
      <c r="Y1145" s="40" t="str">
        <f aca="false">IF($B1145="","",IF(AND(OR(ABSENSI!$H$10="",$E1145=ABSENSI!$H$10),OR(ABSENSI!$H$11="",$F1145=ABSENSI!$H$11),OR(ABSENSI!$H$12="",$K1145=ABSENSI!$H$12)),MAX($Y$3:Y1144)+1,""))</f>
        <v/>
      </c>
      <c r="Z1145" s="40" t="str">
        <f aca="false">IF($B1145="","",IF(AND(OR(KARTU!$K$6="",$E1145=KARTU!$K$6),OR(KARTU!$K$7="",$F1145=KARTU!$K$7),OR(KARTU!$K$8="",$K1145=KARTU!$K$8)),MAX($Z$3:Z1144)+1,""))</f>
        <v/>
      </c>
    </row>
    <row r="1146" customFormat="false" ht="15" hidden="false" customHeight="false" outlineLevel="0" collapsed="false">
      <c r="A1146" s="36" t="str">
        <f aca="false">IF($B1146="","",COUNTA($B$4:$B1146))</f>
        <v/>
      </c>
      <c r="B1146" s="37"/>
      <c r="C1146" s="38"/>
      <c r="D1146" s="39"/>
      <c r="E1146" s="37"/>
      <c r="F1146" s="39"/>
      <c r="G1146" s="40" t="str">
        <f aca="false">IF(OR($E1146="",$F1146=""),"",$E1146&amp;" - RT "&amp;$F1146)</f>
        <v/>
      </c>
      <c r="H1146" s="37"/>
      <c r="I1146" s="38"/>
      <c r="J1146" s="37"/>
      <c r="K1146" s="39"/>
      <c r="L1146" s="41"/>
      <c r="M1146" s="36" t="str">
        <f aca="true">IF(OR($B1146="",$L1146=""),"",DATEDIF($L1146,TODAY(),"Y"))</f>
        <v/>
      </c>
      <c r="N1146" s="40" t="str">
        <f aca="false">IF($M1146="","",INDEX(usia_label,MATCH($M1146,usia_min,1)))</f>
        <v/>
      </c>
      <c r="O1146" s="37"/>
      <c r="P1146" s="41"/>
      <c r="Q1146" s="37"/>
      <c r="R1146" s="37"/>
      <c r="S1146" s="40" t="str">
        <f aca="false">IF($G1146="","",$G1146&amp;"#"&amp;COUNTIF($G$4:$G1146,$G1146))</f>
        <v/>
      </c>
      <c r="T1146" s="40" t="str">
        <f aca="false">IF($B1146="","",IF($C1146="","NIK kosong",IF(LEN($C1146)&lt;&gt;16,"NIK bukan 16 digit",IF(COUNTIF($C$4:$C$2003,$C1146&amp;"*")&gt;1,"NIK ganda",IF($E1146="","Kadus kosong",IF($F1146="","RT kosong",IF($H1146="","Jabatan kosong",IF($I1146="","No. HP kosong",IF($J1146="","Alamat kosong",IF(AND($M1146&lt;&gt;"",$M1146&lt;17),"Usia di bawah 17",""))))))))))</f>
        <v/>
      </c>
      <c r="U1146" s="40" t="str">
        <f aca="false">IF($B1146="","",IF(AND(OR(CARI!$C$5="",ISNUMBER(SEARCH(CARI!$C$5,$B1146&amp;" "&amp;$C1146&amp;" "&amp;$I1146&amp;" "&amp;$J1146&amp;" "&amp;$Q1146))),OR(CARI!$C$6="",$E1146=CARI!$C$6),OR(CARI!$C$7="",$F1146=CARI!$C$7),OR(CARI!$C$8="",$O1146=CARI!$C$8)),MAX($U$3:U1145)+1,""))</f>
        <v/>
      </c>
      <c r="V1146" s="40" t="str">
        <f aca="false">IF($T1146="","",MAX($V$3:V1145)+1)</f>
        <v/>
      </c>
      <c r="W1146" s="40" t="str">
        <f aca="false">IF($E1146="","",$E1146&amp;"#"&amp;COUNTIF($E$4:$E1146,$E1146))</f>
        <v/>
      </c>
      <c r="X1146" s="40" t="str">
        <f aca="false">IF($B1146="","",IF(AND(OR(CETAK!$J$10="",$E1146=CETAK!$J$10),OR(CETAK!$J$11="",$F1146=CETAK!$J$11),OR(CETAK!$J$12="",$K1146=CETAK!$J$12),OR(CETAK!$J$13="",$H1146=CETAK!$J$13),OR(CETAK!$J$14="",$O1146=CETAK!$J$14)),MAX($X$3:X1145)+1,""))</f>
        <v/>
      </c>
      <c r="Y1146" s="40" t="str">
        <f aca="false">IF($B1146="","",IF(AND(OR(ABSENSI!$H$10="",$E1146=ABSENSI!$H$10),OR(ABSENSI!$H$11="",$F1146=ABSENSI!$H$11),OR(ABSENSI!$H$12="",$K1146=ABSENSI!$H$12)),MAX($Y$3:Y1145)+1,""))</f>
        <v/>
      </c>
      <c r="Z1146" s="40" t="str">
        <f aca="false">IF($B1146="","",IF(AND(OR(KARTU!$K$6="",$E1146=KARTU!$K$6),OR(KARTU!$K$7="",$F1146=KARTU!$K$7),OR(KARTU!$K$8="",$K1146=KARTU!$K$8)),MAX($Z$3:Z1145)+1,""))</f>
        <v/>
      </c>
    </row>
    <row r="1147" customFormat="false" ht="15" hidden="false" customHeight="false" outlineLevel="0" collapsed="false">
      <c r="A1147" s="36" t="str">
        <f aca="false">IF($B1147="","",COUNTA($B$4:$B1147))</f>
        <v/>
      </c>
      <c r="B1147" s="37"/>
      <c r="C1147" s="38"/>
      <c r="D1147" s="39"/>
      <c r="E1147" s="37"/>
      <c r="F1147" s="39"/>
      <c r="G1147" s="40" t="str">
        <f aca="false">IF(OR($E1147="",$F1147=""),"",$E1147&amp;" - RT "&amp;$F1147)</f>
        <v/>
      </c>
      <c r="H1147" s="37"/>
      <c r="I1147" s="38"/>
      <c r="J1147" s="37"/>
      <c r="K1147" s="39"/>
      <c r="L1147" s="41"/>
      <c r="M1147" s="36" t="str">
        <f aca="true">IF(OR($B1147="",$L1147=""),"",DATEDIF($L1147,TODAY(),"Y"))</f>
        <v/>
      </c>
      <c r="N1147" s="40" t="str">
        <f aca="false">IF($M1147="","",INDEX(usia_label,MATCH($M1147,usia_min,1)))</f>
        <v/>
      </c>
      <c r="O1147" s="37"/>
      <c r="P1147" s="41"/>
      <c r="Q1147" s="37"/>
      <c r="R1147" s="37"/>
      <c r="S1147" s="40" t="str">
        <f aca="false">IF($G1147="","",$G1147&amp;"#"&amp;COUNTIF($G$4:$G1147,$G1147))</f>
        <v/>
      </c>
      <c r="T1147" s="40" t="str">
        <f aca="false">IF($B1147="","",IF($C1147="","NIK kosong",IF(LEN($C1147)&lt;&gt;16,"NIK bukan 16 digit",IF(COUNTIF($C$4:$C$2003,$C1147&amp;"*")&gt;1,"NIK ganda",IF($E1147="","Kadus kosong",IF($F1147="","RT kosong",IF($H1147="","Jabatan kosong",IF($I1147="","No. HP kosong",IF($J1147="","Alamat kosong",IF(AND($M1147&lt;&gt;"",$M1147&lt;17),"Usia di bawah 17",""))))))))))</f>
        <v/>
      </c>
      <c r="U1147" s="40" t="str">
        <f aca="false">IF($B1147="","",IF(AND(OR(CARI!$C$5="",ISNUMBER(SEARCH(CARI!$C$5,$B1147&amp;" "&amp;$C1147&amp;" "&amp;$I1147&amp;" "&amp;$J1147&amp;" "&amp;$Q1147))),OR(CARI!$C$6="",$E1147=CARI!$C$6),OR(CARI!$C$7="",$F1147=CARI!$C$7),OR(CARI!$C$8="",$O1147=CARI!$C$8)),MAX($U$3:U1146)+1,""))</f>
        <v/>
      </c>
      <c r="V1147" s="40" t="str">
        <f aca="false">IF($T1147="","",MAX($V$3:V1146)+1)</f>
        <v/>
      </c>
      <c r="W1147" s="40" t="str">
        <f aca="false">IF($E1147="","",$E1147&amp;"#"&amp;COUNTIF($E$4:$E1147,$E1147))</f>
        <v/>
      </c>
      <c r="X1147" s="40" t="str">
        <f aca="false">IF($B1147="","",IF(AND(OR(CETAK!$J$10="",$E1147=CETAK!$J$10),OR(CETAK!$J$11="",$F1147=CETAK!$J$11),OR(CETAK!$J$12="",$K1147=CETAK!$J$12),OR(CETAK!$J$13="",$H1147=CETAK!$J$13),OR(CETAK!$J$14="",$O1147=CETAK!$J$14)),MAX($X$3:X1146)+1,""))</f>
        <v/>
      </c>
      <c r="Y1147" s="40" t="str">
        <f aca="false">IF($B1147="","",IF(AND(OR(ABSENSI!$H$10="",$E1147=ABSENSI!$H$10),OR(ABSENSI!$H$11="",$F1147=ABSENSI!$H$11),OR(ABSENSI!$H$12="",$K1147=ABSENSI!$H$12)),MAX($Y$3:Y1146)+1,""))</f>
        <v/>
      </c>
      <c r="Z1147" s="40" t="str">
        <f aca="false">IF($B1147="","",IF(AND(OR(KARTU!$K$6="",$E1147=KARTU!$K$6),OR(KARTU!$K$7="",$F1147=KARTU!$K$7),OR(KARTU!$K$8="",$K1147=KARTU!$K$8)),MAX($Z$3:Z1146)+1,""))</f>
        <v/>
      </c>
    </row>
    <row r="1148" customFormat="false" ht="15" hidden="false" customHeight="false" outlineLevel="0" collapsed="false">
      <c r="A1148" s="36" t="str">
        <f aca="false">IF($B1148="","",COUNTA($B$4:$B1148))</f>
        <v/>
      </c>
      <c r="B1148" s="37"/>
      <c r="C1148" s="38"/>
      <c r="D1148" s="39"/>
      <c r="E1148" s="37"/>
      <c r="F1148" s="39"/>
      <c r="G1148" s="40" t="str">
        <f aca="false">IF(OR($E1148="",$F1148=""),"",$E1148&amp;" - RT "&amp;$F1148)</f>
        <v/>
      </c>
      <c r="H1148" s="37"/>
      <c r="I1148" s="38"/>
      <c r="J1148" s="37"/>
      <c r="K1148" s="39"/>
      <c r="L1148" s="41"/>
      <c r="M1148" s="36" t="str">
        <f aca="true">IF(OR($B1148="",$L1148=""),"",DATEDIF($L1148,TODAY(),"Y"))</f>
        <v/>
      </c>
      <c r="N1148" s="40" t="str">
        <f aca="false">IF($M1148="","",INDEX(usia_label,MATCH($M1148,usia_min,1)))</f>
        <v/>
      </c>
      <c r="O1148" s="37"/>
      <c r="P1148" s="41"/>
      <c r="Q1148" s="37"/>
      <c r="R1148" s="37"/>
      <c r="S1148" s="40" t="str">
        <f aca="false">IF($G1148="","",$G1148&amp;"#"&amp;COUNTIF($G$4:$G1148,$G1148))</f>
        <v/>
      </c>
      <c r="T1148" s="40" t="str">
        <f aca="false">IF($B1148="","",IF($C1148="","NIK kosong",IF(LEN($C1148)&lt;&gt;16,"NIK bukan 16 digit",IF(COUNTIF($C$4:$C$2003,$C1148&amp;"*")&gt;1,"NIK ganda",IF($E1148="","Kadus kosong",IF($F1148="","RT kosong",IF($H1148="","Jabatan kosong",IF($I1148="","No. HP kosong",IF($J1148="","Alamat kosong",IF(AND($M1148&lt;&gt;"",$M1148&lt;17),"Usia di bawah 17",""))))))))))</f>
        <v/>
      </c>
      <c r="U1148" s="40" t="str">
        <f aca="false">IF($B1148="","",IF(AND(OR(CARI!$C$5="",ISNUMBER(SEARCH(CARI!$C$5,$B1148&amp;" "&amp;$C1148&amp;" "&amp;$I1148&amp;" "&amp;$J1148&amp;" "&amp;$Q1148))),OR(CARI!$C$6="",$E1148=CARI!$C$6),OR(CARI!$C$7="",$F1148=CARI!$C$7),OR(CARI!$C$8="",$O1148=CARI!$C$8)),MAX($U$3:U1147)+1,""))</f>
        <v/>
      </c>
      <c r="V1148" s="40" t="str">
        <f aca="false">IF($T1148="","",MAX($V$3:V1147)+1)</f>
        <v/>
      </c>
      <c r="W1148" s="40" t="str">
        <f aca="false">IF($E1148="","",$E1148&amp;"#"&amp;COUNTIF($E$4:$E1148,$E1148))</f>
        <v/>
      </c>
      <c r="X1148" s="40" t="str">
        <f aca="false">IF($B1148="","",IF(AND(OR(CETAK!$J$10="",$E1148=CETAK!$J$10),OR(CETAK!$J$11="",$F1148=CETAK!$J$11),OR(CETAK!$J$12="",$K1148=CETAK!$J$12),OR(CETAK!$J$13="",$H1148=CETAK!$J$13),OR(CETAK!$J$14="",$O1148=CETAK!$J$14)),MAX($X$3:X1147)+1,""))</f>
        <v/>
      </c>
      <c r="Y1148" s="40" t="str">
        <f aca="false">IF($B1148="","",IF(AND(OR(ABSENSI!$H$10="",$E1148=ABSENSI!$H$10),OR(ABSENSI!$H$11="",$F1148=ABSENSI!$H$11),OR(ABSENSI!$H$12="",$K1148=ABSENSI!$H$12)),MAX($Y$3:Y1147)+1,""))</f>
        <v/>
      </c>
      <c r="Z1148" s="40" t="str">
        <f aca="false">IF($B1148="","",IF(AND(OR(KARTU!$K$6="",$E1148=KARTU!$K$6),OR(KARTU!$K$7="",$F1148=KARTU!$K$7),OR(KARTU!$K$8="",$K1148=KARTU!$K$8)),MAX($Z$3:Z1147)+1,""))</f>
        <v/>
      </c>
    </row>
    <row r="1149" customFormat="false" ht="15" hidden="false" customHeight="false" outlineLevel="0" collapsed="false">
      <c r="A1149" s="36" t="str">
        <f aca="false">IF($B1149="","",COUNTA($B$4:$B1149))</f>
        <v/>
      </c>
      <c r="B1149" s="37"/>
      <c r="C1149" s="38"/>
      <c r="D1149" s="39"/>
      <c r="E1149" s="37"/>
      <c r="F1149" s="39"/>
      <c r="G1149" s="40" t="str">
        <f aca="false">IF(OR($E1149="",$F1149=""),"",$E1149&amp;" - RT "&amp;$F1149)</f>
        <v/>
      </c>
      <c r="H1149" s="37"/>
      <c r="I1149" s="38"/>
      <c r="J1149" s="37"/>
      <c r="K1149" s="39"/>
      <c r="L1149" s="41"/>
      <c r="M1149" s="36" t="str">
        <f aca="true">IF(OR($B1149="",$L1149=""),"",DATEDIF($L1149,TODAY(),"Y"))</f>
        <v/>
      </c>
      <c r="N1149" s="40" t="str">
        <f aca="false">IF($M1149="","",INDEX(usia_label,MATCH($M1149,usia_min,1)))</f>
        <v/>
      </c>
      <c r="O1149" s="37"/>
      <c r="P1149" s="41"/>
      <c r="Q1149" s="37"/>
      <c r="R1149" s="37"/>
      <c r="S1149" s="40" t="str">
        <f aca="false">IF($G1149="","",$G1149&amp;"#"&amp;COUNTIF($G$4:$G1149,$G1149))</f>
        <v/>
      </c>
      <c r="T1149" s="40" t="str">
        <f aca="false">IF($B1149="","",IF($C1149="","NIK kosong",IF(LEN($C1149)&lt;&gt;16,"NIK bukan 16 digit",IF(COUNTIF($C$4:$C$2003,$C1149&amp;"*")&gt;1,"NIK ganda",IF($E1149="","Kadus kosong",IF($F1149="","RT kosong",IF($H1149="","Jabatan kosong",IF($I1149="","No. HP kosong",IF($J1149="","Alamat kosong",IF(AND($M1149&lt;&gt;"",$M1149&lt;17),"Usia di bawah 17",""))))))))))</f>
        <v/>
      </c>
      <c r="U1149" s="40" t="str">
        <f aca="false">IF($B1149="","",IF(AND(OR(CARI!$C$5="",ISNUMBER(SEARCH(CARI!$C$5,$B1149&amp;" "&amp;$C1149&amp;" "&amp;$I1149&amp;" "&amp;$J1149&amp;" "&amp;$Q1149))),OR(CARI!$C$6="",$E1149=CARI!$C$6),OR(CARI!$C$7="",$F1149=CARI!$C$7),OR(CARI!$C$8="",$O1149=CARI!$C$8)),MAX($U$3:U1148)+1,""))</f>
        <v/>
      </c>
      <c r="V1149" s="40" t="str">
        <f aca="false">IF($T1149="","",MAX($V$3:V1148)+1)</f>
        <v/>
      </c>
      <c r="W1149" s="40" t="str">
        <f aca="false">IF($E1149="","",$E1149&amp;"#"&amp;COUNTIF($E$4:$E1149,$E1149))</f>
        <v/>
      </c>
      <c r="X1149" s="40" t="str">
        <f aca="false">IF($B1149="","",IF(AND(OR(CETAK!$J$10="",$E1149=CETAK!$J$10),OR(CETAK!$J$11="",$F1149=CETAK!$J$11),OR(CETAK!$J$12="",$K1149=CETAK!$J$12),OR(CETAK!$J$13="",$H1149=CETAK!$J$13),OR(CETAK!$J$14="",$O1149=CETAK!$J$14)),MAX($X$3:X1148)+1,""))</f>
        <v/>
      </c>
      <c r="Y1149" s="40" t="str">
        <f aca="false">IF($B1149="","",IF(AND(OR(ABSENSI!$H$10="",$E1149=ABSENSI!$H$10),OR(ABSENSI!$H$11="",$F1149=ABSENSI!$H$11),OR(ABSENSI!$H$12="",$K1149=ABSENSI!$H$12)),MAX($Y$3:Y1148)+1,""))</f>
        <v/>
      </c>
      <c r="Z1149" s="40" t="str">
        <f aca="false">IF($B1149="","",IF(AND(OR(KARTU!$K$6="",$E1149=KARTU!$K$6),OR(KARTU!$K$7="",$F1149=KARTU!$K$7),OR(KARTU!$K$8="",$K1149=KARTU!$K$8)),MAX($Z$3:Z1148)+1,""))</f>
        <v/>
      </c>
    </row>
    <row r="1150" customFormat="false" ht="15" hidden="false" customHeight="false" outlineLevel="0" collapsed="false">
      <c r="A1150" s="36" t="str">
        <f aca="false">IF($B1150="","",COUNTA($B$4:$B1150))</f>
        <v/>
      </c>
      <c r="B1150" s="37"/>
      <c r="C1150" s="38"/>
      <c r="D1150" s="39"/>
      <c r="E1150" s="37"/>
      <c r="F1150" s="39"/>
      <c r="G1150" s="40" t="str">
        <f aca="false">IF(OR($E1150="",$F1150=""),"",$E1150&amp;" - RT "&amp;$F1150)</f>
        <v/>
      </c>
      <c r="H1150" s="37"/>
      <c r="I1150" s="38"/>
      <c r="J1150" s="37"/>
      <c r="K1150" s="39"/>
      <c r="L1150" s="41"/>
      <c r="M1150" s="36" t="str">
        <f aca="true">IF(OR($B1150="",$L1150=""),"",DATEDIF($L1150,TODAY(),"Y"))</f>
        <v/>
      </c>
      <c r="N1150" s="40" t="str">
        <f aca="false">IF($M1150="","",INDEX(usia_label,MATCH($M1150,usia_min,1)))</f>
        <v/>
      </c>
      <c r="O1150" s="37"/>
      <c r="P1150" s="41"/>
      <c r="Q1150" s="37"/>
      <c r="R1150" s="37"/>
      <c r="S1150" s="40" t="str">
        <f aca="false">IF($G1150="","",$G1150&amp;"#"&amp;COUNTIF($G$4:$G1150,$G1150))</f>
        <v/>
      </c>
      <c r="T1150" s="40" t="str">
        <f aca="false">IF($B1150="","",IF($C1150="","NIK kosong",IF(LEN($C1150)&lt;&gt;16,"NIK bukan 16 digit",IF(COUNTIF($C$4:$C$2003,$C1150&amp;"*")&gt;1,"NIK ganda",IF($E1150="","Kadus kosong",IF($F1150="","RT kosong",IF($H1150="","Jabatan kosong",IF($I1150="","No. HP kosong",IF($J1150="","Alamat kosong",IF(AND($M1150&lt;&gt;"",$M1150&lt;17),"Usia di bawah 17",""))))))))))</f>
        <v/>
      </c>
      <c r="U1150" s="40" t="str">
        <f aca="false">IF($B1150="","",IF(AND(OR(CARI!$C$5="",ISNUMBER(SEARCH(CARI!$C$5,$B1150&amp;" "&amp;$C1150&amp;" "&amp;$I1150&amp;" "&amp;$J1150&amp;" "&amp;$Q1150))),OR(CARI!$C$6="",$E1150=CARI!$C$6),OR(CARI!$C$7="",$F1150=CARI!$C$7),OR(CARI!$C$8="",$O1150=CARI!$C$8)),MAX($U$3:U1149)+1,""))</f>
        <v/>
      </c>
      <c r="V1150" s="40" t="str">
        <f aca="false">IF($T1150="","",MAX($V$3:V1149)+1)</f>
        <v/>
      </c>
      <c r="W1150" s="40" t="str">
        <f aca="false">IF($E1150="","",$E1150&amp;"#"&amp;COUNTIF($E$4:$E1150,$E1150))</f>
        <v/>
      </c>
      <c r="X1150" s="40" t="str">
        <f aca="false">IF($B1150="","",IF(AND(OR(CETAK!$J$10="",$E1150=CETAK!$J$10),OR(CETAK!$J$11="",$F1150=CETAK!$J$11),OR(CETAK!$J$12="",$K1150=CETAK!$J$12),OR(CETAK!$J$13="",$H1150=CETAK!$J$13),OR(CETAK!$J$14="",$O1150=CETAK!$J$14)),MAX($X$3:X1149)+1,""))</f>
        <v/>
      </c>
      <c r="Y1150" s="40" t="str">
        <f aca="false">IF($B1150="","",IF(AND(OR(ABSENSI!$H$10="",$E1150=ABSENSI!$H$10),OR(ABSENSI!$H$11="",$F1150=ABSENSI!$H$11),OR(ABSENSI!$H$12="",$K1150=ABSENSI!$H$12)),MAX($Y$3:Y1149)+1,""))</f>
        <v/>
      </c>
      <c r="Z1150" s="40" t="str">
        <f aca="false">IF($B1150="","",IF(AND(OR(KARTU!$K$6="",$E1150=KARTU!$K$6),OR(KARTU!$K$7="",$F1150=KARTU!$K$7),OR(KARTU!$K$8="",$K1150=KARTU!$K$8)),MAX($Z$3:Z1149)+1,""))</f>
        <v/>
      </c>
    </row>
    <row r="1151" customFormat="false" ht="15" hidden="false" customHeight="false" outlineLevel="0" collapsed="false">
      <c r="A1151" s="36" t="str">
        <f aca="false">IF($B1151="","",COUNTA($B$4:$B1151))</f>
        <v/>
      </c>
      <c r="B1151" s="37"/>
      <c r="C1151" s="38"/>
      <c r="D1151" s="39"/>
      <c r="E1151" s="37"/>
      <c r="F1151" s="39"/>
      <c r="G1151" s="40" t="str">
        <f aca="false">IF(OR($E1151="",$F1151=""),"",$E1151&amp;" - RT "&amp;$F1151)</f>
        <v/>
      </c>
      <c r="H1151" s="37"/>
      <c r="I1151" s="38"/>
      <c r="J1151" s="37"/>
      <c r="K1151" s="39"/>
      <c r="L1151" s="41"/>
      <c r="M1151" s="36" t="str">
        <f aca="true">IF(OR($B1151="",$L1151=""),"",DATEDIF($L1151,TODAY(),"Y"))</f>
        <v/>
      </c>
      <c r="N1151" s="40" t="str">
        <f aca="false">IF($M1151="","",INDEX(usia_label,MATCH($M1151,usia_min,1)))</f>
        <v/>
      </c>
      <c r="O1151" s="37"/>
      <c r="P1151" s="41"/>
      <c r="Q1151" s="37"/>
      <c r="R1151" s="37"/>
      <c r="S1151" s="40" t="str">
        <f aca="false">IF($G1151="","",$G1151&amp;"#"&amp;COUNTIF($G$4:$G1151,$G1151))</f>
        <v/>
      </c>
      <c r="T1151" s="40" t="str">
        <f aca="false">IF($B1151="","",IF($C1151="","NIK kosong",IF(LEN($C1151)&lt;&gt;16,"NIK bukan 16 digit",IF(COUNTIF($C$4:$C$2003,$C1151&amp;"*")&gt;1,"NIK ganda",IF($E1151="","Kadus kosong",IF($F1151="","RT kosong",IF($H1151="","Jabatan kosong",IF($I1151="","No. HP kosong",IF($J1151="","Alamat kosong",IF(AND($M1151&lt;&gt;"",$M1151&lt;17),"Usia di bawah 17",""))))))))))</f>
        <v/>
      </c>
      <c r="U1151" s="40" t="str">
        <f aca="false">IF($B1151="","",IF(AND(OR(CARI!$C$5="",ISNUMBER(SEARCH(CARI!$C$5,$B1151&amp;" "&amp;$C1151&amp;" "&amp;$I1151&amp;" "&amp;$J1151&amp;" "&amp;$Q1151))),OR(CARI!$C$6="",$E1151=CARI!$C$6),OR(CARI!$C$7="",$F1151=CARI!$C$7),OR(CARI!$C$8="",$O1151=CARI!$C$8)),MAX($U$3:U1150)+1,""))</f>
        <v/>
      </c>
      <c r="V1151" s="40" t="str">
        <f aca="false">IF($T1151="","",MAX($V$3:V1150)+1)</f>
        <v/>
      </c>
      <c r="W1151" s="40" t="str">
        <f aca="false">IF($E1151="","",$E1151&amp;"#"&amp;COUNTIF($E$4:$E1151,$E1151))</f>
        <v/>
      </c>
      <c r="X1151" s="40" t="str">
        <f aca="false">IF($B1151="","",IF(AND(OR(CETAK!$J$10="",$E1151=CETAK!$J$10),OR(CETAK!$J$11="",$F1151=CETAK!$J$11),OR(CETAK!$J$12="",$K1151=CETAK!$J$12),OR(CETAK!$J$13="",$H1151=CETAK!$J$13),OR(CETAK!$J$14="",$O1151=CETAK!$J$14)),MAX($X$3:X1150)+1,""))</f>
        <v/>
      </c>
      <c r="Y1151" s="40" t="str">
        <f aca="false">IF($B1151="","",IF(AND(OR(ABSENSI!$H$10="",$E1151=ABSENSI!$H$10),OR(ABSENSI!$H$11="",$F1151=ABSENSI!$H$11),OR(ABSENSI!$H$12="",$K1151=ABSENSI!$H$12)),MAX($Y$3:Y1150)+1,""))</f>
        <v/>
      </c>
      <c r="Z1151" s="40" t="str">
        <f aca="false">IF($B1151="","",IF(AND(OR(KARTU!$K$6="",$E1151=KARTU!$K$6),OR(KARTU!$K$7="",$F1151=KARTU!$K$7),OR(KARTU!$K$8="",$K1151=KARTU!$K$8)),MAX($Z$3:Z1150)+1,""))</f>
        <v/>
      </c>
    </row>
    <row r="1152" customFormat="false" ht="15" hidden="false" customHeight="false" outlineLevel="0" collapsed="false">
      <c r="A1152" s="36" t="str">
        <f aca="false">IF($B1152="","",COUNTA($B$4:$B1152))</f>
        <v/>
      </c>
      <c r="B1152" s="37"/>
      <c r="C1152" s="38"/>
      <c r="D1152" s="39"/>
      <c r="E1152" s="37"/>
      <c r="F1152" s="39"/>
      <c r="G1152" s="40" t="str">
        <f aca="false">IF(OR($E1152="",$F1152=""),"",$E1152&amp;" - RT "&amp;$F1152)</f>
        <v/>
      </c>
      <c r="H1152" s="37"/>
      <c r="I1152" s="38"/>
      <c r="J1152" s="37"/>
      <c r="K1152" s="39"/>
      <c r="L1152" s="41"/>
      <c r="M1152" s="36" t="str">
        <f aca="true">IF(OR($B1152="",$L1152=""),"",DATEDIF($L1152,TODAY(),"Y"))</f>
        <v/>
      </c>
      <c r="N1152" s="40" t="str">
        <f aca="false">IF($M1152="","",INDEX(usia_label,MATCH($M1152,usia_min,1)))</f>
        <v/>
      </c>
      <c r="O1152" s="37"/>
      <c r="P1152" s="41"/>
      <c r="Q1152" s="37"/>
      <c r="R1152" s="37"/>
      <c r="S1152" s="40" t="str">
        <f aca="false">IF($G1152="","",$G1152&amp;"#"&amp;COUNTIF($G$4:$G1152,$G1152))</f>
        <v/>
      </c>
      <c r="T1152" s="40" t="str">
        <f aca="false">IF($B1152="","",IF($C1152="","NIK kosong",IF(LEN($C1152)&lt;&gt;16,"NIK bukan 16 digit",IF(COUNTIF($C$4:$C$2003,$C1152&amp;"*")&gt;1,"NIK ganda",IF($E1152="","Kadus kosong",IF($F1152="","RT kosong",IF($H1152="","Jabatan kosong",IF($I1152="","No. HP kosong",IF($J1152="","Alamat kosong",IF(AND($M1152&lt;&gt;"",$M1152&lt;17),"Usia di bawah 17",""))))))))))</f>
        <v/>
      </c>
      <c r="U1152" s="40" t="str">
        <f aca="false">IF($B1152="","",IF(AND(OR(CARI!$C$5="",ISNUMBER(SEARCH(CARI!$C$5,$B1152&amp;" "&amp;$C1152&amp;" "&amp;$I1152&amp;" "&amp;$J1152&amp;" "&amp;$Q1152))),OR(CARI!$C$6="",$E1152=CARI!$C$6),OR(CARI!$C$7="",$F1152=CARI!$C$7),OR(CARI!$C$8="",$O1152=CARI!$C$8)),MAX($U$3:U1151)+1,""))</f>
        <v/>
      </c>
      <c r="V1152" s="40" t="str">
        <f aca="false">IF($T1152="","",MAX($V$3:V1151)+1)</f>
        <v/>
      </c>
      <c r="W1152" s="40" t="str">
        <f aca="false">IF($E1152="","",$E1152&amp;"#"&amp;COUNTIF($E$4:$E1152,$E1152))</f>
        <v/>
      </c>
      <c r="X1152" s="40" t="str">
        <f aca="false">IF($B1152="","",IF(AND(OR(CETAK!$J$10="",$E1152=CETAK!$J$10),OR(CETAK!$J$11="",$F1152=CETAK!$J$11),OR(CETAK!$J$12="",$K1152=CETAK!$J$12),OR(CETAK!$J$13="",$H1152=CETAK!$J$13),OR(CETAK!$J$14="",$O1152=CETAK!$J$14)),MAX($X$3:X1151)+1,""))</f>
        <v/>
      </c>
      <c r="Y1152" s="40" t="str">
        <f aca="false">IF($B1152="","",IF(AND(OR(ABSENSI!$H$10="",$E1152=ABSENSI!$H$10),OR(ABSENSI!$H$11="",$F1152=ABSENSI!$H$11),OR(ABSENSI!$H$12="",$K1152=ABSENSI!$H$12)),MAX($Y$3:Y1151)+1,""))</f>
        <v/>
      </c>
      <c r="Z1152" s="40" t="str">
        <f aca="false">IF($B1152="","",IF(AND(OR(KARTU!$K$6="",$E1152=KARTU!$K$6),OR(KARTU!$K$7="",$F1152=KARTU!$K$7),OR(KARTU!$K$8="",$K1152=KARTU!$K$8)),MAX($Z$3:Z1151)+1,""))</f>
        <v/>
      </c>
    </row>
    <row r="1153" customFormat="false" ht="15" hidden="false" customHeight="false" outlineLevel="0" collapsed="false">
      <c r="A1153" s="36" t="str">
        <f aca="false">IF($B1153="","",COUNTA($B$4:$B1153))</f>
        <v/>
      </c>
      <c r="B1153" s="37"/>
      <c r="C1153" s="38"/>
      <c r="D1153" s="39"/>
      <c r="E1153" s="37"/>
      <c r="F1153" s="39"/>
      <c r="G1153" s="40" t="str">
        <f aca="false">IF(OR($E1153="",$F1153=""),"",$E1153&amp;" - RT "&amp;$F1153)</f>
        <v/>
      </c>
      <c r="H1153" s="37"/>
      <c r="I1153" s="38"/>
      <c r="J1153" s="37"/>
      <c r="K1153" s="39"/>
      <c r="L1153" s="41"/>
      <c r="M1153" s="36" t="str">
        <f aca="true">IF(OR($B1153="",$L1153=""),"",DATEDIF($L1153,TODAY(),"Y"))</f>
        <v/>
      </c>
      <c r="N1153" s="40" t="str">
        <f aca="false">IF($M1153="","",INDEX(usia_label,MATCH($M1153,usia_min,1)))</f>
        <v/>
      </c>
      <c r="O1153" s="37"/>
      <c r="P1153" s="41"/>
      <c r="Q1153" s="37"/>
      <c r="R1153" s="37"/>
      <c r="S1153" s="40" t="str">
        <f aca="false">IF($G1153="","",$G1153&amp;"#"&amp;COUNTIF($G$4:$G1153,$G1153))</f>
        <v/>
      </c>
      <c r="T1153" s="40" t="str">
        <f aca="false">IF($B1153="","",IF($C1153="","NIK kosong",IF(LEN($C1153)&lt;&gt;16,"NIK bukan 16 digit",IF(COUNTIF($C$4:$C$2003,$C1153&amp;"*")&gt;1,"NIK ganda",IF($E1153="","Kadus kosong",IF($F1153="","RT kosong",IF($H1153="","Jabatan kosong",IF($I1153="","No. HP kosong",IF($J1153="","Alamat kosong",IF(AND($M1153&lt;&gt;"",$M1153&lt;17),"Usia di bawah 17",""))))))))))</f>
        <v/>
      </c>
      <c r="U1153" s="40" t="str">
        <f aca="false">IF($B1153="","",IF(AND(OR(CARI!$C$5="",ISNUMBER(SEARCH(CARI!$C$5,$B1153&amp;" "&amp;$C1153&amp;" "&amp;$I1153&amp;" "&amp;$J1153&amp;" "&amp;$Q1153))),OR(CARI!$C$6="",$E1153=CARI!$C$6),OR(CARI!$C$7="",$F1153=CARI!$C$7),OR(CARI!$C$8="",$O1153=CARI!$C$8)),MAX($U$3:U1152)+1,""))</f>
        <v/>
      </c>
      <c r="V1153" s="40" t="str">
        <f aca="false">IF($T1153="","",MAX($V$3:V1152)+1)</f>
        <v/>
      </c>
      <c r="W1153" s="40" t="str">
        <f aca="false">IF($E1153="","",$E1153&amp;"#"&amp;COUNTIF($E$4:$E1153,$E1153))</f>
        <v/>
      </c>
      <c r="X1153" s="40" t="str">
        <f aca="false">IF($B1153="","",IF(AND(OR(CETAK!$J$10="",$E1153=CETAK!$J$10),OR(CETAK!$J$11="",$F1153=CETAK!$J$11),OR(CETAK!$J$12="",$K1153=CETAK!$J$12),OR(CETAK!$J$13="",$H1153=CETAK!$J$13),OR(CETAK!$J$14="",$O1153=CETAK!$J$14)),MAX($X$3:X1152)+1,""))</f>
        <v/>
      </c>
      <c r="Y1153" s="40" t="str">
        <f aca="false">IF($B1153="","",IF(AND(OR(ABSENSI!$H$10="",$E1153=ABSENSI!$H$10),OR(ABSENSI!$H$11="",$F1153=ABSENSI!$H$11),OR(ABSENSI!$H$12="",$K1153=ABSENSI!$H$12)),MAX($Y$3:Y1152)+1,""))</f>
        <v/>
      </c>
      <c r="Z1153" s="40" t="str">
        <f aca="false">IF($B1153="","",IF(AND(OR(KARTU!$K$6="",$E1153=KARTU!$K$6),OR(KARTU!$K$7="",$F1153=KARTU!$K$7),OR(KARTU!$K$8="",$K1153=KARTU!$K$8)),MAX($Z$3:Z1152)+1,""))</f>
        <v/>
      </c>
    </row>
    <row r="1154" customFormat="false" ht="15" hidden="false" customHeight="false" outlineLevel="0" collapsed="false">
      <c r="A1154" s="36" t="str">
        <f aca="false">IF($B1154="","",COUNTA($B$4:$B1154))</f>
        <v/>
      </c>
      <c r="B1154" s="37"/>
      <c r="C1154" s="38"/>
      <c r="D1154" s="39"/>
      <c r="E1154" s="37"/>
      <c r="F1154" s="39"/>
      <c r="G1154" s="40" t="str">
        <f aca="false">IF(OR($E1154="",$F1154=""),"",$E1154&amp;" - RT "&amp;$F1154)</f>
        <v/>
      </c>
      <c r="H1154" s="37"/>
      <c r="I1154" s="38"/>
      <c r="J1154" s="37"/>
      <c r="K1154" s="39"/>
      <c r="L1154" s="41"/>
      <c r="M1154" s="36" t="str">
        <f aca="true">IF(OR($B1154="",$L1154=""),"",DATEDIF($L1154,TODAY(),"Y"))</f>
        <v/>
      </c>
      <c r="N1154" s="40" t="str">
        <f aca="false">IF($M1154="","",INDEX(usia_label,MATCH($M1154,usia_min,1)))</f>
        <v/>
      </c>
      <c r="O1154" s="37"/>
      <c r="P1154" s="41"/>
      <c r="Q1154" s="37"/>
      <c r="R1154" s="37"/>
      <c r="S1154" s="40" t="str">
        <f aca="false">IF($G1154="","",$G1154&amp;"#"&amp;COUNTIF($G$4:$G1154,$G1154))</f>
        <v/>
      </c>
      <c r="T1154" s="40" t="str">
        <f aca="false">IF($B1154="","",IF($C1154="","NIK kosong",IF(LEN($C1154)&lt;&gt;16,"NIK bukan 16 digit",IF(COUNTIF($C$4:$C$2003,$C1154&amp;"*")&gt;1,"NIK ganda",IF($E1154="","Kadus kosong",IF($F1154="","RT kosong",IF($H1154="","Jabatan kosong",IF($I1154="","No. HP kosong",IF($J1154="","Alamat kosong",IF(AND($M1154&lt;&gt;"",$M1154&lt;17),"Usia di bawah 17",""))))))))))</f>
        <v/>
      </c>
      <c r="U1154" s="40" t="str">
        <f aca="false">IF($B1154="","",IF(AND(OR(CARI!$C$5="",ISNUMBER(SEARCH(CARI!$C$5,$B1154&amp;" "&amp;$C1154&amp;" "&amp;$I1154&amp;" "&amp;$J1154&amp;" "&amp;$Q1154))),OR(CARI!$C$6="",$E1154=CARI!$C$6),OR(CARI!$C$7="",$F1154=CARI!$C$7),OR(CARI!$C$8="",$O1154=CARI!$C$8)),MAX($U$3:U1153)+1,""))</f>
        <v/>
      </c>
      <c r="V1154" s="40" t="str">
        <f aca="false">IF($T1154="","",MAX($V$3:V1153)+1)</f>
        <v/>
      </c>
      <c r="W1154" s="40" t="str">
        <f aca="false">IF($E1154="","",$E1154&amp;"#"&amp;COUNTIF($E$4:$E1154,$E1154))</f>
        <v/>
      </c>
      <c r="X1154" s="40" t="str">
        <f aca="false">IF($B1154="","",IF(AND(OR(CETAK!$J$10="",$E1154=CETAK!$J$10),OR(CETAK!$J$11="",$F1154=CETAK!$J$11),OR(CETAK!$J$12="",$K1154=CETAK!$J$12),OR(CETAK!$J$13="",$H1154=CETAK!$J$13),OR(CETAK!$J$14="",$O1154=CETAK!$J$14)),MAX($X$3:X1153)+1,""))</f>
        <v/>
      </c>
      <c r="Y1154" s="40" t="str">
        <f aca="false">IF($B1154="","",IF(AND(OR(ABSENSI!$H$10="",$E1154=ABSENSI!$H$10),OR(ABSENSI!$H$11="",$F1154=ABSENSI!$H$11),OR(ABSENSI!$H$12="",$K1154=ABSENSI!$H$12)),MAX($Y$3:Y1153)+1,""))</f>
        <v/>
      </c>
      <c r="Z1154" s="40" t="str">
        <f aca="false">IF($B1154="","",IF(AND(OR(KARTU!$K$6="",$E1154=KARTU!$K$6),OR(KARTU!$K$7="",$F1154=KARTU!$K$7),OR(KARTU!$K$8="",$K1154=KARTU!$K$8)),MAX($Z$3:Z1153)+1,""))</f>
        <v/>
      </c>
    </row>
    <row r="1155" customFormat="false" ht="15" hidden="false" customHeight="false" outlineLevel="0" collapsed="false">
      <c r="A1155" s="36" t="str">
        <f aca="false">IF($B1155="","",COUNTA($B$4:$B1155))</f>
        <v/>
      </c>
      <c r="B1155" s="37"/>
      <c r="C1155" s="38"/>
      <c r="D1155" s="39"/>
      <c r="E1155" s="37"/>
      <c r="F1155" s="39"/>
      <c r="G1155" s="40" t="str">
        <f aca="false">IF(OR($E1155="",$F1155=""),"",$E1155&amp;" - RT "&amp;$F1155)</f>
        <v/>
      </c>
      <c r="H1155" s="37"/>
      <c r="I1155" s="38"/>
      <c r="J1155" s="37"/>
      <c r="K1155" s="39"/>
      <c r="L1155" s="41"/>
      <c r="M1155" s="36" t="str">
        <f aca="true">IF(OR($B1155="",$L1155=""),"",DATEDIF($L1155,TODAY(),"Y"))</f>
        <v/>
      </c>
      <c r="N1155" s="40" t="str">
        <f aca="false">IF($M1155="","",INDEX(usia_label,MATCH($M1155,usia_min,1)))</f>
        <v/>
      </c>
      <c r="O1155" s="37"/>
      <c r="P1155" s="41"/>
      <c r="Q1155" s="37"/>
      <c r="R1155" s="37"/>
      <c r="S1155" s="40" t="str">
        <f aca="false">IF($G1155="","",$G1155&amp;"#"&amp;COUNTIF($G$4:$G1155,$G1155))</f>
        <v/>
      </c>
      <c r="T1155" s="40" t="str">
        <f aca="false">IF($B1155="","",IF($C1155="","NIK kosong",IF(LEN($C1155)&lt;&gt;16,"NIK bukan 16 digit",IF(COUNTIF($C$4:$C$2003,$C1155&amp;"*")&gt;1,"NIK ganda",IF($E1155="","Kadus kosong",IF($F1155="","RT kosong",IF($H1155="","Jabatan kosong",IF($I1155="","No. HP kosong",IF($J1155="","Alamat kosong",IF(AND($M1155&lt;&gt;"",$M1155&lt;17),"Usia di bawah 17",""))))))))))</f>
        <v/>
      </c>
      <c r="U1155" s="40" t="str">
        <f aca="false">IF($B1155="","",IF(AND(OR(CARI!$C$5="",ISNUMBER(SEARCH(CARI!$C$5,$B1155&amp;" "&amp;$C1155&amp;" "&amp;$I1155&amp;" "&amp;$J1155&amp;" "&amp;$Q1155))),OR(CARI!$C$6="",$E1155=CARI!$C$6),OR(CARI!$C$7="",$F1155=CARI!$C$7),OR(CARI!$C$8="",$O1155=CARI!$C$8)),MAX($U$3:U1154)+1,""))</f>
        <v/>
      </c>
      <c r="V1155" s="40" t="str">
        <f aca="false">IF($T1155="","",MAX($V$3:V1154)+1)</f>
        <v/>
      </c>
      <c r="W1155" s="40" t="str">
        <f aca="false">IF($E1155="","",$E1155&amp;"#"&amp;COUNTIF($E$4:$E1155,$E1155))</f>
        <v/>
      </c>
      <c r="X1155" s="40" t="str">
        <f aca="false">IF($B1155="","",IF(AND(OR(CETAK!$J$10="",$E1155=CETAK!$J$10),OR(CETAK!$J$11="",$F1155=CETAK!$J$11),OR(CETAK!$J$12="",$K1155=CETAK!$J$12),OR(CETAK!$J$13="",$H1155=CETAK!$J$13),OR(CETAK!$J$14="",$O1155=CETAK!$J$14)),MAX($X$3:X1154)+1,""))</f>
        <v/>
      </c>
      <c r="Y1155" s="40" t="str">
        <f aca="false">IF($B1155="","",IF(AND(OR(ABSENSI!$H$10="",$E1155=ABSENSI!$H$10),OR(ABSENSI!$H$11="",$F1155=ABSENSI!$H$11),OR(ABSENSI!$H$12="",$K1155=ABSENSI!$H$12)),MAX($Y$3:Y1154)+1,""))</f>
        <v/>
      </c>
      <c r="Z1155" s="40" t="str">
        <f aca="false">IF($B1155="","",IF(AND(OR(KARTU!$K$6="",$E1155=KARTU!$K$6),OR(KARTU!$K$7="",$F1155=KARTU!$K$7),OR(KARTU!$K$8="",$K1155=KARTU!$K$8)),MAX($Z$3:Z1154)+1,""))</f>
        <v/>
      </c>
    </row>
    <row r="1156" customFormat="false" ht="15" hidden="false" customHeight="false" outlineLevel="0" collapsed="false">
      <c r="A1156" s="36" t="str">
        <f aca="false">IF($B1156="","",COUNTA($B$4:$B1156))</f>
        <v/>
      </c>
      <c r="B1156" s="37"/>
      <c r="C1156" s="38"/>
      <c r="D1156" s="39"/>
      <c r="E1156" s="37"/>
      <c r="F1156" s="39"/>
      <c r="G1156" s="40" t="str">
        <f aca="false">IF(OR($E1156="",$F1156=""),"",$E1156&amp;" - RT "&amp;$F1156)</f>
        <v/>
      </c>
      <c r="H1156" s="37"/>
      <c r="I1156" s="38"/>
      <c r="J1156" s="37"/>
      <c r="K1156" s="39"/>
      <c r="L1156" s="41"/>
      <c r="M1156" s="36" t="str">
        <f aca="true">IF(OR($B1156="",$L1156=""),"",DATEDIF($L1156,TODAY(),"Y"))</f>
        <v/>
      </c>
      <c r="N1156" s="40" t="str">
        <f aca="false">IF($M1156="","",INDEX(usia_label,MATCH($M1156,usia_min,1)))</f>
        <v/>
      </c>
      <c r="O1156" s="37"/>
      <c r="P1156" s="41"/>
      <c r="Q1156" s="37"/>
      <c r="R1156" s="37"/>
      <c r="S1156" s="40" t="str">
        <f aca="false">IF($G1156="","",$G1156&amp;"#"&amp;COUNTIF($G$4:$G1156,$G1156))</f>
        <v/>
      </c>
      <c r="T1156" s="40" t="str">
        <f aca="false">IF($B1156="","",IF($C1156="","NIK kosong",IF(LEN($C1156)&lt;&gt;16,"NIK bukan 16 digit",IF(COUNTIF($C$4:$C$2003,$C1156&amp;"*")&gt;1,"NIK ganda",IF($E1156="","Kadus kosong",IF($F1156="","RT kosong",IF($H1156="","Jabatan kosong",IF($I1156="","No. HP kosong",IF($J1156="","Alamat kosong",IF(AND($M1156&lt;&gt;"",$M1156&lt;17),"Usia di bawah 17",""))))))))))</f>
        <v/>
      </c>
      <c r="U1156" s="40" t="str">
        <f aca="false">IF($B1156="","",IF(AND(OR(CARI!$C$5="",ISNUMBER(SEARCH(CARI!$C$5,$B1156&amp;" "&amp;$C1156&amp;" "&amp;$I1156&amp;" "&amp;$J1156&amp;" "&amp;$Q1156))),OR(CARI!$C$6="",$E1156=CARI!$C$6),OR(CARI!$C$7="",$F1156=CARI!$C$7),OR(CARI!$C$8="",$O1156=CARI!$C$8)),MAX($U$3:U1155)+1,""))</f>
        <v/>
      </c>
      <c r="V1156" s="40" t="str">
        <f aca="false">IF($T1156="","",MAX($V$3:V1155)+1)</f>
        <v/>
      </c>
      <c r="W1156" s="40" t="str">
        <f aca="false">IF($E1156="","",$E1156&amp;"#"&amp;COUNTIF($E$4:$E1156,$E1156))</f>
        <v/>
      </c>
      <c r="X1156" s="40" t="str">
        <f aca="false">IF($B1156="","",IF(AND(OR(CETAK!$J$10="",$E1156=CETAK!$J$10),OR(CETAK!$J$11="",$F1156=CETAK!$J$11),OR(CETAK!$J$12="",$K1156=CETAK!$J$12),OR(CETAK!$J$13="",$H1156=CETAK!$J$13),OR(CETAK!$J$14="",$O1156=CETAK!$J$14)),MAX($X$3:X1155)+1,""))</f>
        <v/>
      </c>
      <c r="Y1156" s="40" t="str">
        <f aca="false">IF($B1156="","",IF(AND(OR(ABSENSI!$H$10="",$E1156=ABSENSI!$H$10),OR(ABSENSI!$H$11="",$F1156=ABSENSI!$H$11),OR(ABSENSI!$H$12="",$K1156=ABSENSI!$H$12)),MAX($Y$3:Y1155)+1,""))</f>
        <v/>
      </c>
      <c r="Z1156" s="40" t="str">
        <f aca="false">IF($B1156="","",IF(AND(OR(KARTU!$K$6="",$E1156=KARTU!$K$6),OR(KARTU!$K$7="",$F1156=KARTU!$K$7),OR(KARTU!$K$8="",$K1156=KARTU!$K$8)),MAX($Z$3:Z1155)+1,""))</f>
        <v/>
      </c>
    </row>
    <row r="1157" customFormat="false" ht="15" hidden="false" customHeight="false" outlineLevel="0" collapsed="false">
      <c r="A1157" s="36" t="str">
        <f aca="false">IF($B1157="","",COUNTA($B$4:$B1157))</f>
        <v/>
      </c>
      <c r="B1157" s="37"/>
      <c r="C1157" s="38"/>
      <c r="D1157" s="39"/>
      <c r="E1157" s="37"/>
      <c r="F1157" s="39"/>
      <c r="G1157" s="40" t="str">
        <f aca="false">IF(OR($E1157="",$F1157=""),"",$E1157&amp;" - RT "&amp;$F1157)</f>
        <v/>
      </c>
      <c r="H1157" s="37"/>
      <c r="I1157" s="38"/>
      <c r="J1157" s="37"/>
      <c r="K1157" s="39"/>
      <c r="L1157" s="41"/>
      <c r="M1157" s="36" t="str">
        <f aca="true">IF(OR($B1157="",$L1157=""),"",DATEDIF($L1157,TODAY(),"Y"))</f>
        <v/>
      </c>
      <c r="N1157" s="40" t="str">
        <f aca="false">IF($M1157="","",INDEX(usia_label,MATCH($M1157,usia_min,1)))</f>
        <v/>
      </c>
      <c r="O1157" s="37"/>
      <c r="P1157" s="41"/>
      <c r="Q1157" s="37"/>
      <c r="R1157" s="37"/>
      <c r="S1157" s="40" t="str">
        <f aca="false">IF($G1157="","",$G1157&amp;"#"&amp;COUNTIF($G$4:$G1157,$G1157))</f>
        <v/>
      </c>
      <c r="T1157" s="40" t="str">
        <f aca="false">IF($B1157="","",IF($C1157="","NIK kosong",IF(LEN($C1157)&lt;&gt;16,"NIK bukan 16 digit",IF(COUNTIF($C$4:$C$2003,$C1157&amp;"*")&gt;1,"NIK ganda",IF($E1157="","Kadus kosong",IF($F1157="","RT kosong",IF($H1157="","Jabatan kosong",IF($I1157="","No. HP kosong",IF($J1157="","Alamat kosong",IF(AND($M1157&lt;&gt;"",$M1157&lt;17),"Usia di bawah 17",""))))))))))</f>
        <v/>
      </c>
      <c r="U1157" s="40" t="str">
        <f aca="false">IF($B1157="","",IF(AND(OR(CARI!$C$5="",ISNUMBER(SEARCH(CARI!$C$5,$B1157&amp;" "&amp;$C1157&amp;" "&amp;$I1157&amp;" "&amp;$J1157&amp;" "&amp;$Q1157))),OR(CARI!$C$6="",$E1157=CARI!$C$6),OR(CARI!$C$7="",$F1157=CARI!$C$7),OR(CARI!$C$8="",$O1157=CARI!$C$8)),MAX($U$3:U1156)+1,""))</f>
        <v/>
      </c>
      <c r="V1157" s="40" t="str">
        <f aca="false">IF($T1157="","",MAX($V$3:V1156)+1)</f>
        <v/>
      </c>
      <c r="W1157" s="40" t="str">
        <f aca="false">IF($E1157="","",$E1157&amp;"#"&amp;COUNTIF($E$4:$E1157,$E1157))</f>
        <v/>
      </c>
      <c r="X1157" s="40" t="str">
        <f aca="false">IF($B1157="","",IF(AND(OR(CETAK!$J$10="",$E1157=CETAK!$J$10),OR(CETAK!$J$11="",$F1157=CETAK!$J$11),OR(CETAK!$J$12="",$K1157=CETAK!$J$12),OR(CETAK!$J$13="",$H1157=CETAK!$J$13),OR(CETAK!$J$14="",$O1157=CETAK!$J$14)),MAX($X$3:X1156)+1,""))</f>
        <v/>
      </c>
      <c r="Y1157" s="40" t="str">
        <f aca="false">IF($B1157="","",IF(AND(OR(ABSENSI!$H$10="",$E1157=ABSENSI!$H$10),OR(ABSENSI!$H$11="",$F1157=ABSENSI!$H$11),OR(ABSENSI!$H$12="",$K1157=ABSENSI!$H$12)),MAX($Y$3:Y1156)+1,""))</f>
        <v/>
      </c>
      <c r="Z1157" s="40" t="str">
        <f aca="false">IF($B1157="","",IF(AND(OR(KARTU!$K$6="",$E1157=KARTU!$K$6),OR(KARTU!$K$7="",$F1157=KARTU!$K$7),OR(KARTU!$K$8="",$K1157=KARTU!$K$8)),MAX($Z$3:Z1156)+1,""))</f>
        <v/>
      </c>
    </row>
    <row r="1158" customFormat="false" ht="15" hidden="false" customHeight="false" outlineLevel="0" collapsed="false">
      <c r="A1158" s="36" t="str">
        <f aca="false">IF($B1158="","",COUNTA($B$4:$B1158))</f>
        <v/>
      </c>
      <c r="B1158" s="37"/>
      <c r="C1158" s="38"/>
      <c r="D1158" s="39"/>
      <c r="E1158" s="37"/>
      <c r="F1158" s="39"/>
      <c r="G1158" s="40" t="str">
        <f aca="false">IF(OR($E1158="",$F1158=""),"",$E1158&amp;" - RT "&amp;$F1158)</f>
        <v/>
      </c>
      <c r="H1158" s="37"/>
      <c r="I1158" s="38"/>
      <c r="J1158" s="37"/>
      <c r="K1158" s="39"/>
      <c r="L1158" s="41"/>
      <c r="M1158" s="36" t="str">
        <f aca="true">IF(OR($B1158="",$L1158=""),"",DATEDIF($L1158,TODAY(),"Y"))</f>
        <v/>
      </c>
      <c r="N1158" s="40" t="str">
        <f aca="false">IF($M1158="","",INDEX(usia_label,MATCH($M1158,usia_min,1)))</f>
        <v/>
      </c>
      <c r="O1158" s="37"/>
      <c r="P1158" s="41"/>
      <c r="Q1158" s="37"/>
      <c r="R1158" s="37"/>
      <c r="S1158" s="40" t="str">
        <f aca="false">IF($G1158="","",$G1158&amp;"#"&amp;COUNTIF($G$4:$G1158,$G1158))</f>
        <v/>
      </c>
      <c r="T1158" s="40" t="str">
        <f aca="false">IF($B1158="","",IF($C1158="","NIK kosong",IF(LEN($C1158)&lt;&gt;16,"NIK bukan 16 digit",IF(COUNTIF($C$4:$C$2003,$C1158&amp;"*")&gt;1,"NIK ganda",IF($E1158="","Kadus kosong",IF($F1158="","RT kosong",IF($H1158="","Jabatan kosong",IF($I1158="","No. HP kosong",IF($J1158="","Alamat kosong",IF(AND($M1158&lt;&gt;"",$M1158&lt;17),"Usia di bawah 17",""))))))))))</f>
        <v/>
      </c>
      <c r="U1158" s="40" t="str">
        <f aca="false">IF($B1158="","",IF(AND(OR(CARI!$C$5="",ISNUMBER(SEARCH(CARI!$C$5,$B1158&amp;" "&amp;$C1158&amp;" "&amp;$I1158&amp;" "&amp;$J1158&amp;" "&amp;$Q1158))),OR(CARI!$C$6="",$E1158=CARI!$C$6),OR(CARI!$C$7="",$F1158=CARI!$C$7),OR(CARI!$C$8="",$O1158=CARI!$C$8)),MAX($U$3:U1157)+1,""))</f>
        <v/>
      </c>
      <c r="V1158" s="40" t="str">
        <f aca="false">IF($T1158="","",MAX($V$3:V1157)+1)</f>
        <v/>
      </c>
      <c r="W1158" s="40" t="str">
        <f aca="false">IF($E1158="","",$E1158&amp;"#"&amp;COUNTIF($E$4:$E1158,$E1158))</f>
        <v/>
      </c>
      <c r="X1158" s="40" t="str">
        <f aca="false">IF($B1158="","",IF(AND(OR(CETAK!$J$10="",$E1158=CETAK!$J$10),OR(CETAK!$J$11="",$F1158=CETAK!$J$11),OR(CETAK!$J$12="",$K1158=CETAK!$J$12),OR(CETAK!$J$13="",$H1158=CETAK!$J$13),OR(CETAK!$J$14="",$O1158=CETAK!$J$14)),MAX($X$3:X1157)+1,""))</f>
        <v/>
      </c>
      <c r="Y1158" s="40" t="str">
        <f aca="false">IF($B1158="","",IF(AND(OR(ABSENSI!$H$10="",$E1158=ABSENSI!$H$10),OR(ABSENSI!$H$11="",$F1158=ABSENSI!$H$11),OR(ABSENSI!$H$12="",$K1158=ABSENSI!$H$12)),MAX($Y$3:Y1157)+1,""))</f>
        <v/>
      </c>
      <c r="Z1158" s="40" t="str">
        <f aca="false">IF($B1158="","",IF(AND(OR(KARTU!$K$6="",$E1158=KARTU!$K$6),OR(KARTU!$K$7="",$F1158=KARTU!$K$7),OR(KARTU!$K$8="",$K1158=KARTU!$K$8)),MAX($Z$3:Z1157)+1,""))</f>
        <v/>
      </c>
    </row>
    <row r="1159" customFormat="false" ht="15" hidden="false" customHeight="false" outlineLevel="0" collapsed="false">
      <c r="A1159" s="36" t="str">
        <f aca="false">IF($B1159="","",COUNTA($B$4:$B1159))</f>
        <v/>
      </c>
      <c r="B1159" s="37"/>
      <c r="C1159" s="38"/>
      <c r="D1159" s="39"/>
      <c r="E1159" s="37"/>
      <c r="F1159" s="39"/>
      <c r="G1159" s="40" t="str">
        <f aca="false">IF(OR($E1159="",$F1159=""),"",$E1159&amp;" - RT "&amp;$F1159)</f>
        <v/>
      </c>
      <c r="H1159" s="37"/>
      <c r="I1159" s="38"/>
      <c r="J1159" s="37"/>
      <c r="K1159" s="39"/>
      <c r="L1159" s="41"/>
      <c r="M1159" s="36" t="str">
        <f aca="true">IF(OR($B1159="",$L1159=""),"",DATEDIF($L1159,TODAY(),"Y"))</f>
        <v/>
      </c>
      <c r="N1159" s="40" t="str">
        <f aca="false">IF($M1159="","",INDEX(usia_label,MATCH($M1159,usia_min,1)))</f>
        <v/>
      </c>
      <c r="O1159" s="37"/>
      <c r="P1159" s="41"/>
      <c r="Q1159" s="37"/>
      <c r="R1159" s="37"/>
      <c r="S1159" s="40" t="str">
        <f aca="false">IF($G1159="","",$G1159&amp;"#"&amp;COUNTIF($G$4:$G1159,$G1159))</f>
        <v/>
      </c>
      <c r="T1159" s="40" t="str">
        <f aca="false">IF($B1159="","",IF($C1159="","NIK kosong",IF(LEN($C1159)&lt;&gt;16,"NIK bukan 16 digit",IF(COUNTIF($C$4:$C$2003,$C1159&amp;"*")&gt;1,"NIK ganda",IF($E1159="","Kadus kosong",IF($F1159="","RT kosong",IF($H1159="","Jabatan kosong",IF($I1159="","No. HP kosong",IF($J1159="","Alamat kosong",IF(AND($M1159&lt;&gt;"",$M1159&lt;17),"Usia di bawah 17",""))))))))))</f>
        <v/>
      </c>
      <c r="U1159" s="40" t="str">
        <f aca="false">IF($B1159="","",IF(AND(OR(CARI!$C$5="",ISNUMBER(SEARCH(CARI!$C$5,$B1159&amp;" "&amp;$C1159&amp;" "&amp;$I1159&amp;" "&amp;$J1159&amp;" "&amp;$Q1159))),OR(CARI!$C$6="",$E1159=CARI!$C$6),OR(CARI!$C$7="",$F1159=CARI!$C$7),OR(CARI!$C$8="",$O1159=CARI!$C$8)),MAX($U$3:U1158)+1,""))</f>
        <v/>
      </c>
      <c r="V1159" s="40" t="str">
        <f aca="false">IF($T1159="","",MAX($V$3:V1158)+1)</f>
        <v/>
      </c>
      <c r="W1159" s="40" t="str">
        <f aca="false">IF($E1159="","",$E1159&amp;"#"&amp;COUNTIF($E$4:$E1159,$E1159))</f>
        <v/>
      </c>
      <c r="X1159" s="40" t="str">
        <f aca="false">IF($B1159="","",IF(AND(OR(CETAK!$J$10="",$E1159=CETAK!$J$10),OR(CETAK!$J$11="",$F1159=CETAK!$J$11),OR(CETAK!$J$12="",$K1159=CETAK!$J$12),OR(CETAK!$J$13="",$H1159=CETAK!$J$13),OR(CETAK!$J$14="",$O1159=CETAK!$J$14)),MAX($X$3:X1158)+1,""))</f>
        <v/>
      </c>
      <c r="Y1159" s="40" t="str">
        <f aca="false">IF($B1159="","",IF(AND(OR(ABSENSI!$H$10="",$E1159=ABSENSI!$H$10),OR(ABSENSI!$H$11="",$F1159=ABSENSI!$H$11),OR(ABSENSI!$H$12="",$K1159=ABSENSI!$H$12)),MAX($Y$3:Y1158)+1,""))</f>
        <v/>
      </c>
      <c r="Z1159" s="40" t="str">
        <f aca="false">IF($B1159="","",IF(AND(OR(KARTU!$K$6="",$E1159=KARTU!$K$6),OR(KARTU!$K$7="",$F1159=KARTU!$K$7),OR(KARTU!$K$8="",$K1159=KARTU!$K$8)),MAX($Z$3:Z1158)+1,""))</f>
        <v/>
      </c>
    </row>
    <row r="1160" customFormat="false" ht="15" hidden="false" customHeight="false" outlineLevel="0" collapsed="false">
      <c r="A1160" s="36" t="str">
        <f aca="false">IF($B1160="","",COUNTA($B$4:$B1160))</f>
        <v/>
      </c>
      <c r="B1160" s="37"/>
      <c r="C1160" s="38"/>
      <c r="D1160" s="39"/>
      <c r="E1160" s="37"/>
      <c r="F1160" s="39"/>
      <c r="G1160" s="40" t="str">
        <f aca="false">IF(OR($E1160="",$F1160=""),"",$E1160&amp;" - RT "&amp;$F1160)</f>
        <v/>
      </c>
      <c r="H1160" s="37"/>
      <c r="I1160" s="38"/>
      <c r="J1160" s="37"/>
      <c r="K1160" s="39"/>
      <c r="L1160" s="41"/>
      <c r="M1160" s="36" t="str">
        <f aca="true">IF(OR($B1160="",$L1160=""),"",DATEDIF($L1160,TODAY(),"Y"))</f>
        <v/>
      </c>
      <c r="N1160" s="40" t="str">
        <f aca="false">IF($M1160="","",INDEX(usia_label,MATCH($M1160,usia_min,1)))</f>
        <v/>
      </c>
      <c r="O1160" s="37"/>
      <c r="P1160" s="41"/>
      <c r="Q1160" s="37"/>
      <c r="R1160" s="37"/>
      <c r="S1160" s="40" t="str">
        <f aca="false">IF($G1160="","",$G1160&amp;"#"&amp;COUNTIF($G$4:$G1160,$G1160))</f>
        <v/>
      </c>
      <c r="T1160" s="40" t="str">
        <f aca="false">IF($B1160="","",IF($C1160="","NIK kosong",IF(LEN($C1160)&lt;&gt;16,"NIK bukan 16 digit",IF(COUNTIF($C$4:$C$2003,$C1160&amp;"*")&gt;1,"NIK ganda",IF($E1160="","Kadus kosong",IF($F1160="","RT kosong",IF($H1160="","Jabatan kosong",IF($I1160="","No. HP kosong",IF($J1160="","Alamat kosong",IF(AND($M1160&lt;&gt;"",$M1160&lt;17),"Usia di bawah 17",""))))))))))</f>
        <v/>
      </c>
      <c r="U1160" s="40" t="str">
        <f aca="false">IF($B1160="","",IF(AND(OR(CARI!$C$5="",ISNUMBER(SEARCH(CARI!$C$5,$B1160&amp;" "&amp;$C1160&amp;" "&amp;$I1160&amp;" "&amp;$J1160&amp;" "&amp;$Q1160))),OR(CARI!$C$6="",$E1160=CARI!$C$6),OR(CARI!$C$7="",$F1160=CARI!$C$7),OR(CARI!$C$8="",$O1160=CARI!$C$8)),MAX($U$3:U1159)+1,""))</f>
        <v/>
      </c>
      <c r="V1160" s="40" t="str">
        <f aca="false">IF($T1160="","",MAX($V$3:V1159)+1)</f>
        <v/>
      </c>
      <c r="W1160" s="40" t="str">
        <f aca="false">IF($E1160="","",$E1160&amp;"#"&amp;COUNTIF($E$4:$E1160,$E1160))</f>
        <v/>
      </c>
      <c r="X1160" s="40" t="str">
        <f aca="false">IF($B1160="","",IF(AND(OR(CETAK!$J$10="",$E1160=CETAK!$J$10),OR(CETAK!$J$11="",$F1160=CETAK!$J$11),OR(CETAK!$J$12="",$K1160=CETAK!$J$12),OR(CETAK!$J$13="",$H1160=CETAK!$J$13),OR(CETAK!$J$14="",$O1160=CETAK!$J$14)),MAX($X$3:X1159)+1,""))</f>
        <v/>
      </c>
      <c r="Y1160" s="40" t="str">
        <f aca="false">IF($B1160="","",IF(AND(OR(ABSENSI!$H$10="",$E1160=ABSENSI!$H$10),OR(ABSENSI!$H$11="",$F1160=ABSENSI!$H$11),OR(ABSENSI!$H$12="",$K1160=ABSENSI!$H$12)),MAX($Y$3:Y1159)+1,""))</f>
        <v/>
      </c>
      <c r="Z1160" s="40" t="str">
        <f aca="false">IF($B1160="","",IF(AND(OR(KARTU!$K$6="",$E1160=KARTU!$K$6),OR(KARTU!$K$7="",$F1160=KARTU!$K$7),OR(KARTU!$K$8="",$K1160=KARTU!$K$8)),MAX($Z$3:Z1159)+1,""))</f>
        <v/>
      </c>
    </row>
    <row r="1161" customFormat="false" ht="15" hidden="false" customHeight="false" outlineLevel="0" collapsed="false">
      <c r="A1161" s="36" t="str">
        <f aca="false">IF($B1161="","",COUNTA($B$4:$B1161))</f>
        <v/>
      </c>
      <c r="B1161" s="37"/>
      <c r="C1161" s="38"/>
      <c r="D1161" s="39"/>
      <c r="E1161" s="37"/>
      <c r="F1161" s="39"/>
      <c r="G1161" s="40" t="str">
        <f aca="false">IF(OR($E1161="",$F1161=""),"",$E1161&amp;" - RT "&amp;$F1161)</f>
        <v/>
      </c>
      <c r="H1161" s="37"/>
      <c r="I1161" s="38"/>
      <c r="J1161" s="37"/>
      <c r="K1161" s="39"/>
      <c r="L1161" s="41"/>
      <c r="M1161" s="36" t="str">
        <f aca="true">IF(OR($B1161="",$L1161=""),"",DATEDIF($L1161,TODAY(),"Y"))</f>
        <v/>
      </c>
      <c r="N1161" s="40" t="str">
        <f aca="false">IF($M1161="","",INDEX(usia_label,MATCH($M1161,usia_min,1)))</f>
        <v/>
      </c>
      <c r="O1161" s="37"/>
      <c r="P1161" s="41"/>
      <c r="Q1161" s="37"/>
      <c r="R1161" s="37"/>
      <c r="S1161" s="40" t="str">
        <f aca="false">IF($G1161="","",$G1161&amp;"#"&amp;COUNTIF($G$4:$G1161,$G1161))</f>
        <v/>
      </c>
      <c r="T1161" s="40" t="str">
        <f aca="false">IF($B1161="","",IF($C1161="","NIK kosong",IF(LEN($C1161)&lt;&gt;16,"NIK bukan 16 digit",IF(COUNTIF($C$4:$C$2003,$C1161&amp;"*")&gt;1,"NIK ganda",IF($E1161="","Kadus kosong",IF($F1161="","RT kosong",IF($H1161="","Jabatan kosong",IF($I1161="","No. HP kosong",IF($J1161="","Alamat kosong",IF(AND($M1161&lt;&gt;"",$M1161&lt;17),"Usia di bawah 17",""))))))))))</f>
        <v/>
      </c>
      <c r="U1161" s="40" t="str">
        <f aca="false">IF($B1161="","",IF(AND(OR(CARI!$C$5="",ISNUMBER(SEARCH(CARI!$C$5,$B1161&amp;" "&amp;$C1161&amp;" "&amp;$I1161&amp;" "&amp;$J1161&amp;" "&amp;$Q1161))),OR(CARI!$C$6="",$E1161=CARI!$C$6),OR(CARI!$C$7="",$F1161=CARI!$C$7),OR(CARI!$C$8="",$O1161=CARI!$C$8)),MAX($U$3:U1160)+1,""))</f>
        <v/>
      </c>
      <c r="V1161" s="40" t="str">
        <f aca="false">IF($T1161="","",MAX($V$3:V1160)+1)</f>
        <v/>
      </c>
      <c r="W1161" s="40" t="str">
        <f aca="false">IF($E1161="","",$E1161&amp;"#"&amp;COUNTIF($E$4:$E1161,$E1161))</f>
        <v/>
      </c>
      <c r="X1161" s="40" t="str">
        <f aca="false">IF($B1161="","",IF(AND(OR(CETAK!$J$10="",$E1161=CETAK!$J$10),OR(CETAK!$J$11="",$F1161=CETAK!$J$11),OR(CETAK!$J$12="",$K1161=CETAK!$J$12),OR(CETAK!$J$13="",$H1161=CETAK!$J$13),OR(CETAK!$J$14="",$O1161=CETAK!$J$14)),MAX($X$3:X1160)+1,""))</f>
        <v/>
      </c>
      <c r="Y1161" s="40" t="str">
        <f aca="false">IF($B1161="","",IF(AND(OR(ABSENSI!$H$10="",$E1161=ABSENSI!$H$10),OR(ABSENSI!$H$11="",$F1161=ABSENSI!$H$11),OR(ABSENSI!$H$12="",$K1161=ABSENSI!$H$12)),MAX($Y$3:Y1160)+1,""))</f>
        <v/>
      </c>
      <c r="Z1161" s="40" t="str">
        <f aca="false">IF($B1161="","",IF(AND(OR(KARTU!$K$6="",$E1161=KARTU!$K$6),OR(KARTU!$K$7="",$F1161=KARTU!$K$7),OR(KARTU!$K$8="",$K1161=KARTU!$K$8)),MAX($Z$3:Z1160)+1,""))</f>
        <v/>
      </c>
    </row>
    <row r="1162" customFormat="false" ht="15" hidden="false" customHeight="false" outlineLevel="0" collapsed="false">
      <c r="A1162" s="36" t="str">
        <f aca="false">IF($B1162="","",COUNTA($B$4:$B1162))</f>
        <v/>
      </c>
      <c r="B1162" s="37"/>
      <c r="C1162" s="38"/>
      <c r="D1162" s="39"/>
      <c r="E1162" s="37"/>
      <c r="F1162" s="39"/>
      <c r="G1162" s="40" t="str">
        <f aca="false">IF(OR($E1162="",$F1162=""),"",$E1162&amp;" - RT "&amp;$F1162)</f>
        <v/>
      </c>
      <c r="H1162" s="37"/>
      <c r="I1162" s="38"/>
      <c r="J1162" s="37"/>
      <c r="K1162" s="39"/>
      <c r="L1162" s="41"/>
      <c r="M1162" s="36" t="str">
        <f aca="true">IF(OR($B1162="",$L1162=""),"",DATEDIF($L1162,TODAY(),"Y"))</f>
        <v/>
      </c>
      <c r="N1162" s="40" t="str">
        <f aca="false">IF($M1162="","",INDEX(usia_label,MATCH($M1162,usia_min,1)))</f>
        <v/>
      </c>
      <c r="O1162" s="37"/>
      <c r="P1162" s="41"/>
      <c r="Q1162" s="37"/>
      <c r="R1162" s="37"/>
      <c r="S1162" s="40" t="str">
        <f aca="false">IF($G1162="","",$G1162&amp;"#"&amp;COUNTIF($G$4:$G1162,$G1162))</f>
        <v/>
      </c>
      <c r="T1162" s="40" t="str">
        <f aca="false">IF($B1162="","",IF($C1162="","NIK kosong",IF(LEN($C1162)&lt;&gt;16,"NIK bukan 16 digit",IF(COUNTIF($C$4:$C$2003,$C1162&amp;"*")&gt;1,"NIK ganda",IF($E1162="","Kadus kosong",IF($F1162="","RT kosong",IF($H1162="","Jabatan kosong",IF($I1162="","No. HP kosong",IF($J1162="","Alamat kosong",IF(AND($M1162&lt;&gt;"",$M1162&lt;17),"Usia di bawah 17",""))))))))))</f>
        <v/>
      </c>
      <c r="U1162" s="40" t="str">
        <f aca="false">IF($B1162="","",IF(AND(OR(CARI!$C$5="",ISNUMBER(SEARCH(CARI!$C$5,$B1162&amp;" "&amp;$C1162&amp;" "&amp;$I1162&amp;" "&amp;$J1162&amp;" "&amp;$Q1162))),OR(CARI!$C$6="",$E1162=CARI!$C$6),OR(CARI!$C$7="",$F1162=CARI!$C$7),OR(CARI!$C$8="",$O1162=CARI!$C$8)),MAX($U$3:U1161)+1,""))</f>
        <v/>
      </c>
      <c r="V1162" s="40" t="str">
        <f aca="false">IF($T1162="","",MAX($V$3:V1161)+1)</f>
        <v/>
      </c>
      <c r="W1162" s="40" t="str">
        <f aca="false">IF($E1162="","",$E1162&amp;"#"&amp;COUNTIF($E$4:$E1162,$E1162))</f>
        <v/>
      </c>
      <c r="X1162" s="40" t="str">
        <f aca="false">IF($B1162="","",IF(AND(OR(CETAK!$J$10="",$E1162=CETAK!$J$10),OR(CETAK!$J$11="",$F1162=CETAK!$J$11),OR(CETAK!$J$12="",$K1162=CETAK!$J$12),OR(CETAK!$J$13="",$H1162=CETAK!$J$13),OR(CETAK!$J$14="",$O1162=CETAK!$J$14)),MAX($X$3:X1161)+1,""))</f>
        <v/>
      </c>
      <c r="Y1162" s="40" t="str">
        <f aca="false">IF($B1162="","",IF(AND(OR(ABSENSI!$H$10="",$E1162=ABSENSI!$H$10),OR(ABSENSI!$H$11="",$F1162=ABSENSI!$H$11),OR(ABSENSI!$H$12="",$K1162=ABSENSI!$H$12)),MAX($Y$3:Y1161)+1,""))</f>
        <v/>
      </c>
      <c r="Z1162" s="40" t="str">
        <f aca="false">IF($B1162="","",IF(AND(OR(KARTU!$K$6="",$E1162=KARTU!$K$6),OR(KARTU!$K$7="",$F1162=KARTU!$K$7),OR(KARTU!$K$8="",$K1162=KARTU!$K$8)),MAX($Z$3:Z1161)+1,""))</f>
        <v/>
      </c>
    </row>
    <row r="1163" customFormat="false" ht="15" hidden="false" customHeight="false" outlineLevel="0" collapsed="false">
      <c r="A1163" s="36" t="str">
        <f aca="false">IF($B1163="","",COUNTA($B$4:$B1163))</f>
        <v/>
      </c>
      <c r="B1163" s="37"/>
      <c r="C1163" s="38"/>
      <c r="D1163" s="39"/>
      <c r="E1163" s="37"/>
      <c r="F1163" s="39"/>
      <c r="G1163" s="40" t="str">
        <f aca="false">IF(OR($E1163="",$F1163=""),"",$E1163&amp;" - RT "&amp;$F1163)</f>
        <v/>
      </c>
      <c r="H1163" s="37"/>
      <c r="I1163" s="38"/>
      <c r="J1163" s="37"/>
      <c r="K1163" s="39"/>
      <c r="L1163" s="41"/>
      <c r="M1163" s="36" t="str">
        <f aca="true">IF(OR($B1163="",$L1163=""),"",DATEDIF($L1163,TODAY(),"Y"))</f>
        <v/>
      </c>
      <c r="N1163" s="40" t="str">
        <f aca="false">IF($M1163="","",INDEX(usia_label,MATCH($M1163,usia_min,1)))</f>
        <v/>
      </c>
      <c r="O1163" s="37"/>
      <c r="P1163" s="41"/>
      <c r="Q1163" s="37"/>
      <c r="R1163" s="37"/>
      <c r="S1163" s="40" t="str">
        <f aca="false">IF($G1163="","",$G1163&amp;"#"&amp;COUNTIF($G$4:$G1163,$G1163))</f>
        <v/>
      </c>
      <c r="T1163" s="40" t="str">
        <f aca="false">IF($B1163="","",IF($C1163="","NIK kosong",IF(LEN($C1163)&lt;&gt;16,"NIK bukan 16 digit",IF(COUNTIF($C$4:$C$2003,$C1163&amp;"*")&gt;1,"NIK ganda",IF($E1163="","Kadus kosong",IF($F1163="","RT kosong",IF($H1163="","Jabatan kosong",IF($I1163="","No. HP kosong",IF($J1163="","Alamat kosong",IF(AND($M1163&lt;&gt;"",$M1163&lt;17),"Usia di bawah 17",""))))))))))</f>
        <v/>
      </c>
      <c r="U1163" s="40" t="str">
        <f aca="false">IF($B1163="","",IF(AND(OR(CARI!$C$5="",ISNUMBER(SEARCH(CARI!$C$5,$B1163&amp;" "&amp;$C1163&amp;" "&amp;$I1163&amp;" "&amp;$J1163&amp;" "&amp;$Q1163))),OR(CARI!$C$6="",$E1163=CARI!$C$6),OR(CARI!$C$7="",$F1163=CARI!$C$7),OR(CARI!$C$8="",$O1163=CARI!$C$8)),MAX($U$3:U1162)+1,""))</f>
        <v/>
      </c>
      <c r="V1163" s="40" t="str">
        <f aca="false">IF($T1163="","",MAX($V$3:V1162)+1)</f>
        <v/>
      </c>
      <c r="W1163" s="40" t="str">
        <f aca="false">IF($E1163="","",$E1163&amp;"#"&amp;COUNTIF($E$4:$E1163,$E1163))</f>
        <v/>
      </c>
      <c r="X1163" s="40" t="str">
        <f aca="false">IF($B1163="","",IF(AND(OR(CETAK!$J$10="",$E1163=CETAK!$J$10),OR(CETAK!$J$11="",$F1163=CETAK!$J$11),OR(CETAK!$J$12="",$K1163=CETAK!$J$12),OR(CETAK!$J$13="",$H1163=CETAK!$J$13),OR(CETAK!$J$14="",$O1163=CETAK!$J$14)),MAX($X$3:X1162)+1,""))</f>
        <v/>
      </c>
      <c r="Y1163" s="40" t="str">
        <f aca="false">IF($B1163="","",IF(AND(OR(ABSENSI!$H$10="",$E1163=ABSENSI!$H$10),OR(ABSENSI!$H$11="",$F1163=ABSENSI!$H$11),OR(ABSENSI!$H$12="",$K1163=ABSENSI!$H$12)),MAX($Y$3:Y1162)+1,""))</f>
        <v/>
      </c>
      <c r="Z1163" s="40" t="str">
        <f aca="false">IF($B1163="","",IF(AND(OR(KARTU!$K$6="",$E1163=KARTU!$K$6),OR(KARTU!$K$7="",$F1163=KARTU!$K$7),OR(KARTU!$K$8="",$K1163=KARTU!$K$8)),MAX($Z$3:Z1162)+1,""))</f>
        <v/>
      </c>
    </row>
    <row r="1164" customFormat="false" ht="15" hidden="false" customHeight="false" outlineLevel="0" collapsed="false">
      <c r="A1164" s="36" t="str">
        <f aca="false">IF($B1164="","",COUNTA($B$4:$B1164))</f>
        <v/>
      </c>
      <c r="B1164" s="37"/>
      <c r="C1164" s="38"/>
      <c r="D1164" s="39"/>
      <c r="E1164" s="37"/>
      <c r="F1164" s="39"/>
      <c r="G1164" s="40" t="str">
        <f aca="false">IF(OR($E1164="",$F1164=""),"",$E1164&amp;" - RT "&amp;$F1164)</f>
        <v/>
      </c>
      <c r="H1164" s="37"/>
      <c r="I1164" s="38"/>
      <c r="J1164" s="37"/>
      <c r="K1164" s="39"/>
      <c r="L1164" s="41"/>
      <c r="M1164" s="36" t="str">
        <f aca="true">IF(OR($B1164="",$L1164=""),"",DATEDIF($L1164,TODAY(),"Y"))</f>
        <v/>
      </c>
      <c r="N1164" s="40" t="str">
        <f aca="false">IF($M1164="","",INDEX(usia_label,MATCH($M1164,usia_min,1)))</f>
        <v/>
      </c>
      <c r="O1164" s="37"/>
      <c r="P1164" s="41"/>
      <c r="Q1164" s="37"/>
      <c r="R1164" s="37"/>
      <c r="S1164" s="40" t="str">
        <f aca="false">IF($G1164="","",$G1164&amp;"#"&amp;COUNTIF($G$4:$G1164,$G1164))</f>
        <v/>
      </c>
      <c r="T1164" s="40" t="str">
        <f aca="false">IF($B1164="","",IF($C1164="","NIK kosong",IF(LEN($C1164)&lt;&gt;16,"NIK bukan 16 digit",IF(COUNTIF($C$4:$C$2003,$C1164&amp;"*")&gt;1,"NIK ganda",IF($E1164="","Kadus kosong",IF($F1164="","RT kosong",IF($H1164="","Jabatan kosong",IF($I1164="","No. HP kosong",IF($J1164="","Alamat kosong",IF(AND($M1164&lt;&gt;"",$M1164&lt;17),"Usia di bawah 17",""))))))))))</f>
        <v/>
      </c>
      <c r="U1164" s="40" t="str">
        <f aca="false">IF($B1164="","",IF(AND(OR(CARI!$C$5="",ISNUMBER(SEARCH(CARI!$C$5,$B1164&amp;" "&amp;$C1164&amp;" "&amp;$I1164&amp;" "&amp;$J1164&amp;" "&amp;$Q1164))),OR(CARI!$C$6="",$E1164=CARI!$C$6),OR(CARI!$C$7="",$F1164=CARI!$C$7),OR(CARI!$C$8="",$O1164=CARI!$C$8)),MAX($U$3:U1163)+1,""))</f>
        <v/>
      </c>
      <c r="V1164" s="40" t="str">
        <f aca="false">IF($T1164="","",MAX($V$3:V1163)+1)</f>
        <v/>
      </c>
      <c r="W1164" s="40" t="str">
        <f aca="false">IF($E1164="","",$E1164&amp;"#"&amp;COUNTIF($E$4:$E1164,$E1164))</f>
        <v/>
      </c>
      <c r="X1164" s="40" t="str">
        <f aca="false">IF($B1164="","",IF(AND(OR(CETAK!$J$10="",$E1164=CETAK!$J$10),OR(CETAK!$J$11="",$F1164=CETAK!$J$11),OR(CETAK!$J$12="",$K1164=CETAK!$J$12),OR(CETAK!$J$13="",$H1164=CETAK!$J$13),OR(CETAK!$J$14="",$O1164=CETAK!$J$14)),MAX($X$3:X1163)+1,""))</f>
        <v/>
      </c>
      <c r="Y1164" s="40" t="str">
        <f aca="false">IF($B1164="","",IF(AND(OR(ABSENSI!$H$10="",$E1164=ABSENSI!$H$10),OR(ABSENSI!$H$11="",$F1164=ABSENSI!$H$11),OR(ABSENSI!$H$12="",$K1164=ABSENSI!$H$12)),MAX($Y$3:Y1163)+1,""))</f>
        <v/>
      </c>
      <c r="Z1164" s="40" t="str">
        <f aca="false">IF($B1164="","",IF(AND(OR(KARTU!$K$6="",$E1164=KARTU!$K$6),OR(KARTU!$K$7="",$F1164=KARTU!$K$7),OR(KARTU!$K$8="",$K1164=KARTU!$K$8)),MAX($Z$3:Z1163)+1,""))</f>
        <v/>
      </c>
    </row>
    <row r="1165" customFormat="false" ht="15" hidden="false" customHeight="false" outlineLevel="0" collapsed="false">
      <c r="A1165" s="36" t="str">
        <f aca="false">IF($B1165="","",COUNTA($B$4:$B1165))</f>
        <v/>
      </c>
      <c r="B1165" s="37"/>
      <c r="C1165" s="38"/>
      <c r="D1165" s="39"/>
      <c r="E1165" s="37"/>
      <c r="F1165" s="39"/>
      <c r="G1165" s="40" t="str">
        <f aca="false">IF(OR($E1165="",$F1165=""),"",$E1165&amp;" - RT "&amp;$F1165)</f>
        <v/>
      </c>
      <c r="H1165" s="37"/>
      <c r="I1165" s="38"/>
      <c r="J1165" s="37"/>
      <c r="K1165" s="39"/>
      <c r="L1165" s="41"/>
      <c r="M1165" s="36" t="str">
        <f aca="true">IF(OR($B1165="",$L1165=""),"",DATEDIF($L1165,TODAY(),"Y"))</f>
        <v/>
      </c>
      <c r="N1165" s="40" t="str">
        <f aca="false">IF($M1165="","",INDEX(usia_label,MATCH($M1165,usia_min,1)))</f>
        <v/>
      </c>
      <c r="O1165" s="37"/>
      <c r="P1165" s="41"/>
      <c r="Q1165" s="37"/>
      <c r="R1165" s="37"/>
      <c r="S1165" s="40" t="str">
        <f aca="false">IF($G1165="","",$G1165&amp;"#"&amp;COUNTIF($G$4:$G1165,$G1165))</f>
        <v/>
      </c>
      <c r="T1165" s="40" t="str">
        <f aca="false">IF($B1165="","",IF($C1165="","NIK kosong",IF(LEN($C1165)&lt;&gt;16,"NIK bukan 16 digit",IF(COUNTIF($C$4:$C$2003,$C1165&amp;"*")&gt;1,"NIK ganda",IF($E1165="","Kadus kosong",IF($F1165="","RT kosong",IF($H1165="","Jabatan kosong",IF($I1165="","No. HP kosong",IF($J1165="","Alamat kosong",IF(AND($M1165&lt;&gt;"",$M1165&lt;17),"Usia di bawah 17",""))))))))))</f>
        <v/>
      </c>
      <c r="U1165" s="40" t="str">
        <f aca="false">IF($B1165="","",IF(AND(OR(CARI!$C$5="",ISNUMBER(SEARCH(CARI!$C$5,$B1165&amp;" "&amp;$C1165&amp;" "&amp;$I1165&amp;" "&amp;$J1165&amp;" "&amp;$Q1165))),OR(CARI!$C$6="",$E1165=CARI!$C$6),OR(CARI!$C$7="",$F1165=CARI!$C$7),OR(CARI!$C$8="",$O1165=CARI!$C$8)),MAX($U$3:U1164)+1,""))</f>
        <v/>
      </c>
      <c r="V1165" s="40" t="str">
        <f aca="false">IF($T1165="","",MAX($V$3:V1164)+1)</f>
        <v/>
      </c>
      <c r="W1165" s="40" t="str">
        <f aca="false">IF($E1165="","",$E1165&amp;"#"&amp;COUNTIF($E$4:$E1165,$E1165))</f>
        <v/>
      </c>
      <c r="X1165" s="40" t="str">
        <f aca="false">IF($B1165="","",IF(AND(OR(CETAK!$J$10="",$E1165=CETAK!$J$10),OR(CETAK!$J$11="",$F1165=CETAK!$J$11),OR(CETAK!$J$12="",$K1165=CETAK!$J$12),OR(CETAK!$J$13="",$H1165=CETAK!$J$13),OR(CETAK!$J$14="",$O1165=CETAK!$J$14)),MAX($X$3:X1164)+1,""))</f>
        <v/>
      </c>
      <c r="Y1165" s="40" t="str">
        <f aca="false">IF($B1165="","",IF(AND(OR(ABSENSI!$H$10="",$E1165=ABSENSI!$H$10),OR(ABSENSI!$H$11="",$F1165=ABSENSI!$H$11),OR(ABSENSI!$H$12="",$K1165=ABSENSI!$H$12)),MAX($Y$3:Y1164)+1,""))</f>
        <v/>
      </c>
      <c r="Z1165" s="40" t="str">
        <f aca="false">IF($B1165="","",IF(AND(OR(KARTU!$K$6="",$E1165=KARTU!$K$6),OR(KARTU!$K$7="",$F1165=KARTU!$K$7),OR(KARTU!$K$8="",$K1165=KARTU!$K$8)),MAX($Z$3:Z1164)+1,""))</f>
        <v/>
      </c>
    </row>
    <row r="1166" customFormat="false" ht="15" hidden="false" customHeight="false" outlineLevel="0" collapsed="false">
      <c r="A1166" s="36" t="str">
        <f aca="false">IF($B1166="","",COUNTA($B$4:$B1166))</f>
        <v/>
      </c>
      <c r="B1166" s="37"/>
      <c r="C1166" s="38"/>
      <c r="D1166" s="39"/>
      <c r="E1166" s="37"/>
      <c r="F1166" s="39"/>
      <c r="G1166" s="40" t="str">
        <f aca="false">IF(OR($E1166="",$F1166=""),"",$E1166&amp;" - RT "&amp;$F1166)</f>
        <v/>
      </c>
      <c r="H1166" s="37"/>
      <c r="I1166" s="38"/>
      <c r="J1166" s="37"/>
      <c r="K1166" s="39"/>
      <c r="L1166" s="41"/>
      <c r="M1166" s="36" t="str">
        <f aca="true">IF(OR($B1166="",$L1166=""),"",DATEDIF($L1166,TODAY(),"Y"))</f>
        <v/>
      </c>
      <c r="N1166" s="40" t="str">
        <f aca="false">IF($M1166="","",INDEX(usia_label,MATCH($M1166,usia_min,1)))</f>
        <v/>
      </c>
      <c r="O1166" s="37"/>
      <c r="P1166" s="41"/>
      <c r="Q1166" s="37"/>
      <c r="R1166" s="37"/>
      <c r="S1166" s="40" t="str">
        <f aca="false">IF($G1166="","",$G1166&amp;"#"&amp;COUNTIF($G$4:$G1166,$G1166))</f>
        <v/>
      </c>
      <c r="T1166" s="40" t="str">
        <f aca="false">IF($B1166="","",IF($C1166="","NIK kosong",IF(LEN($C1166)&lt;&gt;16,"NIK bukan 16 digit",IF(COUNTIF($C$4:$C$2003,$C1166&amp;"*")&gt;1,"NIK ganda",IF($E1166="","Kadus kosong",IF($F1166="","RT kosong",IF($H1166="","Jabatan kosong",IF($I1166="","No. HP kosong",IF($J1166="","Alamat kosong",IF(AND($M1166&lt;&gt;"",$M1166&lt;17),"Usia di bawah 17",""))))))))))</f>
        <v/>
      </c>
      <c r="U1166" s="40" t="str">
        <f aca="false">IF($B1166="","",IF(AND(OR(CARI!$C$5="",ISNUMBER(SEARCH(CARI!$C$5,$B1166&amp;" "&amp;$C1166&amp;" "&amp;$I1166&amp;" "&amp;$J1166&amp;" "&amp;$Q1166))),OR(CARI!$C$6="",$E1166=CARI!$C$6),OR(CARI!$C$7="",$F1166=CARI!$C$7),OR(CARI!$C$8="",$O1166=CARI!$C$8)),MAX($U$3:U1165)+1,""))</f>
        <v/>
      </c>
      <c r="V1166" s="40" t="str">
        <f aca="false">IF($T1166="","",MAX($V$3:V1165)+1)</f>
        <v/>
      </c>
      <c r="W1166" s="40" t="str">
        <f aca="false">IF($E1166="","",$E1166&amp;"#"&amp;COUNTIF($E$4:$E1166,$E1166))</f>
        <v/>
      </c>
      <c r="X1166" s="40" t="str">
        <f aca="false">IF($B1166="","",IF(AND(OR(CETAK!$J$10="",$E1166=CETAK!$J$10),OR(CETAK!$J$11="",$F1166=CETAK!$J$11),OR(CETAK!$J$12="",$K1166=CETAK!$J$12),OR(CETAK!$J$13="",$H1166=CETAK!$J$13),OR(CETAK!$J$14="",$O1166=CETAK!$J$14)),MAX($X$3:X1165)+1,""))</f>
        <v/>
      </c>
      <c r="Y1166" s="40" t="str">
        <f aca="false">IF($B1166="","",IF(AND(OR(ABSENSI!$H$10="",$E1166=ABSENSI!$H$10),OR(ABSENSI!$H$11="",$F1166=ABSENSI!$H$11),OR(ABSENSI!$H$12="",$K1166=ABSENSI!$H$12)),MAX($Y$3:Y1165)+1,""))</f>
        <v/>
      </c>
      <c r="Z1166" s="40" t="str">
        <f aca="false">IF($B1166="","",IF(AND(OR(KARTU!$K$6="",$E1166=KARTU!$K$6),OR(KARTU!$K$7="",$F1166=KARTU!$K$7),OR(KARTU!$K$8="",$K1166=KARTU!$K$8)),MAX($Z$3:Z1165)+1,""))</f>
        <v/>
      </c>
    </row>
    <row r="1167" customFormat="false" ht="15" hidden="false" customHeight="false" outlineLevel="0" collapsed="false">
      <c r="A1167" s="36" t="str">
        <f aca="false">IF($B1167="","",COUNTA($B$4:$B1167))</f>
        <v/>
      </c>
      <c r="B1167" s="37"/>
      <c r="C1167" s="38"/>
      <c r="D1167" s="39"/>
      <c r="E1167" s="37"/>
      <c r="F1167" s="39"/>
      <c r="G1167" s="40" t="str">
        <f aca="false">IF(OR($E1167="",$F1167=""),"",$E1167&amp;" - RT "&amp;$F1167)</f>
        <v/>
      </c>
      <c r="H1167" s="37"/>
      <c r="I1167" s="38"/>
      <c r="J1167" s="37"/>
      <c r="K1167" s="39"/>
      <c r="L1167" s="41"/>
      <c r="M1167" s="36" t="str">
        <f aca="true">IF(OR($B1167="",$L1167=""),"",DATEDIF($L1167,TODAY(),"Y"))</f>
        <v/>
      </c>
      <c r="N1167" s="40" t="str">
        <f aca="false">IF($M1167="","",INDEX(usia_label,MATCH($M1167,usia_min,1)))</f>
        <v/>
      </c>
      <c r="O1167" s="37"/>
      <c r="P1167" s="41"/>
      <c r="Q1167" s="37"/>
      <c r="R1167" s="37"/>
      <c r="S1167" s="40" t="str">
        <f aca="false">IF($G1167="","",$G1167&amp;"#"&amp;COUNTIF($G$4:$G1167,$G1167))</f>
        <v/>
      </c>
      <c r="T1167" s="40" t="str">
        <f aca="false">IF($B1167="","",IF($C1167="","NIK kosong",IF(LEN($C1167)&lt;&gt;16,"NIK bukan 16 digit",IF(COUNTIF($C$4:$C$2003,$C1167&amp;"*")&gt;1,"NIK ganda",IF($E1167="","Kadus kosong",IF($F1167="","RT kosong",IF($H1167="","Jabatan kosong",IF($I1167="","No. HP kosong",IF($J1167="","Alamat kosong",IF(AND($M1167&lt;&gt;"",$M1167&lt;17),"Usia di bawah 17",""))))))))))</f>
        <v/>
      </c>
      <c r="U1167" s="40" t="str">
        <f aca="false">IF($B1167="","",IF(AND(OR(CARI!$C$5="",ISNUMBER(SEARCH(CARI!$C$5,$B1167&amp;" "&amp;$C1167&amp;" "&amp;$I1167&amp;" "&amp;$J1167&amp;" "&amp;$Q1167))),OR(CARI!$C$6="",$E1167=CARI!$C$6),OR(CARI!$C$7="",$F1167=CARI!$C$7),OR(CARI!$C$8="",$O1167=CARI!$C$8)),MAX($U$3:U1166)+1,""))</f>
        <v/>
      </c>
      <c r="V1167" s="40" t="str">
        <f aca="false">IF($T1167="","",MAX($V$3:V1166)+1)</f>
        <v/>
      </c>
      <c r="W1167" s="40" t="str">
        <f aca="false">IF($E1167="","",$E1167&amp;"#"&amp;COUNTIF($E$4:$E1167,$E1167))</f>
        <v/>
      </c>
      <c r="X1167" s="40" t="str">
        <f aca="false">IF($B1167="","",IF(AND(OR(CETAK!$J$10="",$E1167=CETAK!$J$10),OR(CETAK!$J$11="",$F1167=CETAK!$J$11),OR(CETAK!$J$12="",$K1167=CETAK!$J$12),OR(CETAK!$J$13="",$H1167=CETAK!$J$13),OR(CETAK!$J$14="",$O1167=CETAK!$J$14)),MAX($X$3:X1166)+1,""))</f>
        <v/>
      </c>
      <c r="Y1167" s="40" t="str">
        <f aca="false">IF($B1167="","",IF(AND(OR(ABSENSI!$H$10="",$E1167=ABSENSI!$H$10),OR(ABSENSI!$H$11="",$F1167=ABSENSI!$H$11),OR(ABSENSI!$H$12="",$K1167=ABSENSI!$H$12)),MAX($Y$3:Y1166)+1,""))</f>
        <v/>
      </c>
      <c r="Z1167" s="40" t="str">
        <f aca="false">IF($B1167="","",IF(AND(OR(KARTU!$K$6="",$E1167=KARTU!$K$6),OR(KARTU!$K$7="",$F1167=KARTU!$K$7),OR(KARTU!$K$8="",$K1167=KARTU!$K$8)),MAX($Z$3:Z1166)+1,""))</f>
        <v/>
      </c>
    </row>
    <row r="1168" customFormat="false" ht="15" hidden="false" customHeight="false" outlineLevel="0" collapsed="false">
      <c r="A1168" s="36" t="str">
        <f aca="false">IF($B1168="","",COUNTA($B$4:$B1168))</f>
        <v/>
      </c>
      <c r="B1168" s="37"/>
      <c r="C1168" s="38"/>
      <c r="D1168" s="39"/>
      <c r="E1168" s="37"/>
      <c r="F1168" s="39"/>
      <c r="G1168" s="40" t="str">
        <f aca="false">IF(OR($E1168="",$F1168=""),"",$E1168&amp;" - RT "&amp;$F1168)</f>
        <v/>
      </c>
      <c r="H1168" s="37"/>
      <c r="I1168" s="38"/>
      <c r="J1168" s="37"/>
      <c r="K1168" s="39"/>
      <c r="L1168" s="41"/>
      <c r="M1168" s="36" t="str">
        <f aca="true">IF(OR($B1168="",$L1168=""),"",DATEDIF($L1168,TODAY(),"Y"))</f>
        <v/>
      </c>
      <c r="N1168" s="40" t="str">
        <f aca="false">IF($M1168="","",INDEX(usia_label,MATCH($M1168,usia_min,1)))</f>
        <v/>
      </c>
      <c r="O1168" s="37"/>
      <c r="P1168" s="41"/>
      <c r="Q1168" s="37"/>
      <c r="R1168" s="37"/>
      <c r="S1168" s="40" t="str">
        <f aca="false">IF($G1168="","",$G1168&amp;"#"&amp;COUNTIF($G$4:$G1168,$G1168))</f>
        <v/>
      </c>
      <c r="T1168" s="40" t="str">
        <f aca="false">IF($B1168="","",IF($C1168="","NIK kosong",IF(LEN($C1168)&lt;&gt;16,"NIK bukan 16 digit",IF(COUNTIF($C$4:$C$2003,$C1168&amp;"*")&gt;1,"NIK ganda",IF($E1168="","Kadus kosong",IF($F1168="","RT kosong",IF($H1168="","Jabatan kosong",IF($I1168="","No. HP kosong",IF($J1168="","Alamat kosong",IF(AND($M1168&lt;&gt;"",$M1168&lt;17),"Usia di bawah 17",""))))))))))</f>
        <v/>
      </c>
      <c r="U1168" s="40" t="str">
        <f aca="false">IF($B1168="","",IF(AND(OR(CARI!$C$5="",ISNUMBER(SEARCH(CARI!$C$5,$B1168&amp;" "&amp;$C1168&amp;" "&amp;$I1168&amp;" "&amp;$J1168&amp;" "&amp;$Q1168))),OR(CARI!$C$6="",$E1168=CARI!$C$6),OR(CARI!$C$7="",$F1168=CARI!$C$7),OR(CARI!$C$8="",$O1168=CARI!$C$8)),MAX($U$3:U1167)+1,""))</f>
        <v/>
      </c>
      <c r="V1168" s="40" t="str">
        <f aca="false">IF($T1168="","",MAX($V$3:V1167)+1)</f>
        <v/>
      </c>
      <c r="W1168" s="40" t="str">
        <f aca="false">IF($E1168="","",$E1168&amp;"#"&amp;COUNTIF($E$4:$E1168,$E1168))</f>
        <v/>
      </c>
      <c r="X1168" s="40" t="str">
        <f aca="false">IF($B1168="","",IF(AND(OR(CETAK!$J$10="",$E1168=CETAK!$J$10),OR(CETAK!$J$11="",$F1168=CETAK!$J$11),OR(CETAK!$J$12="",$K1168=CETAK!$J$12),OR(CETAK!$J$13="",$H1168=CETAK!$J$13),OR(CETAK!$J$14="",$O1168=CETAK!$J$14)),MAX($X$3:X1167)+1,""))</f>
        <v/>
      </c>
      <c r="Y1168" s="40" t="str">
        <f aca="false">IF($B1168="","",IF(AND(OR(ABSENSI!$H$10="",$E1168=ABSENSI!$H$10),OR(ABSENSI!$H$11="",$F1168=ABSENSI!$H$11),OR(ABSENSI!$H$12="",$K1168=ABSENSI!$H$12)),MAX($Y$3:Y1167)+1,""))</f>
        <v/>
      </c>
      <c r="Z1168" s="40" t="str">
        <f aca="false">IF($B1168="","",IF(AND(OR(KARTU!$K$6="",$E1168=KARTU!$K$6),OR(KARTU!$K$7="",$F1168=KARTU!$K$7),OR(KARTU!$K$8="",$K1168=KARTU!$K$8)),MAX($Z$3:Z1167)+1,""))</f>
        <v/>
      </c>
    </row>
    <row r="1169" customFormat="false" ht="15" hidden="false" customHeight="false" outlineLevel="0" collapsed="false">
      <c r="A1169" s="36" t="str">
        <f aca="false">IF($B1169="","",COUNTA($B$4:$B1169))</f>
        <v/>
      </c>
      <c r="B1169" s="37"/>
      <c r="C1169" s="38"/>
      <c r="D1169" s="39"/>
      <c r="E1169" s="37"/>
      <c r="F1169" s="39"/>
      <c r="G1169" s="40" t="str">
        <f aca="false">IF(OR($E1169="",$F1169=""),"",$E1169&amp;" - RT "&amp;$F1169)</f>
        <v/>
      </c>
      <c r="H1169" s="37"/>
      <c r="I1169" s="38"/>
      <c r="J1169" s="37"/>
      <c r="K1169" s="39"/>
      <c r="L1169" s="41"/>
      <c r="M1169" s="36" t="str">
        <f aca="true">IF(OR($B1169="",$L1169=""),"",DATEDIF($L1169,TODAY(),"Y"))</f>
        <v/>
      </c>
      <c r="N1169" s="40" t="str">
        <f aca="false">IF($M1169="","",INDEX(usia_label,MATCH($M1169,usia_min,1)))</f>
        <v/>
      </c>
      <c r="O1169" s="37"/>
      <c r="P1169" s="41"/>
      <c r="Q1169" s="37"/>
      <c r="R1169" s="37"/>
      <c r="S1169" s="40" t="str">
        <f aca="false">IF($G1169="","",$G1169&amp;"#"&amp;COUNTIF($G$4:$G1169,$G1169))</f>
        <v/>
      </c>
      <c r="T1169" s="40" t="str">
        <f aca="false">IF($B1169="","",IF($C1169="","NIK kosong",IF(LEN($C1169)&lt;&gt;16,"NIK bukan 16 digit",IF(COUNTIF($C$4:$C$2003,$C1169&amp;"*")&gt;1,"NIK ganda",IF($E1169="","Kadus kosong",IF($F1169="","RT kosong",IF($H1169="","Jabatan kosong",IF($I1169="","No. HP kosong",IF($J1169="","Alamat kosong",IF(AND($M1169&lt;&gt;"",$M1169&lt;17),"Usia di bawah 17",""))))))))))</f>
        <v/>
      </c>
      <c r="U1169" s="40" t="str">
        <f aca="false">IF($B1169="","",IF(AND(OR(CARI!$C$5="",ISNUMBER(SEARCH(CARI!$C$5,$B1169&amp;" "&amp;$C1169&amp;" "&amp;$I1169&amp;" "&amp;$J1169&amp;" "&amp;$Q1169))),OR(CARI!$C$6="",$E1169=CARI!$C$6),OR(CARI!$C$7="",$F1169=CARI!$C$7),OR(CARI!$C$8="",$O1169=CARI!$C$8)),MAX($U$3:U1168)+1,""))</f>
        <v/>
      </c>
      <c r="V1169" s="40" t="str">
        <f aca="false">IF($T1169="","",MAX($V$3:V1168)+1)</f>
        <v/>
      </c>
      <c r="W1169" s="40" t="str">
        <f aca="false">IF($E1169="","",$E1169&amp;"#"&amp;COUNTIF($E$4:$E1169,$E1169))</f>
        <v/>
      </c>
      <c r="X1169" s="40" t="str">
        <f aca="false">IF($B1169="","",IF(AND(OR(CETAK!$J$10="",$E1169=CETAK!$J$10),OR(CETAK!$J$11="",$F1169=CETAK!$J$11),OR(CETAK!$J$12="",$K1169=CETAK!$J$12),OR(CETAK!$J$13="",$H1169=CETAK!$J$13),OR(CETAK!$J$14="",$O1169=CETAK!$J$14)),MAX($X$3:X1168)+1,""))</f>
        <v/>
      </c>
      <c r="Y1169" s="40" t="str">
        <f aca="false">IF($B1169="","",IF(AND(OR(ABSENSI!$H$10="",$E1169=ABSENSI!$H$10),OR(ABSENSI!$H$11="",$F1169=ABSENSI!$H$11),OR(ABSENSI!$H$12="",$K1169=ABSENSI!$H$12)),MAX($Y$3:Y1168)+1,""))</f>
        <v/>
      </c>
      <c r="Z1169" s="40" t="str">
        <f aca="false">IF($B1169="","",IF(AND(OR(KARTU!$K$6="",$E1169=KARTU!$K$6),OR(KARTU!$K$7="",$F1169=KARTU!$K$7),OR(KARTU!$K$8="",$K1169=KARTU!$K$8)),MAX($Z$3:Z1168)+1,""))</f>
        <v/>
      </c>
    </row>
    <row r="1170" customFormat="false" ht="15" hidden="false" customHeight="false" outlineLevel="0" collapsed="false">
      <c r="A1170" s="36" t="str">
        <f aca="false">IF($B1170="","",COUNTA($B$4:$B1170))</f>
        <v/>
      </c>
      <c r="B1170" s="37"/>
      <c r="C1170" s="38"/>
      <c r="D1170" s="39"/>
      <c r="E1170" s="37"/>
      <c r="F1170" s="39"/>
      <c r="G1170" s="40" t="str">
        <f aca="false">IF(OR($E1170="",$F1170=""),"",$E1170&amp;" - RT "&amp;$F1170)</f>
        <v/>
      </c>
      <c r="H1170" s="37"/>
      <c r="I1170" s="38"/>
      <c r="J1170" s="37"/>
      <c r="K1170" s="39"/>
      <c r="L1170" s="41"/>
      <c r="M1170" s="36" t="str">
        <f aca="true">IF(OR($B1170="",$L1170=""),"",DATEDIF($L1170,TODAY(),"Y"))</f>
        <v/>
      </c>
      <c r="N1170" s="40" t="str">
        <f aca="false">IF($M1170="","",INDEX(usia_label,MATCH($M1170,usia_min,1)))</f>
        <v/>
      </c>
      <c r="O1170" s="37"/>
      <c r="P1170" s="41"/>
      <c r="Q1170" s="37"/>
      <c r="R1170" s="37"/>
      <c r="S1170" s="40" t="str">
        <f aca="false">IF($G1170="","",$G1170&amp;"#"&amp;COUNTIF($G$4:$G1170,$G1170))</f>
        <v/>
      </c>
      <c r="T1170" s="40" t="str">
        <f aca="false">IF($B1170="","",IF($C1170="","NIK kosong",IF(LEN($C1170)&lt;&gt;16,"NIK bukan 16 digit",IF(COUNTIF($C$4:$C$2003,$C1170&amp;"*")&gt;1,"NIK ganda",IF($E1170="","Kadus kosong",IF($F1170="","RT kosong",IF($H1170="","Jabatan kosong",IF($I1170="","No. HP kosong",IF($J1170="","Alamat kosong",IF(AND($M1170&lt;&gt;"",$M1170&lt;17),"Usia di bawah 17",""))))))))))</f>
        <v/>
      </c>
      <c r="U1170" s="40" t="str">
        <f aca="false">IF($B1170="","",IF(AND(OR(CARI!$C$5="",ISNUMBER(SEARCH(CARI!$C$5,$B1170&amp;" "&amp;$C1170&amp;" "&amp;$I1170&amp;" "&amp;$J1170&amp;" "&amp;$Q1170))),OR(CARI!$C$6="",$E1170=CARI!$C$6),OR(CARI!$C$7="",$F1170=CARI!$C$7),OR(CARI!$C$8="",$O1170=CARI!$C$8)),MAX($U$3:U1169)+1,""))</f>
        <v/>
      </c>
      <c r="V1170" s="40" t="str">
        <f aca="false">IF($T1170="","",MAX($V$3:V1169)+1)</f>
        <v/>
      </c>
      <c r="W1170" s="40" t="str">
        <f aca="false">IF($E1170="","",$E1170&amp;"#"&amp;COUNTIF($E$4:$E1170,$E1170))</f>
        <v/>
      </c>
      <c r="X1170" s="40" t="str">
        <f aca="false">IF($B1170="","",IF(AND(OR(CETAK!$J$10="",$E1170=CETAK!$J$10),OR(CETAK!$J$11="",$F1170=CETAK!$J$11),OR(CETAK!$J$12="",$K1170=CETAK!$J$12),OR(CETAK!$J$13="",$H1170=CETAK!$J$13),OR(CETAK!$J$14="",$O1170=CETAK!$J$14)),MAX($X$3:X1169)+1,""))</f>
        <v/>
      </c>
      <c r="Y1170" s="40" t="str">
        <f aca="false">IF($B1170="","",IF(AND(OR(ABSENSI!$H$10="",$E1170=ABSENSI!$H$10),OR(ABSENSI!$H$11="",$F1170=ABSENSI!$H$11),OR(ABSENSI!$H$12="",$K1170=ABSENSI!$H$12)),MAX($Y$3:Y1169)+1,""))</f>
        <v/>
      </c>
      <c r="Z1170" s="40" t="str">
        <f aca="false">IF($B1170="","",IF(AND(OR(KARTU!$K$6="",$E1170=KARTU!$K$6),OR(KARTU!$K$7="",$F1170=KARTU!$K$7),OR(KARTU!$K$8="",$K1170=KARTU!$K$8)),MAX($Z$3:Z1169)+1,""))</f>
        <v/>
      </c>
    </row>
    <row r="1171" customFormat="false" ht="15" hidden="false" customHeight="false" outlineLevel="0" collapsed="false">
      <c r="A1171" s="36" t="str">
        <f aca="false">IF($B1171="","",COUNTA($B$4:$B1171))</f>
        <v/>
      </c>
      <c r="B1171" s="37"/>
      <c r="C1171" s="38"/>
      <c r="D1171" s="39"/>
      <c r="E1171" s="37"/>
      <c r="F1171" s="39"/>
      <c r="G1171" s="40" t="str">
        <f aca="false">IF(OR($E1171="",$F1171=""),"",$E1171&amp;" - RT "&amp;$F1171)</f>
        <v/>
      </c>
      <c r="H1171" s="37"/>
      <c r="I1171" s="38"/>
      <c r="J1171" s="37"/>
      <c r="K1171" s="39"/>
      <c r="L1171" s="41"/>
      <c r="M1171" s="36" t="str">
        <f aca="true">IF(OR($B1171="",$L1171=""),"",DATEDIF($L1171,TODAY(),"Y"))</f>
        <v/>
      </c>
      <c r="N1171" s="40" t="str">
        <f aca="false">IF($M1171="","",INDEX(usia_label,MATCH($M1171,usia_min,1)))</f>
        <v/>
      </c>
      <c r="O1171" s="37"/>
      <c r="P1171" s="41"/>
      <c r="Q1171" s="37"/>
      <c r="R1171" s="37"/>
      <c r="S1171" s="40" t="str">
        <f aca="false">IF($G1171="","",$G1171&amp;"#"&amp;COUNTIF($G$4:$G1171,$G1171))</f>
        <v/>
      </c>
      <c r="T1171" s="40" t="str">
        <f aca="false">IF($B1171="","",IF($C1171="","NIK kosong",IF(LEN($C1171)&lt;&gt;16,"NIK bukan 16 digit",IF(COUNTIF($C$4:$C$2003,$C1171&amp;"*")&gt;1,"NIK ganda",IF($E1171="","Kadus kosong",IF($F1171="","RT kosong",IF($H1171="","Jabatan kosong",IF($I1171="","No. HP kosong",IF($J1171="","Alamat kosong",IF(AND($M1171&lt;&gt;"",$M1171&lt;17),"Usia di bawah 17",""))))))))))</f>
        <v/>
      </c>
      <c r="U1171" s="40" t="str">
        <f aca="false">IF($B1171="","",IF(AND(OR(CARI!$C$5="",ISNUMBER(SEARCH(CARI!$C$5,$B1171&amp;" "&amp;$C1171&amp;" "&amp;$I1171&amp;" "&amp;$J1171&amp;" "&amp;$Q1171))),OR(CARI!$C$6="",$E1171=CARI!$C$6),OR(CARI!$C$7="",$F1171=CARI!$C$7),OR(CARI!$C$8="",$O1171=CARI!$C$8)),MAX($U$3:U1170)+1,""))</f>
        <v/>
      </c>
      <c r="V1171" s="40" t="str">
        <f aca="false">IF($T1171="","",MAX($V$3:V1170)+1)</f>
        <v/>
      </c>
      <c r="W1171" s="40" t="str">
        <f aca="false">IF($E1171="","",$E1171&amp;"#"&amp;COUNTIF($E$4:$E1171,$E1171))</f>
        <v/>
      </c>
      <c r="X1171" s="40" t="str">
        <f aca="false">IF($B1171="","",IF(AND(OR(CETAK!$J$10="",$E1171=CETAK!$J$10),OR(CETAK!$J$11="",$F1171=CETAK!$J$11),OR(CETAK!$J$12="",$K1171=CETAK!$J$12),OR(CETAK!$J$13="",$H1171=CETAK!$J$13),OR(CETAK!$J$14="",$O1171=CETAK!$J$14)),MAX($X$3:X1170)+1,""))</f>
        <v/>
      </c>
      <c r="Y1171" s="40" t="str">
        <f aca="false">IF($B1171="","",IF(AND(OR(ABSENSI!$H$10="",$E1171=ABSENSI!$H$10),OR(ABSENSI!$H$11="",$F1171=ABSENSI!$H$11),OR(ABSENSI!$H$12="",$K1171=ABSENSI!$H$12)),MAX($Y$3:Y1170)+1,""))</f>
        <v/>
      </c>
      <c r="Z1171" s="40" t="str">
        <f aca="false">IF($B1171="","",IF(AND(OR(KARTU!$K$6="",$E1171=KARTU!$K$6),OR(KARTU!$K$7="",$F1171=KARTU!$K$7),OR(KARTU!$K$8="",$K1171=KARTU!$K$8)),MAX($Z$3:Z1170)+1,""))</f>
        <v/>
      </c>
    </row>
    <row r="1172" customFormat="false" ht="15" hidden="false" customHeight="false" outlineLevel="0" collapsed="false">
      <c r="A1172" s="36" t="str">
        <f aca="false">IF($B1172="","",COUNTA($B$4:$B1172))</f>
        <v/>
      </c>
      <c r="B1172" s="37"/>
      <c r="C1172" s="38"/>
      <c r="D1172" s="39"/>
      <c r="E1172" s="37"/>
      <c r="F1172" s="39"/>
      <c r="G1172" s="40" t="str">
        <f aca="false">IF(OR($E1172="",$F1172=""),"",$E1172&amp;" - RT "&amp;$F1172)</f>
        <v/>
      </c>
      <c r="H1172" s="37"/>
      <c r="I1172" s="38"/>
      <c r="J1172" s="37"/>
      <c r="K1172" s="39"/>
      <c r="L1172" s="41"/>
      <c r="M1172" s="36" t="str">
        <f aca="true">IF(OR($B1172="",$L1172=""),"",DATEDIF($L1172,TODAY(),"Y"))</f>
        <v/>
      </c>
      <c r="N1172" s="40" t="str">
        <f aca="false">IF($M1172="","",INDEX(usia_label,MATCH($M1172,usia_min,1)))</f>
        <v/>
      </c>
      <c r="O1172" s="37"/>
      <c r="P1172" s="41"/>
      <c r="Q1172" s="37"/>
      <c r="R1172" s="37"/>
      <c r="S1172" s="40" t="str">
        <f aca="false">IF($G1172="","",$G1172&amp;"#"&amp;COUNTIF($G$4:$G1172,$G1172))</f>
        <v/>
      </c>
      <c r="T1172" s="40" t="str">
        <f aca="false">IF($B1172="","",IF($C1172="","NIK kosong",IF(LEN($C1172)&lt;&gt;16,"NIK bukan 16 digit",IF(COUNTIF($C$4:$C$2003,$C1172&amp;"*")&gt;1,"NIK ganda",IF($E1172="","Kadus kosong",IF($F1172="","RT kosong",IF($H1172="","Jabatan kosong",IF($I1172="","No. HP kosong",IF($J1172="","Alamat kosong",IF(AND($M1172&lt;&gt;"",$M1172&lt;17),"Usia di bawah 17",""))))))))))</f>
        <v/>
      </c>
      <c r="U1172" s="40" t="str">
        <f aca="false">IF($B1172="","",IF(AND(OR(CARI!$C$5="",ISNUMBER(SEARCH(CARI!$C$5,$B1172&amp;" "&amp;$C1172&amp;" "&amp;$I1172&amp;" "&amp;$J1172&amp;" "&amp;$Q1172))),OR(CARI!$C$6="",$E1172=CARI!$C$6),OR(CARI!$C$7="",$F1172=CARI!$C$7),OR(CARI!$C$8="",$O1172=CARI!$C$8)),MAX($U$3:U1171)+1,""))</f>
        <v/>
      </c>
      <c r="V1172" s="40" t="str">
        <f aca="false">IF($T1172="","",MAX($V$3:V1171)+1)</f>
        <v/>
      </c>
      <c r="W1172" s="40" t="str">
        <f aca="false">IF($E1172="","",$E1172&amp;"#"&amp;COUNTIF($E$4:$E1172,$E1172))</f>
        <v/>
      </c>
      <c r="X1172" s="40" t="str">
        <f aca="false">IF($B1172="","",IF(AND(OR(CETAK!$J$10="",$E1172=CETAK!$J$10),OR(CETAK!$J$11="",$F1172=CETAK!$J$11),OR(CETAK!$J$12="",$K1172=CETAK!$J$12),OR(CETAK!$J$13="",$H1172=CETAK!$J$13),OR(CETAK!$J$14="",$O1172=CETAK!$J$14)),MAX($X$3:X1171)+1,""))</f>
        <v/>
      </c>
      <c r="Y1172" s="40" t="str">
        <f aca="false">IF($B1172="","",IF(AND(OR(ABSENSI!$H$10="",$E1172=ABSENSI!$H$10),OR(ABSENSI!$H$11="",$F1172=ABSENSI!$H$11),OR(ABSENSI!$H$12="",$K1172=ABSENSI!$H$12)),MAX($Y$3:Y1171)+1,""))</f>
        <v/>
      </c>
      <c r="Z1172" s="40" t="str">
        <f aca="false">IF($B1172="","",IF(AND(OR(KARTU!$K$6="",$E1172=KARTU!$K$6),OR(KARTU!$K$7="",$F1172=KARTU!$K$7),OR(KARTU!$K$8="",$K1172=KARTU!$K$8)),MAX($Z$3:Z1171)+1,""))</f>
        <v/>
      </c>
    </row>
    <row r="1173" customFormat="false" ht="15" hidden="false" customHeight="false" outlineLevel="0" collapsed="false">
      <c r="A1173" s="36" t="str">
        <f aca="false">IF($B1173="","",COUNTA($B$4:$B1173))</f>
        <v/>
      </c>
      <c r="B1173" s="37"/>
      <c r="C1173" s="38"/>
      <c r="D1173" s="39"/>
      <c r="E1173" s="37"/>
      <c r="F1173" s="39"/>
      <c r="G1173" s="40" t="str">
        <f aca="false">IF(OR($E1173="",$F1173=""),"",$E1173&amp;" - RT "&amp;$F1173)</f>
        <v/>
      </c>
      <c r="H1173" s="37"/>
      <c r="I1173" s="38"/>
      <c r="J1173" s="37"/>
      <c r="K1173" s="39"/>
      <c r="L1173" s="41"/>
      <c r="M1173" s="36" t="str">
        <f aca="true">IF(OR($B1173="",$L1173=""),"",DATEDIF($L1173,TODAY(),"Y"))</f>
        <v/>
      </c>
      <c r="N1173" s="40" t="str">
        <f aca="false">IF($M1173="","",INDEX(usia_label,MATCH($M1173,usia_min,1)))</f>
        <v/>
      </c>
      <c r="O1173" s="37"/>
      <c r="P1173" s="41"/>
      <c r="Q1173" s="37"/>
      <c r="R1173" s="37"/>
      <c r="S1173" s="40" t="str">
        <f aca="false">IF($G1173="","",$G1173&amp;"#"&amp;COUNTIF($G$4:$G1173,$G1173))</f>
        <v/>
      </c>
      <c r="T1173" s="40" t="str">
        <f aca="false">IF($B1173="","",IF($C1173="","NIK kosong",IF(LEN($C1173)&lt;&gt;16,"NIK bukan 16 digit",IF(COUNTIF($C$4:$C$2003,$C1173&amp;"*")&gt;1,"NIK ganda",IF($E1173="","Kadus kosong",IF($F1173="","RT kosong",IF($H1173="","Jabatan kosong",IF($I1173="","No. HP kosong",IF($J1173="","Alamat kosong",IF(AND($M1173&lt;&gt;"",$M1173&lt;17),"Usia di bawah 17",""))))))))))</f>
        <v/>
      </c>
      <c r="U1173" s="40" t="str">
        <f aca="false">IF($B1173="","",IF(AND(OR(CARI!$C$5="",ISNUMBER(SEARCH(CARI!$C$5,$B1173&amp;" "&amp;$C1173&amp;" "&amp;$I1173&amp;" "&amp;$J1173&amp;" "&amp;$Q1173))),OR(CARI!$C$6="",$E1173=CARI!$C$6),OR(CARI!$C$7="",$F1173=CARI!$C$7),OR(CARI!$C$8="",$O1173=CARI!$C$8)),MAX($U$3:U1172)+1,""))</f>
        <v/>
      </c>
      <c r="V1173" s="40" t="str">
        <f aca="false">IF($T1173="","",MAX($V$3:V1172)+1)</f>
        <v/>
      </c>
      <c r="W1173" s="40" t="str">
        <f aca="false">IF($E1173="","",$E1173&amp;"#"&amp;COUNTIF($E$4:$E1173,$E1173))</f>
        <v/>
      </c>
      <c r="X1173" s="40" t="str">
        <f aca="false">IF($B1173="","",IF(AND(OR(CETAK!$J$10="",$E1173=CETAK!$J$10),OR(CETAK!$J$11="",$F1173=CETAK!$J$11),OR(CETAK!$J$12="",$K1173=CETAK!$J$12),OR(CETAK!$J$13="",$H1173=CETAK!$J$13),OR(CETAK!$J$14="",$O1173=CETAK!$J$14)),MAX($X$3:X1172)+1,""))</f>
        <v/>
      </c>
      <c r="Y1173" s="40" t="str">
        <f aca="false">IF($B1173="","",IF(AND(OR(ABSENSI!$H$10="",$E1173=ABSENSI!$H$10),OR(ABSENSI!$H$11="",$F1173=ABSENSI!$H$11),OR(ABSENSI!$H$12="",$K1173=ABSENSI!$H$12)),MAX($Y$3:Y1172)+1,""))</f>
        <v/>
      </c>
      <c r="Z1173" s="40" t="str">
        <f aca="false">IF($B1173="","",IF(AND(OR(KARTU!$K$6="",$E1173=KARTU!$K$6),OR(KARTU!$K$7="",$F1173=KARTU!$K$7),OR(KARTU!$K$8="",$K1173=KARTU!$K$8)),MAX($Z$3:Z1172)+1,""))</f>
        <v/>
      </c>
    </row>
    <row r="1174" customFormat="false" ht="15" hidden="false" customHeight="false" outlineLevel="0" collapsed="false">
      <c r="A1174" s="36" t="str">
        <f aca="false">IF($B1174="","",COUNTA($B$4:$B1174))</f>
        <v/>
      </c>
      <c r="B1174" s="37"/>
      <c r="C1174" s="38"/>
      <c r="D1174" s="39"/>
      <c r="E1174" s="37"/>
      <c r="F1174" s="39"/>
      <c r="G1174" s="40" t="str">
        <f aca="false">IF(OR($E1174="",$F1174=""),"",$E1174&amp;" - RT "&amp;$F1174)</f>
        <v/>
      </c>
      <c r="H1174" s="37"/>
      <c r="I1174" s="38"/>
      <c r="J1174" s="37"/>
      <c r="K1174" s="39"/>
      <c r="L1174" s="41"/>
      <c r="M1174" s="36" t="str">
        <f aca="true">IF(OR($B1174="",$L1174=""),"",DATEDIF($L1174,TODAY(),"Y"))</f>
        <v/>
      </c>
      <c r="N1174" s="40" t="str">
        <f aca="false">IF($M1174="","",INDEX(usia_label,MATCH($M1174,usia_min,1)))</f>
        <v/>
      </c>
      <c r="O1174" s="37"/>
      <c r="P1174" s="41"/>
      <c r="Q1174" s="37"/>
      <c r="R1174" s="37"/>
      <c r="S1174" s="40" t="str">
        <f aca="false">IF($G1174="","",$G1174&amp;"#"&amp;COUNTIF($G$4:$G1174,$G1174))</f>
        <v/>
      </c>
      <c r="T1174" s="40" t="str">
        <f aca="false">IF($B1174="","",IF($C1174="","NIK kosong",IF(LEN($C1174)&lt;&gt;16,"NIK bukan 16 digit",IF(COUNTIF($C$4:$C$2003,$C1174&amp;"*")&gt;1,"NIK ganda",IF($E1174="","Kadus kosong",IF($F1174="","RT kosong",IF($H1174="","Jabatan kosong",IF($I1174="","No. HP kosong",IF($J1174="","Alamat kosong",IF(AND($M1174&lt;&gt;"",$M1174&lt;17),"Usia di bawah 17",""))))))))))</f>
        <v/>
      </c>
      <c r="U1174" s="40" t="str">
        <f aca="false">IF($B1174="","",IF(AND(OR(CARI!$C$5="",ISNUMBER(SEARCH(CARI!$C$5,$B1174&amp;" "&amp;$C1174&amp;" "&amp;$I1174&amp;" "&amp;$J1174&amp;" "&amp;$Q1174))),OR(CARI!$C$6="",$E1174=CARI!$C$6),OR(CARI!$C$7="",$F1174=CARI!$C$7),OR(CARI!$C$8="",$O1174=CARI!$C$8)),MAX($U$3:U1173)+1,""))</f>
        <v/>
      </c>
      <c r="V1174" s="40" t="str">
        <f aca="false">IF($T1174="","",MAX($V$3:V1173)+1)</f>
        <v/>
      </c>
      <c r="W1174" s="40" t="str">
        <f aca="false">IF($E1174="","",$E1174&amp;"#"&amp;COUNTIF($E$4:$E1174,$E1174))</f>
        <v/>
      </c>
      <c r="X1174" s="40" t="str">
        <f aca="false">IF($B1174="","",IF(AND(OR(CETAK!$J$10="",$E1174=CETAK!$J$10),OR(CETAK!$J$11="",$F1174=CETAK!$J$11),OR(CETAK!$J$12="",$K1174=CETAK!$J$12),OR(CETAK!$J$13="",$H1174=CETAK!$J$13),OR(CETAK!$J$14="",$O1174=CETAK!$J$14)),MAX($X$3:X1173)+1,""))</f>
        <v/>
      </c>
      <c r="Y1174" s="40" t="str">
        <f aca="false">IF($B1174="","",IF(AND(OR(ABSENSI!$H$10="",$E1174=ABSENSI!$H$10),OR(ABSENSI!$H$11="",$F1174=ABSENSI!$H$11),OR(ABSENSI!$H$12="",$K1174=ABSENSI!$H$12)),MAX($Y$3:Y1173)+1,""))</f>
        <v/>
      </c>
      <c r="Z1174" s="40" t="str">
        <f aca="false">IF($B1174="","",IF(AND(OR(KARTU!$K$6="",$E1174=KARTU!$K$6),OR(KARTU!$K$7="",$F1174=KARTU!$K$7),OR(KARTU!$K$8="",$K1174=KARTU!$K$8)),MAX($Z$3:Z1173)+1,""))</f>
        <v/>
      </c>
    </row>
    <row r="1175" customFormat="false" ht="15" hidden="false" customHeight="false" outlineLevel="0" collapsed="false">
      <c r="A1175" s="36" t="str">
        <f aca="false">IF($B1175="","",COUNTA($B$4:$B1175))</f>
        <v/>
      </c>
      <c r="B1175" s="37"/>
      <c r="C1175" s="38"/>
      <c r="D1175" s="39"/>
      <c r="E1175" s="37"/>
      <c r="F1175" s="39"/>
      <c r="G1175" s="40" t="str">
        <f aca="false">IF(OR($E1175="",$F1175=""),"",$E1175&amp;" - RT "&amp;$F1175)</f>
        <v/>
      </c>
      <c r="H1175" s="37"/>
      <c r="I1175" s="38"/>
      <c r="J1175" s="37"/>
      <c r="K1175" s="39"/>
      <c r="L1175" s="41"/>
      <c r="M1175" s="36" t="str">
        <f aca="true">IF(OR($B1175="",$L1175=""),"",DATEDIF($L1175,TODAY(),"Y"))</f>
        <v/>
      </c>
      <c r="N1175" s="40" t="str">
        <f aca="false">IF($M1175="","",INDEX(usia_label,MATCH($M1175,usia_min,1)))</f>
        <v/>
      </c>
      <c r="O1175" s="37"/>
      <c r="P1175" s="41"/>
      <c r="Q1175" s="37"/>
      <c r="R1175" s="37"/>
      <c r="S1175" s="40" t="str">
        <f aca="false">IF($G1175="","",$G1175&amp;"#"&amp;COUNTIF($G$4:$G1175,$G1175))</f>
        <v/>
      </c>
      <c r="T1175" s="40" t="str">
        <f aca="false">IF($B1175="","",IF($C1175="","NIK kosong",IF(LEN($C1175)&lt;&gt;16,"NIK bukan 16 digit",IF(COUNTIF($C$4:$C$2003,$C1175&amp;"*")&gt;1,"NIK ganda",IF($E1175="","Kadus kosong",IF($F1175="","RT kosong",IF($H1175="","Jabatan kosong",IF($I1175="","No. HP kosong",IF($J1175="","Alamat kosong",IF(AND($M1175&lt;&gt;"",$M1175&lt;17),"Usia di bawah 17",""))))))))))</f>
        <v/>
      </c>
      <c r="U1175" s="40" t="str">
        <f aca="false">IF($B1175="","",IF(AND(OR(CARI!$C$5="",ISNUMBER(SEARCH(CARI!$C$5,$B1175&amp;" "&amp;$C1175&amp;" "&amp;$I1175&amp;" "&amp;$J1175&amp;" "&amp;$Q1175))),OR(CARI!$C$6="",$E1175=CARI!$C$6),OR(CARI!$C$7="",$F1175=CARI!$C$7),OR(CARI!$C$8="",$O1175=CARI!$C$8)),MAX($U$3:U1174)+1,""))</f>
        <v/>
      </c>
      <c r="V1175" s="40" t="str">
        <f aca="false">IF($T1175="","",MAX($V$3:V1174)+1)</f>
        <v/>
      </c>
      <c r="W1175" s="40" t="str">
        <f aca="false">IF($E1175="","",$E1175&amp;"#"&amp;COUNTIF($E$4:$E1175,$E1175))</f>
        <v/>
      </c>
      <c r="X1175" s="40" t="str">
        <f aca="false">IF($B1175="","",IF(AND(OR(CETAK!$J$10="",$E1175=CETAK!$J$10),OR(CETAK!$J$11="",$F1175=CETAK!$J$11),OR(CETAK!$J$12="",$K1175=CETAK!$J$12),OR(CETAK!$J$13="",$H1175=CETAK!$J$13),OR(CETAK!$J$14="",$O1175=CETAK!$J$14)),MAX($X$3:X1174)+1,""))</f>
        <v/>
      </c>
      <c r="Y1175" s="40" t="str">
        <f aca="false">IF($B1175="","",IF(AND(OR(ABSENSI!$H$10="",$E1175=ABSENSI!$H$10),OR(ABSENSI!$H$11="",$F1175=ABSENSI!$H$11),OR(ABSENSI!$H$12="",$K1175=ABSENSI!$H$12)),MAX($Y$3:Y1174)+1,""))</f>
        <v/>
      </c>
      <c r="Z1175" s="40" t="str">
        <f aca="false">IF($B1175="","",IF(AND(OR(KARTU!$K$6="",$E1175=KARTU!$K$6),OR(KARTU!$K$7="",$F1175=KARTU!$K$7),OR(KARTU!$K$8="",$K1175=KARTU!$K$8)),MAX($Z$3:Z1174)+1,""))</f>
        <v/>
      </c>
    </row>
    <row r="1176" customFormat="false" ht="15" hidden="false" customHeight="false" outlineLevel="0" collapsed="false">
      <c r="A1176" s="36" t="str">
        <f aca="false">IF($B1176="","",COUNTA($B$4:$B1176))</f>
        <v/>
      </c>
      <c r="B1176" s="37"/>
      <c r="C1176" s="38"/>
      <c r="D1176" s="39"/>
      <c r="E1176" s="37"/>
      <c r="F1176" s="39"/>
      <c r="G1176" s="40" t="str">
        <f aca="false">IF(OR($E1176="",$F1176=""),"",$E1176&amp;" - RT "&amp;$F1176)</f>
        <v/>
      </c>
      <c r="H1176" s="37"/>
      <c r="I1176" s="38"/>
      <c r="J1176" s="37"/>
      <c r="K1176" s="39"/>
      <c r="L1176" s="41"/>
      <c r="M1176" s="36" t="str">
        <f aca="true">IF(OR($B1176="",$L1176=""),"",DATEDIF($L1176,TODAY(),"Y"))</f>
        <v/>
      </c>
      <c r="N1176" s="40" t="str">
        <f aca="false">IF($M1176="","",INDEX(usia_label,MATCH($M1176,usia_min,1)))</f>
        <v/>
      </c>
      <c r="O1176" s="37"/>
      <c r="P1176" s="41"/>
      <c r="Q1176" s="37"/>
      <c r="R1176" s="37"/>
      <c r="S1176" s="40" t="str">
        <f aca="false">IF($G1176="","",$G1176&amp;"#"&amp;COUNTIF($G$4:$G1176,$G1176))</f>
        <v/>
      </c>
      <c r="T1176" s="40" t="str">
        <f aca="false">IF($B1176="","",IF($C1176="","NIK kosong",IF(LEN($C1176)&lt;&gt;16,"NIK bukan 16 digit",IF(COUNTIF($C$4:$C$2003,$C1176&amp;"*")&gt;1,"NIK ganda",IF($E1176="","Kadus kosong",IF($F1176="","RT kosong",IF($H1176="","Jabatan kosong",IF($I1176="","No. HP kosong",IF($J1176="","Alamat kosong",IF(AND($M1176&lt;&gt;"",$M1176&lt;17),"Usia di bawah 17",""))))))))))</f>
        <v/>
      </c>
      <c r="U1176" s="40" t="str">
        <f aca="false">IF($B1176="","",IF(AND(OR(CARI!$C$5="",ISNUMBER(SEARCH(CARI!$C$5,$B1176&amp;" "&amp;$C1176&amp;" "&amp;$I1176&amp;" "&amp;$J1176&amp;" "&amp;$Q1176))),OR(CARI!$C$6="",$E1176=CARI!$C$6),OR(CARI!$C$7="",$F1176=CARI!$C$7),OR(CARI!$C$8="",$O1176=CARI!$C$8)),MAX($U$3:U1175)+1,""))</f>
        <v/>
      </c>
      <c r="V1176" s="40" t="str">
        <f aca="false">IF($T1176="","",MAX($V$3:V1175)+1)</f>
        <v/>
      </c>
      <c r="W1176" s="40" t="str">
        <f aca="false">IF($E1176="","",$E1176&amp;"#"&amp;COUNTIF($E$4:$E1176,$E1176))</f>
        <v/>
      </c>
      <c r="X1176" s="40" t="str">
        <f aca="false">IF($B1176="","",IF(AND(OR(CETAK!$J$10="",$E1176=CETAK!$J$10),OR(CETAK!$J$11="",$F1176=CETAK!$J$11),OR(CETAK!$J$12="",$K1176=CETAK!$J$12),OR(CETAK!$J$13="",$H1176=CETAK!$J$13),OR(CETAK!$J$14="",$O1176=CETAK!$J$14)),MAX($X$3:X1175)+1,""))</f>
        <v/>
      </c>
      <c r="Y1176" s="40" t="str">
        <f aca="false">IF($B1176="","",IF(AND(OR(ABSENSI!$H$10="",$E1176=ABSENSI!$H$10),OR(ABSENSI!$H$11="",$F1176=ABSENSI!$H$11),OR(ABSENSI!$H$12="",$K1176=ABSENSI!$H$12)),MAX($Y$3:Y1175)+1,""))</f>
        <v/>
      </c>
      <c r="Z1176" s="40" t="str">
        <f aca="false">IF($B1176="","",IF(AND(OR(KARTU!$K$6="",$E1176=KARTU!$K$6),OR(KARTU!$K$7="",$F1176=KARTU!$K$7),OR(KARTU!$K$8="",$K1176=KARTU!$K$8)),MAX($Z$3:Z1175)+1,""))</f>
        <v/>
      </c>
    </row>
    <row r="1177" customFormat="false" ht="15" hidden="false" customHeight="false" outlineLevel="0" collapsed="false">
      <c r="A1177" s="36" t="str">
        <f aca="false">IF($B1177="","",COUNTA($B$4:$B1177))</f>
        <v/>
      </c>
      <c r="B1177" s="37"/>
      <c r="C1177" s="38"/>
      <c r="D1177" s="39"/>
      <c r="E1177" s="37"/>
      <c r="F1177" s="39"/>
      <c r="G1177" s="40" t="str">
        <f aca="false">IF(OR($E1177="",$F1177=""),"",$E1177&amp;" - RT "&amp;$F1177)</f>
        <v/>
      </c>
      <c r="H1177" s="37"/>
      <c r="I1177" s="38"/>
      <c r="J1177" s="37"/>
      <c r="K1177" s="39"/>
      <c r="L1177" s="41"/>
      <c r="M1177" s="36" t="str">
        <f aca="true">IF(OR($B1177="",$L1177=""),"",DATEDIF($L1177,TODAY(),"Y"))</f>
        <v/>
      </c>
      <c r="N1177" s="40" t="str">
        <f aca="false">IF($M1177="","",INDEX(usia_label,MATCH($M1177,usia_min,1)))</f>
        <v/>
      </c>
      <c r="O1177" s="37"/>
      <c r="P1177" s="41"/>
      <c r="Q1177" s="37"/>
      <c r="R1177" s="37"/>
      <c r="S1177" s="40" t="str">
        <f aca="false">IF($G1177="","",$G1177&amp;"#"&amp;COUNTIF($G$4:$G1177,$G1177))</f>
        <v/>
      </c>
      <c r="T1177" s="40" t="str">
        <f aca="false">IF($B1177="","",IF($C1177="","NIK kosong",IF(LEN($C1177)&lt;&gt;16,"NIK bukan 16 digit",IF(COUNTIF($C$4:$C$2003,$C1177&amp;"*")&gt;1,"NIK ganda",IF($E1177="","Kadus kosong",IF($F1177="","RT kosong",IF($H1177="","Jabatan kosong",IF($I1177="","No. HP kosong",IF($J1177="","Alamat kosong",IF(AND($M1177&lt;&gt;"",$M1177&lt;17),"Usia di bawah 17",""))))))))))</f>
        <v/>
      </c>
      <c r="U1177" s="40" t="str">
        <f aca="false">IF($B1177="","",IF(AND(OR(CARI!$C$5="",ISNUMBER(SEARCH(CARI!$C$5,$B1177&amp;" "&amp;$C1177&amp;" "&amp;$I1177&amp;" "&amp;$J1177&amp;" "&amp;$Q1177))),OR(CARI!$C$6="",$E1177=CARI!$C$6),OR(CARI!$C$7="",$F1177=CARI!$C$7),OR(CARI!$C$8="",$O1177=CARI!$C$8)),MAX($U$3:U1176)+1,""))</f>
        <v/>
      </c>
      <c r="V1177" s="40" t="str">
        <f aca="false">IF($T1177="","",MAX($V$3:V1176)+1)</f>
        <v/>
      </c>
      <c r="W1177" s="40" t="str">
        <f aca="false">IF($E1177="","",$E1177&amp;"#"&amp;COUNTIF($E$4:$E1177,$E1177))</f>
        <v/>
      </c>
      <c r="X1177" s="40" t="str">
        <f aca="false">IF($B1177="","",IF(AND(OR(CETAK!$J$10="",$E1177=CETAK!$J$10),OR(CETAK!$J$11="",$F1177=CETAK!$J$11),OR(CETAK!$J$12="",$K1177=CETAK!$J$12),OR(CETAK!$J$13="",$H1177=CETAK!$J$13),OR(CETAK!$J$14="",$O1177=CETAK!$J$14)),MAX($X$3:X1176)+1,""))</f>
        <v/>
      </c>
      <c r="Y1177" s="40" t="str">
        <f aca="false">IF($B1177="","",IF(AND(OR(ABSENSI!$H$10="",$E1177=ABSENSI!$H$10),OR(ABSENSI!$H$11="",$F1177=ABSENSI!$H$11),OR(ABSENSI!$H$12="",$K1177=ABSENSI!$H$12)),MAX($Y$3:Y1176)+1,""))</f>
        <v/>
      </c>
      <c r="Z1177" s="40" t="str">
        <f aca="false">IF($B1177="","",IF(AND(OR(KARTU!$K$6="",$E1177=KARTU!$K$6),OR(KARTU!$K$7="",$F1177=KARTU!$K$7),OR(KARTU!$K$8="",$K1177=KARTU!$K$8)),MAX($Z$3:Z1176)+1,""))</f>
        <v/>
      </c>
    </row>
    <row r="1178" customFormat="false" ht="15" hidden="false" customHeight="false" outlineLevel="0" collapsed="false">
      <c r="A1178" s="36" t="str">
        <f aca="false">IF($B1178="","",COUNTA($B$4:$B1178))</f>
        <v/>
      </c>
      <c r="B1178" s="37"/>
      <c r="C1178" s="38"/>
      <c r="D1178" s="39"/>
      <c r="E1178" s="37"/>
      <c r="F1178" s="39"/>
      <c r="G1178" s="40" t="str">
        <f aca="false">IF(OR($E1178="",$F1178=""),"",$E1178&amp;" - RT "&amp;$F1178)</f>
        <v/>
      </c>
      <c r="H1178" s="37"/>
      <c r="I1178" s="38"/>
      <c r="J1178" s="37"/>
      <c r="K1178" s="39"/>
      <c r="L1178" s="41"/>
      <c r="M1178" s="36" t="str">
        <f aca="true">IF(OR($B1178="",$L1178=""),"",DATEDIF($L1178,TODAY(),"Y"))</f>
        <v/>
      </c>
      <c r="N1178" s="40" t="str">
        <f aca="false">IF($M1178="","",INDEX(usia_label,MATCH($M1178,usia_min,1)))</f>
        <v/>
      </c>
      <c r="O1178" s="37"/>
      <c r="P1178" s="41"/>
      <c r="Q1178" s="37"/>
      <c r="R1178" s="37"/>
      <c r="S1178" s="40" t="str">
        <f aca="false">IF($G1178="","",$G1178&amp;"#"&amp;COUNTIF($G$4:$G1178,$G1178))</f>
        <v/>
      </c>
      <c r="T1178" s="40" t="str">
        <f aca="false">IF($B1178="","",IF($C1178="","NIK kosong",IF(LEN($C1178)&lt;&gt;16,"NIK bukan 16 digit",IF(COUNTIF($C$4:$C$2003,$C1178&amp;"*")&gt;1,"NIK ganda",IF($E1178="","Kadus kosong",IF($F1178="","RT kosong",IF($H1178="","Jabatan kosong",IF($I1178="","No. HP kosong",IF($J1178="","Alamat kosong",IF(AND($M1178&lt;&gt;"",$M1178&lt;17),"Usia di bawah 17",""))))))))))</f>
        <v/>
      </c>
      <c r="U1178" s="40" t="str">
        <f aca="false">IF($B1178="","",IF(AND(OR(CARI!$C$5="",ISNUMBER(SEARCH(CARI!$C$5,$B1178&amp;" "&amp;$C1178&amp;" "&amp;$I1178&amp;" "&amp;$J1178&amp;" "&amp;$Q1178))),OR(CARI!$C$6="",$E1178=CARI!$C$6),OR(CARI!$C$7="",$F1178=CARI!$C$7),OR(CARI!$C$8="",$O1178=CARI!$C$8)),MAX($U$3:U1177)+1,""))</f>
        <v/>
      </c>
      <c r="V1178" s="40" t="str">
        <f aca="false">IF($T1178="","",MAX($V$3:V1177)+1)</f>
        <v/>
      </c>
      <c r="W1178" s="40" t="str">
        <f aca="false">IF($E1178="","",$E1178&amp;"#"&amp;COUNTIF($E$4:$E1178,$E1178))</f>
        <v/>
      </c>
      <c r="X1178" s="40" t="str">
        <f aca="false">IF($B1178="","",IF(AND(OR(CETAK!$J$10="",$E1178=CETAK!$J$10),OR(CETAK!$J$11="",$F1178=CETAK!$J$11),OR(CETAK!$J$12="",$K1178=CETAK!$J$12),OR(CETAK!$J$13="",$H1178=CETAK!$J$13),OR(CETAK!$J$14="",$O1178=CETAK!$J$14)),MAX($X$3:X1177)+1,""))</f>
        <v/>
      </c>
      <c r="Y1178" s="40" t="str">
        <f aca="false">IF($B1178="","",IF(AND(OR(ABSENSI!$H$10="",$E1178=ABSENSI!$H$10),OR(ABSENSI!$H$11="",$F1178=ABSENSI!$H$11),OR(ABSENSI!$H$12="",$K1178=ABSENSI!$H$12)),MAX($Y$3:Y1177)+1,""))</f>
        <v/>
      </c>
      <c r="Z1178" s="40" t="str">
        <f aca="false">IF($B1178="","",IF(AND(OR(KARTU!$K$6="",$E1178=KARTU!$K$6),OR(KARTU!$K$7="",$F1178=KARTU!$K$7),OR(KARTU!$K$8="",$K1178=KARTU!$K$8)),MAX($Z$3:Z1177)+1,""))</f>
        <v/>
      </c>
    </row>
    <row r="1179" customFormat="false" ht="15" hidden="false" customHeight="false" outlineLevel="0" collapsed="false">
      <c r="A1179" s="36" t="str">
        <f aca="false">IF($B1179="","",COUNTA($B$4:$B1179))</f>
        <v/>
      </c>
      <c r="B1179" s="37"/>
      <c r="C1179" s="38"/>
      <c r="D1179" s="39"/>
      <c r="E1179" s="37"/>
      <c r="F1179" s="39"/>
      <c r="G1179" s="40" t="str">
        <f aca="false">IF(OR($E1179="",$F1179=""),"",$E1179&amp;" - RT "&amp;$F1179)</f>
        <v/>
      </c>
      <c r="H1179" s="37"/>
      <c r="I1179" s="38"/>
      <c r="J1179" s="37"/>
      <c r="K1179" s="39"/>
      <c r="L1179" s="41"/>
      <c r="M1179" s="36" t="str">
        <f aca="true">IF(OR($B1179="",$L1179=""),"",DATEDIF($L1179,TODAY(),"Y"))</f>
        <v/>
      </c>
      <c r="N1179" s="40" t="str">
        <f aca="false">IF($M1179="","",INDEX(usia_label,MATCH($M1179,usia_min,1)))</f>
        <v/>
      </c>
      <c r="O1179" s="37"/>
      <c r="P1179" s="41"/>
      <c r="Q1179" s="37"/>
      <c r="R1179" s="37"/>
      <c r="S1179" s="40" t="str">
        <f aca="false">IF($G1179="","",$G1179&amp;"#"&amp;COUNTIF($G$4:$G1179,$G1179))</f>
        <v/>
      </c>
      <c r="T1179" s="40" t="str">
        <f aca="false">IF($B1179="","",IF($C1179="","NIK kosong",IF(LEN($C1179)&lt;&gt;16,"NIK bukan 16 digit",IF(COUNTIF($C$4:$C$2003,$C1179&amp;"*")&gt;1,"NIK ganda",IF($E1179="","Kadus kosong",IF($F1179="","RT kosong",IF($H1179="","Jabatan kosong",IF($I1179="","No. HP kosong",IF($J1179="","Alamat kosong",IF(AND($M1179&lt;&gt;"",$M1179&lt;17),"Usia di bawah 17",""))))))))))</f>
        <v/>
      </c>
      <c r="U1179" s="40" t="str">
        <f aca="false">IF($B1179="","",IF(AND(OR(CARI!$C$5="",ISNUMBER(SEARCH(CARI!$C$5,$B1179&amp;" "&amp;$C1179&amp;" "&amp;$I1179&amp;" "&amp;$J1179&amp;" "&amp;$Q1179))),OR(CARI!$C$6="",$E1179=CARI!$C$6),OR(CARI!$C$7="",$F1179=CARI!$C$7),OR(CARI!$C$8="",$O1179=CARI!$C$8)),MAX($U$3:U1178)+1,""))</f>
        <v/>
      </c>
      <c r="V1179" s="40" t="str">
        <f aca="false">IF($T1179="","",MAX($V$3:V1178)+1)</f>
        <v/>
      </c>
      <c r="W1179" s="40" t="str">
        <f aca="false">IF($E1179="","",$E1179&amp;"#"&amp;COUNTIF($E$4:$E1179,$E1179))</f>
        <v/>
      </c>
      <c r="X1179" s="40" t="str">
        <f aca="false">IF($B1179="","",IF(AND(OR(CETAK!$J$10="",$E1179=CETAK!$J$10),OR(CETAK!$J$11="",$F1179=CETAK!$J$11),OR(CETAK!$J$12="",$K1179=CETAK!$J$12),OR(CETAK!$J$13="",$H1179=CETAK!$J$13),OR(CETAK!$J$14="",$O1179=CETAK!$J$14)),MAX($X$3:X1178)+1,""))</f>
        <v/>
      </c>
      <c r="Y1179" s="40" t="str">
        <f aca="false">IF($B1179="","",IF(AND(OR(ABSENSI!$H$10="",$E1179=ABSENSI!$H$10),OR(ABSENSI!$H$11="",$F1179=ABSENSI!$H$11),OR(ABSENSI!$H$12="",$K1179=ABSENSI!$H$12)),MAX($Y$3:Y1178)+1,""))</f>
        <v/>
      </c>
      <c r="Z1179" s="40" t="str">
        <f aca="false">IF($B1179="","",IF(AND(OR(KARTU!$K$6="",$E1179=KARTU!$K$6),OR(KARTU!$K$7="",$F1179=KARTU!$K$7),OR(KARTU!$K$8="",$K1179=KARTU!$K$8)),MAX($Z$3:Z1178)+1,""))</f>
        <v/>
      </c>
    </row>
    <row r="1180" customFormat="false" ht="15" hidden="false" customHeight="false" outlineLevel="0" collapsed="false">
      <c r="A1180" s="36" t="str">
        <f aca="false">IF($B1180="","",COUNTA($B$4:$B1180))</f>
        <v/>
      </c>
      <c r="B1180" s="37"/>
      <c r="C1180" s="38"/>
      <c r="D1180" s="39"/>
      <c r="E1180" s="37"/>
      <c r="F1180" s="39"/>
      <c r="G1180" s="40" t="str">
        <f aca="false">IF(OR($E1180="",$F1180=""),"",$E1180&amp;" - RT "&amp;$F1180)</f>
        <v/>
      </c>
      <c r="H1180" s="37"/>
      <c r="I1180" s="38"/>
      <c r="J1180" s="37"/>
      <c r="K1180" s="39"/>
      <c r="L1180" s="41"/>
      <c r="M1180" s="36" t="str">
        <f aca="true">IF(OR($B1180="",$L1180=""),"",DATEDIF($L1180,TODAY(),"Y"))</f>
        <v/>
      </c>
      <c r="N1180" s="40" t="str">
        <f aca="false">IF($M1180="","",INDEX(usia_label,MATCH($M1180,usia_min,1)))</f>
        <v/>
      </c>
      <c r="O1180" s="37"/>
      <c r="P1180" s="41"/>
      <c r="Q1180" s="37"/>
      <c r="R1180" s="37"/>
      <c r="S1180" s="40" t="str">
        <f aca="false">IF($G1180="","",$G1180&amp;"#"&amp;COUNTIF($G$4:$G1180,$G1180))</f>
        <v/>
      </c>
      <c r="T1180" s="40" t="str">
        <f aca="false">IF($B1180="","",IF($C1180="","NIK kosong",IF(LEN($C1180)&lt;&gt;16,"NIK bukan 16 digit",IF(COUNTIF($C$4:$C$2003,$C1180&amp;"*")&gt;1,"NIK ganda",IF($E1180="","Kadus kosong",IF($F1180="","RT kosong",IF($H1180="","Jabatan kosong",IF($I1180="","No. HP kosong",IF($J1180="","Alamat kosong",IF(AND($M1180&lt;&gt;"",$M1180&lt;17),"Usia di bawah 17",""))))))))))</f>
        <v/>
      </c>
      <c r="U1180" s="40" t="str">
        <f aca="false">IF($B1180="","",IF(AND(OR(CARI!$C$5="",ISNUMBER(SEARCH(CARI!$C$5,$B1180&amp;" "&amp;$C1180&amp;" "&amp;$I1180&amp;" "&amp;$J1180&amp;" "&amp;$Q1180))),OR(CARI!$C$6="",$E1180=CARI!$C$6),OR(CARI!$C$7="",$F1180=CARI!$C$7),OR(CARI!$C$8="",$O1180=CARI!$C$8)),MAX($U$3:U1179)+1,""))</f>
        <v/>
      </c>
      <c r="V1180" s="40" t="str">
        <f aca="false">IF($T1180="","",MAX($V$3:V1179)+1)</f>
        <v/>
      </c>
      <c r="W1180" s="40" t="str">
        <f aca="false">IF($E1180="","",$E1180&amp;"#"&amp;COUNTIF($E$4:$E1180,$E1180))</f>
        <v/>
      </c>
      <c r="X1180" s="40" t="str">
        <f aca="false">IF($B1180="","",IF(AND(OR(CETAK!$J$10="",$E1180=CETAK!$J$10),OR(CETAK!$J$11="",$F1180=CETAK!$J$11),OR(CETAK!$J$12="",$K1180=CETAK!$J$12),OR(CETAK!$J$13="",$H1180=CETAK!$J$13),OR(CETAK!$J$14="",$O1180=CETAK!$J$14)),MAX($X$3:X1179)+1,""))</f>
        <v/>
      </c>
      <c r="Y1180" s="40" t="str">
        <f aca="false">IF($B1180="","",IF(AND(OR(ABSENSI!$H$10="",$E1180=ABSENSI!$H$10),OR(ABSENSI!$H$11="",$F1180=ABSENSI!$H$11),OR(ABSENSI!$H$12="",$K1180=ABSENSI!$H$12)),MAX($Y$3:Y1179)+1,""))</f>
        <v/>
      </c>
      <c r="Z1180" s="40" t="str">
        <f aca="false">IF($B1180="","",IF(AND(OR(KARTU!$K$6="",$E1180=KARTU!$K$6),OR(KARTU!$K$7="",$F1180=KARTU!$K$7),OR(KARTU!$K$8="",$K1180=KARTU!$K$8)),MAX($Z$3:Z1179)+1,""))</f>
        <v/>
      </c>
    </row>
    <row r="1181" customFormat="false" ht="15" hidden="false" customHeight="false" outlineLevel="0" collapsed="false">
      <c r="A1181" s="36" t="str">
        <f aca="false">IF($B1181="","",COUNTA($B$4:$B1181))</f>
        <v/>
      </c>
      <c r="B1181" s="37"/>
      <c r="C1181" s="38"/>
      <c r="D1181" s="39"/>
      <c r="E1181" s="37"/>
      <c r="F1181" s="39"/>
      <c r="G1181" s="40" t="str">
        <f aca="false">IF(OR($E1181="",$F1181=""),"",$E1181&amp;" - RT "&amp;$F1181)</f>
        <v/>
      </c>
      <c r="H1181" s="37"/>
      <c r="I1181" s="38"/>
      <c r="J1181" s="37"/>
      <c r="K1181" s="39"/>
      <c r="L1181" s="41"/>
      <c r="M1181" s="36" t="str">
        <f aca="true">IF(OR($B1181="",$L1181=""),"",DATEDIF($L1181,TODAY(),"Y"))</f>
        <v/>
      </c>
      <c r="N1181" s="40" t="str">
        <f aca="false">IF($M1181="","",INDEX(usia_label,MATCH($M1181,usia_min,1)))</f>
        <v/>
      </c>
      <c r="O1181" s="37"/>
      <c r="P1181" s="41"/>
      <c r="Q1181" s="37"/>
      <c r="R1181" s="37"/>
      <c r="S1181" s="40" t="str">
        <f aca="false">IF($G1181="","",$G1181&amp;"#"&amp;COUNTIF($G$4:$G1181,$G1181))</f>
        <v/>
      </c>
      <c r="T1181" s="40" t="str">
        <f aca="false">IF($B1181="","",IF($C1181="","NIK kosong",IF(LEN($C1181)&lt;&gt;16,"NIK bukan 16 digit",IF(COUNTIF($C$4:$C$2003,$C1181&amp;"*")&gt;1,"NIK ganda",IF($E1181="","Kadus kosong",IF($F1181="","RT kosong",IF($H1181="","Jabatan kosong",IF($I1181="","No. HP kosong",IF($J1181="","Alamat kosong",IF(AND($M1181&lt;&gt;"",$M1181&lt;17),"Usia di bawah 17",""))))))))))</f>
        <v/>
      </c>
      <c r="U1181" s="40" t="str">
        <f aca="false">IF($B1181="","",IF(AND(OR(CARI!$C$5="",ISNUMBER(SEARCH(CARI!$C$5,$B1181&amp;" "&amp;$C1181&amp;" "&amp;$I1181&amp;" "&amp;$J1181&amp;" "&amp;$Q1181))),OR(CARI!$C$6="",$E1181=CARI!$C$6),OR(CARI!$C$7="",$F1181=CARI!$C$7),OR(CARI!$C$8="",$O1181=CARI!$C$8)),MAX($U$3:U1180)+1,""))</f>
        <v/>
      </c>
      <c r="V1181" s="40" t="str">
        <f aca="false">IF($T1181="","",MAX($V$3:V1180)+1)</f>
        <v/>
      </c>
      <c r="W1181" s="40" t="str">
        <f aca="false">IF($E1181="","",$E1181&amp;"#"&amp;COUNTIF($E$4:$E1181,$E1181))</f>
        <v/>
      </c>
      <c r="X1181" s="40" t="str">
        <f aca="false">IF($B1181="","",IF(AND(OR(CETAK!$J$10="",$E1181=CETAK!$J$10),OR(CETAK!$J$11="",$F1181=CETAK!$J$11),OR(CETAK!$J$12="",$K1181=CETAK!$J$12),OR(CETAK!$J$13="",$H1181=CETAK!$J$13),OR(CETAK!$J$14="",$O1181=CETAK!$J$14)),MAX($X$3:X1180)+1,""))</f>
        <v/>
      </c>
      <c r="Y1181" s="40" t="str">
        <f aca="false">IF($B1181="","",IF(AND(OR(ABSENSI!$H$10="",$E1181=ABSENSI!$H$10),OR(ABSENSI!$H$11="",$F1181=ABSENSI!$H$11),OR(ABSENSI!$H$12="",$K1181=ABSENSI!$H$12)),MAX($Y$3:Y1180)+1,""))</f>
        <v/>
      </c>
      <c r="Z1181" s="40" t="str">
        <f aca="false">IF($B1181="","",IF(AND(OR(KARTU!$K$6="",$E1181=KARTU!$K$6),OR(KARTU!$K$7="",$F1181=KARTU!$K$7),OR(KARTU!$K$8="",$K1181=KARTU!$K$8)),MAX($Z$3:Z1180)+1,""))</f>
        <v/>
      </c>
    </row>
    <row r="1182" customFormat="false" ht="15" hidden="false" customHeight="false" outlineLevel="0" collapsed="false">
      <c r="A1182" s="36" t="str">
        <f aca="false">IF($B1182="","",COUNTA($B$4:$B1182))</f>
        <v/>
      </c>
      <c r="B1182" s="37"/>
      <c r="C1182" s="38"/>
      <c r="D1182" s="39"/>
      <c r="E1182" s="37"/>
      <c r="F1182" s="39"/>
      <c r="G1182" s="40" t="str">
        <f aca="false">IF(OR($E1182="",$F1182=""),"",$E1182&amp;" - RT "&amp;$F1182)</f>
        <v/>
      </c>
      <c r="H1182" s="37"/>
      <c r="I1182" s="38"/>
      <c r="J1182" s="37"/>
      <c r="K1182" s="39"/>
      <c r="L1182" s="41"/>
      <c r="M1182" s="36" t="str">
        <f aca="true">IF(OR($B1182="",$L1182=""),"",DATEDIF($L1182,TODAY(),"Y"))</f>
        <v/>
      </c>
      <c r="N1182" s="40" t="str">
        <f aca="false">IF($M1182="","",INDEX(usia_label,MATCH($M1182,usia_min,1)))</f>
        <v/>
      </c>
      <c r="O1182" s="37"/>
      <c r="P1182" s="41"/>
      <c r="Q1182" s="37"/>
      <c r="R1182" s="37"/>
      <c r="S1182" s="40" t="str">
        <f aca="false">IF($G1182="","",$G1182&amp;"#"&amp;COUNTIF($G$4:$G1182,$G1182))</f>
        <v/>
      </c>
      <c r="T1182" s="40" t="str">
        <f aca="false">IF($B1182="","",IF($C1182="","NIK kosong",IF(LEN($C1182)&lt;&gt;16,"NIK bukan 16 digit",IF(COUNTIF($C$4:$C$2003,$C1182&amp;"*")&gt;1,"NIK ganda",IF($E1182="","Kadus kosong",IF($F1182="","RT kosong",IF($H1182="","Jabatan kosong",IF($I1182="","No. HP kosong",IF($J1182="","Alamat kosong",IF(AND($M1182&lt;&gt;"",$M1182&lt;17),"Usia di bawah 17",""))))))))))</f>
        <v/>
      </c>
      <c r="U1182" s="40" t="str">
        <f aca="false">IF($B1182="","",IF(AND(OR(CARI!$C$5="",ISNUMBER(SEARCH(CARI!$C$5,$B1182&amp;" "&amp;$C1182&amp;" "&amp;$I1182&amp;" "&amp;$J1182&amp;" "&amp;$Q1182))),OR(CARI!$C$6="",$E1182=CARI!$C$6),OR(CARI!$C$7="",$F1182=CARI!$C$7),OR(CARI!$C$8="",$O1182=CARI!$C$8)),MAX($U$3:U1181)+1,""))</f>
        <v/>
      </c>
      <c r="V1182" s="40" t="str">
        <f aca="false">IF($T1182="","",MAX($V$3:V1181)+1)</f>
        <v/>
      </c>
      <c r="W1182" s="40" t="str">
        <f aca="false">IF($E1182="","",$E1182&amp;"#"&amp;COUNTIF($E$4:$E1182,$E1182))</f>
        <v/>
      </c>
      <c r="X1182" s="40" t="str">
        <f aca="false">IF($B1182="","",IF(AND(OR(CETAK!$J$10="",$E1182=CETAK!$J$10),OR(CETAK!$J$11="",$F1182=CETAK!$J$11),OR(CETAK!$J$12="",$K1182=CETAK!$J$12),OR(CETAK!$J$13="",$H1182=CETAK!$J$13),OR(CETAK!$J$14="",$O1182=CETAK!$J$14)),MAX($X$3:X1181)+1,""))</f>
        <v/>
      </c>
      <c r="Y1182" s="40" t="str">
        <f aca="false">IF($B1182="","",IF(AND(OR(ABSENSI!$H$10="",$E1182=ABSENSI!$H$10),OR(ABSENSI!$H$11="",$F1182=ABSENSI!$H$11),OR(ABSENSI!$H$12="",$K1182=ABSENSI!$H$12)),MAX($Y$3:Y1181)+1,""))</f>
        <v/>
      </c>
      <c r="Z1182" s="40" t="str">
        <f aca="false">IF($B1182="","",IF(AND(OR(KARTU!$K$6="",$E1182=KARTU!$K$6),OR(KARTU!$K$7="",$F1182=KARTU!$K$7),OR(KARTU!$K$8="",$K1182=KARTU!$K$8)),MAX($Z$3:Z1181)+1,""))</f>
        <v/>
      </c>
    </row>
    <row r="1183" customFormat="false" ht="15" hidden="false" customHeight="false" outlineLevel="0" collapsed="false">
      <c r="A1183" s="36" t="str">
        <f aca="false">IF($B1183="","",COUNTA($B$4:$B1183))</f>
        <v/>
      </c>
      <c r="B1183" s="37"/>
      <c r="C1183" s="38"/>
      <c r="D1183" s="39"/>
      <c r="E1183" s="37"/>
      <c r="F1183" s="39"/>
      <c r="G1183" s="40" t="str">
        <f aca="false">IF(OR($E1183="",$F1183=""),"",$E1183&amp;" - RT "&amp;$F1183)</f>
        <v/>
      </c>
      <c r="H1183" s="37"/>
      <c r="I1183" s="38"/>
      <c r="J1183" s="37"/>
      <c r="K1183" s="39"/>
      <c r="L1183" s="41"/>
      <c r="M1183" s="36" t="str">
        <f aca="true">IF(OR($B1183="",$L1183=""),"",DATEDIF($L1183,TODAY(),"Y"))</f>
        <v/>
      </c>
      <c r="N1183" s="40" t="str">
        <f aca="false">IF($M1183="","",INDEX(usia_label,MATCH($M1183,usia_min,1)))</f>
        <v/>
      </c>
      <c r="O1183" s="37"/>
      <c r="P1183" s="41"/>
      <c r="Q1183" s="37"/>
      <c r="R1183" s="37"/>
      <c r="S1183" s="40" t="str">
        <f aca="false">IF($G1183="","",$G1183&amp;"#"&amp;COUNTIF($G$4:$G1183,$G1183))</f>
        <v/>
      </c>
      <c r="T1183" s="40" t="str">
        <f aca="false">IF($B1183="","",IF($C1183="","NIK kosong",IF(LEN($C1183)&lt;&gt;16,"NIK bukan 16 digit",IF(COUNTIF($C$4:$C$2003,$C1183&amp;"*")&gt;1,"NIK ganda",IF($E1183="","Kadus kosong",IF($F1183="","RT kosong",IF($H1183="","Jabatan kosong",IF($I1183="","No. HP kosong",IF($J1183="","Alamat kosong",IF(AND($M1183&lt;&gt;"",$M1183&lt;17),"Usia di bawah 17",""))))))))))</f>
        <v/>
      </c>
      <c r="U1183" s="40" t="str">
        <f aca="false">IF($B1183="","",IF(AND(OR(CARI!$C$5="",ISNUMBER(SEARCH(CARI!$C$5,$B1183&amp;" "&amp;$C1183&amp;" "&amp;$I1183&amp;" "&amp;$J1183&amp;" "&amp;$Q1183))),OR(CARI!$C$6="",$E1183=CARI!$C$6),OR(CARI!$C$7="",$F1183=CARI!$C$7),OR(CARI!$C$8="",$O1183=CARI!$C$8)),MAX($U$3:U1182)+1,""))</f>
        <v/>
      </c>
      <c r="V1183" s="40" t="str">
        <f aca="false">IF($T1183="","",MAX($V$3:V1182)+1)</f>
        <v/>
      </c>
      <c r="W1183" s="40" t="str">
        <f aca="false">IF($E1183="","",$E1183&amp;"#"&amp;COUNTIF($E$4:$E1183,$E1183))</f>
        <v/>
      </c>
      <c r="X1183" s="40" t="str">
        <f aca="false">IF($B1183="","",IF(AND(OR(CETAK!$J$10="",$E1183=CETAK!$J$10),OR(CETAK!$J$11="",$F1183=CETAK!$J$11),OR(CETAK!$J$12="",$K1183=CETAK!$J$12),OR(CETAK!$J$13="",$H1183=CETAK!$J$13),OR(CETAK!$J$14="",$O1183=CETAK!$J$14)),MAX($X$3:X1182)+1,""))</f>
        <v/>
      </c>
      <c r="Y1183" s="40" t="str">
        <f aca="false">IF($B1183="","",IF(AND(OR(ABSENSI!$H$10="",$E1183=ABSENSI!$H$10),OR(ABSENSI!$H$11="",$F1183=ABSENSI!$H$11),OR(ABSENSI!$H$12="",$K1183=ABSENSI!$H$12)),MAX($Y$3:Y1182)+1,""))</f>
        <v/>
      </c>
      <c r="Z1183" s="40" t="str">
        <f aca="false">IF($B1183="","",IF(AND(OR(KARTU!$K$6="",$E1183=KARTU!$K$6),OR(KARTU!$K$7="",$F1183=KARTU!$K$7),OR(KARTU!$K$8="",$K1183=KARTU!$K$8)),MAX($Z$3:Z1182)+1,""))</f>
        <v/>
      </c>
    </row>
    <row r="1184" customFormat="false" ht="15" hidden="false" customHeight="false" outlineLevel="0" collapsed="false">
      <c r="A1184" s="36" t="str">
        <f aca="false">IF($B1184="","",COUNTA($B$4:$B1184))</f>
        <v/>
      </c>
      <c r="B1184" s="37"/>
      <c r="C1184" s="38"/>
      <c r="D1184" s="39"/>
      <c r="E1184" s="37"/>
      <c r="F1184" s="39"/>
      <c r="G1184" s="40" t="str">
        <f aca="false">IF(OR($E1184="",$F1184=""),"",$E1184&amp;" - RT "&amp;$F1184)</f>
        <v/>
      </c>
      <c r="H1184" s="37"/>
      <c r="I1184" s="38"/>
      <c r="J1184" s="37"/>
      <c r="K1184" s="39"/>
      <c r="L1184" s="41"/>
      <c r="M1184" s="36" t="str">
        <f aca="true">IF(OR($B1184="",$L1184=""),"",DATEDIF($L1184,TODAY(),"Y"))</f>
        <v/>
      </c>
      <c r="N1184" s="40" t="str">
        <f aca="false">IF($M1184="","",INDEX(usia_label,MATCH($M1184,usia_min,1)))</f>
        <v/>
      </c>
      <c r="O1184" s="37"/>
      <c r="P1184" s="41"/>
      <c r="Q1184" s="37"/>
      <c r="R1184" s="37"/>
      <c r="S1184" s="40" t="str">
        <f aca="false">IF($G1184="","",$G1184&amp;"#"&amp;COUNTIF($G$4:$G1184,$G1184))</f>
        <v/>
      </c>
      <c r="T1184" s="40" t="str">
        <f aca="false">IF($B1184="","",IF($C1184="","NIK kosong",IF(LEN($C1184)&lt;&gt;16,"NIK bukan 16 digit",IF(COUNTIF($C$4:$C$2003,$C1184&amp;"*")&gt;1,"NIK ganda",IF($E1184="","Kadus kosong",IF($F1184="","RT kosong",IF($H1184="","Jabatan kosong",IF($I1184="","No. HP kosong",IF($J1184="","Alamat kosong",IF(AND($M1184&lt;&gt;"",$M1184&lt;17),"Usia di bawah 17",""))))))))))</f>
        <v/>
      </c>
      <c r="U1184" s="40" t="str">
        <f aca="false">IF($B1184="","",IF(AND(OR(CARI!$C$5="",ISNUMBER(SEARCH(CARI!$C$5,$B1184&amp;" "&amp;$C1184&amp;" "&amp;$I1184&amp;" "&amp;$J1184&amp;" "&amp;$Q1184))),OR(CARI!$C$6="",$E1184=CARI!$C$6),OR(CARI!$C$7="",$F1184=CARI!$C$7),OR(CARI!$C$8="",$O1184=CARI!$C$8)),MAX($U$3:U1183)+1,""))</f>
        <v/>
      </c>
      <c r="V1184" s="40" t="str">
        <f aca="false">IF($T1184="","",MAX($V$3:V1183)+1)</f>
        <v/>
      </c>
      <c r="W1184" s="40" t="str">
        <f aca="false">IF($E1184="","",$E1184&amp;"#"&amp;COUNTIF($E$4:$E1184,$E1184))</f>
        <v/>
      </c>
      <c r="X1184" s="40" t="str">
        <f aca="false">IF($B1184="","",IF(AND(OR(CETAK!$J$10="",$E1184=CETAK!$J$10),OR(CETAK!$J$11="",$F1184=CETAK!$J$11),OR(CETAK!$J$12="",$K1184=CETAK!$J$12),OR(CETAK!$J$13="",$H1184=CETAK!$J$13),OR(CETAK!$J$14="",$O1184=CETAK!$J$14)),MAX($X$3:X1183)+1,""))</f>
        <v/>
      </c>
      <c r="Y1184" s="40" t="str">
        <f aca="false">IF($B1184="","",IF(AND(OR(ABSENSI!$H$10="",$E1184=ABSENSI!$H$10),OR(ABSENSI!$H$11="",$F1184=ABSENSI!$H$11),OR(ABSENSI!$H$12="",$K1184=ABSENSI!$H$12)),MAX($Y$3:Y1183)+1,""))</f>
        <v/>
      </c>
      <c r="Z1184" s="40" t="str">
        <f aca="false">IF($B1184="","",IF(AND(OR(KARTU!$K$6="",$E1184=KARTU!$K$6),OR(KARTU!$K$7="",$F1184=KARTU!$K$7),OR(KARTU!$K$8="",$K1184=KARTU!$K$8)),MAX($Z$3:Z1183)+1,""))</f>
        <v/>
      </c>
    </row>
    <row r="1185" customFormat="false" ht="15" hidden="false" customHeight="false" outlineLevel="0" collapsed="false">
      <c r="A1185" s="36" t="str">
        <f aca="false">IF($B1185="","",COUNTA($B$4:$B1185))</f>
        <v/>
      </c>
      <c r="B1185" s="37"/>
      <c r="C1185" s="38"/>
      <c r="D1185" s="39"/>
      <c r="E1185" s="37"/>
      <c r="F1185" s="39"/>
      <c r="G1185" s="40" t="str">
        <f aca="false">IF(OR($E1185="",$F1185=""),"",$E1185&amp;" - RT "&amp;$F1185)</f>
        <v/>
      </c>
      <c r="H1185" s="37"/>
      <c r="I1185" s="38"/>
      <c r="J1185" s="37"/>
      <c r="K1185" s="39"/>
      <c r="L1185" s="41"/>
      <c r="M1185" s="36" t="str">
        <f aca="true">IF(OR($B1185="",$L1185=""),"",DATEDIF($L1185,TODAY(),"Y"))</f>
        <v/>
      </c>
      <c r="N1185" s="40" t="str">
        <f aca="false">IF($M1185="","",INDEX(usia_label,MATCH($M1185,usia_min,1)))</f>
        <v/>
      </c>
      <c r="O1185" s="37"/>
      <c r="P1185" s="41"/>
      <c r="Q1185" s="37"/>
      <c r="R1185" s="37"/>
      <c r="S1185" s="40" t="str">
        <f aca="false">IF($G1185="","",$G1185&amp;"#"&amp;COUNTIF($G$4:$G1185,$G1185))</f>
        <v/>
      </c>
      <c r="T1185" s="40" t="str">
        <f aca="false">IF($B1185="","",IF($C1185="","NIK kosong",IF(LEN($C1185)&lt;&gt;16,"NIK bukan 16 digit",IF(COUNTIF($C$4:$C$2003,$C1185&amp;"*")&gt;1,"NIK ganda",IF($E1185="","Kadus kosong",IF($F1185="","RT kosong",IF($H1185="","Jabatan kosong",IF($I1185="","No. HP kosong",IF($J1185="","Alamat kosong",IF(AND($M1185&lt;&gt;"",$M1185&lt;17),"Usia di bawah 17",""))))))))))</f>
        <v/>
      </c>
      <c r="U1185" s="40" t="str">
        <f aca="false">IF($B1185="","",IF(AND(OR(CARI!$C$5="",ISNUMBER(SEARCH(CARI!$C$5,$B1185&amp;" "&amp;$C1185&amp;" "&amp;$I1185&amp;" "&amp;$J1185&amp;" "&amp;$Q1185))),OR(CARI!$C$6="",$E1185=CARI!$C$6),OR(CARI!$C$7="",$F1185=CARI!$C$7),OR(CARI!$C$8="",$O1185=CARI!$C$8)),MAX($U$3:U1184)+1,""))</f>
        <v/>
      </c>
      <c r="V1185" s="40" t="str">
        <f aca="false">IF($T1185="","",MAX($V$3:V1184)+1)</f>
        <v/>
      </c>
      <c r="W1185" s="40" t="str">
        <f aca="false">IF($E1185="","",$E1185&amp;"#"&amp;COUNTIF($E$4:$E1185,$E1185))</f>
        <v/>
      </c>
      <c r="X1185" s="40" t="str">
        <f aca="false">IF($B1185="","",IF(AND(OR(CETAK!$J$10="",$E1185=CETAK!$J$10),OR(CETAK!$J$11="",$F1185=CETAK!$J$11),OR(CETAK!$J$12="",$K1185=CETAK!$J$12),OR(CETAK!$J$13="",$H1185=CETAK!$J$13),OR(CETAK!$J$14="",$O1185=CETAK!$J$14)),MAX($X$3:X1184)+1,""))</f>
        <v/>
      </c>
      <c r="Y1185" s="40" t="str">
        <f aca="false">IF($B1185="","",IF(AND(OR(ABSENSI!$H$10="",$E1185=ABSENSI!$H$10),OR(ABSENSI!$H$11="",$F1185=ABSENSI!$H$11),OR(ABSENSI!$H$12="",$K1185=ABSENSI!$H$12)),MAX($Y$3:Y1184)+1,""))</f>
        <v/>
      </c>
      <c r="Z1185" s="40" t="str">
        <f aca="false">IF($B1185="","",IF(AND(OR(KARTU!$K$6="",$E1185=KARTU!$K$6),OR(KARTU!$K$7="",$F1185=KARTU!$K$7),OR(KARTU!$K$8="",$K1185=KARTU!$K$8)),MAX($Z$3:Z1184)+1,""))</f>
        <v/>
      </c>
    </row>
    <row r="1186" customFormat="false" ht="15" hidden="false" customHeight="false" outlineLevel="0" collapsed="false">
      <c r="A1186" s="36" t="str">
        <f aca="false">IF($B1186="","",COUNTA($B$4:$B1186))</f>
        <v/>
      </c>
      <c r="B1186" s="37"/>
      <c r="C1186" s="38"/>
      <c r="D1186" s="39"/>
      <c r="E1186" s="37"/>
      <c r="F1186" s="39"/>
      <c r="G1186" s="40" t="str">
        <f aca="false">IF(OR($E1186="",$F1186=""),"",$E1186&amp;" - RT "&amp;$F1186)</f>
        <v/>
      </c>
      <c r="H1186" s="37"/>
      <c r="I1186" s="38"/>
      <c r="J1186" s="37"/>
      <c r="K1186" s="39"/>
      <c r="L1186" s="41"/>
      <c r="M1186" s="36" t="str">
        <f aca="true">IF(OR($B1186="",$L1186=""),"",DATEDIF($L1186,TODAY(),"Y"))</f>
        <v/>
      </c>
      <c r="N1186" s="40" t="str">
        <f aca="false">IF($M1186="","",INDEX(usia_label,MATCH($M1186,usia_min,1)))</f>
        <v/>
      </c>
      <c r="O1186" s="37"/>
      <c r="P1186" s="41"/>
      <c r="Q1186" s="37"/>
      <c r="R1186" s="37"/>
      <c r="S1186" s="40" t="str">
        <f aca="false">IF($G1186="","",$G1186&amp;"#"&amp;COUNTIF($G$4:$G1186,$G1186))</f>
        <v/>
      </c>
      <c r="T1186" s="40" t="str">
        <f aca="false">IF($B1186="","",IF($C1186="","NIK kosong",IF(LEN($C1186)&lt;&gt;16,"NIK bukan 16 digit",IF(COUNTIF($C$4:$C$2003,$C1186&amp;"*")&gt;1,"NIK ganda",IF($E1186="","Kadus kosong",IF($F1186="","RT kosong",IF($H1186="","Jabatan kosong",IF($I1186="","No. HP kosong",IF($J1186="","Alamat kosong",IF(AND($M1186&lt;&gt;"",$M1186&lt;17),"Usia di bawah 17",""))))))))))</f>
        <v/>
      </c>
      <c r="U1186" s="40" t="str">
        <f aca="false">IF($B1186="","",IF(AND(OR(CARI!$C$5="",ISNUMBER(SEARCH(CARI!$C$5,$B1186&amp;" "&amp;$C1186&amp;" "&amp;$I1186&amp;" "&amp;$J1186&amp;" "&amp;$Q1186))),OR(CARI!$C$6="",$E1186=CARI!$C$6),OR(CARI!$C$7="",$F1186=CARI!$C$7),OR(CARI!$C$8="",$O1186=CARI!$C$8)),MAX($U$3:U1185)+1,""))</f>
        <v/>
      </c>
      <c r="V1186" s="40" t="str">
        <f aca="false">IF($T1186="","",MAX($V$3:V1185)+1)</f>
        <v/>
      </c>
      <c r="W1186" s="40" t="str">
        <f aca="false">IF($E1186="","",$E1186&amp;"#"&amp;COUNTIF($E$4:$E1186,$E1186))</f>
        <v/>
      </c>
      <c r="X1186" s="40" t="str">
        <f aca="false">IF($B1186="","",IF(AND(OR(CETAK!$J$10="",$E1186=CETAK!$J$10),OR(CETAK!$J$11="",$F1186=CETAK!$J$11),OR(CETAK!$J$12="",$K1186=CETAK!$J$12),OR(CETAK!$J$13="",$H1186=CETAK!$J$13),OR(CETAK!$J$14="",$O1186=CETAK!$J$14)),MAX($X$3:X1185)+1,""))</f>
        <v/>
      </c>
      <c r="Y1186" s="40" t="str">
        <f aca="false">IF($B1186="","",IF(AND(OR(ABSENSI!$H$10="",$E1186=ABSENSI!$H$10),OR(ABSENSI!$H$11="",$F1186=ABSENSI!$H$11),OR(ABSENSI!$H$12="",$K1186=ABSENSI!$H$12)),MAX($Y$3:Y1185)+1,""))</f>
        <v/>
      </c>
      <c r="Z1186" s="40" t="str">
        <f aca="false">IF($B1186="","",IF(AND(OR(KARTU!$K$6="",$E1186=KARTU!$K$6),OR(KARTU!$K$7="",$F1186=KARTU!$K$7),OR(KARTU!$K$8="",$K1186=KARTU!$K$8)),MAX($Z$3:Z1185)+1,""))</f>
        <v/>
      </c>
    </row>
    <row r="1187" customFormat="false" ht="15" hidden="false" customHeight="false" outlineLevel="0" collapsed="false">
      <c r="A1187" s="36" t="str">
        <f aca="false">IF($B1187="","",COUNTA($B$4:$B1187))</f>
        <v/>
      </c>
      <c r="B1187" s="37"/>
      <c r="C1187" s="38"/>
      <c r="D1187" s="39"/>
      <c r="E1187" s="37"/>
      <c r="F1187" s="39"/>
      <c r="G1187" s="40" t="str">
        <f aca="false">IF(OR($E1187="",$F1187=""),"",$E1187&amp;" - RT "&amp;$F1187)</f>
        <v/>
      </c>
      <c r="H1187" s="37"/>
      <c r="I1187" s="38"/>
      <c r="J1187" s="37"/>
      <c r="K1187" s="39"/>
      <c r="L1187" s="41"/>
      <c r="M1187" s="36" t="str">
        <f aca="true">IF(OR($B1187="",$L1187=""),"",DATEDIF($L1187,TODAY(),"Y"))</f>
        <v/>
      </c>
      <c r="N1187" s="40" t="str">
        <f aca="false">IF($M1187="","",INDEX(usia_label,MATCH($M1187,usia_min,1)))</f>
        <v/>
      </c>
      <c r="O1187" s="37"/>
      <c r="P1187" s="41"/>
      <c r="Q1187" s="37"/>
      <c r="R1187" s="37"/>
      <c r="S1187" s="40" t="str">
        <f aca="false">IF($G1187="","",$G1187&amp;"#"&amp;COUNTIF($G$4:$G1187,$G1187))</f>
        <v/>
      </c>
      <c r="T1187" s="40" t="str">
        <f aca="false">IF($B1187="","",IF($C1187="","NIK kosong",IF(LEN($C1187)&lt;&gt;16,"NIK bukan 16 digit",IF(COUNTIF($C$4:$C$2003,$C1187&amp;"*")&gt;1,"NIK ganda",IF($E1187="","Kadus kosong",IF($F1187="","RT kosong",IF($H1187="","Jabatan kosong",IF($I1187="","No. HP kosong",IF($J1187="","Alamat kosong",IF(AND($M1187&lt;&gt;"",$M1187&lt;17),"Usia di bawah 17",""))))))))))</f>
        <v/>
      </c>
      <c r="U1187" s="40" t="str">
        <f aca="false">IF($B1187="","",IF(AND(OR(CARI!$C$5="",ISNUMBER(SEARCH(CARI!$C$5,$B1187&amp;" "&amp;$C1187&amp;" "&amp;$I1187&amp;" "&amp;$J1187&amp;" "&amp;$Q1187))),OR(CARI!$C$6="",$E1187=CARI!$C$6),OR(CARI!$C$7="",$F1187=CARI!$C$7),OR(CARI!$C$8="",$O1187=CARI!$C$8)),MAX($U$3:U1186)+1,""))</f>
        <v/>
      </c>
      <c r="V1187" s="40" t="str">
        <f aca="false">IF($T1187="","",MAX($V$3:V1186)+1)</f>
        <v/>
      </c>
      <c r="W1187" s="40" t="str">
        <f aca="false">IF($E1187="","",$E1187&amp;"#"&amp;COUNTIF($E$4:$E1187,$E1187))</f>
        <v/>
      </c>
      <c r="X1187" s="40" t="str">
        <f aca="false">IF($B1187="","",IF(AND(OR(CETAK!$J$10="",$E1187=CETAK!$J$10),OR(CETAK!$J$11="",$F1187=CETAK!$J$11),OR(CETAK!$J$12="",$K1187=CETAK!$J$12),OR(CETAK!$J$13="",$H1187=CETAK!$J$13),OR(CETAK!$J$14="",$O1187=CETAK!$J$14)),MAX($X$3:X1186)+1,""))</f>
        <v/>
      </c>
      <c r="Y1187" s="40" t="str">
        <f aca="false">IF($B1187="","",IF(AND(OR(ABSENSI!$H$10="",$E1187=ABSENSI!$H$10),OR(ABSENSI!$H$11="",$F1187=ABSENSI!$H$11),OR(ABSENSI!$H$12="",$K1187=ABSENSI!$H$12)),MAX($Y$3:Y1186)+1,""))</f>
        <v/>
      </c>
      <c r="Z1187" s="40" t="str">
        <f aca="false">IF($B1187="","",IF(AND(OR(KARTU!$K$6="",$E1187=KARTU!$K$6),OR(KARTU!$K$7="",$F1187=KARTU!$K$7),OR(KARTU!$K$8="",$K1187=KARTU!$K$8)),MAX($Z$3:Z1186)+1,""))</f>
        <v/>
      </c>
    </row>
    <row r="1188" customFormat="false" ht="15" hidden="false" customHeight="false" outlineLevel="0" collapsed="false">
      <c r="A1188" s="36" t="str">
        <f aca="false">IF($B1188="","",COUNTA($B$4:$B1188))</f>
        <v/>
      </c>
      <c r="B1188" s="37"/>
      <c r="C1188" s="38"/>
      <c r="D1188" s="39"/>
      <c r="E1188" s="37"/>
      <c r="F1188" s="39"/>
      <c r="G1188" s="40" t="str">
        <f aca="false">IF(OR($E1188="",$F1188=""),"",$E1188&amp;" - RT "&amp;$F1188)</f>
        <v/>
      </c>
      <c r="H1188" s="37"/>
      <c r="I1188" s="38"/>
      <c r="J1188" s="37"/>
      <c r="K1188" s="39"/>
      <c r="L1188" s="41"/>
      <c r="M1188" s="36" t="str">
        <f aca="true">IF(OR($B1188="",$L1188=""),"",DATEDIF($L1188,TODAY(),"Y"))</f>
        <v/>
      </c>
      <c r="N1188" s="40" t="str">
        <f aca="false">IF($M1188="","",INDEX(usia_label,MATCH($M1188,usia_min,1)))</f>
        <v/>
      </c>
      <c r="O1188" s="37"/>
      <c r="P1188" s="41"/>
      <c r="Q1188" s="37"/>
      <c r="R1188" s="37"/>
      <c r="S1188" s="40" t="str">
        <f aca="false">IF($G1188="","",$G1188&amp;"#"&amp;COUNTIF($G$4:$G1188,$G1188))</f>
        <v/>
      </c>
      <c r="T1188" s="40" t="str">
        <f aca="false">IF($B1188="","",IF($C1188="","NIK kosong",IF(LEN($C1188)&lt;&gt;16,"NIK bukan 16 digit",IF(COUNTIF($C$4:$C$2003,$C1188&amp;"*")&gt;1,"NIK ganda",IF($E1188="","Kadus kosong",IF($F1188="","RT kosong",IF($H1188="","Jabatan kosong",IF($I1188="","No. HP kosong",IF($J1188="","Alamat kosong",IF(AND($M1188&lt;&gt;"",$M1188&lt;17),"Usia di bawah 17",""))))))))))</f>
        <v/>
      </c>
      <c r="U1188" s="40" t="str">
        <f aca="false">IF($B1188="","",IF(AND(OR(CARI!$C$5="",ISNUMBER(SEARCH(CARI!$C$5,$B1188&amp;" "&amp;$C1188&amp;" "&amp;$I1188&amp;" "&amp;$J1188&amp;" "&amp;$Q1188))),OR(CARI!$C$6="",$E1188=CARI!$C$6),OR(CARI!$C$7="",$F1188=CARI!$C$7),OR(CARI!$C$8="",$O1188=CARI!$C$8)),MAX($U$3:U1187)+1,""))</f>
        <v/>
      </c>
      <c r="V1188" s="40" t="str">
        <f aca="false">IF($T1188="","",MAX($V$3:V1187)+1)</f>
        <v/>
      </c>
      <c r="W1188" s="40" t="str">
        <f aca="false">IF($E1188="","",$E1188&amp;"#"&amp;COUNTIF($E$4:$E1188,$E1188))</f>
        <v/>
      </c>
      <c r="X1188" s="40" t="str">
        <f aca="false">IF($B1188="","",IF(AND(OR(CETAK!$J$10="",$E1188=CETAK!$J$10),OR(CETAK!$J$11="",$F1188=CETAK!$J$11),OR(CETAK!$J$12="",$K1188=CETAK!$J$12),OR(CETAK!$J$13="",$H1188=CETAK!$J$13),OR(CETAK!$J$14="",$O1188=CETAK!$J$14)),MAX($X$3:X1187)+1,""))</f>
        <v/>
      </c>
      <c r="Y1188" s="40" t="str">
        <f aca="false">IF($B1188="","",IF(AND(OR(ABSENSI!$H$10="",$E1188=ABSENSI!$H$10),OR(ABSENSI!$H$11="",$F1188=ABSENSI!$H$11),OR(ABSENSI!$H$12="",$K1188=ABSENSI!$H$12)),MAX($Y$3:Y1187)+1,""))</f>
        <v/>
      </c>
      <c r="Z1188" s="40" t="str">
        <f aca="false">IF($B1188="","",IF(AND(OR(KARTU!$K$6="",$E1188=KARTU!$K$6),OR(KARTU!$K$7="",$F1188=KARTU!$K$7),OR(KARTU!$K$8="",$K1188=KARTU!$K$8)),MAX($Z$3:Z1187)+1,""))</f>
        <v/>
      </c>
    </row>
    <row r="1189" customFormat="false" ht="15" hidden="false" customHeight="false" outlineLevel="0" collapsed="false">
      <c r="A1189" s="36" t="str">
        <f aca="false">IF($B1189="","",COUNTA($B$4:$B1189))</f>
        <v/>
      </c>
      <c r="B1189" s="37"/>
      <c r="C1189" s="38"/>
      <c r="D1189" s="39"/>
      <c r="E1189" s="37"/>
      <c r="F1189" s="39"/>
      <c r="G1189" s="40" t="str">
        <f aca="false">IF(OR($E1189="",$F1189=""),"",$E1189&amp;" - RT "&amp;$F1189)</f>
        <v/>
      </c>
      <c r="H1189" s="37"/>
      <c r="I1189" s="38"/>
      <c r="J1189" s="37"/>
      <c r="K1189" s="39"/>
      <c r="L1189" s="41"/>
      <c r="M1189" s="36" t="str">
        <f aca="true">IF(OR($B1189="",$L1189=""),"",DATEDIF($L1189,TODAY(),"Y"))</f>
        <v/>
      </c>
      <c r="N1189" s="40" t="str">
        <f aca="false">IF($M1189="","",INDEX(usia_label,MATCH($M1189,usia_min,1)))</f>
        <v/>
      </c>
      <c r="O1189" s="37"/>
      <c r="P1189" s="41"/>
      <c r="Q1189" s="37"/>
      <c r="R1189" s="37"/>
      <c r="S1189" s="40" t="str">
        <f aca="false">IF($G1189="","",$G1189&amp;"#"&amp;COUNTIF($G$4:$G1189,$G1189))</f>
        <v/>
      </c>
      <c r="T1189" s="40" t="str">
        <f aca="false">IF($B1189="","",IF($C1189="","NIK kosong",IF(LEN($C1189)&lt;&gt;16,"NIK bukan 16 digit",IF(COUNTIF($C$4:$C$2003,$C1189&amp;"*")&gt;1,"NIK ganda",IF($E1189="","Kadus kosong",IF($F1189="","RT kosong",IF($H1189="","Jabatan kosong",IF($I1189="","No. HP kosong",IF($J1189="","Alamat kosong",IF(AND($M1189&lt;&gt;"",$M1189&lt;17),"Usia di bawah 17",""))))))))))</f>
        <v/>
      </c>
      <c r="U1189" s="40" t="str">
        <f aca="false">IF($B1189="","",IF(AND(OR(CARI!$C$5="",ISNUMBER(SEARCH(CARI!$C$5,$B1189&amp;" "&amp;$C1189&amp;" "&amp;$I1189&amp;" "&amp;$J1189&amp;" "&amp;$Q1189))),OR(CARI!$C$6="",$E1189=CARI!$C$6),OR(CARI!$C$7="",$F1189=CARI!$C$7),OR(CARI!$C$8="",$O1189=CARI!$C$8)),MAX($U$3:U1188)+1,""))</f>
        <v/>
      </c>
      <c r="V1189" s="40" t="str">
        <f aca="false">IF($T1189="","",MAX($V$3:V1188)+1)</f>
        <v/>
      </c>
      <c r="W1189" s="40" t="str">
        <f aca="false">IF($E1189="","",$E1189&amp;"#"&amp;COUNTIF($E$4:$E1189,$E1189))</f>
        <v/>
      </c>
      <c r="X1189" s="40" t="str">
        <f aca="false">IF($B1189="","",IF(AND(OR(CETAK!$J$10="",$E1189=CETAK!$J$10),OR(CETAK!$J$11="",$F1189=CETAK!$J$11),OR(CETAK!$J$12="",$K1189=CETAK!$J$12),OR(CETAK!$J$13="",$H1189=CETAK!$J$13),OR(CETAK!$J$14="",$O1189=CETAK!$J$14)),MAX($X$3:X1188)+1,""))</f>
        <v/>
      </c>
      <c r="Y1189" s="40" t="str">
        <f aca="false">IF($B1189="","",IF(AND(OR(ABSENSI!$H$10="",$E1189=ABSENSI!$H$10),OR(ABSENSI!$H$11="",$F1189=ABSENSI!$H$11),OR(ABSENSI!$H$12="",$K1189=ABSENSI!$H$12)),MAX($Y$3:Y1188)+1,""))</f>
        <v/>
      </c>
      <c r="Z1189" s="40" t="str">
        <f aca="false">IF($B1189="","",IF(AND(OR(KARTU!$K$6="",$E1189=KARTU!$K$6),OR(KARTU!$K$7="",$F1189=KARTU!$K$7),OR(KARTU!$K$8="",$K1189=KARTU!$K$8)),MAX($Z$3:Z1188)+1,""))</f>
        <v/>
      </c>
    </row>
    <row r="1190" customFormat="false" ht="15" hidden="false" customHeight="false" outlineLevel="0" collapsed="false">
      <c r="A1190" s="36" t="str">
        <f aca="false">IF($B1190="","",COUNTA($B$4:$B1190))</f>
        <v/>
      </c>
      <c r="B1190" s="37"/>
      <c r="C1190" s="38"/>
      <c r="D1190" s="39"/>
      <c r="E1190" s="37"/>
      <c r="F1190" s="39"/>
      <c r="G1190" s="40" t="str">
        <f aca="false">IF(OR($E1190="",$F1190=""),"",$E1190&amp;" - RT "&amp;$F1190)</f>
        <v/>
      </c>
      <c r="H1190" s="37"/>
      <c r="I1190" s="38"/>
      <c r="J1190" s="37"/>
      <c r="K1190" s="39"/>
      <c r="L1190" s="41"/>
      <c r="M1190" s="36" t="str">
        <f aca="true">IF(OR($B1190="",$L1190=""),"",DATEDIF($L1190,TODAY(),"Y"))</f>
        <v/>
      </c>
      <c r="N1190" s="40" t="str">
        <f aca="false">IF($M1190="","",INDEX(usia_label,MATCH($M1190,usia_min,1)))</f>
        <v/>
      </c>
      <c r="O1190" s="37"/>
      <c r="P1190" s="41"/>
      <c r="Q1190" s="37"/>
      <c r="R1190" s="37"/>
      <c r="S1190" s="40" t="str">
        <f aca="false">IF($G1190="","",$G1190&amp;"#"&amp;COUNTIF($G$4:$G1190,$G1190))</f>
        <v/>
      </c>
      <c r="T1190" s="40" t="str">
        <f aca="false">IF($B1190="","",IF($C1190="","NIK kosong",IF(LEN($C1190)&lt;&gt;16,"NIK bukan 16 digit",IF(COUNTIF($C$4:$C$2003,$C1190&amp;"*")&gt;1,"NIK ganda",IF($E1190="","Kadus kosong",IF($F1190="","RT kosong",IF($H1190="","Jabatan kosong",IF($I1190="","No. HP kosong",IF($J1190="","Alamat kosong",IF(AND($M1190&lt;&gt;"",$M1190&lt;17),"Usia di bawah 17",""))))))))))</f>
        <v/>
      </c>
      <c r="U1190" s="40" t="str">
        <f aca="false">IF($B1190="","",IF(AND(OR(CARI!$C$5="",ISNUMBER(SEARCH(CARI!$C$5,$B1190&amp;" "&amp;$C1190&amp;" "&amp;$I1190&amp;" "&amp;$J1190&amp;" "&amp;$Q1190))),OR(CARI!$C$6="",$E1190=CARI!$C$6),OR(CARI!$C$7="",$F1190=CARI!$C$7),OR(CARI!$C$8="",$O1190=CARI!$C$8)),MAX($U$3:U1189)+1,""))</f>
        <v/>
      </c>
      <c r="V1190" s="40" t="str">
        <f aca="false">IF($T1190="","",MAX($V$3:V1189)+1)</f>
        <v/>
      </c>
      <c r="W1190" s="40" t="str">
        <f aca="false">IF($E1190="","",$E1190&amp;"#"&amp;COUNTIF($E$4:$E1190,$E1190))</f>
        <v/>
      </c>
      <c r="X1190" s="40" t="str">
        <f aca="false">IF($B1190="","",IF(AND(OR(CETAK!$J$10="",$E1190=CETAK!$J$10),OR(CETAK!$J$11="",$F1190=CETAK!$J$11),OR(CETAK!$J$12="",$K1190=CETAK!$J$12),OR(CETAK!$J$13="",$H1190=CETAK!$J$13),OR(CETAK!$J$14="",$O1190=CETAK!$J$14)),MAX($X$3:X1189)+1,""))</f>
        <v/>
      </c>
      <c r="Y1190" s="40" t="str">
        <f aca="false">IF($B1190="","",IF(AND(OR(ABSENSI!$H$10="",$E1190=ABSENSI!$H$10),OR(ABSENSI!$H$11="",$F1190=ABSENSI!$H$11),OR(ABSENSI!$H$12="",$K1190=ABSENSI!$H$12)),MAX($Y$3:Y1189)+1,""))</f>
        <v/>
      </c>
      <c r="Z1190" s="40" t="str">
        <f aca="false">IF($B1190="","",IF(AND(OR(KARTU!$K$6="",$E1190=KARTU!$K$6),OR(KARTU!$K$7="",$F1190=KARTU!$K$7),OR(KARTU!$K$8="",$K1190=KARTU!$K$8)),MAX($Z$3:Z1189)+1,""))</f>
        <v/>
      </c>
    </row>
    <row r="1191" customFormat="false" ht="15" hidden="false" customHeight="false" outlineLevel="0" collapsed="false">
      <c r="A1191" s="36" t="str">
        <f aca="false">IF($B1191="","",COUNTA($B$4:$B1191))</f>
        <v/>
      </c>
      <c r="B1191" s="37"/>
      <c r="C1191" s="38"/>
      <c r="D1191" s="39"/>
      <c r="E1191" s="37"/>
      <c r="F1191" s="39"/>
      <c r="G1191" s="40" t="str">
        <f aca="false">IF(OR($E1191="",$F1191=""),"",$E1191&amp;" - RT "&amp;$F1191)</f>
        <v/>
      </c>
      <c r="H1191" s="37"/>
      <c r="I1191" s="38"/>
      <c r="J1191" s="37"/>
      <c r="K1191" s="39"/>
      <c r="L1191" s="41"/>
      <c r="M1191" s="36" t="str">
        <f aca="true">IF(OR($B1191="",$L1191=""),"",DATEDIF($L1191,TODAY(),"Y"))</f>
        <v/>
      </c>
      <c r="N1191" s="40" t="str">
        <f aca="false">IF($M1191="","",INDEX(usia_label,MATCH($M1191,usia_min,1)))</f>
        <v/>
      </c>
      <c r="O1191" s="37"/>
      <c r="P1191" s="41"/>
      <c r="Q1191" s="37"/>
      <c r="R1191" s="37"/>
      <c r="S1191" s="40" t="str">
        <f aca="false">IF($G1191="","",$G1191&amp;"#"&amp;COUNTIF($G$4:$G1191,$G1191))</f>
        <v/>
      </c>
      <c r="T1191" s="40" t="str">
        <f aca="false">IF($B1191="","",IF($C1191="","NIK kosong",IF(LEN($C1191)&lt;&gt;16,"NIK bukan 16 digit",IF(COUNTIF($C$4:$C$2003,$C1191&amp;"*")&gt;1,"NIK ganda",IF($E1191="","Kadus kosong",IF($F1191="","RT kosong",IF($H1191="","Jabatan kosong",IF($I1191="","No. HP kosong",IF($J1191="","Alamat kosong",IF(AND($M1191&lt;&gt;"",$M1191&lt;17),"Usia di bawah 17",""))))))))))</f>
        <v/>
      </c>
      <c r="U1191" s="40" t="str">
        <f aca="false">IF($B1191="","",IF(AND(OR(CARI!$C$5="",ISNUMBER(SEARCH(CARI!$C$5,$B1191&amp;" "&amp;$C1191&amp;" "&amp;$I1191&amp;" "&amp;$J1191&amp;" "&amp;$Q1191))),OR(CARI!$C$6="",$E1191=CARI!$C$6),OR(CARI!$C$7="",$F1191=CARI!$C$7),OR(CARI!$C$8="",$O1191=CARI!$C$8)),MAX($U$3:U1190)+1,""))</f>
        <v/>
      </c>
      <c r="V1191" s="40" t="str">
        <f aca="false">IF($T1191="","",MAX($V$3:V1190)+1)</f>
        <v/>
      </c>
      <c r="W1191" s="40" t="str">
        <f aca="false">IF($E1191="","",$E1191&amp;"#"&amp;COUNTIF($E$4:$E1191,$E1191))</f>
        <v/>
      </c>
      <c r="X1191" s="40" t="str">
        <f aca="false">IF($B1191="","",IF(AND(OR(CETAK!$J$10="",$E1191=CETAK!$J$10),OR(CETAK!$J$11="",$F1191=CETAK!$J$11),OR(CETAK!$J$12="",$K1191=CETAK!$J$12),OR(CETAK!$J$13="",$H1191=CETAK!$J$13),OR(CETAK!$J$14="",$O1191=CETAK!$J$14)),MAX($X$3:X1190)+1,""))</f>
        <v/>
      </c>
      <c r="Y1191" s="40" t="str">
        <f aca="false">IF($B1191="","",IF(AND(OR(ABSENSI!$H$10="",$E1191=ABSENSI!$H$10),OR(ABSENSI!$H$11="",$F1191=ABSENSI!$H$11),OR(ABSENSI!$H$12="",$K1191=ABSENSI!$H$12)),MAX($Y$3:Y1190)+1,""))</f>
        <v/>
      </c>
      <c r="Z1191" s="40" t="str">
        <f aca="false">IF($B1191="","",IF(AND(OR(KARTU!$K$6="",$E1191=KARTU!$K$6),OR(KARTU!$K$7="",$F1191=KARTU!$K$7),OR(KARTU!$K$8="",$K1191=KARTU!$K$8)),MAX($Z$3:Z1190)+1,""))</f>
        <v/>
      </c>
    </row>
    <row r="1192" customFormat="false" ht="15" hidden="false" customHeight="false" outlineLevel="0" collapsed="false">
      <c r="A1192" s="36" t="str">
        <f aca="false">IF($B1192="","",COUNTA($B$4:$B1192))</f>
        <v/>
      </c>
      <c r="B1192" s="37"/>
      <c r="C1192" s="38"/>
      <c r="D1192" s="39"/>
      <c r="E1192" s="37"/>
      <c r="F1192" s="39"/>
      <c r="G1192" s="40" t="str">
        <f aca="false">IF(OR($E1192="",$F1192=""),"",$E1192&amp;" - RT "&amp;$F1192)</f>
        <v/>
      </c>
      <c r="H1192" s="37"/>
      <c r="I1192" s="38"/>
      <c r="J1192" s="37"/>
      <c r="K1192" s="39"/>
      <c r="L1192" s="41"/>
      <c r="M1192" s="36" t="str">
        <f aca="true">IF(OR($B1192="",$L1192=""),"",DATEDIF($L1192,TODAY(),"Y"))</f>
        <v/>
      </c>
      <c r="N1192" s="40" t="str">
        <f aca="false">IF($M1192="","",INDEX(usia_label,MATCH($M1192,usia_min,1)))</f>
        <v/>
      </c>
      <c r="O1192" s="37"/>
      <c r="P1192" s="41"/>
      <c r="Q1192" s="37"/>
      <c r="R1192" s="37"/>
      <c r="S1192" s="40" t="str">
        <f aca="false">IF($G1192="","",$G1192&amp;"#"&amp;COUNTIF($G$4:$G1192,$G1192))</f>
        <v/>
      </c>
      <c r="T1192" s="40" t="str">
        <f aca="false">IF($B1192="","",IF($C1192="","NIK kosong",IF(LEN($C1192)&lt;&gt;16,"NIK bukan 16 digit",IF(COUNTIF($C$4:$C$2003,$C1192&amp;"*")&gt;1,"NIK ganda",IF($E1192="","Kadus kosong",IF($F1192="","RT kosong",IF($H1192="","Jabatan kosong",IF($I1192="","No. HP kosong",IF($J1192="","Alamat kosong",IF(AND($M1192&lt;&gt;"",$M1192&lt;17),"Usia di bawah 17",""))))))))))</f>
        <v/>
      </c>
      <c r="U1192" s="40" t="str">
        <f aca="false">IF($B1192="","",IF(AND(OR(CARI!$C$5="",ISNUMBER(SEARCH(CARI!$C$5,$B1192&amp;" "&amp;$C1192&amp;" "&amp;$I1192&amp;" "&amp;$J1192&amp;" "&amp;$Q1192))),OR(CARI!$C$6="",$E1192=CARI!$C$6),OR(CARI!$C$7="",$F1192=CARI!$C$7),OR(CARI!$C$8="",$O1192=CARI!$C$8)),MAX($U$3:U1191)+1,""))</f>
        <v/>
      </c>
      <c r="V1192" s="40" t="str">
        <f aca="false">IF($T1192="","",MAX($V$3:V1191)+1)</f>
        <v/>
      </c>
      <c r="W1192" s="40" t="str">
        <f aca="false">IF($E1192="","",$E1192&amp;"#"&amp;COUNTIF($E$4:$E1192,$E1192))</f>
        <v/>
      </c>
      <c r="X1192" s="40" t="str">
        <f aca="false">IF($B1192="","",IF(AND(OR(CETAK!$J$10="",$E1192=CETAK!$J$10),OR(CETAK!$J$11="",$F1192=CETAK!$J$11),OR(CETAK!$J$12="",$K1192=CETAK!$J$12),OR(CETAK!$J$13="",$H1192=CETAK!$J$13),OR(CETAK!$J$14="",$O1192=CETAK!$J$14)),MAX($X$3:X1191)+1,""))</f>
        <v/>
      </c>
      <c r="Y1192" s="40" t="str">
        <f aca="false">IF($B1192="","",IF(AND(OR(ABSENSI!$H$10="",$E1192=ABSENSI!$H$10),OR(ABSENSI!$H$11="",$F1192=ABSENSI!$H$11),OR(ABSENSI!$H$12="",$K1192=ABSENSI!$H$12)),MAX($Y$3:Y1191)+1,""))</f>
        <v/>
      </c>
      <c r="Z1192" s="40" t="str">
        <f aca="false">IF($B1192="","",IF(AND(OR(KARTU!$K$6="",$E1192=KARTU!$K$6),OR(KARTU!$K$7="",$F1192=KARTU!$K$7),OR(KARTU!$K$8="",$K1192=KARTU!$K$8)),MAX($Z$3:Z1191)+1,""))</f>
        <v/>
      </c>
    </row>
    <row r="1193" customFormat="false" ht="15" hidden="false" customHeight="false" outlineLevel="0" collapsed="false">
      <c r="A1193" s="36" t="str">
        <f aca="false">IF($B1193="","",COUNTA($B$4:$B1193))</f>
        <v/>
      </c>
      <c r="B1193" s="37"/>
      <c r="C1193" s="38"/>
      <c r="D1193" s="39"/>
      <c r="E1193" s="37"/>
      <c r="F1193" s="39"/>
      <c r="G1193" s="40" t="str">
        <f aca="false">IF(OR($E1193="",$F1193=""),"",$E1193&amp;" - RT "&amp;$F1193)</f>
        <v/>
      </c>
      <c r="H1193" s="37"/>
      <c r="I1193" s="38"/>
      <c r="J1193" s="37"/>
      <c r="K1193" s="39"/>
      <c r="L1193" s="41"/>
      <c r="M1193" s="36" t="str">
        <f aca="true">IF(OR($B1193="",$L1193=""),"",DATEDIF($L1193,TODAY(),"Y"))</f>
        <v/>
      </c>
      <c r="N1193" s="40" t="str">
        <f aca="false">IF($M1193="","",INDEX(usia_label,MATCH($M1193,usia_min,1)))</f>
        <v/>
      </c>
      <c r="O1193" s="37"/>
      <c r="P1193" s="41"/>
      <c r="Q1193" s="37"/>
      <c r="R1193" s="37"/>
      <c r="S1193" s="40" t="str">
        <f aca="false">IF($G1193="","",$G1193&amp;"#"&amp;COUNTIF($G$4:$G1193,$G1193))</f>
        <v/>
      </c>
      <c r="T1193" s="40" t="str">
        <f aca="false">IF($B1193="","",IF($C1193="","NIK kosong",IF(LEN($C1193)&lt;&gt;16,"NIK bukan 16 digit",IF(COUNTIF($C$4:$C$2003,$C1193&amp;"*")&gt;1,"NIK ganda",IF($E1193="","Kadus kosong",IF($F1193="","RT kosong",IF($H1193="","Jabatan kosong",IF($I1193="","No. HP kosong",IF($J1193="","Alamat kosong",IF(AND($M1193&lt;&gt;"",$M1193&lt;17),"Usia di bawah 17",""))))))))))</f>
        <v/>
      </c>
      <c r="U1193" s="40" t="str">
        <f aca="false">IF($B1193="","",IF(AND(OR(CARI!$C$5="",ISNUMBER(SEARCH(CARI!$C$5,$B1193&amp;" "&amp;$C1193&amp;" "&amp;$I1193&amp;" "&amp;$J1193&amp;" "&amp;$Q1193))),OR(CARI!$C$6="",$E1193=CARI!$C$6),OR(CARI!$C$7="",$F1193=CARI!$C$7),OR(CARI!$C$8="",$O1193=CARI!$C$8)),MAX($U$3:U1192)+1,""))</f>
        <v/>
      </c>
      <c r="V1193" s="40" t="str">
        <f aca="false">IF($T1193="","",MAX($V$3:V1192)+1)</f>
        <v/>
      </c>
      <c r="W1193" s="40" t="str">
        <f aca="false">IF($E1193="","",$E1193&amp;"#"&amp;COUNTIF($E$4:$E1193,$E1193))</f>
        <v/>
      </c>
      <c r="X1193" s="40" t="str">
        <f aca="false">IF($B1193="","",IF(AND(OR(CETAK!$J$10="",$E1193=CETAK!$J$10),OR(CETAK!$J$11="",$F1193=CETAK!$J$11),OR(CETAK!$J$12="",$K1193=CETAK!$J$12),OR(CETAK!$J$13="",$H1193=CETAK!$J$13),OR(CETAK!$J$14="",$O1193=CETAK!$J$14)),MAX($X$3:X1192)+1,""))</f>
        <v/>
      </c>
      <c r="Y1193" s="40" t="str">
        <f aca="false">IF($B1193="","",IF(AND(OR(ABSENSI!$H$10="",$E1193=ABSENSI!$H$10),OR(ABSENSI!$H$11="",$F1193=ABSENSI!$H$11),OR(ABSENSI!$H$12="",$K1193=ABSENSI!$H$12)),MAX($Y$3:Y1192)+1,""))</f>
        <v/>
      </c>
      <c r="Z1193" s="40" t="str">
        <f aca="false">IF($B1193="","",IF(AND(OR(KARTU!$K$6="",$E1193=KARTU!$K$6),OR(KARTU!$K$7="",$F1193=KARTU!$K$7),OR(KARTU!$K$8="",$K1193=KARTU!$K$8)),MAX($Z$3:Z1192)+1,""))</f>
        <v/>
      </c>
    </row>
    <row r="1194" customFormat="false" ht="15" hidden="false" customHeight="false" outlineLevel="0" collapsed="false">
      <c r="A1194" s="36" t="str">
        <f aca="false">IF($B1194="","",COUNTA($B$4:$B1194))</f>
        <v/>
      </c>
      <c r="B1194" s="37"/>
      <c r="C1194" s="38"/>
      <c r="D1194" s="39"/>
      <c r="E1194" s="37"/>
      <c r="F1194" s="39"/>
      <c r="G1194" s="40" t="str">
        <f aca="false">IF(OR($E1194="",$F1194=""),"",$E1194&amp;" - RT "&amp;$F1194)</f>
        <v/>
      </c>
      <c r="H1194" s="37"/>
      <c r="I1194" s="38"/>
      <c r="J1194" s="37"/>
      <c r="K1194" s="39"/>
      <c r="L1194" s="41"/>
      <c r="M1194" s="36" t="str">
        <f aca="true">IF(OR($B1194="",$L1194=""),"",DATEDIF($L1194,TODAY(),"Y"))</f>
        <v/>
      </c>
      <c r="N1194" s="40" t="str">
        <f aca="false">IF($M1194="","",INDEX(usia_label,MATCH($M1194,usia_min,1)))</f>
        <v/>
      </c>
      <c r="O1194" s="37"/>
      <c r="P1194" s="41"/>
      <c r="Q1194" s="37"/>
      <c r="R1194" s="37"/>
      <c r="S1194" s="40" t="str">
        <f aca="false">IF($G1194="","",$G1194&amp;"#"&amp;COUNTIF($G$4:$G1194,$G1194))</f>
        <v/>
      </c>
      <c r="T1194" s="40" t="str">
        <f aca="false">IF($B1194="","",IF($C1194="","NIK kosong",IF(LEN($C1194)&lt;&gt;16,"NIK bukan 16 digit",IF(COUNTIF($C$4:$C$2003,$C1194&amp;"*")&gt;1,"NIK ganda",IF($E1194="","Kadus kosong",IF($F1194="","RT kosong",IF($H1194="","Jabatan kosong",IF($I1194="","No. HP kosong",IF($J1194="","Alamat kosong",IF(AND($M1194&lt;&gt;"",$M1194&lt;17),"Usia di bawah 17",""))))))))))</f>
        <v/>
      </c>
      <c r="U1194" s="40" t="str">
        <f aca="false">IF($B1194="","",IF(AND(OR(CARI!$C$5="",ISNUMBER(SEARCH(CARI!$C$5,$B1194&amp;" "&amp;$C1194&amp;" "&amp;$I1194&amp;" "&amp;$J1194&amp;" "&amp;$Q1194))),OR(CARI!$C$6="",$E1194=CARI!$C$6),OR(CARI!$C$7="",$F1194=CARI!$C$7),OR(CARI!$C$8="",$O1194=CARI!$C$8)),MAX($U$3:U1193)+1,""))</f>
        <v/>
      </c>
      <c r="V1194" s="40" t="str">
        <f aca="false">IF($T1194="","",MAX($V$3:V1193)+1)</f>
        <v/>
      </c>
      <c r="W1194" s="40" t="str">
        <f aca="false">IF($E1194="","",$E1194&amp;"#"&amp;COUNTIF($E$4:$E1194,$E1194))</f>
        <v/>
      </c>
      <c r="X1194" s="40" t="str">
        <f aca="false">IF($B1194="","",IF(AND(OR(CETAK!$J$10="",$E1194=CETAK!$J$10),OR(CETAK!$J$11="",$F1194=CETAK!$J$11),OR(CETAK!$J$12="",$K1194=CETAK!$J$12),OR(CETAK!$J$13="",$H1194=CETAK!$J$13),OR(CETAK!$J$14="",$O1194=CETAK!$J$14)),MAX($X$3:X1193)+1,""))</f>
        <v/>
      </c>
      <c r="Y1194" s="40" t="str">
        <f aca="false">IF($B1194="","",IF(AND(OR(ABSENSI!$H$10="",$E1194=ABSENSI!$H$10),OR(ABSENSI!$H$11="",$F1194=ABSENSI!$H$11),OR(ABSENSI!$H$12="",$K1194=ABSENSI!$H$12)),MAX($Y$3:Y1193)+1,""))</f>
        <v/>
      </c>
      <c r="Z1194" s="40" t="str">
        <f aca="false">IF($B1194="","",IF(AND(OR(KARTU!$K$6="",$E1194=KARTU!$K$6),OR(KARTU!$K$7="",$F1194=KARTU!$K$7),OR(KARTU!$K$8="",$K1194=KARTU!$K$8)),MAX($Z$3:Z1193)+1,""))</f>
        <v/>
      </c>
    </row>
    <row r="1195" customFormat="false" ht="15" hidden="false" customHeight="false" outlineLevel="0" collapsed="false">
      <c r="A1195" s="36" t="str">
        <f aca="false">IF($B1195="","",COUNTA($B$4:$B1195))</f>
        <v/>
      </c>
      <c r="B1195" s="37"/>
      <c r="C1195" s="38"/>
      <c r="D1195" s="39"/>
      <c r="E1195" s="37"/>
      <c r="F1195" s="39"/>
      <c r="G1195" s="40" t="str">
        <f aca="false">IF(OR($E1195="",$F1195=""),"",$E1195&amp;" - RT "&amp;$F1195)</f>
        <v/>
      </c>
      <c r="H1195" s="37"/>
      <c r="I1195" s="38"/>
      <c r="J1195" s="37"/>
      <c r="K1195" s="39"/>
      <c r="L1195" s="41"/>
      <c r="M1195" s="36" t="str">
        <f aca="true">IF(OR($B1195="",$L1195=""),"",DATEDIF($L1195,TODAY(),"Y"))</f>
        <v/>
      </c>
      <c r="N1195" s="40" t="str">
        <f aca="false">IF($M1195="","",INDEX(usia_label,MATCH($M1195,usia_min,1)))</f>
        <v/>
      </c>
      <c r="O1195" s="37"/>
      <c r="P1195" s="41"/>
      <c r="Q1195" s="37"/>
      <c r="R1195" s="37"/>
      <c r="S1195" s="40" t="str">
        <f aca="false">IF($G1195="","",$G1195&amp;"#"&amp;COUNTIF($G$4:$G1195,$G1195))</f>
        <v/>
      </c>
      <c r="T1195" s="40" t="str">
        <f aca="false">IF($B1195="","",IF($C1195="","NIK kosong",IF(LEN($C1195)&lt;&gt;16,"NIK bukan 16 digit",IF(COUNTIF($C$4:$C$2003,$C1195&amp;"*")&gt;1,"NIK ganda",IF($E1195="","Kadus kosong",IF($F1195="","RT kosong",IF($H1195="","Jabatan kosong",IF($I1195="","No. HP kosong",IF($J1195="","Alamat kosong",IF(AND($M1195&lt;&gt;"",$M1195&lt;17),"Usia di bawah 17",""))))))))))</f>
        <v/>
      </c>
      <c r="U1195" s="40" t="str">
        <f aca="false">IF($B1195="","",IF(AND(OR(CARI!$C$5="",ISNUMBER(SEARCH(CARI!$C$5,$B1195&amp;" "&amp;$C1195&amp;" "&amp;$I1195&amp;" "&amp;$J1195&amp;" "&amp;$Q1195))),OR(CARI!$C$6="",$E1195=CARI!$C$6),OR(CARI!$C$7="",$F1195=CARI!$C$7),OR(CARI!$C$8="",$O1195=CARI!$C$8)),MAX($U$3:U1194)+1,""))</f>
        <v/>
      </c>
      <c r="V1195" s="40" t="str">
        <f aca="false">IF($T1195="","",MAX($V$3:V1194)+1)</f>
        <v/>
      </c>
      <c r="W1195" s="40" t="str">
        <f aca="false">IF($E1195="","",$E1195&amp;"#"&amp;COUNTIF($E$4:$E1195,$E1195))</f>
        <v/>
      </c>
      <c r="X1195" s="40" t="str">
        <f aca="false">IF($B1195="","",IF(AND(OR(CETAK!$J$10="",$E1195=CETAK!$J$10),OR(CETAK!$J$11="",$F1195=CETAK!$J$11),OR(CETAK!$J$12="",$K1195=CETAK!$J$12),OR(CETAK!$J$13="",$H1195=CETAK!$J$13),OR(CETAK!$J$14="",$O1195=CETAK!$J$14)),MAX($X$3:X1194)+1,""))</f>
        <v/>
      </c>
      <c r="Y1195" s="40" t="str">
        <f aca="false">IF($B1195="","",IF(AND(OR(ABSENSI!$H$10="",$E1195=ABSENSI!$H$10),OR(ABSENSI!$H$11="",$F1195=ABSENSI!$H$11),OR(ABSENSI!$H$12="",$K1195=ABSENSI!$H$12)),MAX($Y$3:Y1194)+1,""))</f>
        <v/>
      </c>
      <c r="Z1195" s="40" t="str">
        <f aca="false">IF($B1195="","",IF(AND(OR(KARTU!$K$6="",$E1195=KARTU!$K$6),OR(KARTU!$K$7="",$F1195=KARTU!$K$7),OR(KARTU!$K$8="",$K1195=KARTU!$K$8)),MAX($Z$3:Z1194)+1,""))</f>
        <v/>
      </c>
    </row>
    <row r="1196" customFormat="false" ht="15" hidden="false" customHeight="false" outlineLevel="0" collapsed="false">
      <c r="A1196" s="36" t="str">
        <f aca="false">IF($B1196="","",COUNTA($B$4:$B1196))</f>
        <v/>
      </c>
      <c r="B1196" s="37"/>
      <c r="C1196" s="38"/>
      <c r="D1196" s="39"/>
      <c r="E1196" s="37"/>
      <c r="F1196" s="39"/>
      <c r="G1196" s="40" t="str">
        <f aca="false">IF(OR($E1196="",$F1196=""),"",$E1196&amp;" - RT "&amp;$F1196)</f>
        <v/>
      </c>
      <c r="H1196" s="37"/>
      <c r="I1196" s="38"/>
      <c r="J1196" s="37"/>
      <c r="K1196" s="39"/>
      <c r="L1196" s="41"/>
      <c r="M1196" s="36" t="str">
        <f aca="true">IF(OR($B1196="",$L1196=""),"",DATEDIF($L1196,TODAY(),"Y"))</f>
        <v/>
      </c>
      <c r="N1196" s="40" t="str">
        <f aca="false">IF($M1196="","",INDEX(usia_label,MATCH($M1196,usia_min,1)))</f>
        <v/>
      </c>
      <c r="O1196" s="37"/>
      <c r="P1196" s="41"/>
      <c r="Q1196" s="37"/>
      <c r="R1196" s="37"/>
      <c r="S1196" s="40" t="str">
        <f aca="false">IF($G1196="","",$G1196&amp;"#"&amp;COUNTIF($G$4:$G1196,$G1196))</f>
        <v/>
      </c>
      <c r="T1196" s="40" t="str">
        <f aca="false">IF($B1196="","",IF($C1196="","NIK kosong",IF(LEN($C1196)&lt;&gt;16,"NIK bukan 16 digit",IF(COUNTIF($C$4:$C$2003,$C1196&amp;"*")&gt;1,"NIK ganda",IF($E1196="","Kadus kosong",IF($F1196="","RT kosong",IF($H1196="","Jabatan kosong",IF($I1196="","No. HP kosong",IF($J1196="","Alamat kosong",IF(AND($M1196&lt;&gt;"",$M1196&lt;17),"Usia di bawah 17",""))))))))))</f>
        <v/>
      </c>
      <c r="U1196" s="40" t="str">
        <f aca="false">IF($B1196="","",IF(AND(OR(CARI!$C$5="",ISNUMBER(SEARCH(CARI!$C$5,$B1196&amp;" "&amp;$C1196&amp;" "&amp;$I1196&amp;" "&amp;$J1196&amp;" "&amp;$Q1196))),OR(CARI!$C$6="",$E1196=CARI!$C$6),OR(CARI!$C$7="",$F1196=CARI!$C$7),OR(CARI!$C$8="",$O1196=CARI!$C$8)),MAX($U$3:U1195)+1,""))</f>
        <v/>
      </c>
      <c r="V1196" s="40" t="str">
        <f aca="false">IF($T1196="","",MAX($V$3:V1195)+1)</f>
        <v/>
      </c>
      <c r="W1196" s="40" t="str">
        <f aca="false">IF($E1196="","",$E1196&amp;"#"&amp;COUNTIF($E$4:$E1196,$E1196))</f>
        <v/>
      </c>
      <c r="X1196" s="40" t="str">
        <f aca="false">IF($B1196="","",IF(AND(OR(CETAK!$J$10="",$E1196=CETAK!$J$10),OR(CETAK!$J$11="",$F1196=CETAK!$J$11),OR(CETAK!$J$12="",$K1196=CETAK!$J$12),OR(CETAK!$J$13="",$H1196=CETAK!$J$13),OR(CETAK!$J$14="",$O1196=CETAK!$J$14)),MAX($X$3:X1195)+1,""))</f>
        <v/>
      </c>
      <c r="Y1196" s="40" t="str">
        <f aca="false">IF($B1196="","",IF(AND(OR(ABSENSI!$H$10="",$E1196=ABSENSI!$H$10),OR(ABSENSI!$H$11="",$F1196=ABSENSI!$H$11),OR(ABSENSI!$H$12="",$K1196=ABSENSI!$H$12)),MAX($Y$3:Y1195)+1,""))</f>
        <v/>
      </c>
      <c r="Z1196" s="40" t="str">
        <f aca="false">IF($B1196="","",IF(AND(OR(KARTU!$K$6="",$E1196=KARTU!$K$6),OR(KARTU!$K$7="",$F1196=KARTU!$K$7),OR(KARTU!$K$8="",$K1196=KARTU!$K$8)),MAX($Z$3:Z1195)+1,""))</f>
        <v/>
      </c>
    </row>
    <row r="1197" customFormat="false" ht="15" hidden="false" customHeight="false" outlineLevel="0" collapsed="false">
      <c r="A1197" s="36" t="str">
        <f aca="false">IF($B1197="","",COUNTA($B$4:$B1197))</f>
        <v/>
      </c>
      <c r="B1197" s="37"/>
      <c r="C1197" s="38"/>
      <c r="D1197" s="39"/>
      <c r="E1197" s="37"/>
      <c r="F1197" s="39"/>
      <c r="G1197" s="40" t="str">
        <f aca="false">IF(OR($E1197="",$F1197=""),"",$E1197&amp;" - RT "&amp;$F1197)</f>
        <v/>
      </c>
      <c r="H1197" s="37"/>
      <c r="I1197" s="38"/>
      <c r="J1197" s="37"/>
      <c r="K1197" s="39"/>
      <c r="L1197" s="41"/>
      <c r="M1197" s="36" t="str">
        <f aca="true">IF(OR($B1197="",$L1197=""),"",DATEDIF($L1197,TODAY(),"Y"))</f>
        <v/>
      </c>
      <c r="N1197" s="40" t="str">
        <f aca="false">IF($M1197="","",INDEX(usia_label,MATCH($M1197,usia_min,1)))</f>
        <v/>
      </c>
      <c r="O1197" s="37"/>
      <c r="P1197" s="41"/>
      <c r="Q1197" s="37"/>
      <c r="R1197" s="37"/>
      <c r="S1197" s="40" t="str">
        <f aca="false">IF($G1197="","",$G1197&amp;"#"&amp;COUNTIF($G$4:$G1197,$G1197))</f>
        <v/>
      </c>
      <c r="T1197" s="40" t="str">
        <f aca="false">IF($B1197="","",IF($C1197="","NIK kosong",IF(LEN($C1197)&lt;&gt;16,"NIK bukan 16 digit",IF(COUNTIF($C$4:$C$2003,$C1197&amp;"*")&gt;1,"NIK ganda",IF($E1197="","Kadus kosong",IF($F1197="","RT kosong",IF($H1197="","Jabatan kosong",IF($I1197="","No. HP kosong",IF($J1197="","Alamat kosong",IF(AND($M1197&lt;&gt;"",$M1197&lt;17),"Usia di bawah 17",""))))))))))</f>
        <v/>
      </c>
      <c r="U1197" s="40" t="str">
        <f aca="false">IF($B1197="","",IF(AND(OR(CARI!$C$5="",ISNUMBER(SEARCH(CARI!$C$5,$B1197&amp;" "&amp;$C1197&amp;" "&amp;$I1197&amp;" "&amp;$J1197&amp;" "&amp;$Q1197))),OR(CARI!$C$6="",$E1197=CARI!$C$6),OR(CARI!$C$7="",$F1197=CARI!$C$7),OR(CARI!$C$8="",$O1197=CARI!$C$8)),MAX($U$3:U1196)+1,""))</f>
        <v/>
      </c>
      <c r="V1197" s="40" t="str">
        <f aca="false">IF($T1197="","",MAX($V$3:V1196)+1)</f>
        <v/>
      </c>
      <c r="W1197" s="40" t="str">
        <f aca="false">IF($E1197="","",$E1197&amp;"#"&amp;COUNTIF($E$4:$E1197,$E1197))</f>
        <v/>
      </c>
      <c r="X1197" s="40" t="str">
        <f aca="false">IF($B1197="","",IF(AND(OR(CETAK!$J$10="",$E1197=CETAK!$J$10),OR(CETAK!$J$11="",$F1197=CETAK!$J$11),OR(CETAK!$J$12="",$K1197=CETAK!$J$12),OR(CETAK!$J$13="",$H1197=CETAK!$J$13),OR(CETAK!$J$14="",$O1197=CETAK!$J$14)),MAX($X$3:X1196)+1,""))</f>
        <v/>
      </c>
      <c r="Y1197" s="40" t="str">
        <f aca="false">IF($B1197="","",IF(AND(OR(ABSENSI!$H$10="",$E1197=ABSENSI!$H$10),OR(ABSENSI!$H$11="",$F1197=ABSENSI!$H$11),OR(ABSENSI!$H$12="",$K1197=ABSENSI!$H$12)),MAX($Y$3:Y1196)+1,""))</f>
        <v/>
      </c>
      <c r="Z1197" s="40" t="str">
        <f aca="false">IF($B1197="","",IF(AND(OR(KARTU!$K$6="",$E1197=KARTU!$K$6),OR(KARTU!$K$7="",$F1197=KARTU!$K$7),OR(KARTU!$K$8="",$K1197=KARTU!$K$8)),MAX($Z$3:Z1196)+1,""))</f>
        <v/>
      </c>
    </row>
    <row r="1198" customFormat="false" ht="15" hidden="false" customHeight="false" outlineLevel="0" collapsed="false">
      <c r="A1198" s="36" t="str">
        <f aca="false">IF($B1198="","",COUNTA($B$4:$B1198))</f>
        <v/>
      </c>
      <c r="B1198" s="37"/>
      <c r="C1198" s="38"/>
      <c r="D1198" s="39"/>
      <c r="E1198" s="37"/>
      <c r="F1198" s="39"/>
      <c r="G1198" s="40" t="str">
        <f aca="false">IF(OR($E1198="",$F1198=""),"",$E1198&amp;" - RT "&amp;$F1198)</f>
        <v/>
      </c>
      <c r="H1198" s="37"/>
      <c r="I1198" s="38"/>
      <c r="J1198" s="37"/>
      <c r="K1198" s="39"/>
      <c r="L1198" s="41"/>
      <c r="M1198" s="36" t="str">
        <f aca="true">IF(OR($B1198="",$L1198=""),"",DATEDIF($L1198,TODAY(),"Y"))</f>
        <v/>
      </c>
      <c r="N1198" s="40" t="str">
        <f aca="false">IF($M1198="","",INDEX(usia_label,MATCH($M1198,usia_min,1)))</f>
        <v/>
      </c>
      <c r="O1198" s="37"/>
      <c r="P1198" s="41"/>
      <c r="Q1198" s="37"/>
      <c r="R1198" s="37"/>
      <c r="S1198" s="40" t="str">
        <f aca="false">IF($G1198="","",$G1198&amp;"#"&amp;COUNTIF($G$4:$G1198,$G1198))</f>
        <v/>
      </c>
      <c r="T1198" s="40" t="str">
        <f aca="false">IF($B1198="","",IF($C1198="","NIK kosong",IF(LEN($C1198)&lt;&gt;16,"NIK bukan 16 digit",IF(COUNTIF($C$4:$C$2003,$C1198&amp;"*")&gt;1,"NIK ganda",IF($E1198="","Kadus kosong",IF($F1198="","RT kosong",IF($H1198="","Jabatan kosong",IF($I1198="","No. HP kosong",IF($J1198="","Alamat kosong",IF(AND($M1198&lt;&gt;"",$M1198&lt;17),"Usia di bawah 17",""))))))))))</f>
        <v/>
      </c>
      <c r="U1198" s="40" t="str">
        <f aca="false">IF($B1198="","",IF(AND(OR(CARI!$C$5="",ISNUMBER(SEARCH(CARI!$C$5,$B1198&amp;" "&amp;$C1198&amp;" "&amp;$I1198&amp;" "&amp;$J1198&amp;" "&amp;$Q1198))),OR(CARI!$C$6="",$E1198=CARI!$C$6),OR(CARI!$C$7="",$F1198=CARI!$C$7),OR(CARI!$C$8="",$O1198=CARI!$C$8)),MAX($U$3:U1197)+1,""))</f>
        <v/>
      </c>
      <c r="V1198" s="40" t="str">
        <f aca="false">IF($T1198="","",MAX($V$3:V1197)+1)</f>
        <v/>
      </c>
      <c r="W1198" s="40" t="str">
        <f aca="false">IF($E1198="","",$E1198&amp;"#"&amp;COUNTIF($E$4:$E1198,$E1198))</f>
        <v/>
      </c>
      <c r="X1198" s="40" t="str">
        <f aca="false">IF($B1198="","",IF(AND(OR(CETAK!$J$10="",$E1198=CETAK!$J$10),OR(CETAK!$J$11="",$F1198=CETAK!$J$11),OR(CETAK!$J$12="",$K1198=CETAK!$J$12),OR(CETAK!$J$13="",$H1198=CETAK!$J$13),OR(CETAK!$J$14="",$O1198=CETAK!$J$14)),MAX($X$3:X1197)+1,""))</f>
        <v/>
      </c>
      <c r="Y1198" s="40" t="str">
        <f aca="false">IF($B1198="","",IF(AND(OR(ABSENSI!$H$10="",$E1198=ABSENSI!$H$10),OR(ABSENSI!$H$11="",$F1198=ABSENSI!$H$11),OR(ABSENSI!$H$12="",$K1198=ABSENSI!$H$12)),MAX($Y$3:Y1197)+1,""))</f>
        <v/>
      </c>
      <c r="Z1198" s="40" t="str">
        <f aca="false">IF($B1198="","",IF(AND(OR(KARTU!$K$6="",$E1198=KARTU!$K$6),OR(KARTU!$K$7="",$F1198=KARTU!$K$7),OR(KARTU!$K$8="",$K1198=KARTU!$K$8)),MAX($Z$3:Z1197)+1,""))</f>
        <v/>
      </c>
    </row>
    <row r="1199" customFormat="false" ht="15" hidden="false" customHeight="false" outlineLevel="0" collapsed="false">
      <c r="A1199" s="36" t="str">
        <f aca="false">IF($B1199="","",COUNTA($B$4:$B1199))</f>
        <v/>
      </c>
      <c r="B1199" s="37"/>
      <c r="C1199" s="38"/>
      <c r="D1199" s="39"/>
      <c r="E1199" s="37"/>
      <c r="F1199" s="39"/>
      <c r="G1199" s="40" t="str">
        <f aca="false">IF(OR($E1199="",$F1199=""),"",$E1199&amp;" - RT "&amp;$F1199)</f>
        <v/>
      </c>
      <c r="H1199" s="37"/>
      <c r="I1199" s="38"/>
      <c r="J1199" s="37"/>
      <c r="K1199" s="39"/>
      <c r="L1199" s="41"/>
      <c r="M1199" s="36" t="str">
        <f aca="true">IF(OR($B1199="",$L1199=""),"",DATEDIF($L1199,TODAY(),"Y"))</f>
        <v/>
      </c>
      <c r="N1199" s="40" t="str">
        <f aca="false">IF($M1199="","",INDEX(usia_label,MATCH($M1199,usia_min,1)))</f>
        <v/>
      </c>
      <c r="O1199" s="37"/>
      <c r="P1199" s="41"/>
      <c r="Q1199" s="37"/>
      <c r="R1199" s="37"/>
      <c r="S1199" s="40" t="str">
        <f aca="false">IF($G1199="","",$G1199&amp;"#"&amp;COUNTIF($G$4:$G1199,$G1199))</f>
        <v/>
      </c>
      <c r="T1199" s="40" t="str">
        <f aca="false">IF($B1199="","",IF($C1199="","NIK kosong",IF(LEN($C1199)&lt;&gt;16,"NIK bukan 16 digit",IF(COUNTIF($C$4:$C$2003,$C1199&amp;"*")&gt;1,"NIK ganda",IF($E1199="","Kadus kosong",IF($F1199="","RT kosong",IF($H1199="","Jabatan kosong",IF($I1199="","No. HP kosong",IF($J1199="","Alamat kosong",IF(AND($M1199&lt;&gt;"",$M1199&lt;17),"Usia di bawah 17",""))))))))))</f>
        <v/>
      </c>
      <c r="U1199" s="40" t="str">
        <f aca="false">IF($B1199="","",IF(AND(OR(CARI!$C$5="",ISNUMBER(SEARCH(CARI!$C$5,$B1199&amp;" "&amp;$C1199&amp;" "&amp;$I1199&amp;" "&amp;$J1199&amp;" "&amp;$Q1199))),OR(CARI!$C$6="",$E1199=CARI!$C$6),OR(CARI!$C$7="",$F1199=CARI!$C$7),OR(CARI!$C$8="",$O1199=CARI!$C$8)),MAX($U$3:U1198)+1,""))</f>
        <v/>
      </c>
      <c r="V1199" s="40" t="str">
        <f aca="false">IF($T1199="","",MAX($V$3:V1198)+1)</f>
        <v/>
      </c>
      <c r="W1199" s="40" t="str">
        <f aca="false">IF($E1199="","",$E1199&amp;"#"&amp;COUNTIF($E$4:$E1199,$E1199))</f>
        <v/>
      </c>
      <c r="X1199" s="40" t="str">
        <f aca="false">IF($B1199="","",IF(AND(OR(CETAK!$J$10="",$E1199=CETAK!$J$10),OR(CETAK!$J$11="",$F1199=CETAK!$J$11),OR(CETAK!$J$12="",$K1199=CETAK!$J$12),OR(CETAK!$J$13="",$H1199=CETAK!$J$13),OR(CETAK!$J$14="",$O1199=CETAK!$J$14)),MAX($X$3:X1198)+1,""))</f>
        <v/>
      </c>
      <c r="Y1199" s="40" t="str">
        <f aca="false">IF($B1199="","",IF(AND(OR(ABSENSI!$H$10="",$E1199=ABSENSI!$H$10),OR(ABSENSI!$H$11="",$F1199=ABSENSI!$H$11),OR(ABSENSI!$H$12="",$K1199=ABSENSI!$H$12)),MAX($Y$3:Y1198)+1,""))</f>
        <v/>
      </c>
      <c r="Z1199" s="40" t="str">
        <f aca="false">IF($B1199="","",IF(AND(OR(KARTU!$K$6="",$E1199=KARTU!$K$6),OR(KARTU!$K$7="",$F1199=KARTU!$K$7),OR(KARTU!$K$8="",$K1199=KARTU!$K$8)),MAX($Z$3:Z1198)+1,""))</f>
        <v/>
      </c>
    </row>
    <row r="1200" customFormat="false" ht="15" hidden="false" customHeight="false" outlineLevel="0" collapsed="false">
      <c r="A1200" s="36" t="str">
        <f aca="false">IF($B1200="","",COUNTA($B$4:$B1200))</f>
        <v/>
      </c>
      <c r="B1200" s="37"/>
      <c r="C1200" s="38"/>
      <c r="D1200" s="39"/>
      <c r="E1200" s="37"/>
      <c r="F1200" s="39"/>
      <c r="G1200" s="40" t="str">
        <f aca="false">IF(OR($E1200="",$F1200=""),"",$E1200&amp;" - RT "&amp;$F1200)</f>
        <v/>
      </c>
      <c r="H1200" s="37"/>
      <c r="I1200" s="38"/>
      <c r="J1200" s="37"/>
      <c r="K1200" s="39"/>
      <c r="L1200" s="41"/>
      <c r="M1200" s="36" t="str">
        <f aca="true">IF(OR($B1200="",$L1200=""),"",DATEDIF($L1200,TODAY(),"Y"))</f>
        <v/>
      </c>
      <c r="N1200" s="40" t="str">
        <f aca="false">IF($M1200="","",INDEX(usia_label,MATCH($M1200,usia_min,1)))</f>
        <v/>
      </c>
      <c r="O1200" s="37"/>
      <c r="P1200" s="41"/>
      <c r="Q1200" s="37"/>
      <c r="R1200" s="37"/>
      <c r="S1200" s="40" t="str">
        <f aca="false">IF($G1200="","",$G1200&amp;"#"&amp;COUNTIF($G$4:$G1200,$G1200))</f>
        <v/>
      </c>
      <c r="T1200" s="40" t="str">
        <f aca="false">IF($B1200="","",IF($C1200="","NIK kosong",IF(LEN($C1200)&lt;&gt;16,"NIK bukan 16 digit",IF(COUNTIF($C$4:$C$2003,$C1200&amp;"*")&gt;1,"NIK ganda",IF($E1200="","Kadus kosong",IF($F1200="","RT kosong",IF($H1200="","Jabatan kosong",IF($I1200="","No. HP kosong",IF($J1200="","Alamat kosong",IF(AND($M1200&lt;&gt;"",$M1200&lt;17),"Usia di bawah 17",""))))))))))</f>
        <v/>
      </c>
      <c r="U1200" s="40" t="str">
        <f aca="false">IF($B1200="","",IF(AND(OR(CARI!$C$5="",ISNUMBER(SEARCH(CARI!$C$5,$B1200&amp;" "&amp;$C1200&amp;" "&amp;$I1200&amp;" "&amp;$J1200&amp;" "&amp;$Q1200))),OR(CARI!$C$6="",$E1200=CARI!$C$6),OR(CARI!$C$7="",$F1200=CARI!$C$7),OR(CARI!$C$8="",$O1200=CARI!$C$8)),MAX($U$3:U1199)+1,""))</f>
        <v/>
      </c>
      <c r="V1200" s="40" t="str">
        <f aca="false">IF($T1200="","",MAX($V$3:V1199)+1)</f>
        <v/>
      </c>
      <c r="W1200" s="40" t="str">
        <f aca="false">IF($E1200="","",$E1200&amp;"#"&amp;COUNTIF($E$4:$E1200,$E1200))</f>
        <v/>
      </c>
      <c r="X1200" s="40" t="str">
        <f aca="false">IF($B1200="","",IF(AND(OR(CETAK!$J$10="",$E1200=CETAK!$J$10),OR(CETAK!$J$11="",$F1200=CETAK!$J$11),OR(CETAK!$J$12="",$K1200=CETAK!$J$12),OR(CETAK!$J$13="",$H1200=CETAK!$J$13),OR(CETAK!$J$14="",$O1200=CETAK!$J$14)),MAX($X$3:X1199)+1,""))</f>
        <v/>
      </c>
      <c r="Y1200" s="40" t="str">
        <f aca="false">IF($B1200="","",IF(AND(OR(ABSENSI!$H$10="",$E1200=ABSENSI!$H$10),OR(ABSENSI!$H$11="",$F1200=ABSENSI!$H$11),OR(ABSENSI!$H$12="",$K1200=ABSENSI!$H$12)),MAX($Y$3:Y1199)+1,""))</f>
        <v/>
      </c>
      <c r="Z1200" s="40" t="str">
        <f aca="false">IF($B1200="","",IF(AND(OR(KARTU!$K$6="",$E1200=KARTU!$K$6),OR(KARTU!$K$7="",$F1200=KARTU!$K$7),OR(KARTU!$K$8="",$K1200=KARTU!$K$8)),MAX($Z$3:Z1199)+1,""))</f>
        <v/>
      </c>
    </row>
    <row r="1201" customFormat="false" ht="15" hidden="false" customHeight="false" outlineLevel="0" collapsed="false">
      <c r="A1201" s="36" t="str">
        <f aca="false">IF($B1201="","",COUNTA($B$4:$B1201))</f>
        <v/>
      </c>
      <c r="B1201" s="37"/>
      <c r="C1201" s="38"/>
      <c r="D1201" s="39"/>
      <c r="E1201" s="37"/>
      <c r="F1201" s="39"/>
      <c r="G1201" s="40" t="str">
        <f aca="false">IF(OR($E1201="",$F1201=""),"",$E1201&amp;" - RT "&amp;$F1201)</f>
        <v/>
      </c>
      <c r="H1201" s="37"/>
      <c r="I1201" s="38"/>
      <c r="J1201" s="37"/>
      <c r="K1201" s="39"/>
      <c r="L1201" s="41"/>
      <c r="M1201" s="36" t="str">
        <f aca="true">IF(OR($B1201="",$L1201=""),"",DATEDIF($L1201,TODAY(),"Y"))</f>
        <v/>
      </c>
      <c r="N1201" s="40" t="str">
        <f aca="false">IF($M1201="","",INDEX(usia_label,MATCH($M1201,usia_min,1)))</f>
        <v/>
      </c>
      <c r="O1201" s="37"/>
      <c r="P1201" s="41"/>
      <c r="Q1201" s="37"/>
      <c r="R1201" s="37"/>
      <c r="S1201" s="40" t="str">
        <f aca="false">IF($G1201="","",$G1201&amp;"#"&amp;COUNTIF($G$4:$G1201,$G1201))</f>
        <v/>
      </c>
      <c r="T1201" s="40" t="str">
        <f aca="false">IF($B1201="","",IF($C1201="","NIK kosong",IF(LEN($C1201)&lt;&gt;16,"NIK bukan 16 digit",IF(COUNTIF($C$4:$C$2003,$C1201&amp;"*")&gt;1,"NIK ganda",IF($E1201="","Kadus kosong",IF($F1201="","RT kosong",IF($H1201="","Jabatan kosong",IF($I1201="","No. HP kosong",IF($J1201="","Alamat kosong",IF(AND($M1201&lt;&gt;"",$M1201&lt;17),"Usia di bawah 17",""))))))))))</f>
        <v/>
      </c>
      <c r="U1201" s="40" t="str">
        <f aca="false">IF($B1201="","",IF(AND(OR(CARI!$C$5="",ISNUMBER(SEARCH(CARI!$C$5,$B1201&amp;" "&amp;$C1201&amp;" "&amp;$I1201&amp;" "&amp;$J1201&amp;" "&amp;$Q1201))),OR(CARI!$C$6="",$E1201=CARI!$C$6),OR(CARI!$C$7="",$F1201=CARI!$C$7),OR(CARI!$C$8="",$O1201=CARI!$C$8)),MAX($U$3:U1200)+1,""))</f>
        <v/>
      </c>
      <c r="V1201" s="40" t="str">
        <f aca="false">IF($T1201="","",MAX($V$3:V1200)+1)</f>
        <v/>
      </c>
      <c r="W1201" s="40" t="str">
        <f aca="false">IF($E1201="","",$E1201&amp;"#"&amp;COUNTIF($E$4:$E1201,$E1201))</f>
        <v/>
      </c>
      <c r="X1201" s="40" t="str">
        <f aca="false">IF($B1201="","",IF(AND(OR(CETAK!$J$10="",$E1201=CETAK!$J$10),OR(CETAK!$J$11="",$F1201=CETAK!$J$11),OR(CETAK!$J$12="",$K1201=CETAK!$J$12),OR(CETAK!$J$13="",$H1201=CETAK!$J$13),OR(CETAK!$J$14="",$O1201=CETAK!$J$14)),MAX($X$3:X1200)+1,""))</f>
        <v/>
      </c>
      <c r="Y1201" s="40" t="str">
        <f aca="false">IF($B1201="","",IF(AND(OR(ABSENSI!$H$10="",$E1201=ABSENSI!$H$10),OR(ABSENSI!$H$11="",$F1201=ABSENSI!$H$11),OR(ABSENSI!$H$12="",$K1201=ABSENSI!$H$12)),MAX($Y$3:Y1200)+1,""))</f>
        <v/>
      </c>
      <c r="Z1201" s="40" t="str">
        <f aca="false">IF($B1201="","",IF(AND(OR(KARTU!$K$6="",$E1201=KARTU!$K$6),OR(KARTU!$K$7="",$F1201=KARTU!$K$7),OR(KARTU!$K$8="",$K1201=KARTU!$K$8)),MAX($Z$3:Z1200)+1,""))</f>
        <v/>
      </c>
    </row>
    <row r="1202" customFormat="false" ht="15" hidden="false" customHeight="false" outlineLevel="0" collapsed="false">
      <c r="A1202" s="36" t="str">
        <f aca="false">IF($B1202="","",COUNTA($B$4:$B1202))</f>
        <v/>
      </c>
      <c r="B1202" s="37"/>
      <c r="C1202" s="38"/>
      <c r="D1202" s="39"/>
      <c r="E1202" s="37"/>
      <c r="F1202" s="39"/>
      <c r="G1202" s="40" t="str">
        <f aca="false">IF(OR($E1202="",$F1202=""),"",$E1202&amp;" - RT "&amp;$F1202)</f>
        <v/>
      </c>
      <c r="H1202" s="37"/>
      <c r="I1202" s="38"/>
      <c r="J1202" s="37"/>
      <c r="K1202" s="39"/>
      <c r="L1202" s="41"/>
      <c r="M1202" s="36" t="str">
        <f aca="true">IF(OR($B1202="",$L1202=""),"",DATEDIF($L1202,TODAY(),"Y"))</f>
        <v/>
      </c>
      <c r="N1202" s="40" t="str">
        <f aca="false">IF($M1202="","",INDEX(usia_label,MATCH($M1202,usia_min,1)))</f>
        <v/>
      </c>
      <c r="O1202" s="37"/>
      <c r="P1202" s="41"/>
      <c r="Q1202" s="37"/>
      <c r="R1202" s="37"/>
      <c r="S1202" s="40" t="str">
        <f aca="false">IF($G1202="","",$G1202&amp;"#"&amp;COUNTIF($G$4:$G1202,$G1202))</f>
        <v/>
      </c>
      <c r="T1202" s="40" t="str">
        <f aca="false">IF($B1202="","",IF($C1202="","NIK kosong",IF(LEN($C1202)&lt;&gt;16,"NIK bukan 16 digit",IF(COUNTIF($C$4:$C$2003,$C1202&amp;"*")&gt;1,"NIK ganda",IF($E1202="","Kadus kosong",IF($F1202="","RT kosong",IF($H1202="","Jabatan kosong",IF($I1202="","No. HP kosong",IF($J1202="","Alamat kosong",IF(AND($M1202&lt;&gt;"",$M1202&lt;17),"Usia di bawah 17",""))))))))))</f>
        <v/>
      </c>
      <c r="U1202" s="40" t="str">
        <f aca="false">IF($B1202="","",IF(AND(OR(CARI!$C$5="",ISNUMBER(SEARCH(CARI!$C$5,$B1202&amp;" "&amp;$C1202&amp;" "&amp;$I1202&amp;" "&amp;$J1202&amp;" "&amp;$Q1202))),OR(CARI!$C$6="",$E1202=CARI!$C$6),OR(CARI!$C$7="",$F1202=CARI!$C$7),OR(CARI!$C$8="",$O1202=CARI!$C$8)),MAX($U$3:U1201)+1,""))</f>
        <v/>
      </c>
      <c r="V1202" s="40" t="str">
        <f aca="false">IF($T1202="","",MAX($V$3:V1201)+1)</f>
        <v/>
      </c>
      <c r="W1202" s="40" t="str">
        <f aca="false">IF($E1202="","",$E1202&amp;"#"&amp;COUNTIF($E$4:$E1202,$E1202))</f>
        <v/>
      </c>
      <c r="X1202" s="40" t="str">
        <f aca="false">IF($B1202="","",IF(AND(OR(CETAK!$J$10="",$E1202=CETAK!$J$10),OR(CETAK!$J$11="",$F1202=CETAK!$J$11),OR(CETAK!$J$12="",$K1202=CETAK!$J$12),OR(CETAK!$J$13="",$H1202=CETAK!$J$13),OR(CETAK!$J$14="",$O1202=CETAK!$J$14)),MAX($X$3:X1201)+1,""))</f>
        <v/>
      </c>
      <c r="Y1202" s="40" t="str">
        <f aca="false">IF($B1202="","",IF(AND(OR(ABSENSI!$H$10="",$E1202=ABSENSI!$H$10),OR(ABSENSI!$H$11="",$F1202=ABSENSI!$H$11),OR(ABSENSI!$H$12="",$K1202=ABSENSI!$H$12)),MAX($Y$3:Y1201)+1,""))</f>
        <v/>
      </c>
      <c r="Z1202" s="40" t="str">
        <f aca="false">IF($B1202="","",IF(AND(OR(KARTU!$K$6="",$E1202=KARTU!$K$6),OR(KARTU!$K$7="",$F1202=KARTU!$K$7),OR(KARTU!$K$8="",$K1202=KARTU!$K$8)),MAX($Z$3:Z1201)+1,""))</f>
        <v/>
      </c>
    </row>
    <row r="1203" customFormat="false" ht="15" hidden="false" customHeight="false" outlineLevel="0" collapsed="false">
      <c r="A1203" s="36" t="str">
        <f aca="false">IF($B1203="","",COUNTA($B$4:$B1203))</f>
        <v/>
      </c>
      <c r="B1203" s="37"/>
      <c r="C1203" s="38"/>
      <c r="D1203" s="39"/>
      <c r="E1203" s="37"/>
      <c r="F1203" s="39"/>
      <c r="G1203" s="40" t="str">
        <f aca="false">IF(OR($E1203="",$F1203=""),"",$E1203&amp;" - RT "&amp;$F1203)</f>
        <v/>
      </c>
      <c r="H1203" s="37"/>
      <c r="I1203" s="38"/>
      <c r="J1203" s="37"/>
      <c r="K1203" s="39"/>
      <c r="L1203" s="41"/>
      <c r="M1203" s="36" t="str">
        <f aca="true">IF(OR($B1203="",$L1203=""),"",DATEDIF($L1203,TODAY(),"Y"))</f>
        <v/>
      </c>
      <c r="N1203" s="40" t="str">
        <f aca="false">IF($M1203="","",INDEX(usia_label,MATCH($M1203,usia_min,1)))</f>
        <v/>
      </c>
      <c r="O1203" s="37"/>
      <c r="P1203" s="41"/>
      <c r="Q1203" s="37"/>
      <c r="R1203" s="37"/>
      <c r="S1203" s="40" t="str">
        <f aca="false">IF($G1203="","",$G1203&amp;"#"&amp;COUNTIF($G$4:$G1203,$G1203))</f>
        <v/>
      </c>
      <c r="T1203" s="40" t="str">
        <f aca="false">IF($B1203="","",IF($C1203="","NIK kosong",IF(LEN($C1203)&lt;&gt;16,"NIK bukan 16 digit",IF(COUNTIF($C$4:$C$2003,$C1203&amp;"*")&gt;1,"NIK ganda",IF($E1203="","Kadus kosong",IF($F1203="","RT kosong",IF($H1203="","Jabatan kosong",IF($I1203="","No. HP kosong",IF($J1203="","Alamat kosong",IF(AND($M1203&lt;&gt;"",$M1203&lt;17),"Usia di bawah 17",""))))))))))</f>
        <v/>
      </c>
      <c r="U1203" s="40" t="str">
        <f aca="false">IF($B1203="","",IF(AND(OR(CARI!$C$5="",ISNUMBER(SEARCH(CARI!$C$5,$B1203&amp;" "&amp;$C1203&amp;" "&amp;$I1203&amp;" "&amp;$J1203&amp;" "&amp;$Q1203))),OR(CARI!$C$6="",$E1203=CARI!$C$6),OR(CARI!$C$7="",$F1203=CARI!$C$7),OR(CARI!$C$8="",$O1203=CARI!$C$8)),MAX($U$3:U1202)+1,""))</f>
        <v/>
      </c>
      <c r="V1203" s="40" t="str">
        <f aca="false">IF($T1203="","",MAX($V$3:V1202)+1)</f>
        <v/>
      </c>
      <c r="W1203" s="40" t="str">
        <f aca="false">IF($E1203="","",$E1203&amp;"#"&amp;COUNTIF($E$4:$E1203,$E1203))</f>
        <v/>
      </c>
      <c r="X1203" s="40" t="str">
        <f aca="false">IF($B1203="","",IF(AND(OR(CETAK!$J$10="",$E1203=CETAK!$J$10),OR(CETAK!$J$11="",$F1203=CETAK!$J$11),OR(CETAK!$J$12="",$K1203=CETAK!$J$12),OR(CETAK!$J$13="",$H1203=CETAK!$J$13),OR(CETAK!$J$14="",$O1203=CETAK!$J$14)),MAX($X$3:X1202)+1,""))</f>
        <v/>
      </c>
      <c r="Y1203" s="40" t="str">
        <f aca="false">IF($B1203="","",IF(AND(OR(ABSENSI!$H$10="",$E1203=ABSENSI!$H$10),OR(ABSENSI!$H$11="",$F1203=ABSENSI!$H$11),OR(ABSENSI!$H$12="",$K1203=ABSENSI!$H$12)),MAX($Y$3:Y1202)+1,""))</f>
        <v/>
      </c>
      <c r="Z1203" s="40" t="str">
        <f aca="false">IF($B1203="","",IF(AND(OR(KARTU!$K$6="",$E1203=KARTU!$K$6),OR(KARTU!$K$7="",$F1203=KARTU!$K$7),OR(KARTU!$K$8="",$K1203=KARTU!$K$8)),MAX($Z$3:Z1202)+1,""))</f>
        <v/>
      </c>
    </row>
    <row r="1204" customFormat="false" ht="15" hidden="false" customHeight="false" outlineLevel="0" collapsed="false">
      <c r="A1204" s="36" t="str">
        <f aca="false">IF($B1204="","",COUNTA($B$4:$B1204))</f>
        <v/>
      </c>
      <c r="B1204" s="37"/>
      <c r="C1204" s="38"/>
      <c r="D1204" s="39"/>
      <c r="E1204" s="37"/>
      <c r="F1204" s="39"/>
      <c r="G1204" s="40" t="str">
        <f aca="false">IF(OR($E1204="",$F1204=""),"",$E1204&amp;" - RT "&amp;$F1204)</f>
        <v/>
      </c>
      <c r="H1204" s="37"/>
      <c r="I1204" s="38"/>
      <c r="J1204" s="37"/>
      <c r="K1204" s="39"/>
      <c r="L1204" s="41"/>
      <c r="M1204" s="36" t="str">
        <f aca="true">IF(OR($B1204="",$L1204=""),"",DATEDIF($L1204,TODAY(),"Y"))</f>
        <v/>
      </c>
      <c r="N1204" s="40" t="str">
        <f aca="false">IF($M1204="","",INDEX(usia_label,MATCH($M1204,usia_min,1)))</f>
        <v/>
      </c>
      <c r="O1204" s="37"/>
      <c r="P1204" s="41"/>
      <c r="Q1204" s="37"/>
      <c r="R1204" s="37"/>
      <c r="S1204" s="40" t="str">
        <f aca="false">IF($G1204="","",$G1204&amp;"#"&amp;COUNTIF($G$4:$G1204,$G1204))</f>
        <v/>
      </c>
      <c r="T1204" s="40" t="str">
        <f aca="false">IF($B1204="","",IF($C1204="","NIK kosong",IF(LEN($C1204)&lt;&gt;16,"NIK bukan 16 digit",IF(COUNTIF($C$4:$C$2003,$C1204&amp;"*")&gt;1,"NIK ganda",IF($E1204="","Kadus kosong",IF($F1204="","RT kosong",IF($H1204="","Jabatan kosong",IF($I1204="","No. HP kosong",IF($J1204="","Alamat kosong",IF(AND($M1204&lt;&gt;"",$M1204&lt;17),"Usia di bawah 17",""))))))))))</f>
        <v/>
      </c>
      <c r="U1204" s="40" t="str">
        <f aca="false">IF($B1204="","",IF(AND(OR(CARI!$C$5="",ISNUMBER(SEARCH(CARI!$C$5,$B1204&amp;" "&amp;$C1204&amp;" "&amp;$I1204&amp;" "&amp;$J1204&amp;" "&amp;$Q1204))),OR(CARI!$C$6="",$E1204=CARI!$C$6),OR(CARI!$C$7="",$F1204=CARI!$C$7),OR(CARI!$C$8="",$O1204=CARI!$C$8)),MAX($U$3:U1203)+1,""))</f>
        <v/>
      </c>
      <c r="V1204" s="40" t="str">
        <f aca="false">IF($T1204="","",MAX($V$3:V1203)+1)</f>
        <v/>
      </c>
      <c r="W1204" s="40" t="str">
        <f aca="false">IF($E1204="","",$E1204&amp;"#"&amp;COUNTIF($E$4:$E1204,$E1204))</f>
        <v/>
      </c>
      <c r="X1204" s="40" t="str">
        <f aca="false">IF($B1204="","",IF(AND(OR(CETAK!$J$10="",$E1204=CETAK!$J$10),OR(CETAK!$J$11="",$F1204=CETAK!$J$11),OR(CETAK!$J$12="",$K1204=CETAK!$J$12),OR(CETAK!$J$13="",$H1204=CETAK!$J$13),OR(CETAK!$J$14="",$O1204=CETAK!$J$14)),MAX($X$3:X1203)+1,""))</f>
        <v/>
      </c>
      <c r="Y1204" s="40" t="str">
        <f aca="false">IF($B1204="","",IF(AND(OR(ABSENSI!$H$10="",$E1204=ABSENSI!$H$10),OR(ABSENSI!$H$11="",$F1204=ABSENSI!$H$11),OR(ABSENSI!$H$12="",$K1204=ABSENSI!$H$12)),MAX($Y$3:Y1203)+1,""))</f>
        <v/>
      </c>
      <c r="Z1204" s="40" t="str">
        <f aca="false">IF($B1204="","",IF(AND(OR(KARTU!$K$6="",$E1204=KARTU!$K$6),OR(KARTU!$K$7="",$F1204=KARTU!$K$7),OR(KARTU!$K$8="",$K1204=KARTU!$K$8)),MAX($Z$3:Z1203)+1,""))</f>
        <v/>
      </c>
    </row>
    <row r="1205" customFormat="false" ht="15" hidden="false" customHeight="false" outlineLevel="0" collapsed="false">
      <c r="A1205" s="36" t="str">
        <f aca="false">IF($B1205="","",COUNTA($B$4:$B1205))</f>
        <v/>
      </c>
      <c r="B1205" s="37"/>
      <c r="C1205" s="38"/>
      <c r="D1205" s="39"/>
      <c r="E1205" s="37"/>
      <c r="F1205" s="39"/>
      <c r="G1205" s="40" t="str">
        <f aca="false">IF(OR($E1205="",$F1205=""),"",$E1205&amp;" - RT "&amp;$F1205)</f>
        <v/>
      </c>
      <c r="H1205" s="37"/>
      <c r="I1205" s="38"/>
      <c r="J1205" s="37"/>
      <c r="K1205" s="39"/>
      <c r="L1205" s="41"/>
      <c r="M1205" s="36" t="str">
        <f aca="true">IF(OR($B1205="",$L1205=""),"",DATEDIF($L1205,TODAY(),"Y"))</f>
        <v/>
      </c>
      <c r="N1205" s="40" t="str">
        <f aca="false">IF($M1205="","",INDEX(usia_label,MATCH($M1205,usia_min,1)))</f>
        <v/>
      </c>
      <c r="O1205" s="37"/>
      <c r="P1205" s="41"/>
      <c r="Q1205" s="37"/>
      <c r="R1205" s="37"/>
      <c r="S1205" s="40" t="str">
        <f aca="false">IF($G1205="","",$G1205&amp;"#"&amp;COUNTIF($G$4:$G1205,$G1205))</f>
        <v/>
      </c>
      <c r="T1205" s="40" t="str">
        <f aca="false">IF($B1205="","",IF($C1205="","NIK kosong",IF(LEN($C1205)&lt;&gt;16,"NIK bukan 16 digit",IF(COUNTIF($C$4:$C$2003,$C1205&amp;"*")&gt;1,"NIK ganda",IF($E1205="","Kadus kosong",IF($F1205="","RT kosong",IF($H1205="","Jabatan kosong",IF($I1205="","No. HP kosong",IF($J1205="","Alamat kosong",IF(AND($M1205&lt;&gt;"",$M1205&lt;17),"Usia di bawah 17",""))))))))))</f>
        <v/>
      </c>
      <c r="U1205" s="40" t="str">
        <f aca="false">IF($B1205="","",IF(AND(OR(CARI!$C$5="",ISNUMBER(SEARCH(CARI!$C$5,$B1205&amp;" "&amp;$C1205&amp;" "&amp;$I1205&amp;" "&amp;$J1205&amp;" "&amp;$Q1205))),OR(CARI!$C$6="",$E1205=CARI!$C$6),OR(CARI!$C$7="",$F1205=CARI!$C$7),OR(CARI!$C$8="",$O1205=CARI!$C$8)),MAX($U$3:U1204)+1,""))</f>
        <v/>
      </c>
      <c r="V1205" s="40" t="str">
        <f aca="false">IF($T1205="","",MAX($V$3:V1204)+1)</f>
        <v/>
      </c>
      <c r="W1205" s="40" t="str">
        <f aca="false">IF($E1205="","",$E1205&amp;"#"&amp;COUNTIF($E$4:$E1205,$E1205))</f>
        <v/>
      </c>
      <c r="X1205" s="40" t="str">
        <f aca="false">IF($B1205="","",IF(AND(OR(CETAK!$J$10="",$E1205=CETAK!$J$10),OR(CETAK!$J$11="",$F1205=CETAK!$J$11),OR(CETAK!$J$12="",$K1205=CETAK!$J$12),OR(CETAK!$J$13="",$H1205=CETAK!$J$13),OR(CETAK!$J$14="",$O1205=CETAK!$J$14)),MAX($X$3:X1204)+1,""))</f>
        <v/>
      </c>
      <c r="Y1205" s="40" t="str">
        <f aca="false">IF($B1205="","",IF(AND(OR(ABSENSI!$H$10="",$E1205=ABSENSI!$H$10),OR(ABSENSI!$H$11="",$F1205=ABSENSI!$H$11),OR(ABSENSI!$H$12="",$K1205=ABSENSI!$H$12)),MAX($Y$3:Y1204)+1,""))</f>
        <v/>
      </c>
      <c r="Z1205" s="40" t="str">
        <f aca="false">IF($B1205="","",IF(AND(OR(KARTU!$K$6="",$E1205=KARTU!$K$6),OR(KARTU!$K$7="",$F1205=KARTU!$K$7),OR(KARTU!$K$8="",$K1205=KARTU!$K$8)),MAX($Z$3:Z1204)+1,""))</f>
        <v/>
      </c>
    </row>
    <row r="1206" customFormat="false" ht="15" hidden="false" customHeight="false" outlineLevel="0" collapsed="false">
      <c r="A1206" s="36" t="str">
        <f aca="false">IF($B1206="","",COUNTA($B$4:$B1206))</f>
        <v/>
      </c>
      <c r="B1206" s="37"/>
      <c r="C1206" s="38"/>
      <c r="D1206" s="39"/>
      <c r="E1206" s="37"/>
      <c r="F1206" s="39"/>
      <c r="G1206" s="40" t="str">
        <f aca="false">IF(OR($E1206="",$F1206=""),"",$E1206&amp;" - RT "&amp;$F1206)</f>
        <v/>
      </c>
      <c r="H1206" s="37"/>
      <c r="I1206" s="38"/>
      <c r="J1206" s="37"/>
      <c r="K1206" s="39"/>
      <c r="L1206" s="41"/>
      <c r="M1206" s="36" t="str">
        <f aca="true">IF(OR($B1206="",$L1206=""),"",DATEDIF($L1206,TODAY(),"Y"))</f>
        <v/>
      </c>
      <c r="N1206" s="40" t="str">
        <f aca="false">IF($M1206="","",INDEX(usia_label,MATCH($M1206,usia_min,1)))</f>
        <v/>
      </c>
      <c r="O1206" s="37"/>
      <c r="P1206" s="41"/>
      <c r="Q1206" s="37"/>
      <c r="R1206" s="37"/>
      <c r="S1206" s="40" t="str">
        <f aca="false">IF($G1206="","",$G1206&amp;"#"&amp;COUNTIF($G$4:$G1206,$G1206))</f>
        <v/>
      </c>
      <c r="T1206" s="40" t="str">
        <f aca="false">IF($B1206="","",IF($C1206="","NIK kosong",IF(LEN($C1206)&lt;&gt;16,"NIK bukan 16 digit",IF(COUNTIF($C$4:$C$2003,$C1206&amp;"*")&gt;1,"NIK ganda",IF($E1206="","Kadus kosong",IF($F1206="","RT kosong",IF($H1206="","Jabatan kosong",IF($I1206="","No. HP kosong",IF($J1206="","Alamat kosong",IF(AND($M1206&lt;&gt;"",$M1206&lt;17),"Usia di bawah 17",""))))))))))</f>
        <v/>
      </c>
      <c r="U1206" s="40" t="str">
        <f aca="false">IF($B1206="","",IF(AND(OR(CARI!$C$5="",ISNUMBER(SEARCH(CARI!$C$5,$B1206&amp;" "&amp;$C1206&amp;" "&amp;$I1206&amp;" "&amp;$J1206&amp;" "&amp;$Q1206))),OR(CARI!$C$6="",$E1206=CARI!$C$6),OR(CARI!$C$7="",$F1206=CARI!$C$7),OR(CARI!$C$8="",$O1206=CARI!$C$8)),MAX($U$3:U1205)+1,""))</f>
        <v/>
      </c>
      <c r="V1206" s="40" t="str">
        <f aca="false">IF($T1206="","",MAX($V$3:V1205)+1)</f>
        <v/>
      </c>
      <c r="W1206" s="40" t="str">
        <f aca="false">IF($E1206="","",$E1206&amp;"#"&amp;COUNTIF($E$4:$E1206,$E1206))</f>
        <v/>
      </c>
      <c r="X1206" s="40" t="str">
        <f aca="false">IF($B1206="","",IF(AND(OR(CETAK!$J$10="",$E1206=CETAK!$J$10),OR(CETAK!$J$11="",$F1206=CETAK!$J$11),OR(CETAK!$J$12="",$K1206=CETAK!$J$12),OR(CETAK!$J$13="",$H1206=CETAK!$J$13),OR(CETAK!$J$14="",$O1206=CETAK!$J$14)),MAX($X$3:X1205)+1,""))</f>
        <v/>
      </c>
      <c r="Y1206" s="40" t="str">
        <f aca="false">IF($B1206="","",IF(AND(OR(ABSENSI!$H$10="",$E1206=ABSENSI!$H$10),OR(ABSENSI!$H$11="",$F1206=ABSENSI!$H$11),OR(ABSENSI!$H$12="",$K1206=ABSENSI!$H$12)),MAX($Y$3:Y1205)+1,""))</f>
        <v/>
      </c>
      <c r="Z1206" s="40" t="str">
        <f aca="false">IF($B1206="","",IF(AND(OR(KARTU!$K$6="",$E1206=KARTU!$K$6),OR(KARTU!$K$7="",$F1206=KARTU!$K$7),OR(KARTU!$K$8="",$K1206=KARTU!$K$8)),MAX($Z$3:Z1205)+1,""))</f>
        <v/>
      </c>
    </row>
    <row r="1207" customFormat="false" ht="15" hidden="false" customHeight="false" outlineLevel="0" collapsed="false">
      <c r="A1207" s="36" t="str">
        <f aca="false">IF($B1207="","",COUNTA($B$4:$B1207))</f>
        <v/>
      </c>
      <c r="B1207" s="37"/>
      <c r="C1207" s="38"/>
      <c r="D1207" s="39"/>
      <c r="E1207" s="37"/>
      <c r="F1207" s="39"/>
      <c r="G1207" s="40" t="str">
        <f aca="false">IF(OR($E1207="",$F1207=""),"",$E1207&amp;" - RT "&amp;$F1207)</f>
        <v/>
      </c>
      <c r="H1207" s="37"/>
      <c r="I1207" s="38"/>
      <c r="J1207" s="37"/>
      <c r="K1207" s="39"/>
      <c r="L1207" s="41"/>
      <c r="M1207" s="36" t="str">
        <f aca="true">IF(OR($B1207="",$L1207=""),"",DATEDIF($L1207,TODAY(),"Y"))</f>
        <v/>
      </c>
      <c r="N1207" s="40" t="str">
        <f aca="false">IF($M1207="","",INDEX(usia_label,MATCH($M1207,usia_min,1)))</f>
        <v/>
      </c>
      <c r="O1207" s="37"/>
      <c r="P1207" s="41"/>
      <c r="Q1207" s="37"/>
      <c r="R1207" s="37"/>
      <c r="S1207" s="40" t="str">
        <f aca="false">IF($G1207="","",$G1207&amp;"#"&amp;COUNTIF($G$4:$G1207,$G1207))</f>
        <v/>
      </c>
      <c r="T1207" s="40" t="str">
        <f aca="false">IF($B1207="","",IF($C1207="","NIK kosong",IF(LEN($C1207)&lt;&gt;16,"NIK bukan 16 digit",IF(COUNTIF($C$4:$C$2003,$C1207&amp;"*")&gt;1,"NIK ganda",IF($E1207="","Kadus kosong",IF($F1207="","RT kosong",IF($H1207="","Jabatan kosong",IF($I1207="","No. HP kosong",IF($J1207="","Alamat kosong",IF(AND($M1207&lt;&gt;"",$M1207&lt;17),"Usia di bawah 17",""))))))))))</f>
        <v/>
      </c>
      <c r="U1207" s="40" t="str">
        <f aca="false">IF($B1207="","",IF(AND(OR(CARI!$C$5="",ISNUMBER(SEARCH(CARI!$C$5,$B1207&amp;" "&amp;$C1207&amp;" "&amp;$I1207&amp;" "&amp;$J1207&amp;" "&amp;$Q1207))),OR(CARI!$C$6="",$E1207=CARI!$C$6),OR(CARI!$C$7="",$F1207=CARI!$C$7),OR(CARI!$C$8="",$O1207=CARI!$C$8)),MAX($U$3:U1206)+1,""))</f>
        <v/>
      </c>
      <c r="V1207" s="40" t="str">
        <f aca="false">IF($T1207="","",MAX($V$3:V1206)+1)</f>
        <v/>
      </c>
      <c r="W1207" s="40" t="str">
        <f aca="false">IF($E1207="","",$E1207&amp;"#"&amp;COUNTIF($E$4:$E1207,$E1207))</f>
        <v/>
      </c>
      <c r="X1207" s="40" t="str">
        <f aca="false">IF($B1207="","",IF(AND(OR(CETAK!$J$10="",$E1207=CETAK!$J$10),OR(CETAK!$J$11="",$F1207=CETAK!$J$11),OR(CETAK!$J$12="",$K1207=CETAK!$J$12),OR(CETAK!$J$13="",$H1207=CETAK!$J$13),OR(CETAK!$J$14="",$O1207=CETAK!$J$14)),MAX($X$3:X1206)+1,""))</f>
        <v/>
      </c>
      <c r="Y1207" s="40" t="str">
        <f aca="false">IF($B1207="","",IF(AND(OR(ABSENSI!$H$10="",$E1207=ABSENSI!$H$10),OR(ABSENSI!$H$11="",$F1207=ABSENSI!$H$11),OR(ABSENSI!$H$12="",$K1207=ABSENSI!$H$12)),MAX($Y$3:Y1206)+1,""))</f>
        <v/>
      </c>
      <c r="Z1207" s="40" t="str">
        <f aca="false">IF($B1207="","",IF(AND(OR(KARTU!$K$6="",$E1207=KARTU!$K$6),OR(KARTU!$K$7="",$F1207=KARTU!$K$7),OR(KARTU!$K$8="",$K1207=KARTU!$K$8)),MAX($Z$3:Z1206)+1,""))</f>
        <v/>
      </c>
    </row>
    <row r="1208" customFormat="false" ht="15" hidden="false" customHeight="false" outlineLevel="0" collapsed="false">
      <c r="A1208" s="36" t="str">
        <f aca="false">IF($B1208="","",COUNTA($B$4:$B1208))</f>
        <v/>
      </c>
      <c r="B1208" s="37"/>
      <c r="C1208" s="38"/>
      <c r="D1208" s="39"/>
      <c r="E1208" s="37"/>
      <c r="F1208" s="39"/>
      <c r="G1208" s="40" t="str">
        <f aca="false">IF(OR($E1208="",$F1208=""),"",$E1208&amp;" - RT "&amp;$F1208)</f>
        <v/>
      </c>
      <c r="H1208" s="37"/>
      <c r="I1208" s="38"/>
      <c r="J1208" s="37"/>
      <c r="K1208" s="39"/>
      <c r="L1208" s="41"/>
      <c r="M1208" s="36" t="str">
        <f aca="true">IF(OR($B1208="",$L1208=""),"",DATEDIF($L1208,TODAY(),"Y"))</f>
        <v/>
      </c>
      <c r="N1208" s="40" t="str">
        <f aca="false">IF($M1208="","",INDEX(usia_label,MATCH($M1208,usia_min,1)))</f>
        <v/>
      </c>
      <c r="O1208" s="37"/>
      <c r="P1208" s="41"/>
      <c r="Q1208" s="37"/>
      <c r="R1208" s="37"/>
      <c r="S1208" s="40" t="str">
        <f aca="false">IF($G1208="","",$G1208&amp;"#"&amp;COUNTIF($G$4:$G1208,$G1208))</f>
        <v/>
      </c>
      <c r="T1208" s="40" t="str">
        <f aca="false">IF($B1208="","",IF($C1208="","NIK kosong",IF(LEN($C1208)&lt;&gt;16,"NIK bukan 16 digit",IF(COUNTIF($C$4:$C$2003,$C1208&amp;"*")&gt;1,"NIK ganda",IF($E1208="","Kadus kosong",IF($F1208="","RT kosong",IF($H1208="","Jabatan kosong",IF($I1208="","No. HP kosong",IF($J1208="","Alamat kosong",IF(AND($M1208&lt;&gt;"",$M1208&lt;17),"Usia di bawah 17",""))))))))))</f>
        <v/>
      </c>
      <c r="U1208" s="40" t="str">
        <f aca="false">IF($B1208="","",IF(AND(OR(CARI!$C$5="",ISNUMBER(SEARCH(CARI!$C$5,$B1208&amp;" "&amp;$C1208&amp;" "&amp;$I1208&amp;" "&amp;$J1208&amp;" "&amp;$Q1208))),OR(CARI!$C$6="",$E1208=CARI!$C$6),OR(CARI!$C$7="",$F1208=CARI!$C$7),OR(CARI!$C$8="",$O1208=CARI!$C$8)),MAX($U$3:U1207)+1,""))</f>
        <v/>
      </c>
      <c r="V1208" s="40" t="str">
        <f aca="false">IF($T1208="","",MAX($V$3:V1207)+1)</f>
        <v/>
      </c>
      <c r="W1208" s="40" t="str">
        <f aca="false">IF($E1208="","",$E1208&amp;"#"&amp;COUNTIF($E$4:$E1208,$E1208))</f>
        <v/>
      </c>
      <c r="X1208" s="40" t="str">
        <f aca="false">IF($B1208="","",IF(AND(OR(CETAK!$J$10="",$E1208=CETAK!$J$10),OR(CETAK!$J$11="",$F1208=CETAK!$J$11),OR(CETAK!$J$12="",$K1208=CETAK!$J$12),OR(CETAK!$J$13="",$H1208=CETAK!$J$13),OR(CETAK!$J$14="",$O1208=CETAK!$J$14)),MAX($X$3:X1207)+1,""))</f>
        <v/>
      </c>
      <c r="Y1208" s="40" t="str">
        <f aca="false">IF($B1208="","",IF(AND(OR(ABSENSI!$H$10="",$E1208=ABSENSI!$H$10),OR(ABSENSI!$H$11="",$F1208=ABSENSI!$H$11),OR(ABSENSI!$H$12="",$K1208=ABSENSI!$H$12)),MAX($Y$3:Y1207)+1,""))</f>
        <v/>
      </c>
      <c r="Z1208" s="40" t="str">
        <f aca="false">IF($B1208="","",IF(AND(OR(KARTU!$K$6="",$E1208=KARTU!$K$6),OR(KARTU!$K$7="",$F1208=KARTU!$K$7),OR(KARTU!$K$8="",$K1208=KARTU!$K$8)),MAX($Z$3:Z1207)+1,""))</f>
        <v/>
      </c>
    </row>
    <row r="1209" customFormat="false" ht="15" hidden="false" customHeight="false" outlineLevel="0" collapsed="false">
      <c r="A1209" s="36" t="str">
        <f aca="false">IF($B1209="","",COUNTA($B$4:$B1209))</f>
        <v/>
      </c>
      <c r="B1209" s="37"/>
      <c r="C1209" s="38"/>
      <c r="D1209" s="39"/>
      <c r="E1209" s="37"/>
      <c r="F1209" s="39"/>
      <c r="G1209" s="40" t="str">
        <f aca="false">IF(OR($E1209="",$F1209=""),"",$E1209&amp;" - RT "&amp;$F1209)</f>
        <v/>
      </c>
      <c r="H1209" s="37"/>
      <c r="I1209" s="38"/>
      <c r="J1209" s="37"/>
      <c r="K1209" s="39"/>
      <c r="L1209" s="41"/>
      <c r="M1209" s="36" t="str">
        <f aca="true">IF(OR($B1209="",$L1209=""),"",DATEDIF($L1209,TODAY(),"Y"))</f>
        <v/>
      </c>
      <c r="N1209" s="40" t="str">
        <f aca="false">IF($M1209="","",INDEX(usia_label,MATCH($M1209,usia_min,1)))</f>
        <v/>
      </c>
      <c r="O1209" s="37"/>
      <c r="P1209" s="41"/>
      <c r="Q1209" s="37"/>
      <c r="R1209" s="37"/>
      <c r="S1209" s="40" t="str">
        <f aca="false">IF($G1209="","",$G1209&amp;"#"&amp;COUNTIF($G$4:$G1209,$G1209))</f>
        <v/>
      </c>
      <c r="T1209" s="40" t="str">
        <f aca="false">IF($B1209="","",IF($C1209="","NIK kosong",IF(LEN($C1209)&lt;&gt;16,"NIK bukan 16 digit",IF(COUNTIF($C$4:$C$2003,$C1209&amp;"*")&gt;1,"NIK ganda",IF($E1209="","Kadus kosong",IF($F1209="","RT kosong",IF($H1209="","Jabatan kosong",IF($I1209="","No. HP kosong",IF($J1209="","Alamat kosong",IF(AND($M1209&lt;&gt;"",$M1209&lt;17),"Usia di bawah 17",""))))))))))</f>
        <v/>
      </c>
      <c r="U1209" s="40" t="str">
        <f aca="false">IF($B1209="","",IF(AND(OR(CARI!$C$5="",ISNUMBER(SEARCH(CARI!$C$5,$B1209&amp;" "&amp;$C1209&amp;" "&amp;$I1209&amp;" "&amp;$J1209&amp;" "&amp;$Q1209))),OR(CARI!$C$6="",$E1209=CARI!$C$6),OR(CARI!$C$7="",$F1209=CARI!$C$7),OR(CARI!$C$8="",$O1209=CARI!$C$8)),MAX($U$3:U1208)+1,""))</f>
        <v/>
      </c>
      <c r="V1209" s="40" t="str">
        <f aca="false">IF($T1209="","",MAX($V$3:V1208)+1)</f>
        <v/>
      </c>
      <c r="W1209" s="40" t="str">
        <f aca="false">IF($E1209="","",$E1209&amp;"#"&amp;COUNTIF($E$4:$E1209,$E1209))</f>
        <v/>
      </c>
      <c r="X1209" s="40" t="str">
        <f aca="false">IF($B1209="","",IF(AND(OR(CETAK!$J$10="",$E1209=CETAK!$J$10),OR(CETAK!$J$11="",$F1209=CETAK!$J$11),OR(CETAK!$J$12="",$K1209=CETAK!$J$12),OR(CETAK!$J$13="",$H1209=CETAK!$J$13),OR(CETAK!$J$14="",$O1209=CETAK!$J$14)),MAX($X$3:X1208)+1,""))</f>
        <v/>
      </c>
      <c r="Y1209" s="40" t="str">
        <f aca="false">IF($B1209="","",IF(AND(OR(ABSENSI!$H$10="",$E1209=ABSENSI!$H$10),OR(ABSENSI!$H$11="",$F1209=ABSENSI!$H$11),OR(ABSENSI!$H$12="",$K1209=ABSENSI!$H$12)),MAX($Y$3:Y1208)+1,""))</f>
        <v/>
      </c>
      <c r="Z1209" s="40" t="str">
        <f aca="false">IF($B1209="","",IF(AND(OR(KARTU!$K$6="",$E1209=KARTU!$K$6),OR(KARTU!$K$7="",$F1209=KARTU!$K$7),OR(KARTU!$K$8="",$K1209=KARTU!$K$8)),MAX($Z$3:Z1208)+1,""))</f>
        <v/>
      </c>
    </row>
    <row r="1210" customFormat="false" ht="15" hidden="false" customHeight="false" outlineLevel="0" collapsed="false">
      <c r="A1210" s="36" t="str">
        <f aca="false">IF($B1210="","",COUNTA($B$4:$B1210))</f>
        <v/>
      </c>
      <c r="B1210" s="37"/>
      <c r="C1210" s="38"/>
      <c r="D1210" s="39"/>
      <c r="E1210" s="37"/>
      <c r="F1210" s="39"/>
      <c r="G1210" s="40" t="str">
        <f aca="false">IF(OR($E1210="",$F1210=""),"",$E1210&amp;" - RT "&amp;$F1210)</f>
        <v/>
      </c>
      <c r="H1210" s="37"/>
      <c r="I1210" s="38"/>
      <c r="J1210" s="37"/>
      <c r="K1210" s="39"/>
      <c r="L1210" s="41"/>
      <c r="M1210" s="36" t="str">
        <f aca="true">IF(OR($B1210="",$L1210=""),"",DATEDIF($L1210,TODAY(),"Y"))</f>
        <v/>
      </c>
      <c r="N1210" s="40" t="str">
        <f aca="false">IF($M1210="","",INDEX(usia_label,MATCH($M1210,usia_min,1)))</f>
        <v/>
      </c>
      <c r="O1210" s="37"/>
      <c r="P1210" s="41"/>
      <c r="Q1210" s="37"/>
      <c r="R1210" s="37"/>
      <c r="S1210" s="40" t="str">
        <f aca="false">IF($G1210="","",$G1210&amp;"#"&amp;COUNTIF($G$4:$G1210,$G1210))</f>
        <v/>
      </c>
      <c r="T1210" s="40" t="str">
        <f aca="false">IF($B1210="","",IF($C1210="","NIK kosong",IF(LEN($C1210)&lt;&gt;16,"NIK bukan 16 digit",IF(COUNTIF($C$4:$C$2003,$C1210&amp;"*")&gt;1,"NIK ganda",IF($E1210="","Kadus kosong",IF($F1210="","RT kosong",IF($H1210="","Jabatan kosong",IF($I1210="","No. HP kosong",IF($J1210="","Alamat kosong",IF(AND($M1210&lt;&gt;"",$M1210&lt;17),"Usia di bawah 17",""))))))))))</f>
        <v/>
      </c>
      <c r="U1210" s="40" t="str">
        <f aca="false">IF($B1210="","",IF(AND(OR(CARI!$C$5="",ISNUMBER(SEARCH(CARI!$C$5,$B1210&amp;" "&amp;$C1210&amp;" "&amp;$I1210&amp;" "&amp;$J1210&amp;" "&amp;$Q1210))),OR(CARI!$C$6="",$E1210=CARI!$C$6),OR(CARI!$C$7="",$F1210=CARI!$C$7),OR(CARI!$C$8="",$O1210=CARI!$C$8)),MAX($U$3:U1209)+1,""))</f>
        <v/>
      </c>
      <c r="V1210" s="40" t="str">
        <f aca="false">IF($T1210="","",MAX($V$3:V1209)+1)</f>
        <v/>
      </c>
      <c r="W1210" s="40" t="str">
        <f aca="false">IF($E1210="","",$E1210&amp;"#"&amp;COUNTIF($E$4:$E1210,$E1210))</f>
        <v/>
      </c>
      <c r="X1210" s="40" t="str">
        <f aca="false">IF($B1210="","",IF(AND(OR(CETAK!$J$10="",$E1210=CETAK!$J$10),OR(CETAK!$J$11="",$F1210=CETAK!$J$11),OR(CETAK!$J$12="",$K1210=CETAK!$J$12),OR(CETAK!$J$13="",$H1210=CETAK!$J$13),OR(CETAK!$J$14="",$O1210=CETAK!$J$14)),MAX($X$3:X1209)+1,""))</f>
        <v/>
      </c>
      <c r="Y1210" s="40" t="str">
        <f aca="false">IF($B1210="","",IF(AND(OR(ABSENSI!$H$10="",$E1210=ABSENSI!$H$10),OR(ABSENSI!$H$11="",$F1210=ABSENSI!$H$11),OR(ABSENSI!$H$12="",$K1210=ABSENSI!$H$12)),MAX($Y$3:Y1209)+1,""))</f>
        <v/>
      </c>
      <c r="Z1210" s="40" t="str">
        <f aca="false">IF($B1210="","",IF(AND(OR(KARTU!$K$6="",$E1210=KARTU!$K$6),OR(KARTU!$K$7="",$F1210=KARTU!$K$7),OR(KARTU!$K$8="",$K1210=KARTU!$K$8)),MAX($Z$3:Z1209)+1,""))</f>
        <v/>
      </c>
    </row>
    <row r="1211" customFormat="false" ht="15" hidden="false" customHeight="false" outlineLevel="0" collapsed="false">
      <c r="A1211" s="36" t="str">
        <f aca="false">IF($B1211="","",COUNTA($B$4:$B1211))</f>
        <v/>
      </c>
      <c r="B1211" s="37"/>
      <c r="C1211" s="38"/>
      <c r="D1211" s="39"/>
      <c r="E1211" s="37"/>
      <c r="F1211" s="39"/>
      <c r="G1211" s="40" t="str">
        <f aca="false">IF(OR($E1211="",$F1211=""),"",$E1211&amp;" - RT "&amp;$F1211)</f>
        <v/>
      </c>
      <c r="H1211" s="37"/>
      <c r="I1211" s="38"/>
      <c r="J1211" s="37"/>
      <c r="K1211" s="39"/>
      <c r="L1211" s="41"/>
      <c r="M1211" s="36" t="str">
        <f aca="true">IF(OR($B1211="",$L1211=""),"",DATEDIF($L1211,TODAY(),"Y"))</f>
        <v/>
      </c>
      <c r="N1211" s="40" t="str">
        <f aca="false">IF($M1211="","",INDEX(usia_label,MATCH($M1211,usia_min,1)))</f>
        <v/>
      </c>
      <c r="O1211" s="37"/>
      <c r="P1211" s="41"/>
      <c r="Q1211" s="37"/>
      <c r="R1211" s="37"/>
      <c r="S1211" s="40" t="str">
        <f aca="false">IF($G1211="","",$G1211&amp;"#"&amp;COUNTIF($G$4:$G1211,$G1211))</f>
        <v/>
      </c>
      <c r="T1211" s="40" t="str">
        <f aca="false">IF($B1211="","",IF($C1211="","NIK kosong",IF(LEN($C1211)&lt;&gt;16,"NIK bukan 16 digit",IF(COUNTIF($C$4:$C$2003,$C1211&amp;"*")&gt;1,"NIK ganda",IF($E1211="","Kadus kosong",IF($F1211="","RT kosong",IF($H1211="","Jabatan kosong",IF($I1211="","No. HP kosong",IF($J1211="","Alamat kosong",IF(AND($M1211&lt;&gt;"",$M1211&lt;17),"Usia di bawah 17",""))))))))))</f>
        <v/>
      </c>
      <c r="U1211" s="40" t="str">
        <f aca="false">IF($B1211="","",IF(AND(OR(CARI!$C$5="",ISNUMBER(SEARCH(CARI!$C$5,$B1211&amp;" "&amp;$C1211&amp;" "&amp;$I1211&amp;" "&amp;$J1211&amp;" "&amp;$Q1211))),OR(CARI!$C$6="",$E1211=CARI!$C$6),OR(CARI!$C$7="",$F1211=CARI!$C$7),OR(CARI!$C$8="",$O1211=CARI!$C$8)),MAX($U$3:U1210)+1,""))</f>
        <v/>
      </c>
      <c r="V1211" s="40" t="str">
        <f aca="false">IF($T1211="","",MAX($V$3:V1210)+1)</f>
        <v/>
      </c>
      <c r="W1211" s="40" t="str">
        <f aca="false">IF($E1211="","",$E1211&amp;"#"&amp;COUNTIF($E$4:$E1211,$E1211))</f>
        <v/>
      </c>
      <c r="X1211" s="40" t="str">
        <f aca="false">IF($B1211="","",IF(AND(OR(CETAK!$J$10="",$E1211=CETAK!$J$10),OR(CETAK!$J$11="",$F1211=CETAK!$J$11),OR(CETAK!$J$12="",$K1211=CETAK!$J$12),OR(CETAK!$J$13="",$H1211=CETAK!$J$13),OR(CETAK!$J$14="",$O1211=CETAK!$J$14)),MAX($X$3:X1210)+1,""))</f>
        <v/>
      </c>
      <c r="Y1211" s="40" t="str">
        <f aca="false">IF($B1211="","",IF(AND(OR(ABSENSI!$H$10="",$E1211=ABSENSI!$H$10),OR(ABSENSI!$H$11="",$F1211=ABSENSI!$H$11),OR(ABSENSI!$H$12="",$K1211=ABSENSI!$H$12)),MAX($Y$3:Y1210)+1,""))</f>
        <v/>
      </c>
      <c r="Z1211" s="40" t="str">
        <f aca="false">IF($B1211="","",IF(AND(OR(KARTU!$K$6="",$E1211=KARTU!$K$6),OR(KARTU!$K$7="",$F1211=KARTU!$K$7),OR(KARTU!$K$8="",$K1211=KARTU!$K$8)),MAX($Z$3:Z1210)+1,""))</f>
        <v/>
      </c>
    </row>
    <row r="1212" customFormat="false" ht="15" hidden="false" customHeight="false" outlineLevel="0" collapsed="false">
      <c r="A1212" s="36" t="str">
        <f aca="false">IF($B1212="","",COUNTA($B$4:$B1212))</f>
        <v/>
      </c>
      <c r="B1212" s="37"/>
      <c r="C1212" s="38"/>
      <c r="D1212" s="39"/>
      <c r="E1212" s="37"/>
      <c r="F1212" s="39"/>
      <c r="G1212" s="40" t="str">
        <f aca="false">IF(OR($E1212="",$F1212=""),"",$E1212&amp;" - RT "&amp;$F1212)</f>
        <v/>
      </c>
      <c r="H1212" s="37"/>
      <c r="I1212" s="38"/>
      <c r="J1212" s="37"/>
      <c r="K1212" s="39"/>
      <c r="L1212" s="41"/>
      <c r="M1212" s="36" t="str">
        <f aca="true">IF(OR($B1212="",$L1212=""),"",DATEDIF($L1212,TODAY(),"Y"))</f>
        <v/>
      </c>
      <c r="N1212" s="40" t="str">
        <f aca="false">IF($M1212="","",INDEX(usia_label,MATCH($M1212,usia_min,1)))</f>
        <v/>
      </c>
      <c r="O1212" s="37"/>
      <c r="P1212" s="41"/>
      <c r="Q1212" s="37"/>
      <c r="R1212" s="37"/>
      <c r="S1212" s="40" t="str">
        <f aca="false">IF($G1212="","",$G1212&amp;"#"&amp;COUNTIF($G$4:$G1212,$G1212))</f>
        <v/>
      </c>
      <c r="T1212" s="40" t="str">
        <f aca="false">IF($B1212="","",IF($C1212="","NIK kosong",IF(LEN($C1212)&lt;&gt;16,"NIK bukan 16 digit",IF(COUNTIF($C$4:$C$2003,$C1212&amp;"*")&gt;1,"NIK ganda",IF($E1212="","Kadus kosong",IF($F1212="","RT kosong",IF($H1212="","Jabatan kosong",IF($I1212="","No. HP kosong",IF($J1212="","Alamat kosong",IF(AND($M1212&lt;&gt;"",$M1212&lt;17),"Usia di bawah 17",""))))))))))</f>
        <v/>
      </c>
      <c r="U1212" s="40" t="str">
        <f aca="false">IF($B1212="","",IF(AND(OR(CARI!$C$5="",ISNUMBER(SEARCH(CARI!$C$5,$B1212&amp;" "&amp;$C1212&amp;" "&amp;$I1212&amp;" "&amp;$J1212&amp;" "&amp;$Q1212))),OR(CARI!$C$6="",$E1212=CARI!$C$6),OR(CARI!$C$7="",$F1212=CARI!$C$7),OR(CARI!$C$8="",$O1212=CARI!$C$8)),MAX($U$3:U1211)+1,""))</f>
        <v/>
      </c>
      <c r="V1212" s="40" t="str">
        <f aca="false">IF($T1212="","",MAX($V$3:V1211)+1)</f>
        <v/>
      </c>
      <c r="W1212" s="40" t="str">
        <f aca="false">IF($E1212="","",$E1212&amp;"#"&amp;COUNTIF($E$4:$E1212,$E1212))</f>
        <v/>
      </c>
      <c r="X1212" s="40" t="str">
        <f aca="false">IF($B1212="","",IF(AND(OR(CETAK!$J$10="",$E1212=CETAK!$J$10),OR(CETAK!$J$11="",$F1212=CETAK!$J$11),OR(CETAK!$J$12="",$K1212=CETAK!$J$12),OR(CETAK!$J$13="",$H1212=CETAK!$J$13),OR(CETAK!$J$14="",$O1212=CETAK!$J$14)),MAX($X$3:X1211)+1,""))</f>
        <v/>
      </c>
      <c r="Y1212" s="40" t="str">
        <f aca="false">IF($B1212="","",IF(AND(OR(ABSENSI!$H$10="",$E1212=ABSENSI!$H$10),OR(ABSENSI!$H$11="",$F1212=ABSENSI!$H$11),OR(ABSENSI!$H$12="",$K1212=ABSENSI!$H$12)),MAX($Y$3:Y1211)+1,""))</f>
        <v/>
      </c>
      <c r="Z1212" s="40" t="str">
        <f aca="false">IF($B1212="","",IF(AND(OR(KARTU!$K$6="",$E1212=KARTU!$K$6),OR(KARTU!$K$7="",$F1212=KARTU!$K$7),OR(KARTU!$K$8="",$K1212=KARTU!$K$8)),MAX($Z$3:Z1211)+1,""))</f>
        <v/>
      </c>
    </row>
    <row r="1213" customFormat="false" ht="15" hidden="false" customHeight="false" outlineLevel="0" collapsed="false">
      <c r="A1213" s="36" t="str">
        <f aca="false">IF($B1213="","",COUNTA($B$4:$B1213))</f>
        <v/>
      </c>
      <c r="B1213" s="37"/>
      <c r="C1213" s="38"/>
      <c r="D1213" s="39"/>
      <c r="E1213" s="37"/>
      <c r="F1213" s="39"/>
      <c r="G1213" s="40" t="str">
        <f aca="false">IF(OR($E1213="",$F1213=""),"",$E1213&amp;" - RT "&amp;$F1213)</f>
        <v/>
      </c>
      <c r="H1213" s="37"/>
      <c r="I1213" s="38"/>
      <c r="J1213" s="37"/>
      <c r="K1213" s="39"/>
      <c r="L1213" s="41"/>
      <c r="M1213" s="36" t="str">
        <f aca="true">IF(OR($B1213="",$L1213=""),"",DATEDIF($L1213,TODAY(),"Y"))</f>
        <v/>
      </c>
      <c r="N1213" s="40" t="str">
        <f aca="false">IF($M1213="","",INDEX(usia_label,MATCH($M1213,usia_min,1)))</f>
        <v/>
      </c>
      <c r="O1213" s="37"/>
      <c r="P1213" s="41"/>
      <c r="Q1213" s="37"/>
      <c r="R1213" s="37"/>
      <c r="S1213" s="40" t="str">
        <f aca="false">IF($G1213="","",$G1213&amp;"#"&amp;COUNTIF($G$4:$G1213,$G1213))</f>
        <v/>
      </c>
      <c r="T1213" s="40" t="str">
        <f aca="false">IF($B1213="","",IF($C1213="","NIK kosong",IF(LEN($C1213)&lt;&gt;16,"NIK bukan 16 digit",IF(COUNTIF($C$4:$C$2003,$C1213&amp;"*")&gt;1,"NIK ganda",IF($E1213="","Kadus kosong",IF($F1213="","RT kosong",IF($H1213="","Jabatan kosong",IF($I1213="","No. HP kosong",IF($J1213="","Alamat kosong",IF(AND($M1213&lt;&gt;"",$M1213&lt;17),"Usia di bawah 17",""))))))))))</f>
        <v/>
      </c>
      <c r="U1213" s="40" t="str">
        <f aca="false">IF($B1213="","",IF(AND(OR(CARI!$C$5="",ISNUMBER(SEARCH(CARI!$C$5,$B1213&amp;" "&amp;$C1213&amp;" "&amp;$I1213&amp;" "&amp;$J1213&amp;" "&amp;$Q1213))),OR(CARI!$C$6="",$E1213=CARI!$C$6),OR(CARI!$C$7="",$F1213=CARI!$C$7),OR(CARI!$C$8="",$O1213=CARI!$C$8)),MAX($U$3:U1212)+1,""))</f>
        <v/>
      </c>
      <c r="V1213" s="40" t="str">
        <f aca="false">IF($T1213="","",MAX($V$3:V1212)+1)</f>
        <v/>
      </c>
      <c r="W1213" s="40" t="str">
        <f aca="false">IF($E1213="","",$E1213&amp;"#"&amp;COUNTIF($E$4:$E1213,$E1213))</f>
        <v/>
      </c>
      <c r="X1213" s="40" t="str">
        <f aca="false">IF($B1213="","",IF(AND(OR(CETAK!$J$10="",$E1213=CETAK!$J$10),OR(CETAK!$J$11="",$F1213=CETAK!$J$11),OR(CETAK!$J$12="",$K1213=CETAK!$J$12),OR(CETAK!$J$13="",$H1213=CETAK!$J$13),OR(CETAK!$J$14="",$O1213=CETAK!$J$14)),MAX($X$3:X1212)+1,""))</f>
        <v/>
      </c>
      <c r="Y1213" s="40" t="str">
        <f aca="false">IF($B1213="","",IF(AND(OR(ABSENSI!$H$10="",$E1213=ABSENSI!$H$10),OR(ABSENSI!$H$11="",$F1213=ABSENSI!$H$11),OR(ABSENSI!$H$12="",$K1213=ABSENSI!$H$12)),MAX($Y$3:Y1212)+1,""))</f>
        <v/>
      </c>
      <c r="Z1213" s="40" t="str">
        <f aca="false">IF($B1213="","",IF(AND(OR(KARTU!$K$6="",$E1213=KARTU!$K$6),OR(KARTU!$K$7="",$F1213=KARTU!$K$7),OR(KARTU!$K$8="",$K1213=KARTU!$K$8)),MAX($Z$3:Z1212)+1,""))</f>
        <v/>
      </c>
    </row>
    <row r="1214" customFormat="false" ht="15" hidden="false" customHeight="false" outlineLevel="0" collapsed="false">
      <c r="A1214" s="36" t="str">
        <f aca="false">IF($B1214="","",COUNTA($B$4:$B1214))</f>
        <v/>
      </c>
      <c r="B1214" s="37"/>
      <c r="C1214" s="38"/>
      <c r="D1214" s="39"/>
      <c r="E1214" s="37"/>
      <c r="F1214" s="39"/>
      <c r="G1214" s="40" t="str">
        <f aca="false">IF(OR($E1214="",$F1214=""),"",$E1214&amp;" - RT "&amp;$F1214)</f>
        <v/>
      </c>
      <c r="H1214" s="37"/>
      <c r="I1214" s="38"/>
      <c r="J1214" s="37"/>
      <c r="K1214" s="39"/>
      <c r="L1214" s="41"/>
      <c r="M1214" s="36" t="str">
        <f aca="true">IF(OR($B1214="",$L1214=""),"",DATEDIF($L1214,TODAY(),"Y"))</f>
        <v/>
      </c>
      <c r="N1214" s="40" t="str">
        <f aca="false">IF($M1214="","",INDEX(usia_label,MATCH($M1214,usia_min,1)))</f>
        <v/>
      </c>
      <c r="O1214" s="37"/>
      <c r="P1214" s="41"/>
      <c r="Q1214" s="37"/>
      <c r="R1214" s="37"/>
      <c r="S1214" s="40" t="str">
        <f aca="false">IF($G1214="","",$G1214&amp;"#"&amp;COUNTIF($G$4:$G1214,$G1214))</f>
        <v/>
      </c>
      <c r="T1214" s="40" t="str">
        <f aca="false">IF($B1214="","",IF($C1214="","NIK kosong",IF(LEN($C1214)&lt;&gt;16,"NIK bukan 16 digit",IF(COUNTIF($C$4:$C$2003,$C1214&amp;"*")&gt;1,"NIK ganda",IF($E1214="","Kadus kosong",IF($F1214="","RT kosong",IF($H1214="","Jabatan kosong",IF($I1214="","No. HP kosong",IF($J1214="","Alamat kosong",IF(AND($M1214&lt;&gt;"",$M1214&lt;17),"Usia di bawah 17",""))))))))))</f>
        <v/>
      </c>
      <c r="U1214" s="40" t="str">
        <f aca="false">IF($B1214="","",IF(AND(OR(CARI!$C$5="",ISNUMBER(SEARCH(CARI!$C$5,$B1214&amp;" "&amp;$C1214&amp;" "&amp;$I1214&amp;" "&amp;$J1214&amp;" "&amp;$Q1214))),OR(CARI!$C$6="",$E1214=CARI!$C$6),OR(CARI!$C$7="",$F1214=CARI!$C$7),OR(CARI!$C$8="",$O1214=CARI!$C$8)),MAX($U$3:U1213)+1,""))</f>
        <v/>
      </c>
      <c r="V1214" s="40" t="str">
        <f aca="false">IF($T1214="","",MAX($V$3:V1213)+1)</f>
        <v/>
      </c>
      <c r="W1214" s="40" t="str">
        <f aca="false">IF($E1214="","",$E1214&amp;"#"&amp;COUNTIF($E$4:$E1214,$E1214))</f>
        <v/>
      </c>
      <c r="X1214" s="40" t="str">
        <f aca="false">IF($B1214="","",IF(AND(OR(CETAK!$J$10="",$E1214=CETAK!$J$10),OR(CETAK!$J$11="",$F1214=CETAK!$J$11),OR(CETAK!$J$12="",$K1214=CETAK!$J$12),OR(CETAK!$J$13="",$H1214=CETAK!$J$13),OR(CETAK!$J$14="",$O1214=CETAK!$J$14)),MAX($X$3:X1213)+1,""))</f>
        <v/>
      </c>
      <c r="Y1214" s="40" t="str">
        <f aca="false">IF($B1214="","",IF(AND(OR(ABSENSI!$H$10="",$E1214=ABSENSI!$H$10),OR(ABSENSI!$H$11="",$F1214=ABSENSI!$H$11),OR(ABSENSI!$H$12="",$K1214=ABSENSI!$H$12)),MAX($Y$3:Y1213)+1,""))</f>
        <v/>
      </c>
      <c r="Z1214" s="40" t="str">
        <f aca="false">IF($B1214="","",IF(AND(OR(KARTU!$K$6="",$E1214=KARTU!$K$6),OR(KARTU!$K$7="",$F1214=KARTU!$K$7),OR(KARTU!$K$8="",$K1214=KARTU!$K$8)),MAX($Z$3:Z1213)+1,""))</f>
        <v/>
      </c>
    </row>
    <row r="1215" customFormat="false" ht="15" hidden="false" customHeight="false" outlineLevel="0" collapsed="false">
      <c r="A1215" s="36" t="str">
        <f aca="false">IF($B1215="","",COUNTA($B$4:$B1215))</f>
        <v/>
      </c>
      <c r="B1215" s="37"/>
      <c r="C1215" s="38"/>
      <c r="D1215" s="39"/>
      <c r="E1215" s="37"/>
      <c r="F1215" s="39"/>
      <c r="G1215" s="40" t="str">
        <f aca="false">IF(OR($E1215="",$F1215=""),"",$E1215&amp;" - RT "&amp;$F1215)</f>
        <v/>
      </c>
      <c r="H1215" s="37"/>
      <c r="I1215" s="38"/>
      <c r="J1215" s="37"/>
      <c r="K1215" s="39"/>
      <c r="L1215" s="41"/>
      <c r="M1215" s="36" t="str">
        <f aca="true">IF(OR($B1215="",$L1215=""),"",DATEDIF($L1215,TODAY(),"Y"))</f>
        <v/>
      </c>
      <c r="N1215" s="40" t="str">
        <f aca="false">IF($M1215="","",INDEX(usia_label,MATCH($M1215,usia_min,1)))</f>
        <v/>
      </c>
      <c r="O1215" s="37"/>
      <c r="P1215" s="41"/>
      <c r="Q1215" s="37"/>
      <c r="R1215" s="37"/>
      <c r="S1215" s="40" t="str">
        <f aca="false">IF($G1215="","",$G1215&amp;"#"&amp;COUNTIF($G$4:$G1215,$G1215))</f>
        <v/>
      </c>
      <c r="T1215" s="40" t="str">
        <f aca="false">IF($B1215="","",IF($C1215="","NIK kosong",IF(LEN($C1215)&lt;&gt;16,"NIK bukan 16 digit",IF(COUNTIF($C$4:$C$2003,$C1215&amp;"*")&gt;1,"NIK ganda",IF($E1215="","Kadus kosong",IF($F1215="","RT kosong",IF($H1215="","Jabatan kosong",IF($I1215="","No. HP kosong",IF($J1215="","Alamat kosong",IF(AND($M1215&lt;&gt;"",$M1215&lt;17),"Usia di bawah 17",""))))))))))</f>
        <v/>
      </c>
      <c r="U1215" s="40" t="str">
        <f aca="false">IF($B1215="","",IF(AND(OR(CARI!$C$5="",ISNUMBER(SEARCH(CARI!$C$5,$B1215&amp;" "&amp;$C1215&amp;" "&amp;$I1215&amp;" "&amp;$J1215&amp;" "&amp;$Q1215))),OR(CARI!$C$6="",$E1215=CARI!$C$6),OR(CARI!$C$7="",$F1215=CARI!$C$7),OR(CARI!$C$8="",$O1215=CARI!$C$8)),MAX($U$3:U1214)+1,""))</f>
        <v/>
      </c>
      <c r="V1215" s="40" t="str">
        <f aca="false">IF($T1215="","",MAX($V$3:V1214)+1)</f>
        <v/>
      </c>
      <c r="W1215" s="40" t="str">
        <f aca="false">IF($E1215="","",$E1215&amp;"#"&amp;COUNTIF($E$4:$E1215,$E1215))</f>
        <v/>
      </c>
      <c r="X1215" s="40" t="str">
        <f aca="false">IF($B1215="","",IF(AND(OR(CETAK!$J$10="",$E1215=CETAK!$J$10),OR(CETAK!$J$11="",$F1215=CETAK!$J$11),OR(CETAK!$J$12="",$K1215=CETAK!$J$12),OR(CETAK!$J$13="",$H1215=CETAK!$J$13),OR(CETAK!$J$14="",$O1215=CETAK!$J$14)),MAX($X$3:X1214)+1,""))</f>
        <v/>
      </c>
      <c r="Y1215" s="40" t="str">
        <f aca="false">IF($B1215="","",IF(AND(OR(ABSENSI!$H$10="",$E1215=ABSENSI!$H$10),OR(ABSENSI!$H$11="",$F1215=ABSENSI!$H$11),OR(ABSENSI!$H$12="",$K1215=ABSENSI!$H$12)),MAX($Y$3:Y1214)+1,""))</f>
        <v/>
      </c>
      <c r="Z1215" s="40" t="str">
        <f aca="false">IF($B1215="","",IF(AND(OR(KARTU!$K$6="",$E1215=KARTU!$K$6),OR(KARTU!$K$7="",$F1215=KARTU!$K$7),OR(KARTU!$K$8="",$K1215=KARTU!$K$8)),MAX($Z$3:Z1214)+1,""))</f>
        <v/>
      </c>
    </row>
    <row r="1216" customFormat="false" ht="15" hidden="false" customHeight="false" outlineLevel="0" collapsed="false">
      <c r="A1216" s="36" t="str">
        <f aca="false">IF($B1216="","",COUNTA($B$4:$B1216))</f>
        <v/>
      </c>
      <c r="B1216" s="37"/>
      <c r="C1216" s="38"/>
      <c r="D1216" s="39"/>
      <c r="E1216" s="37"/>
      <c r="F1216" s="39"/>
      <c r="G1216" s="40" t="str">
        <f aca="false">IF(OR($E1216="",$F1216=""),"",$E1216&amp;" - RT "&amp;$F1216)</f>
        <v/>
      </c>
      <c r="H1216" s="37"/>
      <c r="I1216" s="38"/>
      <c r="J1216" s="37"/>
      <c r="K1216" s="39"/>
      <c r="L1216" s="41"/>
      <c r="M1216" s="36" t="str">
        <f aca="true">IF(OR($B1216="",$L1216=""),"",DATEDIF($L1216,TODAY(),"Y"))</f>
        <v/>
      </c>
      <c r="N1216" s="40" t="str">
        <f aca="false">IF($M1216="","",INDEX(usia_label,MATCH($M1216,usia_min,1)))</f>
        <v/>
      </c>
      <c r="O1216" s="37"/>
      <c r="P1216" s="41"/>
      <c r="Q1216" s="37"/>
      <c r="R1216" s="37"/>
      <c r="S1216" s="40" t="str">
        <f aca="false">IF($G1216="","",$G1216&amp;"#"&amp;COUNTIF($G$4:$G1216,$G1216))</f>
        <v/>
      </c>
      <c r="T1216" s="40" t="str">
        <f aca="false">IF($B1216="","",IF($C1216="","NIK kosong",IF(LEN($C1216)&lt;&gt;16,"NIK bukan 16 digit",IF(COUNTIF($C$4:$C$2003,$C1216&amp;"*")&gt;1,"NIK ganda",IF($E1216="","Kadus kosong",IF($F1216="","RT kosong",IF($H1216="","Jabatan kosong",IF($I1216="","No. HP kosong",IF($J1216="","Alamat kosong",IF(AND($M1216&lt;&gt;"",$M1216&lt;17),"Usia di bawah 17",""))))))))))</f>
        <v/>
      </c>
      <c r="U1216" s="40" t="str">
        <f aca="false">IF($B1216="","",IF(AND(OR(CARI!$C$5="",ISNUMBER(SEARCH(CARI!$C$5,$B1216&amp;" "&amp;$C1216&amp;" "&amp;$I1216&amp;" "&amp;$J1216&amp;" "&amp;$Q1216))),OR(CARI!$C$6="",$E1216=CARI!$C$6),OR(CARI!$C$7="",$F1216=CARI!$C$7),OR(CARI!$C$8="",$O1216=CARI!$C$8)),MAX($U$3:U1215)+1,""))</f>
        <v/>
      </c>
      <c r="V1216" s="40" t="str">
        <f aca="false">IF($T1216="","",MAX($V$3:V1215)+1)</f>
        <v/>
      </c>
      <c r="W1216" s="40" t="str">
        <f aca="false">IF($E1216="","",$E1216&amp;"#"&amp;COUNTIF($E$4:$E1216,$E1216))</f>
        <v/>
      </c>
      <c r="X1216" s="40" t="str">
        <f aca="false">IF($B1216="","",IF(AND(OR(CETAK!$J$10="",$E1216=CETAK!$J$10),OR(CETAK!$J$11="",$F1216=CETAK!$J$11),OR(CETAK!$J$12="",$K1216=CETAK!$J$12),OR(CETAK!$J$13="",$H1216=CETAK!$J$13),OR(CETAK!$J$14="",$O1216=CETAK!$J$14)),MAX($X$3:X1215)+1,""))</f>
        <v/>
      </c>
      <c r="Y1216" s="40" t="str">
        <f aca="false">IF($B1216="","",IF(AND(OR(ABSENSI!$H$10="",$E1216=ABSENSI!$H$10),OR(ABSENSI!$H$11="",$F1216=ABSENSI!$H$11),OR(ABSENSI!$H$12="",$K1216=ABSENSI!$H$12)),MAX($Y$3:Y1215)+1,""))</f>
        <v/>
      </c>
      <c r="Z1216" s="40" t="str">
        <f aca="false">IF($B1216="","",IF(AND(OR(KARTU!$K$6="",$E1216=KARTU!$K$6),OR(KARTU!$K$7="",$F1216=KARTU!$K$7),OR(KARTU!$K$8="",$K1216=KARTU!$K$8)),MAX($Z$3:Z1215)+1,""))</f>
        <v/>
      </c>
    </row>
    <row r="1217" customFormat="false" ht="15" hidden="false" customHeight="false" outlineLevel="0" collapsed="false">
      <c r="A1217" s="36" t="str">
        <f aca="false">IF($B1217="","",COUNTA($B$4:$B1217))</f>
        <v/>
      </c>
      <c r="B1217" s="37"/>
      <c r="C1217" s="38"/>
      <c r="D1217" s="39"/>
      <c r="E1217" s="37"/>
      <c r="F1217" s="39"/>
      <c r="G1217" s="40" t="str">
        <f aca="false">IF(OR($E1217="",$F1217=""),"",$E1217&amp;" - RT "&amp;$F1217)</f>
        <v/>
      </c>
      <c r="H1217" s="37"/>
      <c r="I1217" s="38"/>
      <c r="J1217" s="37"/>
      <c r="K1217" s="39"/>
      <c r="L1217" s="41"/>
      <c r="M1217" s="36" t="str">
        <f aca="true">IF(OR($B1217="",$L1217=""),"",DATEDIF($L1217,TODAY(),"Y"))</f>
        <v/>
      </c>
      <c r="N1217" s="40" t="str">
        <f aca="false">IF($M1217="","",INDEX(usia_label,MATCH($M1217,usia_min,1)))</f>
        <v/>
      </c>
      <c r="O1217" s="37"/>
      <c r="P1217" s="41"/>
      <c r="Q1217" s="37"/>
      <c r="R1217" s="37"/>
      <c r="S1217" s="40" t="str">
        <f aca="false">IF($G1217="","",$G1217&amp;"#"&amp;COUNTIF($G$4:$G1217,$G1217))</f>
        <v/>
      </c>
      <c r="T1217" s="40" t="str">
        <f aca="false">IF($B1217="","",IF($C1217="","NIK kosong",IF(LEN($C1217)&lt;&gt;16,"NIK bukan 16 digit",IF(COUNTIF($C$4:$C$2003,$C1217&amp;"*")&gt;1,"NIK ganda",IF($E1217="","Kadus kosong",IF($F1217="","RT kosong",IF($H1217="","Jabatan kosong",IF($I1217="","No. HP kosong",IF($J1217="","Alamat kosong",IF(AND($M1217&lt;&gt;"",$M1217&lt;17),"Usia di bawah 17",""))))))))))</f>
        <v/>
      </c>
      <c r="U1217" s="40" t="str">
        <f aca="false">IF($B1217="","",IF(AND(OR(CARI!$C$5="",ISNUMBER(SEARCH(CARI!$C$5,$B1217&amp;" "&amp;$C1217&amp;" "&amp;$I1217&amp;" "&amp;$J1217&amp;" "&amp;$Q1217))),OR(CARI!$C$6="",$E1217=CARI!$C$6),OR(CARI!$C$7="",$F1217=CARI!$C$7),OR(CARI!$C$8="",$O1217=CARI!$C$8)),MAX($U$3:U1216)+1,""))</f>
        <v/>
      </c>
      <c r="V1217" s="40" t="str">
        <f aca="false">IF($T1217="","",MAX($V$3:V1216)+1)</f>
        <v/>
      </c>
      <c r="W1217" s="40" t="str">
        <f aca="false">IF($E1217="","",$E1217&amp;"#"&amp;COUNTIF($E$4:$E1217,$E1217))</f>
        <v/>
      </c>
      <c r="X1217" s="40" t="str">
        <f aca="false">IF($B1217="","",IF(AND(OR(CETAK!$J$10="",$E1217=CETAK!$J$10),OR(CETAK!$J$11="",$F1217=CETAK!$J$11),OR(CETAK!$J$12="",$K1217=CETAK!$J$12),OR(CETAK!$J$13="",$H1217=CETAK!$J$13),OR(CETAK!$J$14="",$O1217=CETAK!$J$14)),MAX($X$3:X1216)+1,""))</f>
        <v/>
      </c>
      <c r="Y1217" s="40" t="str">
        <f aca="false">IF($B1217="","",IF(AND(OR(ABSENSI!$H$10="",$E1217=ABSENSI!$H$10),OR(ABSENSI!$H$11="",$F1217=ABSENSI!$H$11),OR(ABSENSI!$H$12="",$K1217=ABSENSI!$H$12)),MAX($Y$3:Y1216)+1,""))</f>
        <v/>
      </c>
      <c r="Z1217" s="40" t="str">
        <f aca="false">IF($B1217="","",IF(AND(OR(KARTU!$K$6="",$E1217=KARTU!$K$6),OR(KARTU!$K$7="",$F1217=KARTU!$K$7),OR(KARTU!$K$8="",$K1217=KARTU!$K$8)),MAX($Z$3:Z1216)+1,""))</f>
        <v/>
      </c>
    </row>
    <row r="1218" customFormat="false" ht="15" hidden="false" customHeight="false" outlineLevel="0" collapsed="false">
      <c r="A1218" s="36" t="str">
        <f aca="false">IF($B1218="","",COUNTA($B$4:$B1218))</f>
        <v/>
      </c>
      <c r="B1218" s="37"/>
      <c r="C1218" s="38"/>
      <c r="D1218" s="39"/>
      <c r="E1218" s="37"/>
      <c r="F1218" s="39"/>
      <c r="G1218" s="40" t="str">
        <f aca="false">IF(OR($E1218="",$F1218=""),"",$E1218&amp;" - RT "&amp;$F1218)</f>
        <v/>
      </c>
      <c r="H1218" s="37"/>
      <c r="I1218" s="38"/>
      <c r="J1218" s="37"/>
      <c r="K1218" s="39"/>
      <c r="L1218" s="41"/>
      <c r="M1218" s="36" t="str">
        <f aca="true">IF(OR($B1218="",$L1218=""),"",DATEDIF($L1218,TODAY(),"Y"))</f>
        <v/>
      </c>
      <c r="N1218" s="40" t="str">
        <f aca="false">IF($M1218="","",INDEX(usia_label,MATCH($M1218,usia_min,1)))</f>
        <v/>
      </c>
      <c r="O1218" s="37"/>
      <c r="P1218" s="41"/>
      <c r="Q1218" s="37"/>
      <c r="R1218" s="37"/>
      <c r="S1218" s="40" t="str">
        <f aca="false">IF($G1218="","",$G1218&amp;"#"&amp;COUNTIF($G$4:$G1218,$G1218))</f>
        <v/>
      </c>
      <c r="T1218" s="40" t="str">
        <f aca="false">IF($B1218="","",IF($C1218="","NIK kosong",IF(LEN($C1218)&lt;&gt;16,"NIK bukan 16 digit",IF(COUNTIF($C$4:$C$2003,$C1218&amp;"*")&gt;1,"NIK ganda",IF($E1218="","Kadus kosong",IF($F1218="","RT kosong",IF($H1218="","Jabatan kosong",IF($I1218="","No. HP kosong",IF($J1218="","Alamat kosong",IF(AND($M1218&lt;&gt;"",$M1218&lt;17),"Usia di bawah 17",""))))))))))</f>
        <v/>
      </c>
      <c r="U1218" s="40" t="str">
        <f aca="false">IF($B1218="","",IF(AND(OR(CARI!$C$5="",ISNUMBER(SEARCH(CARI!$C$5,$B1218&amp;" "&amp;$C1218&amp;" "&amp;$I1218&amp;" "&amp;$J1218&amp;" "&amp;$Q1218))),OR(CARI!$C$6="",$E1218=CARI!$C$6),OR(CARI!$C$7="",$F1218=CARI!$C$7),OR(CARI!$C$8="",$O1218=CARI!$C$8)),MAX($U$3:U1217)+1,""))</f>
        <v/>
      </c>
      <c r="V1218" s="40" t="str">
        <f aca="false">IF($T1218="","",MAX($V$3:V1217)+1)</f>
        <v/>
      </c>
      <c r="W1218" s="40" t="str">
        <f aca="false">IF($E1218="","",$E1218&amp;"#"&amp;COUNTIF($E$4:$E1218,$E1218))</f>
        <v/>
      </c>
      <c r="X1218" s="40" t="str">
        <f aca="false">IF($B1218="","",IF(AND(OR(CETAK!$J$10="",$E1218=CETAK!$J$10),OR(CETAK!$J$11="",$F1218=CETAK!$J$11),OR(CETAK!$J$12="",$K1218=CETAK!$J$12),OR(CETAK!$J$13="",$H1218=CETAK!$J$13),OR(CETAK!$J$14="",$O1218=CETAK!$J$14)),MAX($X$3:X1217)+1,""))</f>
        <v/>
      </c>
      <c r="Y1218" s="40" t="str">
        <f aca="false">IF($B1218="","",IF(AND(OR(ABSENSI!$H$10="",$E1218=ABSENSI!$H$10),OR(ABSENSI!$H$11="",$F1218=ABSENSI!$H$11),OR(ABSENSI!$H$12="",$K1218=ABSENSI!$H$12)),MAX($Y$3:Y1217)+1,""))</f>
        <v/>
      </c>
      <c r="Z1218" s="40" t="str">
        <f aca="false">IF($B1218="","",IF(AND(OR(KARTU!$K$6="",$E1218=KARTU!$K$6),OR(KARTU!$K$7="",$F1218=KARTU!$K$7),OR(KARTU!$K$8="",$K1218=KARTU!$K$8)),MAX($Z$3:Z1217)+1,""))</f>
        <v/>
      </c>
    </row>
    <row r="1219" customFormat="false" ht="15" hidden="false" customHeight="false" outlineLevel="0" collapsed="false">
      <c r="A1219" s="36" t="str">
        <f aca="false">IF($B1219="","",COUNTA($B$4:$B1219))</f>
        <v/>
      </c>
      <c r="B1219" s="37"/>
      <c r="C1219" s="38"/>
      <c r="D1219" s="39"/>
      <c r="E1219" s="37"/>
      <c r="F1219" s="39"/>
      <c r="G1219" s="40" t="str">
        <f aca="false">IF(OR($E1219="",$F1219=""),"",$E1219&amp;" - RT "&amp;$F1219)</f>
        <v/>
      </c>
      <c r="H1219" s="37"/>
      <c r="I1219" s="38"/>
      <c r="J1219" s="37"/>
      <c r="K1219" s="39"/>
      <c r="L1219" s="41"/>
      <c r="M1219" s="36" t="str">
        <f aca="true">IF(OR($B1219="",$L1219=""),"",DATEDIF($L1219,TODAY(),"Y"))</f>
        <v/>
      </c>
      <c r="N1219" s="40" t="str">
        <f aca="false">IF($M1219="","",INDEX(usia_label,MATCH($M1219,usia_min,1)))</f>
        <v/>
      </c>
      <c r="O1219" s="37"/>
      <c r="P1219" s="41"/>
      <c r="Q1219" s="37"/>
      <c r="R1219" s="37"/>
      <c r="S1219" s="40" t="str">
        <f aca="false">IF($G1219="","",$G1219&amp;"#"&amp;COUNTIF($G$4:$G1219,$G1219))</f>
        <v/>
      </c>
      <c r="T1219" s="40" t="str">
        <f aca="false">IF($B1219="","",IF($C1219="","NIK kosong",IF(LEN($C1219)&lt;&gt;16,"NIK bukan 16 digit",IF(COUNTIF($C$4:$C$2003,$C1219&amp;"*")&gt;1,"NIK ganda",IF($E1219="","Kadus kosong",IF($F1219="","RT kosong",IF($H1219="","Jabatan kosong",IF($I1219="","No. HP kosong",IF($J1219="","Alamat kosong",IF(AND($M1219&lt;&gt;"",$M1219&lt;17),"Usia di bawah 17",""))))))))))</f>
        <v/>
      </c>
      <c r="U1219" s="40" t="str">
        <f aca="false">IF($B1219="","",IF(AND(OR(CARI!$C$5="",ISNUMBER(SEARCH(CARI!$C$5,$B1219&amp;" "&amp;$C1219&amp;" "&amp;$I1219&amp;" "&amp;$J1219&amp;" "&amp;$Q1219))),OR(CARI!$C$6="",$E1219=CARI!$C$6),OR(CARI!$C$7="",$F1219=CARI!$C$7),OR(CARI!$C$8="",$O1219=CARI!$C$8)),MAX($U$3:U1218)+1,""))</f>
        <v/>
      </c>
      <c r="V1219" s="40" t="str">
        <f aca="false">IF($T1219="","",MAX($V$3:V1218)+1)</f>
        <v/>
      </c>
      <c r="W1219" s="40" t="str">
        <f aca="false">IF($E1219="","",$E1219&amp;"#"&amp;COUNTIF($E$4:$E1219,$E1219))</f>
        <v/>
      </c>
      <c r="X1219" s="40" t="str">
        <f aca="false">IF($B1219="","",IF(AND(OR(CETAK!$J$10="",$E1219=CETAK!$J$10),OR(CETAK!$J$11="",$F1219=CETAK!$J$11),OR(CETAK!$J$12="",$K1219=CETAK!$J$12),OR(CETAK!$J$13="",$H1219=CETAK!$J$13),OR(CETAK!$J$14="",$O1219=CETAK!$J$14)),MAX($X$3:X1218)+1,""))</f>
        <v/>
      </c>
      <c r="Y1219" s="40" t="str">
        <f aca="false">IF($B1219="","",IF(AND(OR(ABSENSI!$H$10="",$E1219=ABSENSI!$H$10),OR(ABSENSI!$H$11="",$F1219=ABSENSI!$H$11),OR(ABSENSI!$H$12="",$K1219=ABSENSI!$H$12)),MAX($Y$3:Y1218)+1,""))</f>
        <v/>
      </c>
      <c r="Z1219" s="40" t="str">
        <f aca="false">IF($B1219="","",IF(AND(OR(KARTU!$K$6="",$E1219=KARTU!$K$6),OR(KARTU!$K$7="",$F1219=KARTU!$K$7),OR(KARTU!$K$8="",$K1219=KARTU!$K$8)),MAX($Z$3:Z1218)+1,""))</f>
        <v/>
      </c>
    </row>
    <row r="1220" customFormat="false" ht="15" hidden="false" customHeight="false" outlineLevel="0" collapsed="false">
      <c r="A1220" s="36" t="str">
        <f aca="false">IF($B1220="","",COUNTA($B$4:$B1220))</f>
        <v/>
      </c>
      <c r="B1220" s="37"/>
      <c r="C1220" s="38"/>
      <c r="D1220" s="39"/>
      <c r="E1220" s="37"/>
      <c r="F1220" s="39"/>
      <c r="G1220" s="40" t="str">
        <f aca="false">IF(OR($E1220="",$F1220=""),"",$E1220&amp;" - RT "&amp;$F1220)</f>
        <v/>
      </c>
      <c r="H1220" s="37"/>
      <c r="I1220" s="38"/>
      <c r="J1220" s="37"/>
      <c r="K1220" s="39"/>
      <c r="L1220" s="41"/>
      <c r="M1220" s="36" t="str">
        <f aca="true">IF(OR($B1220="",$L1220=""),"",DATEDIF($L1220,TODAY(),"Y"))</f>
        <v/>
      </c>
      <c r="N1220" s="40" t="str">
        <f aca="false">IF($M1220="","",INDEX(usia_label,MATCH($M1220,usia_min,1)))</f>
        <v/>
      </c>
      <c r="O1220" s="37"/>
      <c r="P1220" s="41"/>
      <c r="Q1220" s="37"/>
      <c r="R1220" s="37"/>
      <c r="S1220" s="40" t="str">
        <f aca="false">IF($G1220="","",$G1220&amp;"#"&amp;COUNTIF($G$4:$G1220,$G1220))</f>
        <v/>
      </c>
      <c r="T1220" s="40" t="str">
        <f aca="false">IF($B1220="","",IF($C1220="","NIK kosong",IF(LEN($C1220)&lt;&gt;16,"NIK bukan 16 digit",IF(COUNTIF($C$4:$C$2003,$C1220&amp;"*")&gt;1,"NIK ganda",IF($E1220="","Kadus kosong",IF($F1220="","RT kosong",IF($H1220="","Jabatan kosong",IF($I1220="","No. HP kosong",IF($J1220="","Alamat kosong",IF(AND($M1220&lt;&gt;"",$M1220&lt;17),"Usia di bawah 17",""))))))))))</f>
        <v/>
      </c>
      <c r="U1220" s="40" t="str">
        <f aca="false">IF($B1220="","",IF(AND(OR(CARI!$C$5="",ISNUMBER(SEARCH(CARI!$C$5,$B1220&amp;" "&amp;$C1220&amp;" "&amp;$I1220&amp;" "&amp;$J1220&amp;" "&amp;$Q1220))),OR(CARI!$C$6="",$E1220=CARI!$C$6),OR(CARI!$C$7="",$F1220=CARI!$C$7),OR(CARI!$C$8="",$O1220=CARI!$C$8)),MAX($U$3:U1219)+1,""))</f>
        <v/>
      </c>
      <c r="V1220" s="40" t="str">
        <f aca="false">IF($T1220="","",MAX($V$3:V1219)+1)</f>
        <v/>
      </c>
      <c r="W1220" s="40" t="str">
        <f aca="false">IF($E1220="","",$E1220&amp;"#"&amp;COUNTIF($E$4:$E1220,$E1220))</f>
        <v/>
      </c>
      <c r="X1220" s="40" t="str">
        <f aca="false">IF($B1220="","",IF(AND(OR(CETAK!$J$10="",$E1220=CETAK!$J$10),OR(CETAK!$J$11="",$F1220=CETAK!$J$11),OR(CETAK!$J$12="",$K1220=CETAK!$J$12),OR(CETAK!$J$13="",$H1220=CETAK!$J$13),OR(CETAK!$J$14="",$O1220=CETAK!$J$14)),MAX($X$3:X1219)+1,""))</f>
        <v/>
      </c>
      <c r="Y1220" s="40" t="str">
        <f aca="false">IF($B1220="","",IF(AND(OR(ABSENSI!$H$10="",$E1220=ABSENSI!$H$10),OR(ABSENSI!$H$11="",$F1220=ABSENSI!$H$11),OR(ABSENSI!$H$12="",$K1220=ABSENSI!$H$12)),MAX($Y$3:Y1219)+1,""))</f>
        <v/>
      </c>
      <c r="Z1220" s="40" t="str">
        <f aca="false">IF($B1220="","",IF(AND(OR(KARTU!$K$6="",$E1220=KARTU!$K$6),OR(KARTU!$K$7="",$F1220=KARTU!$K$7),OR(KARTU!$K$8="",$K1220=KARTU!$K$8)),MAX($Z$3:Z1219)+1,""))</f>
        <v/>
      </c>
    </row>
    <row r="1221" customFormat="false" ht="15" hidden="false" customHeight="false" outlineLevel="0" collapsed="false">
      <c r="A1221" s="36" t="str">
        <f aca="false">IF($B1221="","",COUNTA($B$4:$B1221))</f>
        <v/>
      </c>
      <c r="B1221" s="37"/>
      <c r="C1221" s="38"/>
      <c r="D1221" s="39"/>
      <c r="E1221" s="37"/>
      <c r="F1221" s="39"/>
      <c r="G1221" s="40" t="str">
        <f aca="false">IF(OR($E1221="",$F1221=""),"",$E1221&amp;" - RT "&amp;$F1221)</f>
        <v/>
      </c>
      <c r="H1221" s="37"/>
      <c r="I1221" s="38"/>
      <c r="J1221" s="37"/>
      <c r="K1221" s="39"/>
      <c r="L1221" s="41"/>
      <c r="M1221" s="36" t="str">
        <f aca="true">IF(OR($B1221="",$L1221=""),"",DATEDIF($L1221,TODAY(),"Y"))</f>
        <v/>
      </c>
      <c r="N1221" s="40" t="str">
        <f aca="false">IF($M1221="","",INDEX(usia_label,MATCH($M1221,usia_min,1)))</f>
        <v/>
      </c>
      <c r="O1221" s="37"/>
      <c r="P1221" s="41"/>
      <c r="Q1221" s="37"/>
      <c r="R1221" s="37"/>
      <c r="S1221" s="40" t="str">
        <f aca="false">IF($G1221="","",$G1221&amp;"#"&amp;COUNTIF($G$4:$G1221,$G1221))</f>
        <v/>
      </c>
      <c r="T1221" s="40" t="str">
        <f aca="false">IF($B1221="","",IF($C1221="","NIK kosong",IF(LEN($C1221)&lt;&gt;16,"NIK bukan 16 digit",IF(COUNTIF($C$4:$C$2003,$C1221&amp;"*")&gt;1,"NIK ganda",IF($E1221="","Kadus kosong",IF($F1221="","RT kosong",IF($H1221="","Jabatan kosong",IF($I1221="","No. HP kosong",IF($J1221="","Alamat kosong",IF(AND($M1221&lt;&gt;"",$M1221&lt;17),"Usia di bawah 17",""))))))))))</f>
        <v/>
      </c>
      <c r="U1221" s="40" t="str">
        <f aca="false">IF($B1221="","",IF(AND(OR(CARI!$C$5="",ISNUMBER(SEARCH(CARI!$C$5,$B1221&amp;" "&amp;$C1221&amp;" "&amp;$I1221&amp;" "&amp;$J1221&amp;" "&amp;$Q1221))),OR(CARI!$C$6="",$E1221=CARI!$C$6),OR(CARI!$C$7="",$F1221=CARI!$C$7),OR(CARI!$C$8="",$O1221=CARI!$C$8)),MAX($U$3:U1220)+1,""))</f>
        <v/>
      </c>
      <c r="V1221" s="40" t="str">
        <f aca="false">IF($T1221="","",MAX($V$3:V1220)+1)</f>
        <v/>
      </c>
      <c r="W1221" s="40" t="str">
        <f aca="false">IF($E1221="","",$E1221&amp;"#"&amp;COUNTIF($E$4:$E1221,$E1221))</f>
        <v/>
      </c>
      <c r="X1221" s="40" t="str">
        <f aca="false">IF($B1221="","",IF(AND(OR(CETAK!$J$10="",$E1221=CETAK!$J$10),OR(CETAK!$J$11="",$F1221=CETAK!$J$11),OR(CETAK!$J$12="",$K1221=CETAK!$J$12),OR(CETAK!$J$13="",$H1221=CETAK!$J$13),OR(CETAK!$J$14="",$O1221=CETAK!$J$14)),MAX($X$3:X1220)+1,""))</f>
        <v/>
      </c>
      <c r="Y1221" s="40" t="str">
        <f aca="false">IF($B1221="","",IF(AND(OR(ABSENSI!$H$10="",$E1221=ABSENSI!$H$10),OR(ABSENSI!$H$11="",$F1221=ABSENSI!$H$11),OR(ABSENSI!$H$12="",$K1221=ABSENSI!$H$12)),MAX($Y$3:Y1220)+1,""))</f>
        <v/>
      </c>
      <c r="Z1221" s="40" t="str">
        <f aca="false">IF($B1221="","",IF(AND(OR(KARTU!$K$6="",$E1221=KARTU!$K$6),OR(KARTU!$K$7="",$F1221=KARTU!$K$7),OR(KARTU!$K$8="",$K1221=KARTU!$K$8)),MAX($Z$3:Z1220)+1,""))</f>
        <v/>
      </c>
    </row>
    <row r="1222" customFormat="false" ht="15" hidden="false" customHeight="false" outlineLevel="0" collapsed="false">
      <c r="A1222" s="36" t="str">
        <f aca="false">IF($B1222="","",COUNTA($B$4:$B1222))</f>
        <v/>
      </c>
      <c r="B1222" s="37"/>
      <c r="C1222" s="38"/>
      <c r="D1222" s="39"/>
      <c r="E1222" s="37"/>
      <c r="F1222" s="39"/>
      <c r="G1222" s="40" t="str">
        <f aca="false">IF(OR($E1222="",$F1222=""),"",$E1222&amp;" - RT "&amp;$F1222)</f>
        <v/>
      </c>
      <c r="H1222" s="37"/>
      <c r="I1222" s="38"/>
      <c r="J1222" s="37"/>
      <c r="K1222" s="39"/>
      <c r="L1222" s="41"/>
      <c r="M1222" s="36" t="str">
        <f aca="true">IF(OR($B1222="",$L1222=""),"",DATEDIF($L1222,TODAY(),"Y"))</f>
        <v/>
      </c>
      <c r="N1222" s="40" t="str">
        <f aca="false">IF($M1222="","",INDEX(usia_label,MATCH($M1222,usia_min,1)))</f>
        <v/>
      </c>
      <c r="O1222" s="37"/>
      <c r="P1222" s="41"/>
      <c r="Q1222" s="37"/>
      <c r="R1222" s="37"/>
      <c r="S1222" s="40" t="str">
        <f aca="false">IF($G1222="","",$G1222&amp;"#"&amp;COUNTIF($G$4:$G1222,$G1222))</f>
        <v/>
      </c>
      <c r="T1222" s="40" t="str">
        <f aca="false">IF($B1222="","",IF($C1222="","NIK kosong",IF(LEN($C1222)&lt;&gt;16,"NIK bukan 16 digit",IF(COUNTIF($C$4:$C$2003,$C1222&amp;"*")&gt;1,"NIK ganda",IF($E1222="","Kadus kosong",IF($F1222="","RT kosong",IF($H1222="","Jabatan kosong",IF($I1222="","No. HP kosong",IF($J1222="","Alamat kosong",IF(AND($M1222&lt;&gt;"",$M1222&lt;17),"Usia di bawah 17",""))))))))))</f>
        <v/>
      </c>
      <c r="U1222" s="40" t="str">
        <f aca="false">IF($B1222="","",IF(AND(OR(CARI!$C$5="",ISNUMBER(SEARCH(CARI!$C$5,$B1222&amp;" "&amp;$C1222&amp;" "&amp;$I1222&amp;" "&amp;$J1222&amp;" "&amp;$Q1222))),OR(CARI!$C$6="",$E1222=CARI!$C$6),OR(CARI!$C$7="",$F1222=CARI!$C$7),OR(CARI!$C$8="",$O1222=CARI!$C$8)),MAX($U$3:U1221)+1,""))</f>
        <v/>
      </c>
      <c r="V1222" s="40" t="str">
        <f aca="false">IF($T1222="","",MAX($V$3:V1221)+1)</f>
        <v/>
      </c>
      <c r="W1222" s="40" t="str">
        <f aca="false">IF($E1222="","",$E1222&amp;"#"&amp;COUNTIF($E$4:$E1222,$E1222))</f>
        <v/>
      </c>
      <c r="X1222" s="40" t="str">
        <f aca="false">IF($B1222="","",IF(AND(OR(CETAK!$J$10="",$E1222=CETAK!$J$10),OR(CETAK!$J$11="",$F1222=CETAK!$J$11),OR(CETAK!$J$12="",$K1222=CETAK!$J$12),OR(CETAK!$J$13="",$H1222=CETAK!$J$13),OR(CETAK!$J$14="",$O1222=CETAK!$J$14)),MAX($X$3:X1221)+1,""))</f>
        <v/>
      </c>
      <c r="Y1222" s="40" t="str">
        <f aca="false">IF($B1222="","",IF(AND(OR(ABSENSI!$H$10="",$E1222=ABSENSI!$H$10),OR(ABSENSI!$H$11="",$F1222=ABSENSI!$H$11),OR(ABSENSI!$H$12="",$K1222=ABSENSI!$H$12)),MAX($Y$3:Y1221)+1,""))</f>
        <v/>
      </c>
      <c r="Z1222" s="40" t="str">
        <f aca="false">IF($B1222="","",IF(AND(OR(KARTU!$K$6="",$E1222=KARTU!$K$6),OR(KARTU!$K$7="",$F1222=KARTU!$K$7),OR(KARTU!$K$8="",$K1222=KARTU!$K$8)),MAX($Z$3:Z1221)+1,""))</f>
        <v/>
      </c>
    </row>
    <row r="1223" customFormat="false" ht="15" hidden="false" customHeight="false" outlineLevel="0" collapsed="false">
      <c r="A1223" s="36" t="str">
        <f aca="false">IF($B1223="","",COUNTA($B$4:$B1223))</f>
        <v/>
      </c>
      <c r="B1223" s="37"/>
      <c r="C1223" s="38"/>
      <c r="D1223" s="39"/>
      <c r="E1223" s="37"/>
      <c r="F1223" s="39"/>
      <c r="G1223" s="40" t="str">
        <f aca="false">IF(OR($E1223="",$F1223=""),"",$E1223&amp;" - RT "&amp;$F1223)</f>
        <v/>
      </c>
      <c r="H1223" s="37"/>
      <c r="I1223" s="38"/>
      <c r="J1223" s="37"/>
      <c r="K1223" s="39"/>
      <c r="L1223" s="41"/>
      <c r="M1223" s="36" t="str">
        <f aca="true">IF(OR($B1223="",$L1223=""),"",DATEDIF($L1223,TODAY(),"Y"))</f>
        <v/>
      </c>
      <c r="N1223" s="40" t="str">
        <f aca="false">IF($M1223="","",INDEX(usia_label,MATCH($M1223,usia_min,1)))</f>
        <v/>
      </c>
      <c r="O1223" s="37"/>
      <c r="P1223" s="41"/>
      <c r="Q1223" s="37"/>
      <c r="R1223" s="37"/>
      <c r="S1223" s="40" t="str">
        <f aca="false">IF($G1223="","",$G1223&amp;"#"&amp;COUNTIF($G$4:$G1223,$G1223))</f>
        <v/>
      </c>
      <c r="T1223" s="40" t="str">
        <f aca="false">IF($B1223="","",IF($C1223="","NIK kosong",IF(LEN($C1223)&lt;&gt;16,"NIK bukan 16 digit",IF(COUNTIF($C$4:$C$2003,$C1223&amp;"*")&gt;1,"NIK ganda",IF($E1223="","Kadus kosong",IF($F1223="","RT kosong",IF($H1223="","Jabatan kosong",IF($I1223="","No. HP kosong",IF($J1223="","Alamat kosong",IF(AND($M1223&lt;&gt;"",$M1223&lt;17),"Usia di bawah 17",""))))))))))</f>
        <v/>
      </c>
      <c r="U1223" s="40" t="str">
        <f aca="false">IF($B1223="","",IF(AND(OR(CARI!$C$5="",ISNUMBER(SEARCH(CARI!$C$5,$B1223&amp;" "&amp;$C1223&amp;" "&amp;$I1223&amp;" "&amp;$J1223&amp;" "&amp;$Q1223))),OR(CARI!$C$6="",$E1223=CARI!$C$6),OR(CARI!$C$7="",$F1223=CARI!$C$7),OR(CARI!$C$8="",$O1223=CARI!$C$8)),MAX($U$3:U1222)+1,""))</f>
        <v/>
      </c>
      <c r="V1223" s="40" t="str">
        <f aca="false">IF($T1223="","",MAX($V$3:V1222)+1)</f>
        <v/>
      </c>
      <c r="W1223" s="40" t="str">
        <f aca="false">IF($E1223="","",$E1223&amp;"#"&amp;COUNTIF($E$4:$E1223,$E1223))</f>
        <v/>
      </c>
      <c r="X1223" s="40" t="str">
        <f aca="false">IF($B1223="","",IF(AND(OR(CETAK!$J$10="",$E1223=CETAK!$J$10),OR(CETAK!$J$11="",$F1223=CETAK!$J$11),OR(CETAK!$J$12="",$K1223=CETAK!$J$12),OR(CETAK!$J$13="",$H1223=CETAK!$J$13),OR(CETAK!$J$14="",$O1223=CETAK!$J$14)),MAX($X$3:X1222)+1,""))</f>
        <v/>
      </c>
      <c r="Y1223" s="40" t="str">
        <f aca="false">IF($B1223="","",IF(AND(OR(ABSENSI!$H$10="",$E1223=ABSENSI!$H$10),OR(ABSENSI!$H$11="",$F1223=ABSENSI!$H$11),OR(ABSENSI!$H$12="",$K1223=ABSENSI!$H$12)),MAX($Y$3:Y1222)+1,""))</f>
        <v/>
      </c>
      <c r="Z1223" s="40" t="str">
        <f aca="false">IF($B1223="","",IF(AND(OR(KARTU!$K$6="",$E1223=KARTU!$K$6),OR(KARTU!$K$7="",$F1223=KARTU!$K$7),OR(KARTU!$K$8="",$K1223=KARTU!$K$8)),MAX($Z$3:Z1222)+1,""))</f>
        <v/>
      </c>
    </row>
    <row r="1224" customFormat="false" ht="15" hidden="false" customHeight="false" outlineLevel="0" collapsed="false">
      <c r="A1224" s="36" t="str">
        <f aca="false">IF($B1224="","",COUNTA($B$4:$B1224))</f>
        <v/>
      </c>
      <c r="B1224" s="37"/>
      <c r="C1224" s="38"/>
      <c r="D1224" s="39"/>
      <c r="E1224" s="37"/>
      <c r="F1224" s="39"/>
      <c r="G1224" s="40" t="str">
        <f aca="false">IF(OR($E1224="",$F1224=""),"",$E1224&amp;" - RT "&amp;$F1224)</f>
        <v/>
      </c>
      <c r="H1224" s="37"/>
      <c r="I1224" s="38"/>
      <c r="J1224" s="37"/>
      <c r="K1224" s="39"/>
      <c r="L1224" s="41"/>
      <c r="M1224" s="36" t="str">
        <f aca="true">IF(OR($B1224="",$L1224=""),"",DATEDIF($L1224,TODAY(),"Y"))</f>
        <v/>
      </c>
      <c r="N1224" s="40" t="str">
        <f aca="false">IF($M1224="","",INDEX(usia_label,MATCH($M1224,usia_min,1)))</f>
        <v/>
      </c>
      <c r="O1224" s="37"/>
      <c r="P1224" s="41"/>
      <c r="Q1224" s="37"/>
      <c r="R1224" s="37"/>
      <c r="S1224" s="40" t="str">
        <f aca="false">IF($G1224="","",$G1224&amp;"#"&amp;COUNTIF($G$4:$G1224,$G1224))</f>
        <v/>
      </c>
      <c r="T1224" s="40" t="str">
        <f aca="false">IF($B1224="","",IF($C1224="","NIK kosong",IF(LEN($C1224)&lt;&gt;16,"NIK bukan 16 digit",IF(COUNTIF($C$4:$C$2003,$C1224&amp;"*")&gt;1,"NIK ganda",IF($E1224="","Kadus kosong",IF($F1224="","RT kosong",IF($H1224="","Jabatan kosong",IF($I1224="","No. HP kosong",IF($J1224="","Alamat kosong",IF(AND($M1224&lt;&gt;"",$M1224&lt;17),"Usia di bawah 17",""))))))))))</f>
        <v/>
      </c>
      <c r="U1224" s="40" t="str">
        <f aca="false">IF($B1224="","",IF(AND(OR(CARI!$C$5="",ISNUMBER(SEARCH(CARI!$C$5,$B1224&amp;" "&amp;$C1224&amp;" "&amp;$I1224&amp;" "&amp;$J1224&amp;" "&amp;$Q1224))),OR(CARI!$C$6="",$E1224=CARI!$C$6),OR(CARI!$C$7="",$F1224=CARI!$C$7),OR(CARI!$C$8="",$O1224=CARI!$C$8)),MAX($U$3:U1223)+1,""))</f>
        <v/>
      </c>
      <c r="V1224" s="40" t="str">
        <f aca="false">IF($T1224="","",MAX($V$3:V1223)+1)</f>
        <v/>
      </c>
      <c r="W1224" s="40" t="str">
        <f aca="false">IF($E1224="","",$E1224&amp;"#"&amp;COUNTIF($E$4:$E1224,$E1224))</f>
        <v/>
      </c>
      <c r="X1224" s="40" t="str">
        <f aca="false">IF($B1224="","",IF(AND(OR(CETAK!$J$10="",$E1224=CETAK!$J$10),OR(CETAK!$J$11="",$F1224=CETAK!$J$11),OR(CETAK!$J$12="",$K1224=CETAK!$J$12),OR(CETAK!$J$13="",$H1224=CETAK!$J$13),OR(CETAK!$J$14="",$O1224=CETAK!$J$14)),MAX($X$3:X1223)+1,""))</f>
        <v/>
      </c>
      <c r="Y1224" s="40" t="str">
        <f aca="false">IF($B1224="","",IF(AND(OR(ABSENSI!$H$10="",$E1224=ABSENSI!$H$10),OR(ABSENSI!$H$11="",$F1224=ABSENSI!$H$11),OR(ABSENSI!$H$12="",$K1224=ABSENSI!$H$12)),MAX($Y$3:Y1223)+1,""))</f>
        <v/>
      </c>
      <c r="Z1224" s="40" t="str">
        <f aca="false">IF($B1224="","",IF(AND(OR(KARTU!$K$6="",$E1224=KARTU!$K$6),OR(KARTU!$K$7="",$F1224=KARTU!$K$7),OR(KARTU!$K$8="",$K1224=KARTU!$K$8)),MAX($Z$3:Z1223)+1,""))</f>
        <v/>
      </c>
    </row>
    <row r="1225" customFormat="false" ht="15" hidden="false" customHeight="false" outlineLevel="0" collapsed="false">
      <c r="A1225" s="36" t="str">
        <f aca="false">IF($B1225="","",COUNTA($B$4:$B1225))</f>
        <v/>
      </c>
      <c r="B1225" s="37"/>
      <c r="C1225" s="38"/>
      <c r="D1225" s="39"/>
      <c r="E1225" s="37"/>
      <c r="F1225" s="39"/>
      <c r="G1225" s="40" t="str">
        <f aca="false">IF(OR($E1225="",$F1225=""),"",$E1225&amp;" - RT "&amp;$F1225)</f>
        <v/>
      </c>
      <c r="H1225" s="37"/>
      <c r="I1225" s="38"/>
      <c r="J1225" s="37"/>
      <c r="K1225" s="39"/>
      <c r="L1225" s="41"/>
      <c r="M1225" s="36" t="str">
        <f aca="true">IF(OR($B1225="",$L1225=""),"",DATEDIF($L1225,TODAY(),"Y"))</f>
        <v/>
      </c>
      <c r="N1225" s="40" t="str">
        <f aca="false">IF($M1225="","",INDEX(usia_label,MATCH($M1225,usia_min,1)))</f>
        <v/>
      </c>
      <c r="O1225" s="37"/>
      <c r="P1225" s="41"/>
      <c r="Q1225" s="37"/>
      <c r="R1225" s="37"/>
      <c r="S1225" s="40" t="str">
        <f aca="false">IF($G1225="","",$G1225&amp;"#"&amp;COUNTIF($G$4:$G1225,$G1225))</f>
        <v/>
      </c>
      <c r="T1225" s="40" t="str">
        <f aca="false">IF($B1225="","",IF($C1225="","NIK kosong",IF(LEN($C1225)&lt;&gt;16,"NIK bukan 16 digit",IF(COUNTIF($C$4:$C$2003,$C1225&amp;"*")&gt;1,"NIK ganda",IF($E1225="","Kadus kosong",IF($F1225="","RT kosong",IF($H1225="","Jabatan kosong",IF($I1225="","No. HP kosong",IF($J1225="","Alamat kosong",IF(AND($M1225&lt;&gt;"",$M1225&lt;17),"Usia di bawah 17",""))))))))))</f>
        <v/>
      </c>
      <c r="U1225" s="40" t="str">
        <f aca="false">IF($B1225="","",IF(AND(OR(CARI!$C$5="",ISNUMBER(SEARCH(CARI!$C$5,$B1225&amp;" "&amp;$C1225&amp;" "&amp;$I1225&amp;" "&amp;$J1225&amp;" "&amp;$Q1225))),OR(CARI!$C$6="",$E1225=CARI!$C$6),OR(CARI!$C$7="",$F1225=CARI!$C$7),OR(CARI!$C$8="",$O1225=CARI!$C$8)),MAX($U$3:U1224)+1,""))</f>
        <v/>
      </c>
      <c r="V1225" s="40" t="str">
        <f aca="false">IF($T1225="","",MAX($V$3:V1224)+1)</f>
        <v/>
      </c>
      <c r="W1225" s="40" t="str">
        <f aca="false">IF($E1225="","",$E1225&amp;"#"&amp;COUNTIF($E$4:$E1225,$E1225))</f>
        <v/>
      </c>
      <c r="X1225" s="40" t="str">
        <f aca="false">IF($B1225="","",IF(AND(OR(CETAK!$J$10="",$E1225=CETAK!$J$10),OR(CETAK!$J$11="",$F1225=CETAK!$J$11),OR(CETAK!$J$12="",$K1225=CETAK!$J$12),OR(CETAK!$J$13="",$H1225=CETAK!$J$13),OR(CETAK!$J$14="",$O1225=CETAK!$J$14)),MAX($X$3:X1224)+1,""))</f>
        <v/>
      </c>
      <c r="Y1225" s="40" t="str">
        <f aca="false">IF($B1225="","",IF(AND(OR(ABSENSI!$H$10="",$E1225=ABSENSI!$H$10),OR(ABSENSI!$H$11="",$F1225=ABSENSI!$H$11),OR(ABSENSI!$H$12="",$K1225=ABSENSI!$H$12)),MAX($Y$3:Y1224)+1,""))</f>
        <v/>
      </c>
      <c r="Z1225" s="40" t="str">
        <f aca="false">IF($B1225="","",IF(AND(OR(KARTU!$K$6="",$E1225=KARTU!$K$6),OR(KARTU!$K$7="",$F1225=KARTU!$K$7),OR(KARTU!$K$8="",$K1225=KARTU!$K$8)),MAX($Z$3:Z1224)+1,""))</f>
        <v/>
      </c>
    </row>
    <row r="1226" customFormat="false" ht="15" hidden="false" customHeight="false" outlineLevel="0" collapsed="false">
      <c r="A1226" s="36" t="str">
        <f aca="false">IF($B1226="","",COUNTA($B$4:$B1226))</f>
        <v/>
      </c>
      <c r="B1226" s="37"/>
      <c r="C1226" s="38"/>
      <c r="D1226" s="39"/>
      <c r="E1226" s="37"/>
      <c r="F1226" s="39"/>
      <c r="G1226" s="40" t="str">
        <f aca="false">IF(OR($E1226="",$F1226=""),"",$E1226&amp;" - RT "&amp;$F1226)</f>
        <v/>
      </c>
      <c r="H1226" s="37"/>
      <c r="I1226" s="38"/>
      <c r="J1226" s="37"/>
      <c r="K1226" s="39"/>
      <c r="L1226" s="41"/>
      <c r="M1226" s="36" t="str">
        <f aca="true">IF(OR($B1226="",$L1226=""),"",DATEDIF($L1226,TODAY(),"Y"))</f>
        <v/>
      </c>
      <c r="N1226" s="40" t="str">
        <f aca="false">IF($M1226="","",INDEX(usia_label,MATCH($M1226,usia_min,1)))</f>
        <v/>
      </c>
      <c r="O1226" s="37"/>
      <c r="P1226" s="41"/>
      <c r="Q1226" s="37"/>
      <c r="R1226" s="37"/>
      <c r="S1226" s="40" t="str">
        <f aca="false">IF($G1226="","",$G1226&amp;"#"&amp;COUNTIF($G$4:$G1226,$G1226))</f>
        <v/>
      </c>
      <c r="T1226" s="40" t="str">
        <f aca="false">IF($B1226="","",IF($C1226="","NIK kosong",IF(LEN($C1226)&lt;&gt;16,"NIK bukan 16 digit",IF(COUNTIF($C$4:$C$2003,$C1226&amp;"*")&gt;1,"NIK ganda",IF($E1226="","Kadus kosong",IF($F1226="","RT kosong",IF($H1226="","Jabatan kosong",IF($I1226="","No. HP kosong",IF($J1226="","Alamat kosong",IF(AND($M1226&lt;&gt;"",$M1226&lt;17),"Usia di bawah 17",""))))))))))</f>
        <v/>
      </c>
      <c r="U1226" s="40" t="str">
        <f aca="false">IF($B1226="","",IF(AND(OR(CARI!$C$5="",ISNUMBER(SEARCH(CARI!$C$5,$B1226&amp;" "&amp;$C1226&amp;" "&amp;$I1226&amp;" "&amp;$J1226&amp;" "&amp;$Q1226))),OR(CARI!$C$6="",$E1226=CARI!$C$6),OR(CARI!$C$7="",$F1226=CARI!$C$7),OR(CARI!$C$8="",$O1226=CARI!$C$8)),MAX($U$3:U1225)+1,""))</f>
        <v/>
      </c>
      <c r="V1226" s="40" t="str">
        <f aca="false">IF($T1226="","",MAX($V$3:V1225)+1)</f>
        <v/>
      </c>
      <c r="W1226" s="40" t="str">
        <f aca="false">IF($E1226="","",$E1226&amp;"#"&amp;COUNTIF($E$4:$E1226,$E1226))</f>
        <v/>
      </c>
      <c r="X1226" s="40" t="str">
        <f aca="false">IF($B1226="","",IF(AND(OR(CETAK!$J$10="",$E1226=CETAK!$J$10),OR(CETAK!$J$11="",$F1226=CETAK!$J$11),OR(CETAK!$J$12="",$K1226=CETAK!$J$12),OR(CETAK!$J$13="",$H1226=CETAK!$J$13),OR(CETAK!$J$14="",$O1226=CETAK!$J$14)),MAX($X$3:X1225)+1,""))</f>
        <v/>
      </c>
      <c r="Y1226" s="40" t="str">
        <f aca="false">IF($B1226="","",IF(AND(OR(ABSENSI!$H$10="",$E1226=ABSENSI!$H$10),OR(ABSENSI!$H$11="",$F1226=ABSENSI!$H$11),OR(ABSENSI!$H$12="",$K1226=ABSENSI!$H$12)),MAX($Y$3:Y1225)+1,""))</f>
        <v/>
      </c>
      <c r="Z1226" s="40" t="str">
        <f aca="false">IF($B1226="","",IF(AND(OR(KARTU!$K$6="",$E1226=KARTU!$K$6),OR(KARTU!$K$7="",$F1226=KARTU!$K$7),OR(KARTU!$K$8="",$K1226=KARTU!$K$8)),MAX($Z$3:Z1225)+1,""))</f>
        <v/>
      </c>
    </row>
    <row r="1227" customFormat="false" ht="15" hidden="false" customHeight="false" outlineLevel="0" collapsed="false">
      <c r="A1227" s="36" t="str">
        <f aca="false">IF($B1227="","",COUNTA($B$4:$B1227))</f>
        <v/>
      </c>
      <c r="B1227" s="37"/>
      <c r="C1227" s="38"/>
      <c r="D1227" s="39"/>
      <c r="E1227" s="37"/>
      <c r="F1227" s="39"/>
      <c r="G1227" s="40" t="str">
        <f aca="false">IF(OR($E1227="",$F1227=""),"",$E1227&amp;" - RT "&amp;$F1227)</f>
        <v/>
      </c>
      <c r="H1227" s="37"/>
      <c r="I1227" s="38"/>
      <c r="J1227" s="37"/>
      <c r="K1227" s="39"/>
      <c r="L1227" s="41"/>
      <c r="M1227" s="36" t="str">
        <f aca="true">IF(OR($B1227="",$L1227=""),"",DATEDIF($L1227,TODAY(),"Y"))</f>
        <v/>
      </c>
      <c r="N1227" s="40" t="str">
        <f aca="false">IF($M1227="","",INDEX(usia_label,MATCH($M1227,usia_min,1)))</f>
        <v/>
      </c>
      <c r="O1227" s="37"/>
      <c r="P1227" s="41"/>
      <c r="Q1227" s="37"/>
      <c r="R1227" s="37"/>
      <c r="S1227" s="40" t="str">
        <f aca="false">IF($G1227="","",$G1227&amp;"#"&amp;COUNTIF($G$4:$G1227,$G1227))</f>
        <v/>
      </c>
      <c r="T1227" s="40" t="str">
        <f aca="false">IF($B1227="","",IF($C1227="","NIK kosong",IF(LEN($C1227)&lt;&gt;16,"NIK bukan 16 digit",IF(COUNTIF($C$4:$C$2003,$C1227&amp;"*")&gt;1,"NIK ganda",IF($E1227="","Kadus kosong",IF($F1227="","RT kosong",IF($H1227="","Jabatan kosong",IF($I1227="","No. HP kosong",IF($J1227="","Alamat kosong",IF(AND($M1227&lt;&gt;"",$M1227&lt;17),"Usia di bawah 17",""))))))))))</f>
        <v/>
      </c>
      <c r="U1227" s="40" t="str">
        <f aca="false">IF($B1227="","",IF(AND(OR(CARI!$C$5="",ISNUMBER(SEARCH(CARI!$C$5,$B1227&amp;" "&amp;$C1227&amp;" "&amp;$I1227&amp;" "&amp;$J1227&amp;" "&amp;$Q1227))),OR(CARI!$C$6="",$E1227=CARI!$C$6),OR(CARI!$C$7="",$F1227=CARI!$C$7),OR(CARI!$C$8="",$O1227=CARI!$C$8)),MAX($U$3:U1226)+1,""))</f>
        <v/>
      </c>
      <c r="V1227" s="40" t="str">
        <f aca="false">IF($T1227="","",MAX($V$3:V1226)+1)</f>
        <v/>
      </c>
      <c r="W1227" s="40" t="str">
        <f aca="false">IF($E1227="","",$E1227&amp;"#"&amp;COUNTIF($E$4:$E1227,$E1227))</f>
        <v/>
      </c>
      <c r="X1227" s="40" t="str">
        <f aca="false">IF($B1227="","",IF(AND(OR(CETAK!$J$10="",$E1227=CETAK!$J$10),OR(CETAK!$J$11="",$F1227=CETAK!$J$11),OR(CETAK!$J$12="",$K1227=CETAK!$J$12),OR(CETAK!$J$13="",$H1227=CETAK!$J$13),OR(CETAK!$J$14="",$O1227=CETAK!$J$14)),MAX($X$3:X1226)+1,""))</f>
        <v/>
      </c>
      <c r="Y1227" s="40" t="str">
        <f aca="false">IF($B1227="","",IF(AND(OR(ABSENSI!$H$10="",$E1227=ABSENSI!$H$10),OR(ABSENSI!$H$11="",$F1227=ABSENSI!$H$11),OR(ABSENSI!$H$12="",$K1227=ABSENSI!$H$12)),MAX($Y$3:Y1226)+1,""))</f>
        <v/>
      </c>
      <c r="Z1227" s="40" t="str">
        <f aca="false">IF($B1227="","",IF(AND(OR(KARTU!$K$6="",$E1227=KARTU!$K$6),OR(KARTU!$K$7="",$F1227=KARTU!$K$7),OR(KARTU!$K$8="",$K1227=KARTU!$K$8)),MAX($Z$3:Z1226)+1,""))</f>
        <v/>
      </c>
    </row>
    <row r="1228" customFormat="false" ht="15" hidden="false" customHeight="false" outlineLevel="0" collapsed="false">
      <c r="A1228" s="36" t="str">
        <f aca="false">IF($B1228="","",COUNTA($B$4:$B1228))</f>
        <v/>
      </c>
      <c r="B1228" s="37"/>
      <c r="C1228" s="38"/>
      <c r="D1228" s="39"/>
      <c r="E1228" s="37"/>
      <c r="F1228" s="39"/>
      <c r="G1228" s="40" t="str">
        <f aca="false">IF(OR($E1228="",$F1228=""),"",$E1228&amp;" - RT "&amp;$F1228)</f>
        <v/>
      </c>
      <c r="H1228" s="37"/>
      <c r="I1228" s="38"/>
      <c r="J1228" s="37"/>
      <c r="K1228" s="39"/>
      <c r="L1228" s="41"/>
      <c r="M1228" s="36" t="str">
        <f aca="true">IF(OR($B1228="",$L1228=""),"",DATEDIF($L1228,TODAY(),"Y"))</f>
        <v/>
      </c>
      <c r="N1228" s="40" t="str">
        <f aca="false">IF($M1228="","",INDEX(usia_label,MATCH($M1228,usia_min,1)))</f>
        <v/>
      </c>
      <c r="O1228" s="37"/>
      <c r="P1228" s="41"/>
      <c r="Q1228" s="37"/>
      <c r="R1228" s="37"/>
      <c r="S1228" s="40" t="str">
        <f aca="false">IF($G1228="","",$G1228&amp;"#"&amp;COUNTIF($G$4:$G1228,$G1228))</f>
        <v/>
      </c>
      <c r="T1228" s="40" t="str">
        <f aca="false">IF($B1228="","",IF($C1228="","NIK kosong",IF(LEN($C1228)&lt;&gt;16,"NIK bukan 16 digit",IF(COUNTIF($C$4:$C$2003,$C1228&amp;"*")&gt;1,"NIK ganda",IF($E1228="","Kadus kosong",IF($F1228="","RT kosong",IF($H1228="","Jabatan kosong",IF($I1228="","No. HP kosong",IF($J1228="","Alamat kosong",IF(AND($M1228&lt;&gt;"",$M1228&lt;17),"Usia di bawah 17",""))))))))))</f>
        <v/>
      </c>
      <c r="U1228" s="40" t="str">
        <f aca="false">IF($B1228="","",IF(AND(OR(CARI!$C$5="",ISNUMBER(SEARCH(CARI!$C$5,$B1228&amp;" "&amp;$C1228&amp;" "&amp;$I1228&amp;" "&amp;$J1228&amp;" "&amp;$Q1228))),OR(CARI!$C$6="",$E1228=CARI!$C$6),OR(CARI!$C$7="",$F1228=CARI!$C$7),OR(CARI!$C$8="",$O1228=CARI!$C$8)),MAX($U$3:U1227)+1,""))</f>
        <v/>
      </c>
      <c r="V1228" s="40" t="str">
        <f aca="false">IF($T1228="","",MAX($V$3:V1227)+1)</f>
        <v/>
      </c>
      <c r="W1228" s="40" t="str">
        <f aca="false">IF($E1228="","",$E1228&amp;"#"&amp;COUNTIF($E$4:$E1228,$E1228))</f>
        <v/>
      </c>
      <c r="X1228" s="40" t="str">
        <f aca="false">IF($B1228="","",IF(AND(OR(CETAK!$J$10="",$E1228=CETAK!$J$10),OR(CETAK!$J$11="",$F1228=CETAK!$J$11),OR(CETAK!$J$12="",$K1228=CETAK!$J$12),OR(CETAK!$J$13="",$H1228=CETAK!$J$13),OR(CETAK!$J$14="",$O1228=CETAK!$J$14)),MAX($X$3:X1227)+1,""))</f>
        <v/>
      </c>
      <c r="Y1228" s="40" t="str">
        <f aca="false">IF($B1228="","",IF(AND(OR(ABSENSI!$H$10="",$E1228=ABSENSI!$H$10),OR(ABSENSI!$H$11="",$F1228=ABSENSI!$H$11),OR(ABSENSI!$H$12="",$K1228=ABSENSI!$H$12)),MAX($Y$3:Y1227)+1,""))</f>
        <v/>
      </c>
      <c r="Z1228" s="40" t="str">
        <f aca="false">IF($B1228="","",IF(AND(OR(KARTU!$K$6="",$E1228=KARTU!$K$6),OR(KARTU!$K$7="",$F1228=KARTU!$K$7),OR(KARTU!$K$8="",$K1228=KARTU!$K$8)),MAX($Z$3:Z1227)+1,""))</f>
        <v/>
      </c>
    </row>
    <row r="1229" customFormat="false" ht="15" hidden="false" customHeight="false" outlineLevel="0" collapsed="false">
      <c r="A1229" s="36" t="str">
        <f aca="false">IF($B1229="","",COUNTA($B$4:$B1229))</f>
        <v/>
      </c>
      <c r="B1229" s="37"/>
      <c r="C1229" s="38"/>
      <c r="D1229" s="39"/>
      <c r="E1229" s="37"/>
      <c r="F1229" s="39"/>
      <c r="G1229" s="40" t="str">
        <f aca="false">IF(OR($E1229="",$F1229=""),"",$E1229&amp;" - RT "&amp;$F1229)</f>
        <v/>
      </c>
      <c r="H1229" s="37"/>
      <c r="I1229" s="38"/>
      <c r="J1229" s="37"/>
      <c r="K1229" s="39"/>
      <c r="L1229" s="41"/>
      <c r="M1229" s="36" t="str">
        <f aca="true">IF(OR($B1229="",$L1229=""),"",DATEDIF($L1229,TODAY(),"Y"))</f>
        <v/>
      </c>
      <c r="N1229" s="40" t="str">
        <f aca="false">IF($M1229="","",INDEX(usia_label,MATCH($M1229,usia_min,1)))</f>
        <v/>
      </c>
      <c r="O1229" s="37"/>
      <c r="P1229" s="41"/>
      <c r="Q1229" s="37"/>
      <c r="R1229" s="37"/>
      <c r="S1229" s="40" t="str">
        <f aca="false">IF($G1229="","",$G1229&amp;"#"&amp;COUNTIF($G$4:$G1229,$G1229))</f>
        <v/>
      </c>
      <c r="T1229" s="40" t="str">
        <f aca="false">IF($B1229="","",IF($C1229="","NIK kosong",IF(LEN($C1229)&lt;&gt;16,"NIK bukan 16 digit",IF(COUNTIF($C$4:$C$2003,$C1229&amp;"*")&gt;1,"NIK ganda",IF($E1229="","Kadus kosong",IF($F1229="","RT kosong",IF($H1229="","Jabatan kosong",IF($I1229="","No. HP kosong",IF($J1229="","Alamat kosong",IF(AND($M1229&lt;&gt;"",$M1229&lt;17),"Usia di bawah 17",""))))))))))</f>
        <v/>
      </c>
      <c r="U1229" s="40" t="str">
        <f aca="false">IF($B1229="","",IF(AND(OR(CARI!$C$5="",ISNUMBER(SEARCH(CARI!$C$5,$B1229&amp;" "&amp;$C1229&amp;" "&amp;$I1229&amp;" "&amp;$J1229&amp;" "&amp;$Q1229))),OR(CARI!$C$6="",$E1229=CARI!$C$6),OR(CARI!$C$7="",$F1229=CARI!$C$7),OR(CARI!$C$8="",$O1229=CARI!$C$8)),MAX($U$3:U1228)+1,""))</f>
        <v/>
      </c>
      <c r="V1229" s="40" t="str">
        <f aca="false">IF($T1229="","",MAX($V$3:V1228)+1)</f>
        <v/>
      </c>
      <c r="W1229" s="40" t="str">
        <f aca="false">IF($E1229="","",$E1229&amp;"#"&amp;COUNTIF($E$4:$E1229,$E1229))</f>
        <v/>
      </c>
      <c r="X1229" s="40" t="str">
        <f aca="false">IF($B1229="","",IF(AND(OR(CETAK!$J$10="",$E1229=CETAK!$J$10),OR(CETAK!$J$11="",$F1229=CETAK!$J$11),OR(CETAK!$J$12="",$K1229=CETAK!$J$12),OR(CETAK!$J$13="",$H1229=CETAK!$J$13),OR(CETAK!$J$14="",$O1229=CETAK!$J$14)),MAX($X$3:X1228)+1,""))</f>
        <v/>
      </c>
      <c r="Y1229" s="40" t="str">
        <f aca="false">IF($B1229="","",IF(AND(OR(ABSENSI!$H$10="",$E1229=ABSENSI!$H$10),OR(ABSENSI!$H$11="",$F1229=ABSENSI!$H$11),OR(ABSENSI!$H$12="",$K1229=ABSENSI!$H$12)),MAX($Y$3:Y1228)+1,""))</f>
        <v/>
      </c>
      <c r="Z1229" s="40" t="str">
        <f aca="false">IF($B1229="","",IF(AND(OR(KARTU!$K$6="",$E1229=KARTU!$K$6),OR(KARTU!$K$7="",$F1229=KARTU!$K$7),OR(KARTU!$K$8="",$K1229=KARTU!$K$8)),MAX($Z$3:Z1228)+1,""))</f>
        <v/>
      </c>
    </row>
    <row r="1230" customFormat="false" ht="15" hidden="false" customHeight="false" outlineLevel="0" collapsed="false">
      <c r="A1230" s="36" t="str">
        <f aca="false">IF($B1230="","",COUNTA($B$4:$B1230))</f>
        <v/>
      </c>
      <c r="B1230" s="37"/>
      <c r="C1230" s="38"/>
      <c r="D1230" s="39"/>
      <c r="E1230" s="37"/>
      <c r="F1230" s="39"/>
      <c r="G1230" s="40" t="str">
        <f aca="false">IF(OR($E1230="",$F1230=""),"",$E1230&amp;" - RT "&amp;$F1230)</f>
        <v/>
      </c>
      <c r="H1230" s="37"/>
      <c r="I1230" s="38"/>
      <c r="J1230" s="37"/>
      <c r="K1230" s="39"/>
      <c r="L1230" s="41"/>
      <c r="M1230" s="36" t="str">
        <f aca="true">IF(OR($B1230="",$L1230=""),"",DATEDIF($L1230,TODAY(),"Y"))</f>
        <v/>
      </c>
      <c r="N1230" s="40" t="str">
        <f aca="false">IF($M1230="","",INDEX(usia_label,MATCH($M1230,usia_min,1)))</f>
        <v/>
      </c>
      <c r="O1230" s="37"/>
      <c r="P1230" s="41"/>
      <c r="Q1230" s="37"/>
      <c r="R1230" s="37"/>
      <c r="S1230" s="40" t="str">
        <f aca="false">IF($G1230="","",$G1230&amp;"#"&amp;COUNTIF($G$4:$G1230,$G1230))</f>
        <v/>
      </c>
      <c r="T1230" s="40" t="str">
        <f aca="false">IF($B1230="","",IF($C1230="","NIK kosong",IF(LEN($C1230)&lt;&gt;16,"NIK bukan 16 digit",IF(COUNTIF($C$4:$C$2003,$C1230&amp;"*")&gt;1,"NIK ganda",IF($E1230="","Kadus kosong",IF($F1230="","RT kosong",IF($H1230="","Jabatan kosong",IF($I1230="","No. HP kosong",IF($J1230="","Alamat kosong",IF(AND($M1230&lt;&gt;"",$M1230&lt;17),"Usia di bawah 17",""))))))))))</f>
        <v/>
      </c>
      <c r="U1230" s="40" t="str">
        <f aca="false">IF($B1230="","",IF(AND(OR(CARI!$C$5="",ISNUMBER(SEARCH(CARI!$C$5,$B1230&amp;" "&amp;$C1230&amp;" "&amp;$I1230&amp;" "&amp;$J1230&amp;" "&amp;$Q1230))),OR(CARI!$C$6="",$E1230=CARI!$C$6),OR(CARI!$C$7="",$F1230=CARI!$C$7),OR(CARI!$C$8="",$O1230=CARI!$C$8)),MAX($U$3:U1229)+1,""))</f>
        <v/>
      </c>
      <c r="V1230" s="40" t="str">
        <f aca="false">IF($T1230="","",MAX($V$3:V1229)+1)</f>
        <v/>
      </c>
      <c r="W1230" s="40" t="str">
        <f aca="false">IF($E1230="","",$E1230&amp;"#"&amp;COUNTIF($E$4:$E1230,$E1230))</f>
        <v/>
      </c>
      <c r="X1230" s="40" t="str">
        <f aca="false">IF($B1230="","",IF(AND(OR(CETAK!$J$10="",$E1230=CETAK!$J$10),OR(CETAK!$J$11="",$F1230=CETAK!$J$11),OR(CETAK!$J$12="",$K1230=CETAK!$J$12),OR(CETAK!$J$13="",$H1230=CETAK!$J$13),OR(CETAK!$J$14="",$O1230=CETAK!$J$14)),MAX($X$3:X1229)+1,""))</f>
        <v/>
      </c>
      <c r="Y1230" s="40" t="str">
        <f aca="false">IF($B1230="","",IF(AND(OR(ABSENSI!$H$10="",$E1230=ABSENSI!$H$10),OR(ABSENSI!$H$11="",$F1230=ABSENSI!$H$11),OR(ABSENSI!$H$12="",$K1230=ABSENSI!$H$12)),MAX($Y$3:Y1229)+1,""))</f>
        <v/>
      </c>
      <c r="Z1230" s="40" t="str">
        <f aca="false">IF($B1230="","",IF(AND(OR(KARTU!$K$6="",$E1230=KARTU!$K$6),OR(KARTU!$K$7="",$F1230=KARTU!$K$7),OR(KARTU!$K$8="",$K1230=KARTU!$K$8)),MAX($Z$3:Z1229)+1,""))</f>
        <v/>
      </c>
    </row>
    <row r="1231" customFormat="false" ht="15" hidden="false" customHeight="false" outlineLevel="0" collapsed="false">
      <c r="A1231" s="36" t="str">
        <f aca="false">IF($B1231="","",COUNTA($B$4:$B1231))</f>
        <v/>
      </c>
      <c r="B1231" s="37"/>
      <c r="C1231" s="38"/>
      <c r="D1231" s="39"/>
      <c r="E1231" s="37"/>
      <c r="F1231" s="39"/>
      <c r="G1231" s="40" t="str">
        <f aca="false">IF(OR($E1231="",$F1231=""),"",$E1231&amp;" - RT "&amp;$F1231)</f>
        <v/>
      </c>
      <c r="H1231" s="37"/>
      <c r="I1231" s="38"/>
      <c r="J1231" s="37"/>
      <c r="K1231" s="39"/>
      <c r="L1231" s="41"/>
      <c r="M1231" s="36" t="str">
        <f aca="true">IF(OR($B1231="",$L1231=""),"",DATEDIF($L1231,TODAY(),"Y"))</f>
        <v/>
      </c>
      <c r="N1231" s="40" t="str">
        <f aca="false">IF($M1231="","",INDEX(usia_label,MATCH($M1231,usia_min,1)))</f>
        <v/>
      </c>
      <c r="O1231" s="37"/>
      <c r="P1231" s="41"/>
      <c r="Q1231" s="37"/>
      <c r="R1231" s="37"/>
      <c r="S1231" s="40" t="str">
        <f aca="false">IF($G1231="","",$G1231&amp;"#"&amp;COUNTIF($G$4:$G1231,$G1231))</f>
        <v/>
      </c>
      <c r="T1231" s="40" t="str">
        <f aca="false">IF($B1231="","",IF($C1231="","NIK kosong",IF(LEN($C1231)&lt;&gt;16,"NIK bukan 16 digit",IF(COUNTIF($C$4:$C$2003,$C1231&amp;"*")&gt;1,"NIK ganda",IF($E1231="","Kadus kosong",IF($F1231="","RT kosong",IF($H1231="","Jabatan kosong",IF($I1231="","No. HP kosong",IF($J1231="","Alamat kosong",IF(AND($M1231&lt;&gt;"",$M1231&lt;17),"Usia di bawah 17",""))))))))))</f>
        <v/>
      </c>
      <c r="U1231" s="40" t="str">
        <f aca="false">IF($B1231="","",IF(AND(OR(CARI!$C$5="",ISNUMBER(SEARCH(CARI!$C$5,$B1231&amp;" "&amp;$C1231&amp;" "&amp;$I1231&amp;" "&amp;$J1231&amp;" "&amp;$Q1231))),OR(CARI!$C$6="",$E1231=CARI!$C$6),OR(CARI!$C$7="",$F1231=CARI!$C$7),OR(CARI!$C$8="",$O1231=CARI!$C$8)),MAX($U$3:U1230)+1,""))</f>
        <v/>
      </c>
      <c r="V1231" s="40" t="str">
        <f aca="false">IF($T1231="","",MAX($V$3:V1230)+1)</f>
        <v/>
      </c>
      <c r="W1231" s="40" t="str">
        <f aca="false">IF($E1231="","",$E1231&amp;"#"&amp;COUNTIF($E$4:$E1231,$E1231))</f>
        <v/>
      </c>
      <c r="X1231" s="40" t="str">
        <f aca="false">IF($B1231="","",IF(AND(OR(CETAK!$J$10="",$E1231=CETAK!$J$10),OR(CETAK!$J$11="",$F1231=CETAK!$J$11),OR(CETAK!$J$12="",$K1231=CETAK!$J$12),OR(CETAK!$J$13="",$H1231=CETAK!$J$13),OR(CETAK!$J$14="",$O1231=CETAK!$J$14)),MAX($X$3:X1230)+1,""))</f>
        <v/>
      </c>
      <c r="Y1231" s="40" t="str">
        <f aca="false">IF($B1231="","",IF(AND(OR(ABSENSI!$H$10="",$E1231=ABSENSI!$H$10),OR(ABSENSI!$H$11="",$F1231=ABSENSI!$H$11),OR(ABSENSI!$H$12="",$K1231=ABSENSI!$H$12)),MAX($Y$3:Y1230)+1,""))</f>
        <v/>
      </c>
      <c r="Z1231" s="40" t="str">
        <f aca="false">IF($B1231="","",IF(AND(OR(KARTU!$K$6="",$E1231=KARTU!$K$6),OR(KARTU!$K$7="",$F1231=KARTU!$K$7),OR(KARTU!$K$8="",$K1231=KARTU!$K$8)),MAX($Z$3:Z1230)+1,""))</f>
        <v/>
      </c>
    </row>
    <row r="1232" customFormat="false" ht="15" hidden="false" customHeight="false" outlineLevel="0" collapsed="false">
      <c r="A1232" s="36" t="str">
        <f aca="false">IF($B1232="","",COUNTA($B$4:$B1232))</f>
        <v/>
      </c>
      <c r="B1232" s="37"/>
      <c r="C1232" s="38"/>
      <c r="D1232" s="39"/>
      <c r="E1232" s="37"/>
      <c r="F1232" s="39"/>
      <c r="G1232" s="40" t="str">
        <f aca="false">IF(OR($E1232="",$F1232=""),"",$E1232&amp;" - RT "&amp;$F1232)</f>
        <v/>
      </c>
      <c r="H1232" s="37"/>
      <c r="I1232" s="38"/>
      <c r="J1232" s="37"/>
      <c r="K1232" s="39"/>
      <c r="L1232" s="41"/>
      <c r="M1232" s="36" t="str">
        <f aca="true">IF(OR($B1232="",$L1232=""),"",DATEDIF($L1232,TODAY(),"Y"))</f>
        <v/>
      </c>
      <c r="N1232" s="40" t="str">
        <f aca="false">IF($M1232="","",INDEX(usia_label,MATCH($M1232,usia_min,1)))</f>
        <v/>
      </c>
      <c r="O1232" s="37"/>
      <c r="P1232" s="41"/>
      <c r="Q1232" s="37"/>
      <c r="R1232" s="37"/>
      <c r="S1232" s="40" t="str">
        <f aca="false">IF($G1232="","",$G1232&amp;"#"&amp;COUNTIF($G$4:$G1232,$G1232))</f>
        <v/>
      </c>
      <c r="T1232" s="40" t="str">
        <f aca="false">IF($B1232="","",IF($C1232="","NIK kosong",IF(LEN($C1232)&lt;&gt;16,"NIK bukan 16 digit",IF(COUNTIF($C$4:$C$2003,$C1232&amp;"*")&gt;1,"NIK ganda",IF($E1232="","Kadus kosong",IF($F1232="","RT kosong",IF($H1232="","Jabatan kosong",IF($I1232="","No. HP kosong",IF($J1232="","Alamat kosong",IF(AND($M1232&lt;&gt;"",$M1232&lt;17),"Usia di bawah 17",""))))))))))</f>
        <v/>
      </c>
      <c r="U1232" s="40" t="str">
        <f aca="false">IF($B1232="","",IF(AND(OR(CARI!$C$5="",ISNUMBER(SEARCH(CARI!$C$5,$B1232&amp;" "&amp;$C1232&amp;" "&amp;$I1232&amp;" "&amp;$J1232&amp;" "&amp;$Q1232))),OR(CARI!$C$6="",$E1232=CARI!$C$6),OR(CARI!$C$7="",$F1232=CARI!$C$7),OR(CARI!$C$8="",$O1232=CARI!$C$8)),MAX($U$3:U1231)+1,""))</f>
        <v/>
      </c>
      <c r="V1232" s="40" t="str">
        <f aca="false">IF($T1232="","",MAX($V$3:V1231)+1)</f>
        <v/>
      </c>
      <c r="W1232" s="40" t="str">
        <f aca="false">IF($E1232="","",$E1232&amp;"#"&amp;COUNTIF($E$4:$E1232,$E1232))</f>
        <v/>
      </c>
      <c r="X1232" s="40" t="str">
        <f aca="false">IF($B1232="","",IF(AND(OR(CETAK!$J$10="",$E1232=CETAK!$J$10),OR(CETAK!$J$11="",$F1232=CETAK!$J$11),OR(CETAK!$J$12="",$K1232=CETAK!$J$12),OR(CETAK!$J$13="",$H1232=CETAK!$J$13),OR(CETAK!$J$14="",$O1232=CETAK!$J$14)),MAX($X$3:X1231)+1,""))</f>
        <v/>
      </c>
      <c r="Y1232" s="40" t="str">
        <f aca="false">IF($B1232="","",IF(AND(OR(ABSENSI!$H$10="",$E1232=ABSENSI!$H$10),OR(ABSENSI!$H$11="",$F1232=ABSENSI!$H$11),OR(ABSENSI!$H$12="",$K1232=ABSENSI!$H$12)),MAX($Y$3:Y1231)+1,""))</f>
        <v/>
      </c>
      <c r="Z1232" s="40" t="str">
        <f aca="false">IF($B1232="","",IF(AND(OR(KARTU!$K$6="",$E1232=KARTU!$K$6),OR(KARTU!$K$7="",$F1232=KARTU!$K$7),OR(KARTU!$K$8="",$K1232=KARTU!$K$8)),MAX($Z$3:Z1231)+1,""))</f>
        <v/>
      </c>
    </row>
    <row r="1233" customFormat="false" ht="15" hidden="false" customHeight="false" outlineLevel="0" collapsed="false">
      <c r="A1233" s="36" t="str">
        <f aca="false">IF($B1233="","",COUNTA($B$4:$B1233))</f>
        <v/>
      </c>
      <c r="B1233" s="37"/>
      <c r="C1233" s="38"/>
      <c r="D1233" s="39"/>
      <c r="E1233" s="37"/>
      <c r="F1233" s="39"/>
      <c r="G1233" s="40" t="str">
        <f aca="false">IF(OR($E1233="",$F1233=""),"",$E1233&amp;" - RT "&amp;$F1233)</f>
        <v/>
      </c>
      <c r="H1233" s="37"/>
      <c r="I1233" s="38"/>
      <c r="J1233" s="37"/>
      <c r="K1233" s="39"/>
      <c r="L1233" s="41"/>
      <c r="M1233" s="36" t="str">
        <f aca="true">IF(OR($B1233="",$L1233=""),"",DATEDIF($L1233,TODAY(),"Y"))</f>
        <v/>
      </c>
      <c r="N1233" s="40" t="str">
        <f aca="false">IF($M1233="","",INDEX(usia_label,MATCH($M1233,usia_min,1)))</f>
        <v/>
      </c>
      <c r="O1233" s="37"/>
      <c r="P1233" s="41"/>
      <c r="Q1233" s="37"/>
      <c r="R1233" s="37"/>
      <c r="S1233" s="40" t="str">
        <f aca="false">IF($G1233="","",$G1233&amp;"#"&amp;COUNTIF($G$4:$G1233,$G1233))</f>
        <v/>
      </c>
      <c r="T1233" s="40" t="str">
        <f aca="false">IF($B1233="","",IF($C1233="","NIK kosong",IF(LEN($C1233)&lt;&gt;16,"NIK bukan 16 digit",IF(COUNTIF($C$4:$C$2003,$C1233&amp;"*")&gt;1,"NIK ganda",IF($E1233="","Kadus kosong",IF($F1233="","RT kosong",IF($H1233="","Jabatan kosong",IF($I1233="","No. HP kosong",IF($J1233="","Alamat kosong",IF(AND($M1233&lt;&gt;"",$M1233&lt;17),"Usia di bawah 17",""))))))))))</f>
        <v/>
      </c>
      <c r="U1233" s="40" t="str">
        <f aca="false">IF($B1233="","",IF(AND(OR(CARI!$C$5="",ISNUMBER(SEARCH(CARI!$C$5,$B1233&amp;" "&amp;$C1233&amp;" "&amp;$I1233&amp;" "&amp;$J1233&amp;" "&amp;$Q1233))),OR(CARI!$C$6="",$E1233=CARI!$C$6),OR(CARI!$C$7="",$F1233=CARI!$C$7),OR(CARI!$C$8="",$O1233=CARI!$C$8)),MAX($U$3:U1232)+1,""))</f>
        <v/>
      </c>
      <c r="V1233" s="40" t="str">
        <f aca="false">IF($T1233="","",MAX($V$3:V1232)+1)</f>
        <v/>
      </c>
      <c r="W1233" s="40" t="str">
        <f aca="false">IF($E1233="","",$E1233&amp;"#"&amp;COUNTIF($E$4:$E1233,$E1233))</f>
        <v/>
      </c>
      <c r="X1233" s="40" t="str">
        <f aca="false">IF($B1233="","",IF(AND(OR(CETAK!$J$10="",$E1233=CETAK!$J$10),OR(CETAK!$J$11="",$F1233=CETAK!$J$11),OR(CETAK!$J$12="",$K1233=CETAK!$J$12),OR(CETAK!$J$13="",$H1233=CETAK!$J$13),OR(CETAK!$J$14="",$O1233=CETAK!$J$14)),MAX($X$3:X1232)+1,""))</f>
        <v/>
      </c>
      <c r="Y1233" s="40" t="str">
        <f aca="false">IF($B1233="","",IF(AND(OR(ABSENSI!$H$10="",$E1233=ABSENSI!$H$10),OR(ABSENSI!$H$11="",$F1233=ABSENSI!$H$11),OR(ABSENSI!$H$12="",$K1233=ABSENSI!$H$12)),MAX($Y$3:Y1232)+1,""))</f>
        <v/>
      </c>
      <c r="Z1233" s="40" t="str">
        <f aca="false">IF($B1233="","",IF(AND(OR(KARTU!$K$6="",$E1233=KARTU!$K$6),OR(KARTU!$K$7="",$F1233=KARTU!$K$7),OR(KARTU!$K$8="",$K1233=KARTU!$K$8)),MAX($Z$3:Z1232)+1,""))</f>
        <v/>
      </c>
    </row>
    <row r="1234" customFormat="false" ht="15" hidden="false" customHeight="false" outlineLevel="0" collapsed="false">
      <c r="A1234" s="36" t="str">
        <f aca="false">IF($B1234="","",COUNTA($B$4:$B1234))</f>
        <v/>
      </c>
      <c r="B1234" s="37"/>
      <c r="C1234" s="38"/>
      <c r="D1234" s="39"/>
      <c r="E1234" s="37"/>
      <c r="F1234" s="39"/>
      <c r="G1234" s="40" t="str">
        <f aca="false">IF(OR($E1234="",$F1234=""),"",$E1234&amp;" - RT "&amp;$F1234)</f>
        <v/>
      </c>
      <c r="H1234" s="37"/>
      <c r="I1234" s="38"/>
      <c r="J1234" s="37"/>
      <c r="K1234" s="39"/>
      <c r="L1234" s="41"/>
      <c r="M1234" s="36" t="str">
        <f aca="true">IF(OR($B1234="",$L1234=""),"",DATEDIF($L1234,TODAY(),"Y"))</f>
        <v/>
      </c>
      <c r="N1234" s="40" t="str">
        <f aca="false">IF($M1234="","",INDEX(usia_label,MATCH($M1234,usia_min,1)))</f>
        <v/>
      </c>
      <c r="O1234" s="37"/>
      <c r="P1234" s="41"/>
      <c r="Q1234" s="37"/>
      <c r="R1234" s="37"/>
      <c r="S1234" s="40" t="str">
        <f aca="false">IF($G1234="","",$G1234&amp;"#"&amp;COUNTIF($G$4:$G1234,$G1234))</f>
        <v/>
      </c>
      <c r="T1234" s="40" t="str">
        <f aca="false">IF($B1234="","",IF($C1234="","NIK kosong",IF(LEN($C1234)&lt;&gt;16,"NIK bukan 16 digit",IF(COUNTIF($C$4:$C$2003,$C1234&amp;"*")&gt;1,"NIK ganda",IF($E1234="","Kadus kosong",IF($F1234="","RT kosong",IF($H1234="","Jabatan kosong",IF($I1234="","No. HP kosong",IF($J1234="","Alamat kosong",IF(AND($M1234&lt;&gt;"",$M1234&lt;17),"Usia di bawah 17",""))))))))))</f>
        <v/>
      </c>
      <c r="U1234" s="40" t="str">
        <f aca="false">IF($B1234="","",IF(AND(OR(CARI!$C$5="",ISNUMBER(SEARCH(CARI!$C$5,$B1234&amp;" "&amp;$C1234&amp;" "&amp;$I1234&amp;" "&amp;$J1234&amp;" "&amp;$Q1234))),OR(CARI!$C$6="",$E1234=CARI!$C$6),OR(CARI!$C$7="",$F1234=CARI!$C$7),OR(CARI!$C$8="",$O1234=CARI!$C$8)),MAX($U$3:U1233)+1,""))</f>
        <v/>
      </c>
      <c r="V1234" s="40" t="str">
        <f aca="false">IF($T1234="","",MAX($V$3:V1233)+1)</f>
        <v/>
      </c>
      <c r="W1234" s="40" t="str">
        <f aca="false">IF($E1234="","",$E1234&amp;"#"&amp;COUNTIF($E$4:$E1234,$E1234))</f>
        <v/>
      </c>
      <c r="X1234" s="40" t="str">
        <f aca="false">IF($B1234="","",IF(AND(OR(CETAK!$J$10="",$E1234=CETAK!$J$10),OR(CETAK!$J$11="",$F1234=CETAK!$J$11),OR(CETAK!$J$12="",$K1234=CETAK!$J$12),OR(CETAK!$J$13="",$H1234=CETAK!$J$13),OR(CETAK!$J$14="",$O1234=CETAK!$J$14)),MAX($X$3:X1233)+1,""))</f>
        <v/>
      </c>
      <c r="Y1234" s="40" t="str">
        <f aca="false">IF($B1234="","",IF(AND(OR(ABSENSI!$H$10="",$E1234=ABSENSI!$H$10),OR(ABSENSI!$H$11="",$F1234=ABSENSI!$H$11),OR(ABSENSI!$H$12="",$K1234=ABSENSI!$H$12)),MAX($Y$3:Y1233)+1,""))</f>
        <v/>
      </c>
      <c r="Z1234" s="40" t="str">
        <f aca="false">IF($B1234="","",IF(AND(OR(KARTU!$K$6="",$E1234=KARTU!$K$6),OR(KARTU!$K$7="",$F1234=KARTU!$K$7),OR(KARTU!$K$8="",$K1234=KARTU!$K$8)),MAX($Z$3:Z1233)+1,""))</f>
        <v/>
      </c>
    </row>
    <row r="1235" customFormat="false" ht="15" hidden="false" customHeight="false" outlineLevel="0" collapsed="false">
      <c r="A1235" s="36" t="str">
        <f aca="false">IF($B1235="","",COUNTA($B$4:$B1235))</f>
        <v/>
      </c>
      <c r="B1235" s="37"/>
      <c r="C1235" s="38"/>
      <c r="D1235" s="39"/>
      <c r="E1235" s="37"/>
      <c r="F1235" s="39"/>
      <c r="G1235" s="40" t="str">
        <f aca="false">IF(OR($E1235="",$F1235=""),"",$E1235&amp;" - RT "&amp;$F1235)</f>
        <v/>
      </c>
      <c r="H1235" s="37"/>
      <c r="I1235" s="38"/>
      <c r="J1235" s="37"/>
      <c r="K1235" s="39"/>
      <c r="L1235" s="41"/>
      <c r="M1235" s="36" t="str">
        <f aca="true">IF(OR($B1235="",$L1235=""),"",DATEDIF($L1235,TODAY(),"Y"))</f>
        <v/>
      </c>
      <c r="N1235" s="40" t="str">
        <f aca="false">IF($M1235="","",INDEX(usia_label,MATCH($M1235,usia_min,1)))</f>
        <v/>
      </c>
      <c r="O1235" s="37"/>
      <c r="P1235" s="41"/>
      <c r="Q1235" s="37"/>
      <c r="R1235" s="37"/>
      <c r="S1235" s="40" t="str">
        <f aca="false">IF($G1235="","",$G1235&amp;"#"&amp;COUNTIF($G$4:$G1235,$G1235))</f>
        <v/>
      </c>
      <c r="T1235" s="40" t="str">
        <f aca="false">IF($B1235="","",IF($C1235="","NIK kosong",IF(LEN($C1235)&lt;&gt;16,"NIK bukan 16 digit",IF(COUNTIF($C$4:$C$2003,$C1235&amp;"*")&gt;1,"NIK ganda",IF($E1235="","Kadus kosong",IF($F1235="","RT kosong",IF($H1235="","Jabatan kosong",IF($I1235="","No. HP kosong",IF($J1235="","Alamat kosong",IF(AND($M1235&lt;&gt;"",$M1235&lt;17),"Usia di bawah 17",""))))))))))</f>
        <v/>
      </c>
      <c r="U1235" s="40" t="str">
        <f aca="false">IF($B1235="","",IF(AND(OR(CARI!$C$5="",ISNUMBER(SEARCH(CARI!$C$5,$B1235&amp;" "&amp;$C1235&amp;" "&amp;$I1235&amp;" "&amp;$J1235&amp;" "&amp;$Q1235))),OR(CARI!$C$6="",$E1235=CARI!$C$6),OR(CARI!$C$7="",$F1235=CARI!$C$7),OR(CARI!$C$8="",$O1235=CARI!$C$8)),MAX($U$3:U1234)+1,""))</f>
        <v/>
      </c>
      <c r="V1235" s="40" t="str">
        <f aca="false">IF($T1235="","",MAX($V$3:V1234)+1)</f>
        <v/>
      </c>
      <c r="W1235" s="40" t="str">
        <f aca="false">IF($E1235="","",$E1235&amp;"#"&amp;COUNTIF($E$4:$E1235,$E1235))</f>
        <v/>
      </c>
      <c r="X1235" s="40" t="str">
        <f aca="false">IF($B1235="","",IF(AND(OR(CETAK!$J$10="",$E1235=CETAK!$J$10),OR(CETAK!$J$11="",$F1235=CETAK!$J$11),OR(CETAK!$J$12="",$K1235=CETAK!$J$12),OR(CETAK!$J$13="",$H1235=CETAK!$J$13),OR(CETAK!$J$14="",$O1235=CETAK!$J$14)),MAX($X$3:X1234)+1,""))</f>
        <v/>
      </c>
      <c r="Y1235" s="40" t="str">
        <f aca="false">IF($B1235="","",IF(AND(OR(ABSENSI!$H$10="",$E1235=ABSENSI!$H$10),OR(ABSENSI!$H$11="",$F1235=ABSENSI!$H$11),OR(ABSENSI!$H$12="",$K1235=ABSENSI!$H$12)),MAX($Y$3:Y1234)+1,""))</f>
        <v/>
      </c>
      <c r="Z1235" s="40" t="str">
        <f aca="false">IF($B1235="","",IF(AND(OR(KARTU!$K$6="",$E1235=KARTU!$K$6),OR(KARTU!$K$7="",$F1235=KARTU!$K$7),OR(KARTU!$K$8="",$K1235=KARTU!$K$8)),MAX($Z$3:Z1234)+1,""))</f>
        <v/>
      </c>
    </row>
    <row r="1236" customFormat="false" ht="15" hidden="false" customHeight="false" outlineLevel="0" collapsed="false">
      <c r="A1236" s="36" t="str">
        <f aca="false">IF($B1236="","",COUNTA($B$4:$B1236))</f>
        <v/>
      </c>
      <c r="B1236" s="37"/>
      <c r="C1236" s="38"/>
      <c r="D1236" s="39"/>
      <c r="E1236" s="37"/>
      <c r="F1236" s="39"/>
      <c r="G1236" s="40" t="str">
        <f aca="false">IF(OR($E1236="",$F1236=""),"",$E1236&amp;" - RT "&amp;$F1236)</f>
        <v/>
      </c>
      <c r="H1236" s="37"/>
      <c r="I1236" s="38"/>
      <c r="J1236" s="37"/>
      <c r="K1236" s="39"/>
      <c r="L1236" s="41"/>
      <c r="M1236" s="36" t="str">
        <f aca="true">IF(OR($B1236="",$L1236=""),"",DATEDIF($L1236,TODAY(),"Y"))</f>
        <v/>
      </c>
      <c r="N1236" s="40" t="str">
        <f aca="false">IF($M1236="","",INDEX(usia_label,MATCH($M1236,usia_min,1)))</f>
        <v/>
      </c>
      <c r="O1236" s="37"/>
      <c r="P1236" s="41"/>
      <c r="Q1236" s="37"/>
      <c r="R1236" s="37"/>
      <c r="S1236" s="40" t="str">
        <f aca="false">IF($G1236="","",$G1236&amp;"#"&amp;COUNTIF($G$4:$G1236,$G1236))</f>
        <v/>
      </c>
      <c r="T1236" s="40" t="str">
        <f aca="false">IF($B1236="","",IF($C1236="","NIK kosong",IF(LEN($C1236)&lt;&gt;16,"NIK bukan 16 digit",IF(COUNTIF($C$4:$C$2003,$C1236&amp;"*")&gt;1,"NIK ganda",IF($E1236="","Kadus kosong",IF($F1236="","RT kosong",IF($H1236="","Jabatan kosong",IF($I1236="","No. HP kosong",IF($J1236="","Alamat kosong",IF(AND($M1236&lt;&gt;"",$M1236&lt;17),"Usia di bawah 17",""))))))))))</f>
        <v/>
      </c>
      <c r="U1236" s="40" t="str">
        <f aca="false">IF($B1236="","",IF(AND(OR(CARI!$C$5="",ISNUMBER(SEARCH(CARI!$C$5,$B1236&amp;" "&amp;$C1236&amp;" "&amp;$I1236&amp;" "&amp;$J1236&amp;" "&amp;$Q1236))),OR(CARI!$C$6="",$E1236=CARI!$C$6),OR(CARI!$C$7="",$F1236=CARI!$C$7),OR(CARI!$C$8="",$O1236=CARI!$C$8)),MAX($U$3:U1235)+1,""))</f>
        <v/>
      </c>
      <c r="V1236" s="40" t="str">
        <f aca="false">IF($T1236="","",MAX($V$3:V1235)+1)</f>
        <v/>
      </c>
      <c r="W1236" s="40" t="str">
        <f aca="false">IF($E1236="","",$E1236&amp;"#"&amp;COUNTIF($E$4:$E1236,$E1236))</f>
        <v/>
      </c>
      <c r="X1236" s="40" t="str">
        <f aca="false">IF($B1236="","",IF(AND(OR(CETAK!$J$10="",$E1236=CETAK!$J$10),OR(CETAK!$J$11="",$F1236=CETAK!$J$11),OR(CETAK!$J$12="",$K1236=CETAK!$J$12),OR(CETAK!$J$13="",$H1236=CETAK!$J$13),OR(CETAK!$J$14="",$O1236=CETAK!$J$14)),MAX($X$3:X1235)+1,""))</f>
        <v/>
      </c>
      <c r="Y1236" s="40" t="str">
        <f aca="false">IF($B1236="","",IF(AND(OR(ABSENSI!$H$10="",$E1236=ABSENSI!$H$10),OR(ABSENSI!$H$11="",$F1236=ABSENSI!$H$11),OR(ABSENSI!$H$12="",$K1236=ABSENSI!$H$12)),MAX($Y$3:Y1235)+1,""))</f>
        <v/>
      </c>
      <c r="Z1236" s="40" t="str">
        <f aca="false">IF($B1236="","",IF(AND(OR(KARTU!$K$6="",$E1236=KARTU!$K$6),OR(KARTU!$K$7="",$F1236=KARTU!$K$7),OR(KARTU!$K$8="",$K1236=KARTU!$K$8)),MAX($Z$3:Z1235)+1,""))</f>
        <v/>
      </c>
    </row>
    <row r="1237" customFormat="false" ht="15" hidden="false" customHeight="false" outlineLevel="0" collapsed="false">
      <c r="A1237" s="36" t="str">
        <f aca="false">IF($B1237="","",COUNTA($B$4:$B1237))</f>
        <v/>
      </c>
      <c r="B1237" s="37"/>
      <c r="C1237" s="38"/>
      <c r="D1237" s="39"/>
      <c r="E1237" s="37"/>
      <c r="F1237" s="39"/>
      <c r="G1237" s="40" t="str">
        <f aca="false">IF(OR($E1237="",$F1237=""),"",$E1237&amp;" - RT "&amp;$F1237)</f>
        <v/>
      </c>
      <c r="H1237" s="37"/>
      <c r="I1237" s="38"/>
      <c r="J1237" s="37"/>
      <c r="K1237" s="39"/>
      <c r="L1237" s="41"/>
      <c r="M1237" s="36" t="str">
        <f aca="true">IF(OR($B1237="",$L1237=""),"",DATEDIF($L1237,TODAY(),"Y"))</f>
        <v/>
      </c>
      <c r="N1237" s="40" t="str">
        <f aca="false">IF($M1237="","",INDEX(usia_label,MATCH($M1237,usia_min,1)))</f>
        <v/>
      </c>
      <c r="O1237" s="37"/>
      <c r="P1237" s="41"/>
      <c r="Q1237" s="37"/>
      <c r="R1237" s="37"/>
      <c r="S1237" s="40" t="str">
        <f aca="false">IF($G1237="","",$G1237&amp;"#"&amp;COUNTIF($G$4:$G1237,$G1237))</f>
        <v/>
      </c>
      <c r="T1237" s="40" t="str">
        <f aca="false">IF($B1237="","",IF($C1237="","NIK kosong",IF(LEN($C1237)&lt;&gt;16,"NIK bukan 16 digit",IF(COUNTIF($C$4:$C$2003,$C1237&amp;"*")&gt;1,"NIK ganda",IF($E1237="","Kadus kosong",IF($F1237="","RT kosong",IF($H1237="","Jabatan kosong",IF($I1237="","No. HP kosong",IF($J1237="","Alamat kosong",IF(AND($M1237&lt;&gt;"",$M1237&lt;17),"Usia di bawah 17",""))))))))))</f>
        <v/>
      </c>
      <c r="U1237" s="40" t="str">
        <f aca="false">IF($B1237="","",IF(AND(OR(CARI!$C$5="",ISNUMBER(SEARCH(CARI!$C$5,$B1237&amp;" "&amp;$C1237&amp;" "&amp;$I1237&amp;" "&amp;$J1237&amp;" "&amp;$Q1237))),OR(CARI!$C$6="",$E1237=CARI!$C$6),OR(CARI!$C$7="",$F1237=CARI!$C$7),OR(CARI!$C$8="",$O1237=CARI!$C$8)),MAX($U$3:U1236)+1,""))</f>
        <v/>
      </c>
      <c r="V1237" s="40" t="str">
        <f aca="false">IF($T1237="","",MAX($V$3:V1236)+1)</f>
        <v/>
      </c>
      <c r="W1237" s="40" t="str">
        <f aca="false">IF($E1237="","",$E1237&amp;"#"&amp;COUNTIF($E$4:$E1237,$E1237))</f>
        <v/>
      </c>
      <c r="X1237" s="40" t="str">
        <f aca="false">IF($B1237="","",IF(AND(OR(CETAK!$J$10="",$E1237=CETAK!$J$10),OR(CETAK!$J$11="",$F1237=CETAK!$J$11),OR(CETAK!$J$12="",$K1237=CETAK!$J$12),OR(CETAK!$J$13="",$H1237=CETAK!$J$13),OR(CETAK!$J$14="",$O1237=CETAK!$J$14)),MAX($X$3:X1236)+1,""))</f>
        <v/>
      </c>
      <c r="Y1237" s="40" t="str">
        <f aca="false">IF($B1237="","",IF(AND(OR(ABSENSI!$H$10="",$E1237=ABSENSI!$H$10),OR(ABSENSI!$H$11="",$F1237=ABSENSI!$H$11),OR(ABSENSI!$H$12="",$K1237=ABSENSI!$H$12)),MAX($Y$3:Y1236)+1,""))</f>
        <v/>
      </c>
      <c r="Z1237" s="40" t="str">
        <f aca="false">IF($B1237="","",IF(AND(OR(KARTU!$K$6="",$E1237=KARTU!$K$6),OR(KARTU!$K$7="",$F1237=KARTU!$K$7),OR(KARTU!$K$8="",$K1237=KARTU!$K$8)),MAX($Z$3:Z1236)+1,""))</f>
        <v/>
      </c>
    </row>
    <row r="1238" customFormat="false" ht="15" hidden="false" customHeight="false" outlineLevel="0" collapsed="false">
      <c r="A1238" s="36" t="str">
        <f aca="false">IF($B1238="","",COUNTA($B$4:$B1238))</f>
        <v/>
      </c>
      <c r="B1238" s="37"/>
      <c r="C1238" s="38"/>
      <c r="D1238" s="39"/>
      <c r="E1238" s="37"/>
      <c r="F1238" s="39"/>
      <c r="G1238" s="40" t="str">
        <f aca="false">IF(OR($E1238="",$F1238=""),"",$E1238&amp;" - RT "&amp;$F1238)</f>
        <v/>
      </c>
      <c r="H1238" s="37"/>
      <c r="I1238" s="38"/>
      <c r="J1238" s="37"/>
      <c r="K1238" s="39"/>
      <c r="L1238" s="41"/>
      <c r="M1238" s="36" t="str">
        <f aca="true">IF(OR($B1238="",$L1238=""),"",DATEDIF($L1238,TODAY(),"Y"))</f>
        <v/>
      </c>
      <c r="N1238" s="40" t="str">
        <f aca="false">IF($M1238="","",INDEX(usia_label,MATCH($M1238,usia_min,1)))</f>
        <v/>
      </c>
      <c r="O1238" s="37"/>
      <c r="P1238" s="41"/>
      <c r="Q1238" s="37"/>
      <c r="R1238" s="37"/>
      <c r="S1238" s="40" t="str">
        <f aca="false">IF($G1238="","",$G1238&amp;"#"&amp;COUNTIF($G$4:$G1238,$G1238))</f>
        <v/>
      </c>
      <c r="T1238" s="40" t="str">
        <f aca="false">IF($B1238="","",IF($C1238="","NIK kosong",IF(LEN($C1238)&lt;&gt;16,"NIK bukan 16 digit",IF(COUNTIF($C$4:$C$2003,$C1238&amp;"*")&gt;1,"NIK ganda",IF($E1238="","Kadus kosong",IF($F1238="","RT kosong",IF($H1238="","Jabatan kosong",IF($I1238="","No. HP kosong",IF($J1238="","Alamat kosong",IF(AND($M1238&lt;&gt;"",$M1238&lt;17),"Usia di bawah 17",""))))))))))</f>
        <v/>
      </c>
      <c r="U1238" s="40" t="str">
        <f aca="false">IF($B1238="","",IF(AND(OR(CARI!$C$5="",ISNUMBER(SEARCH(CARI!$C$5,$B1238&amp;" "&amp;$C1238&amp;" "&amp;$I1238&amp;" "&amp;$J1238&amp;" "&amp;$Q1238))),OR(CARI!$C$6="",$E1238=CARI!$C$6),OR(CARI!$C$7="",$F1238=CARI!$C$7),OR(CARI!$C$8="",$O1238=CARI!$C$8)),MAX($U$3:U1237)+1,""))</f>
        <v/>
      </c>
      <c r="V1238" s="40" t="str">
        <f aca="false">IF($T1238="","",MAX($V$3:V1237)+1)</f>
        <v/>
      </c>
      <c r="W1238" s="40" t="str">
        <f aca="false">IF($E1238="","",$E1238&amp;"#"&amp;COUNTIF($E$4:$E1238,$E1238))</f>
        <v/>
      </c>
      <c r="X1238" s="40" t="str">
        <f aca="false">IF($B1238="","",IF(AND(OR(CETAK!$J$10="",$E1238=CETAK!$J$10),OR(CETAK!$J$11="",$F1238=CETAK!$J$11),OR(CETAK!$J$12="",$K1238=CETAK!$J$12),OR(CETAK!$J$13="",$H1238=CETAK!$J$13),OR(CETAK!$J$14="",$O1238=CETAK!$J$14)),MAX($X$3:X1237)+1,""))</f>
        <v/>
      </c>
      <c r="Y1238" s="40" t="str">
        <f aca="false">IF($B1238="","",IF(AND(OR(ABSENSI!$H$10="",$E1238=ABSENSI!$H$10),OR(ABSENSI!$H$11="",$F1238=ABSENSI!$H$11),OR(ABSENSI!$H$12="",$K1238=ABSENSI!$H$12)),MAX($Y$3:Y1237)+1,""))</f>
        <v/>
      </c>
      <c r="Z1238" s="40" t="str">
        <f aca="false">IF($B1238="","",IF(AND(OR(KARTU!$K$6="",$E1238=KARTU!$K$6),OR(KARTU!$K$7="",$F1238=KARTU!$K$7),OR(KARTU!$K$8="",$K1238=KARTU!$K$8)),MAX($Z$3:Z1237)+1,""))</f>
        <v/>
      </c>
    </row>
    <row r="1239" customFormat="false" ht="15" hidden="false" customHeight="false" outlineLevel="0" collapsed="false">
      <c r="A1239" s="36" t="str">
        <f aca="false">IF($B1239="","",COUNTA($B$4:$B1239))</f>
        <v/>
      </c>
      <c r="B1239" s="37"/>
      <c r="C1239" s="38"/>
      <c r="D1239" s="39"/>
      <c r="E1239" s="37"/>
      <c r="F1239" s="39"/>
      <c r="G1239" s="40" t="str">
        <f aca="false">IF(OR($E1239="",$F1239=""),"",$E1239&amp;" - RT "&amp;$F1239)</f>
        <v/>
      </c>
      <c r="H1239" s="37"/>
      <c r="I1239" s="38"/>
      <c r="J1239" s="37"/>
      <c r="K1239" s="39"/>
      <c r="L1239" s="41"/>
      <c r="M1239" s="36" t="str">
        <f aca="true">IF(OR($B1239="",$L1239=""),"",DATEDIF($L1239,TODAY(),"Y"))</f>
        <v/>
      </c>
      <c r="N1239" s="40" t="str">
        <f aca="false">IF($M1239="","",INDEX(usia_label,MATCH($M1239,usia_min,1)))</f>
        <v/>
      </c>
      <c r="O1239" s="37"/>
      <c r="P1239" s="41"/>
      <c r="Q1239" s="37"/>
      <c r="R1239" s="37"/>
      <c r="S1239" s="40" t="str">
        <f aca="false">IF($G1239="","",$G1239&amp;"#"&amp;COUNTIF($G$4:$G1239,$G1239))</f>
        <v/>
      </c>
      <c r="T1239" s="40" t="str">
        <f aca="false">IF($B1239="","",IF($C1239="","NIK kosong",IF(LEN($C1239)&lt;&gt;16,"NIK bukan 16 digit",IF(COUNTIF($C$4:$C$2003,$C1239&amp;"*")&gt;1,"NIK ganda",IF($E1239="","Kadus kosong",IF($F1239="","RT kosong",IF($H1239="","Jabatan kosong",IF($I1239="","No. HP kosong",IF($J1239="","Alamat kosong",IF(AND($M1239&lt;&gt;"",$M1239&lt;17),"Usia di bawah 17",""))))))))))</f>
        <v/>
      </c>
      <c r="U1239" s="40" t="str">
        <f aca="false">IF($B1239="","",IF(AND(OR(CARI!$C$5="",ISNUMBER(SEARCH(CARI!$C$5,$B1239&amp;" "&amp;$C1239&amp;" "&amp;$I1239&amp;" "&amp;$J1239&amp;" "&amp;$Q1239))),OR(CARI!$C$6="",$E1239=CARI!$C$6),OR(CARI!$C$7="",$F1239=CARI!$C$7),OR(CARI!$C$8="",$O1239=CARI!$C$8)),MAX($U$3:U1238)+1,""))</f>
        <v/>
      </c>
      <c r="V1239" s="40" t="str">
        <f aca="false">IF($T1239="","",MAX($V$3:V1238)+1)</f>
        <v/>
      </c>
      <c r="W1239" s="40" t="str">
        <f aca="false">IF($E1239="","",$E1239&amp;"#"&amp;COUNTIF($E$4:$E1239,$E1239))</f>
        <v/>
      </c>
      <c r="X1239" s="40" t="str">
        <f aca="false">IF($B1239="","",IF(AND(OR(CETAK!$J$10="",$E1239=CETAK!$J$10),OR(CETAK!$J$11="",$F1239=CETAK!$J$11),OR(CETAK!$J$12="",$K1239=CETAK!$J$12),OR(CETAK!$J$13="",$H1239=CETAK!$J$13),OR(CETAK!$J$14="",$O1239=CETAK!$J$14)),MAX($X$3:X1238)+1,""))</f>
        <v/>
      </c>
      <c r="Y1239" s="40" t="str">
        <f aca="false">IF($B1239="","",IF(AND(OR(ABSENSI!$H$10="",$E1239=ABSENSI!$H$10),OR(ABSENSI!$H$11="",$F1239=ABSENSI!$H$11),OR(ABSENSI!$H$12="",$K1239=ABSENSI!$H$12)),MAX($Y$3:Y1238)+1,""))</f>
        <v/>
      </c>
      <c r="Z1239" s="40" t="str">
        <f aca="false">IF($B1239="","",IF(AND(OR(KARTU!$K$6="",$E1239=KARTU!$K$6),OR(KARTU!$K$7="",$F1239=KARTU!$K$7),OR(KARTU!$K$8="",$K1239=KARTU!$K$8)),MAX($Z$3:Z1238)+1,""))</f>
        <v/>
      </c>
    </row>
    <row r="1240" customFormat="false" ht="15" hidden="false" customHeight="false" outlineLevel="0" collapsed="false">
      <c r="A1240" s="36" t="str">
        <f aca="false">IF($B1240="","",COUNTA($B$4:$B1240))</f>
        <v/>
      </c>
      <c r="B1240" s="37"/>
      <c r="C1240" s="38"/>
      <c r="D1240" s="39"/>
      <c r="E1240" s="37"/>
      <c r="F1240" s="39"/>
      <c r="G1240" s="40" t="str">
        <f aca="false">IF(OR($E1240="",$F1240=""),"",$E1240&amp;" - RT "&amp;$F1240)</f>
        <v/>
      </c>
      <c r="H1240" s="37"/>
      <c r="I1240" s="38"/>
      <c r="J1240" s="37"/>
      <c r="K1240" s="39"/>
      <c r="L1240" s="41"/>
      <c r="M1240" s="36" t="str">
        <f aca="true">IF(OR($B1240="",$L1240=""),"",DATEDIF($L1240,TODAY(),"Y"))</f>
        <v/>
      </c>
      <c r="N1240" s="40" t="str">
        <f aca="false">IF($M1240="","",INDEX(usia_label,MATCH($M1240,usia_min,1)))</f>
        <v/>
      </c>
      <c r="O1240" s="37"/>
      <c r="P1240" s="41"/>
      <c r="Q1240" s="37"/>
      <c r="R1240" s="37"/>
      <c r="S1240" s="40" t="str">
        <f aca="false">IF($G1240="","",$G1240&amp;"#"&amp;COUNTIF($G$4:$G1240,$G1240))</f>
        <v/>
      </c>
      <c r="T1240" s="40" t="str">
        <f aca="false">IF($B1240="","",IF($C1240="","NIK kosong",IF(LEN($C1240)&lt;&gt;16,"NIK bukan 16 digit",IF(COUNTIF($C$4:$C$2003,$C1240&amp;"*")&gt;1,"NIK ganda",IF($E1240="","Kadus kosong",IF($F1240="","RT kosong",IF($H1240="","Jabatan kosong",IF($I1240="","No. HP kosong",IF($J1240="","Alamat kosong",IF(AND($M1240&lt;&gt;"",$M1240&lt;17),"Usia di bawah 17",""))))))))))</f>
        <v/>
      </c>
      <c r="U1240" s="40" t="str">
        <f aca="false">IF($B1240="","",IF(AND(OR(CARI!$C$5="",ISNUMBER(SEARCH(CARI!$C$5,$B1240&amp;" "&amp;$C1240&amp;" "&amp;$I1240&amp;" "&amp;$J1240&amp;" "&amp;$Q1240))),OR(CARI!$C$6="",$E1240=CARI!$C$6),OR(CARI!$C$7="",$F1240=CARI!$C$7),OR(CARI!$C$8="",$O1240=CARI!$C$8)),MAX($U$3:U1239)+1,""))</f>
        <v/>
      </c>
      <c r="V1240" s="40" t="str">
        <f aca="false">IF($T1240="","",MAX($V$3:V1239)+1)</f>
        <v/>
      </c>
      <c r="W1240" s="40" t="str">
        <f aca="false">IF($E1240="","",$E1240&amp;"#"&amp;COUNTIF($E$4:$E1240,$E1240))</f>
        <v/>
      </c>
      <c r="X1240" s="40" t="str">
        <f aca="false">IF($B1240="","",IF(AND(OR(CETAK!$J$10="",$E1240=CETAK!$J$10),OR(CETAK!$J$11="",$F1240=CETAK!$J$11),OR(CETAK!$J$12="",$K1240=CETAK!$J$12),OR(CETAK!$J$13="",$H1240=CETAK!$J$13),OR(CETAK!$J$14="",$O1240=CETAK!$J$14)),MAX($X$3:X1239)+1,""))</f>
        <v/>
      </c>
      <c r="Y1240" s="40" t="str">
        <f aca="false">IF($B1240="","",IF(AND(OR(ABSENSI!$H$10="",$E1240=ABSENSI!$H$10),OR(ABSENSI!$H$11="",$F1240=ABSENSI!$H$11),OR(ABSENSI!$H$12="",$K1240=ABSENSI!$H$12)),MAX($Y$3:Y1239)+1,""))</f>
        <v/>
      </c>
      <c r="Z1240" s="40" t="str">
        <f aca="false">IF($B1240="","",IF(AND(OR(KARTU!$K$6="",$E1240=KARTU!$K$6),OR(KARTU!$K$7="",$F1240=KARTU!$K$7),OR(KARTU!$K$8="",$K1240=KARTU!$K$8)),MAX($Z$3:Z1239)+1,""))</f>
        <v/>
      </c>
    </row>
    <row r="1241" customFormat="false" ht="15" hidden="false" customHeight="false" outlineLevel="0" collapsed="false">
      <c r="A1241" s="36" t="str">
        <f aca="false">IF($B1241="","",COUNTA($B$4:$B1241))</f>
        <v/>
      </c>
      <c r="B1241" s="37"/>
      <c r="C1241" s="38"/>
      <c r="D1241" s="39"/>
      <c r="E1241" s="37"/>
      <c r="F1241" s="39"/>
      <c r="G1241" s="40" t="str">
        <f aca="false">IF(OR($E1241="",$F1241=""),"",$E1241&amp;" - RT "&amp;$F1241)</f>
        <v/>
      </c>
      <c r="H1241" s="37"/>
      <c r="I1241" s="38"/>
      <c r="J1241" s="37"/>
      <c r="K1241" s="39"/>
      <c r="L1241" s="41"/>
      <c r="M1241" s="36" t="str">
        <f aca="true">IF(OR($B1241="",$L1241=""),"",DATEDIF($L1241,TODAY(),"Y"))</f>
        <v/>
      </c>
      <c r="N1241" s="40" t="str">
        <f aca="false">IF($M1241="","",INDEX(usia_label,MATCH($M1241,usia_min,1)))</f>
        <v/>
      </c>
      <c r="O1241" s="37"/>
      <c r="P1241" s="41"/>
      <c r="Q1241" s="37"/>
      <c r="R1241" s="37"/>
      <c r="S1241" s="40" t="str">
        <f aca="false">IF($G1241="","",$G1241&amp;"#"&amp;COUNTIF($G$4:$G1241,$G1241))</f>
        <v/>
      </c>
      <c r="T1241" s="40" t="str">
        <f aca="false">IF($B1241="","",IF($C1241="","NIK kosong",IF(LEN($C1241)&lt;&gt;16,"NIK bukan 16 digit",IF(COUNTIF($C$4:$C$2003,$C1241&amp;"*")&gt;1,"NIK ganda",IF($E1241="","Kadus kosong",IF($F1241="","RT kosong",IF($H1241="","Jabatan kosong",IF($I1241="","No. HP kosong",IF($J1241="","Alamat kosong",IF(AND($M1241&lt;&gt;"",$M1241&lt;17),"Usia di bawah 17",""))))))))))</f>
        <v/>
      </c>
      <c r="U1241" s="40" t="str">
        <f aca="false">IF($B1241="","",IF(AND(OR(CARI!$C$5="",ISNUMBER(SEARCH(CARI!$C$5,$B1241&amp;" "&amp;$C1241&amp;" "&amp;$I1241&amp;" "&amp;$J1241&amp;" "&amp;$Q1241))),OR(CARI!$C$6="",$E1241=CARI!$C$6),OR(CARI!$C$7="",$F1241=CARI!$C$7),OR(CARI!$C$8="",$O1241=CARI!$C$8)),MAX($U$3:U1240)+1,""))</f>
        <v/>
      </c>
      <c r="V1241" s="40" t="str">
        <f aca="false">IF($T1241="","",MAX($V$3:V1240)+1)</f>
        <v/>
      </c>
      <c r="W1241" s="40" t="str">
        <f aca="false">IF($E1241="","",$E1241&amp;"#"&amp;COUNTIF($E$4:$E1241,$E1241))</f>
        <v/>
      </c>
      <c r="X1241" s="40" t="str">
        <f aca="false">IF($B1241="","",IF(AND(OR(CETAK!$J$10="",$E1241=CETAK!$J$10),OR(CETAK!$J$11="",$F1241=CETAK!$J$11),OR(CETAK!$J$12="",$K1241=CETAK!$J$12),OR(CETAK!$J$13="",$H1241=CETAK!$J$13),OR(CETAK!$J$14="",$O1241=CETAK!$J$14)),MAX($X$3:X1240)+1,""))</f>
        <v/>
      </c>
      <c r="Y1241" s="40" t="str">
        <f aca="false">IF($B1241="","",IF(AND(OR(ABSENSI!$H$10="",$E1241=ABSENSI!$H$10),OR(ABSENSI!$H$11="",$F1241=ABSENSI!$H$11),OR(ABSENSI!$H$12="",$K1241=ABSENSI!$H$12)),MAX($Y$3:Y1240)+1,""))</f>
        <v/>
      </c>
      <c r="Z1241" s="40" t="str">
        <f aca="false">IF($B1241="","",IF(AND(OR(KARTU!$K$6="",$E1241=KARTU!$K$6),OR(KARTU!$K$7="",$F1241=KARTU!$K$7),OR(KARTU!$K$8="",$K1241=KARTU!$K$8)),MAX($Z$3:Z1240)+1,""))</f>
        <v/>
      </c>
    </row>
    <row r="1242" customFormat="false" ht="15" hidden="false" customHeight="false" outlineLevel="0" collapsed="false">
      <c r="A1242" s="36" t="str">
        <f aca="false">IF($B1242="","",COUNTA($B$4:$B1242))</f>
        <v/>
      </c>
      <c r="B1242" s="37"/>
      <c r="C1242" s="38"/>
      <c r="D1242" s="39"/>
      <c r="E1242" s="37"/>
      <c r="F1242" s="39"/>
      <c r="G1242" s="40" t="str">
        <f aca="false">IF(OR($E1242="",$F1242=""),"",$E1242&amp;" - RT "&amp;$F1242)</f>
        <v/>
      </c>
      <c r="H1242" s="37"/>
      <c r="I1242" s="38"/>
      <c r="J1242" s="37"/>
      <c r="K1242" s="39"/>
      <c r="L1242" s="41"/>
      <c r="M1242" s="36" t="str">
        <f aca="true">IF(OR($B1242="",$L1242=""),"",DATEDIF($L1242,TODAY(),"Y"))</f>
        <v/>
      </c>
      <c r="N1242" s="40" t="str">
        <f aca="false">IF($M1242="","",INDEX(usia_label,MATCH($M1242,usia_min,1)))</f>
        <v/>
      </c>
      <c r="O1242" s="37"/>
      <c r="P1242" s="41"/>
      <c r="Q1242" s="37"/>
      <c r="R1242" s="37"/>
      <c r="S1242" s="40" t="str">
        <f aca="false">IF($G1242="","",$G1242&amp;"#"&amp;COUNTIF($G$4:$G1242,$G1242))</f>
        <v/>
      </c>
      <c r="T1242" s="40" t="str">
        <f aca="false">IF($B1242="","",IF($C1242="","NIK kosong",IF(LEN($C1242)&lt;&gt;16,"NIK bukan 16 digit",IF(COUNTIF($C$4:$C$2003,$C1242&amp;"*")&gt;1,"NIK ganda",IF($E1242="","Kadus kosong",IF($F1242="","RT kosong",IF($H1242="","Jabatan kosong",IF($I1242="","No. HP kosong",IF($J1242="","Alamat kosong",IF(AND($M1242&lt;&gt;"",$M1242&lt;17),"Usia di bawah 17",""))))))))))</f>
        <v/>
      </c>
      <c r="U1242" s="40" t="str">
        <f aca="false">IF($B1242="","",IF(AND(OR(CARI!$C$5="",ISNUMBER(SEARCH(CARI!$C$5,$B1242&amp;" "&amp;$C1242&amp;" "&amp;$I1242&amp;" "&amp;$J1242&amp;" "&amp;$Q1242))),OR(CARI!$C$6="",$E1242=CARI!$C$6),OR(CARI!$C$7="",$F1242=CARI!$C$7),OR(CARI!$C$8="",$O1242=CARI!$C$8)),MAX($U$3:U1241)+1,""))</f>
        <v/>
      </c>
      <c r="V1242" s="40" t="str">
        <f aca="false">IF($T1242="","",MAX($V$3:V1241)+1)</f>
        <v/>
      </c>
      <c r="W1242" s="40" t="str">
        <f aca="false">IF($E1242="","",$E1242&amp;"#"&amp;COUNTIF($E$4:$E1242,$E1242))</f>
        <v/>
      </c>
      <c r="X1242" s="40" t="str">
        <f aca="false">IF($B1242="","",IF(AND(OR(CETAK!$J$10="",$E1242=CETAK!$J$10),OR(CETAK!$J$11="",$F1242=CETAK!$J$11),OR(CETAK!$J$12="",$K1242=CETAK!$J$12),OR(CETAK!$J$13="",$H1242=CETAK!$J$13),OR(CETAK!$J$14="",$O1242=CETAK!$J$14)),MAX($X$3:X1241)+1,""))</f>
        <v/>
      </c>
      <c r="Y1242" s="40" t="str">
        <f aca="false">IF($B1242="","",IF(AND(OR(ABSENSI!$H$10="",$E1242=ABSENSI!$H$10),OR(ABSENSI!$H$11="",$F1242=ABSENSI!$H$11),OR(ABSENSI!$H$12="",$K1242=ABSENSI!$H$12)),MAX($Y$3:Y1241)+1,""))</f>
        <v/>
      </c>
      <c r="Z1242" s="40" t="str">
        <f aca="false">IF($B1242="","",IF(AND(OR(KARTU!$K$6="",$E1242=KARTU!$K$6),OR(KARTU!$K$7="",$F1242=KARTU!$K$7),OR(KARTU!$K$8="",$K1242=KARTU!$K$8)),MAX($Z$3:Z1241)+1,""))</f>
        <v/>
      </c>
    </row>
    <row r="1243" customFormat="false" ht="15" hidden="false" customHeight="false" outlineLevel="0" collapsed="false">
      <c r="A1243" s="36" t="str">
        <f aca="false">IF($B1243="","",COUNTA($B$4:$B1243))</f>
        <v/>
      </c>
      <c r="B1243" s="37"/>
      <c r="C1243" s="38"/>
      <c r="D1243" s="39"/>
      <c r="E1243" s="37"/>
      <c r="F1243" s="39"/>
      <c r="G1243" s="40" t="str">
        <f aca="false">IF(OR($E1243="",$F1243=""),"",$E1243&amp;" - RT "&amp;$F1243)</f>
        <v/>
      </c>
      <c r="H1243" s="37"/>
      <c r="I1243" s="38"/>
      <c r="J1243" s="37"/>
      <c r="K1243" s="39"/>
      <c r="L1243" s="41"/>
      <c r="M1243" s="36" t="str">
        <f aca="true">IF(OR($B1243="",$L1243=""),"",DATEDIF($L1243,TODAY(),"Y"))</f>
        <v/>
      </c>
      <c r="N1243" s="40" t="str">
        <f aca="false">IF($M1243="","",INDEX(usia_label,MATCH($M1243,usia_min,1)))</f>
        <v/>
      </c>
      <c r="O1243" s="37"/>
      <c r="P1243" s="41"/>
      <c r="Q1243" s="37"/>
      <c r="R1243" s="37"/>
      <c r="S1243" s="40" t="str">
        <f aca="false">IF($G1243="","",$G1243&amp;"#"&amp;COUNTIF($G$4:$G1243,$G1243))</f>
        <v/>
      </c>
      <c r="T1243" s="40" t="str">
        <f aca="false">IF($B1243="","",IF($C1243="","NIK kosong",IF(LEN($C1243)&lt;&gt;16,"NIK bukan 16 digit",IF(COUNTIF($C$4:$C$2003,$C1243&amp;"*")&gt;1,"NIK ganda",IF($E1243="","Kadus kosong",IF($F1243="","RT kosong",IF($H1243="","Jabatan kosong",IF($I1243="","No. HP kosong",IF($J1243="","Alamat kosong",IF(AND($M1243&lt;&gt;"",$M1243&lt;17),"Usia di bawah 17",""))))))))))</f>
        <v/>
      </c>
      <c r="U1243" s="40" t="str">
        <f aca="false">IF($B1243="","",IF(AND(OR(CARI!$C$5="",ISNUMBER(SEARCH(CARI!$C$5,$B1243&amp;" "&amp;$C1243&amp;" "&amp;$I1243&amp;" "&amp;$J1243&amp;" "&amp;$Q1243))),OR(CARI!$C$6="",$E1243=CARI!$C$6),OR(CARI!$C$7="",$F1243=CARI!$C$7),OR(CARI!$C$8="",$O1243=CARI!$C$8)),MAX($U$3:U1242)+1,""))</f>
        <v/>
      </c>
      <c r="V1243" s="40" t="str">
        <f aca="false">IF($T1243="","",MAX($V$3:V1242)+1)</f>
        <v/>
      </c>
      <c r="W1243" s="40" t="str">
        <f aca="false">IF($E1243="","",$E1243&amp;"#"&amp;COUNTIF($E$4:$E1243,$E1243))</f>
        <v/>
      </c>
      <c r="X1243" s="40" t="str">
        <f aca="false">IF($B1243="","",IF(AND(OR(CETAK!$J$10="",$E1243=CETAK!$J$10),OR(CETAK!$J$11="",$F1243=CETAK!$J$11),OR(CETAK!$J$12="",$K1243=CETAK!$J$12),OR(CETAK!$J$13="",$H1243=CETAK!$J$13),OR(CETAK!$J$14="",$O1243=CETAK!$J$14)),MAX($X$3:X1242)+1,""))</f>
        <v/>
      </c>
      <c r="Y1243" s="40" t="str">
        <f aca="false">IF($B1243="","",IF(AND(OR(ABSENSI!$H$10="",$E1243=ABSENSI!$H$10),OR(ABSENSI!$H$11="",$F1243=ABSENSI!$H$11),OR(ABSENSI!$H$12="",$K1243=ABSENSI!$H$12)),MAX($Y$3:Y1242)+1,""))</f>
        <v/>
      </c>
      <c r="Z1243" s="40" t="str">
        <f aca="false">IF($B1243="","",IF(AND(OR(KARTU!$K$6="",$E1243=KARTU!$K$6),OR(KARTU!$K$7="",$F1243=KARTU!$K$7),OR(KARTU!$K$8="",$K1243=KARTU!$K$8)),MAX($Z$3:Z1242)+1,""))</f>
        <v/>
      </c>
    </row>
    <row r="1244" customFormat="false" ht="15" hidden="false" customHeight="false" outlineLevel="0" collapsed="false">
      <c r="A1244" s="36" t="str">
        <f aca="false">IF($B1244="","",COUNTA($B$4:$B1244))</f>
        <v/>
      </c>
      <c r="B1244" s="37"/>
      <c r="C1244" s="38"/>
      <c r="D1244" s="39"/>
      <c r="E1244" s="37"/>
      <c r="F1244" s="39"/>
      <c r="G1244" s="40" t="str">
        <f aca="false">IF(OR($E1244="",$F1244=""),"",$E1244&amp;" - RT "&amp;$F1244)</f>
        <v/>
      </c>
      <c r="H1244" s="37"/>
      <c r="I1244" s="38"/>
      <c r="J1244" s="37"/>
      <c r="K1244" s="39"/>
      <c r="L1244" s="41"/>
      <c r="M1244" s="36" t="str">
        <f aca="true">IF(OR($B1244="",$L1244=""),"",DATEDIF($L1244,TODAY(),"Y"))</f>
        <v/>
      </c>
      <c r="N1244" s="40" t="str">
        <f aca="false">IF($M1244="","",INDEX(usia_label,MATCH($M1244,usia_min,1)))</f>
        <v/>
      </c>
      <c r="O1244" s="37"/>
      <c r="P1244" s="41"/>
      <c r="Q1244" s="37"/>
      <c r="R1244" s="37"/>
      <c r="S1244" s="40" t="str">
        <f aca="false">IF($G1244="","",$G1244&amp;"#"&amp;COUNTIF($G$4:$G1244,$G1244))</f>
        <v/>
      </c>
      <c r="T1244" s="40" t="str">
        <f aca="false">IF($B1244="","",IF($C1244="","NIK kosong",IF(LEN($C1244)&lt;&gt;16,"NIK bukan 16 digit",IF(COUNTIF($C$4:$C$2003,$C1244&amp;"*")&gt;1,"NIK ganda",IF($E1244="","Kadus kosong",IF($F1244="","RT kosong",IF($H1244="","Jabatan kosong",IF($I1244="","No. HP kosong",IF($J1244="","Alamat kosong",IF(AND($M1244&lt;&gt;"",$M1244&lt;17),"Usia di bawah 17",""))))))))))</f>
        <v/>
      </c>
      <c r="U1244" s="40" t="str">
        <f aca="false">IF($B1244="","",IF(AND(OR(CARI!$C$5="",ISNUMBER(SEARCH(CARI!$C$5,$B1244&amp;" "&amp;$C1244&amp;" "&amp;$I1244&amp;" "&amp;$J1244&amp;" "&amp;$Q1244))),OR(CARI!$C$6="",$E1244=CARI!$C$6),OR(CARI!$C$7="",$F1244=CARI!$C$7),OR(CARI!$C$8="",$O1244=CARI!$C$8)),MAX($U$3:U1243)+1,""))</f>
        <v/>
      </c>
      <c r="V1244" s="40" t="str">
        <f aca="false">IF($T1244="","",MAX($V$3:V1243)+1)</f>
        <v/>
      </c>
      <c r="W1244" s="40" t="str">
        <f aca="false">IF($E1244="","",$E1244&amp;"#"&amp;COUNTIF($E$4:$E1244,$E1244))</f>
        <v/>
      </c>
      <c r="X1244" s="40" t="str">
        <f aca="false">IF($B1244="","",IF(AND(OR(CETAK!$J$10="",$E1244=CETAK!$J$10),OR(CETAK!$J$11="",$F1244=CETAK!$J$11),OR(CETAK!$J$12="",$K1244=CETAK!$J$12),OR(CETAK!$J$13="",$H1244=CETAK!$J$13),OR(CETAK!$J$14="",$O1244=CETAK!$J$14)),MAX($X$3:X1243)+1,""))</f>
        <v/>
      </c>
      <c r="Y1244" s="40" t="str">
        <f aca="false">IF($B1244="","",IF(AND(OR(ABSENSI!$H$10="",$E1244=ABSENSI!$H$10),OR(ABSENSI!$H$11="",$F1244=ABSENSI!$H$11),OR(ABSENSI!$H$12="",$K1244=ABSENSI!$H$12)),MAX($Y$3:Y1243)+1,""))</f>
        <v/>
      </c>
      <c r="Z1244" s="40" t="str">
        <f aca="false">IF($B1244="","",IF(AND(OR(KARTU!$K$6="",$E1244=KARTU!$K$6),OR(KARTU!$K$7="",$F1244=KARTU!$K$7),OR(KARTU!$K$8="",$K1244=KARTU!$K$8)),MAX($Z$3:Z1243)+1,""))</f>
        <v/>
      </c>
    </row>
    <row r="1245" customFormat="false" ht="15" hidden="false" customHeight="false" outlineLevel="0" collapsed="false">
      <c r="A1245" s="36" t="str">
        <f aca="false">IF($B1245="","",COUNTA($B$4:$B1245))</f>
        <v/>
      </c>
      <c r="B1245" s="37"/>
      <c r="C1245" s="38"/>
      <c r="D1245" s="39"/>
      <c r="E1245" s="37"/>
      <c r="F1245" s="39"/>
      <c r="G1245" s="40" t="str">
        <f aca="false">IF(OR($E1245="",$F1245=""),"",$E1245&amp;" - RT "&amp;$F1245)</f>
        <v/>
      </c>
      <c r="H1245" s="37"/>
      <c r="I1245" s="38"/>
      <c r="J1245" s="37"/>
      <c r="K1245" s="39"/>
      <c r="L1245" s="41"/>
      <c r="M1245" s="36" t="str">
        <f aca="true">IF(OR($B1245="",$L1245=""),"",DATEDIF($L1245,TODAY(),"Y"))</f>
        <v/>
      </c>
      <c r="N1245" s="40" t="str">
        <f aca="false">IF($M1245="","",INDEX(usia_label,MATCH($M1245,usia_min,1)))</f>
        <v/>
      </c>
      <c r="O1245" s="37"/>
      <c r="P1245" s="41"/>
      <c r="Q1245" s="37"/>
      <c r="R1245" s="37"/>
      <c r="S1245" s="40" t="str">
        <f aca="false">IF($G1245="","",$G1245&amp;"#"&amp;COUNTIF($G$4:$G1245,$G1245))</f>
        <v/>
      </c>
      <c r="T1245" s="40" t="str">
        <f aca="false">IF($B1245="","",IF($C1245="","NIK kosong",IF(LEN($C1245)&lt;&gt;16,"NIK bukan 16 digit",IF(COUNTIF($C$4:$C$2003,$C1245&amp;"*")&gt;1,"NIK ganda",IF($E1245="","Kadus kosong",IF($F1245="","RT kosong",IF($H1245="","Jabatan kosong",IF($I1245="","No. HP kosong",IF($J1245="","Alamat kosong",IF(AND($M1245&lt;&gt;"",$M1245&lt;17),"Usia di bawah 17",""))))))))))</f>
        <v/>
      </c>
      <c r="U1245" s="40" t="str">
        <f aca="false">IF($B1245="","",IF(AND(OR(CARI!$C$5="",ISNUMBER(SEARCH(CARI!$C$5,$B1245&amp;" "&amp;$C1245&amp;" "&amp;$I1245&amp;" "&amp;$J1245&amp;" "&amp;$Q1245))),OR(CARI!$C$6="",$E1245=CARI!$C$6),OR(CARI!$C$7="",$F1245=CARI!$C$7),OR(CARI!$C$8="",$O1245=CARI!$C$8)),MAX($U$3:U1244)+1,""))</f>
        <v/>
      </c>
      <c r="V1245" s="40" t="str">
        <f aca="false">IF($T1245="","",MAX($V$3:V1244)+1)</f>
        <v/>
      </c>
      <c r="W1245" s="40" t="str">
        <f aca="false">IF($E1245="","",$E1245&amp;"#"&amp;COUNTIF($E$4:$E1245,$E1245))</f>
        <v/>
      </c>
      <c r="X1245" s="40" t="str">
        <f aca="false">IF($B1245="","",IF(AND(OR(CETAK!$J$10="",$E1245=CETAK!$J$10),OR(CETAK!$J$11="",$F1245=CETAK!$J$11),OR(CETAK!$J$12="",$K1245=CETAK!$J$12),OR(CETAK!$J$13="",$H1245=CETAK!$J$13),OR(CETAK!$J$14="",$O1245=CETAK!$J$14)),MAX($X$3:X1244)+1,""))</f>
        <v/>
      </c>
      <c r="Y1245" s="40" t="str">
        <f aca="false">IF($B1245="","",IF(AND(OR(ABSENSI!$H$10="",$E1245=ABSENSI!$H$10),OR(ABSENSI!$H$11="",$F1245=ABSENSI!$H$11),OR(ABSENSI!$H$12="",$K1245=ABSENSI!$H$12)),MAX($Y$3:Y1244)+1,""))</f>
        <v/>
      </c>
      <c r="Z1245" s="40" t="str">
        <f aca="false">IF($B1245="","",IF(AND(OR(KARTU!$K$6="",$E1245=KARTU!$K$6),OR(KARTU!$K$7="",$F1245=KARTU!$K$7),OR(KARTU!$K$8="",$K1245=KARTU!$K$8)),MAX($Z$3:Z1244)+1,""))</f>
        <v/>
      </c>
    </row>
    <row r="1246" customFormat="false" ht="15" hidden="false" customHeight="false" outlineLevel="0" collapsed="false">
      <c r="A1246" s="36" t="str">
        <f aca="false">IF($B1246="","",COUNTA($B$4:$B1246))</f>
        <v/>
      </c>
      <c r="B1246" s="37"/>
      <c r="C1246" s="38"/>
      <c r="D1246" s="39"/>
      <c r="E1246" s="37"/>
      <c r="F1246" s="39"/>
      <c r="G1246" s="40" t="str">
        <f aca="false">IF(OR($E1246="",$F1246=""),"",$E1246&amp;" - RT "&amp;$F1246)</f>
        <v/>
      </c>
      <c r="H1246" s="37"/>
      <c r="I1246" s="38"/>
      <c r="J1246" s="37"/>
      <c r="K1246" s="39"/>
      <c r="L1246" s="41"/>
      <c r="M1246" s="36" t="str">
        <f aca="true">IF(OR($B1246="",$L1246=""),"",DATEDIF($L1246,TODAY(),"Y"))</f>
        <v/>
      </c>
      <c r="N1246" s="40" t="str">
        <f aca="false">IF($M1246="","",INDEX(usia_label,MATCH($M1246,usia_min,1)))</f>
        <v/>
      </c>
      <c r="O1246" s="37"/>
      <c r="P1246" s="41"/>
      <c r="Q1246" s="37"/>
      <c r="R1246" s="37"/>
      <c r="S1246" s="40" t="str">
        <f aca="false">IF($G1246="","",$G1246&amp;"#"&amp;COUNTIF($G$4:$G1246,$G1246))</f>
        <v/>
      </c>
      <c r="T1246" s="40" t="str">
        <f aca="false">IF($B1246="","",IF($C1246="","NIK kosong",IF(LEN($C1246)&lt;&gt;16,"NIK bukan 16 digit",IF(COUNTIF($C$4:$C$2003,$C1246&amp;"*")&gt;1,"NIK ganda",IF($E1246="","Kadus kosong",IF($F1246="","RT kosong",IF($H1246="","Jabatan kosong",IF($I1246="","No. HP kosong",IF($J1246="","Alamat kosong",IF(AND($M1246&lt;&gt;"",$M1246&lt;17),"Usia di bawah 17",""))))))))))</f>
        <v/>
      </c>
      <c r="U1246" s="40" t="str">
        <f aca="false">IF($B1246="","",IF(AND(OR(CARI!$C$5="",ISNUMBER(SEARCH(CARI!$C$5,$B1246&amp;" "&amp;$C1246&amp;" "&amp;$I1246&amp;" "&amp;$J1246&amp;" "&amp;$Q1246))),OR(CARI!$C$6="",$E1246=CARI!$C$6),OR(CARI!$C$7="",$F1246=CARI!$C$7),OR(CARI!$C$8="",$O1246=CARI!$C$8)),MAX($U$3:U1245)+1,""))</f>
        <v/>
      </c>
      <c r="V1246" s="40" t="str">
        <f aca="false">IF($T1246="","",MAX($V$3:V1245)+1)</f>
        <v/>
      </c>
      <c r="W1246" s="40" t="str">
        <f aca="false">IF($E1246="","",$E1246&amp;"#"&amp;COUNTIF($E$4:$E1246,$E1246))</f>
        <v/>
      </c>
      <c r="X1246" s="40" t="str">
        <f aca="false">IF($B1246="","",IF(AND(OR(CETAK!$J$10="",$E1246=CETAK!$J$10),OR(CETAK!$J$11="",$F1246=CETAK!$J$11),OR(CETAK!$J$12="",$K1246=CETAK!$J$12),OR(CETAK!$J$13="",$H1246=CETAK!$J$13),OR(CETAK!$J$14="",$O1246=CETAK!$J$14)),MAX($X$3:X1245)+1,""))</f>
        <v/>
      </c>
      <c r="Y1246" s="40" t="str">
        <f aca="false">IF($B1246="","",IF(AND(OR(ABSENSI!$H$10="",$E1246=ABSENSI!$H$10),OR(ABSENSI!$H$11="",$F1246=ABSENSI!$H$11),OR(ABSENSI!$H$12="",$K1246=ABSENSI!$H$12)),MAX($Y$3:Y1245)+1,""))</f>
        <v/>
      </c>
      <c r="Z1246" s="40" t="str">
        <f aca="false">IF($B1246="","",IF(AND(OR(KARTU!$K$6="",$E1246=KARTU!$K$6),OR(KARTU!$K$7="",$F1246=KARTU!$K$7),OR(KARTU!$K$8="",$K1246=KARTU!$K$8)),MAX($Z$3:Z1245)+1,""))</f>
        <v/>
      </c>
    </row>
    <row r="1247" customFormat="false" ht="15" hidden="false" customHeight="false" outlineLevel="0" collapsed="false">
      <c r="A1247" s="36" t="str">
        <f aca="false">IF($B1247="","",COUNTA($B$4:$B1247))</f>
        <v/>
      </c>
      <c r="B1247" s="37"/>
      <c r="C1247" s="38"/>
      <c r="D1247" s="39"/>
      <c r="E1247" s="37"/>
      <c r="F1247" s="39"/>
      <c r="G1247" s="40" t="str">
        <f aca="false">IF(OR($E1247="",$F1247=""),"",$E1247&amp;" - RT "&amp;$F1247)</f>
        <v/>
      </c>
      <c r="H1247" s="37"/>
      <c r="I1247" s="38"/>
      <c r="J1247" s="37"/>
      <c r="K1247" s="39"/>
      <c r="L1247" s="41"/>
      <c r="M1247" s="36" t="str">
        <f aca="true">IF(OR($B1247="",$L1247=""),"",DATEDIF($L1247,TODAY(),"Y"))</f>
        <v/>
      </c>
      <c r="N1247" s="40" t="str">
        <f aca="false">IF($M1247="","",INDEX(usia_label,MATCH($M1247,usia_min,1)))</f>
        <v/>
      </c>
      <c r="O1247" s="37"/>
      <c r="P1247" s="41"/>
      <c r="Q1247" s="37"/>
      <c r="R1247" s="37"/>
      <c r="S1247" s="40" t="str">
        <f aca="false">IF($G1247="","",$G1247&amp;"#"&amp;COUNTIF($G$4:$G1247,$G1247))</f>
        <v/>
      </c>
      <c r="T1247" s="40" t="str">
        <f aca="false">IF($B1247="","",IF($C1247="","NIK kosong",IF(LEN($C1247)&lt;&gt;16,"NIK bukan 16 digit",IF(COUNTIF($C$4:$C$2003,$C1247&amp;"*")&gt;1,"NIK ganda",IF($E1247="","Kadus kosong",IF($F1247="","RT kosong",IF($H1247="","Jabatan kosong",IF($I1247="","No. HP kosong",IF($J1247="","Alamat kosong",IF(AND($M1247&lt;&gt;"",$M1247&lt;17),"Usia di bawah 17",""))))))))))</f>
        <v/>
      </c>
      <c r="U1247" s="40" t="str">
        <f aca="false">IF($B1247="","",IF(AND(OR(CARI!$C$5="",ISNUMBER(SEARCH(CARI!$C$5,$B1247&amp;" "&amp;$C1247&amp;" "&amp;$I1247&amp;" "&amp;$J1247&amp;" "&amp;$Q1247))),OR(CARI!$C$6="",$E1247=CARI!$C$6),OR(CARI!$C$7="",$F1247=CARI!$C$7),OR(CARI!$C$8="",$O1247=CARI!$C$8)),MAX($U$3:U1246)+1,""))</f>
        <v/>
      </c>
      <c r="V1247" s="40" t="str">
        <f aca="false">IF($T1247="","",MAX($V$3:V1246)+1)</f>
        <v/>
      </c>
      <c r="W1247" s="40" t="str">
        <f aca="false">IF($E1247="","",$E1247&amp;"#"&amp;COUNTIF($E$4:$E1247,$E1247))</f>
        <v/>
      </c>
      <c r="X1247" s="40" t="str">
        <f aca="false">IF($B1247="","",IF(AND(OR(CETAK!$J$10="",$E1247=CETAK!$J$10),OR(CETAK!$J$11="",$F1247=CETAK!$J$11),OR(CETAK!$J$12="",$K1247=CETAK!$J$12),OR(CETAK!$J$13="",$H1247=CETAK!$J$13),OR(CETAK!$J$14="",$O1247=CETAK!$J$14)),MAX($X$3:X1246)+1,""))</f>
        <v/>
      </c>
      <c r="Y1247" s="40" t="str">
        <f aca="false">IF($B1247="","",IF(AND(OR(ABSENSI!$H$10="",$E1247=ABSENSI!$H$10),OR(ABSENSI!$H$11="",$F1247=ABSENSI!$H$11),OR(ABSENSI!$H$12="",$K1247=ABSENSI!$H$12)),MAX($Y$3:Y1246)+1,""))</f>
        <v/>
      </c>
      <c r="Z1247" s="40" t="str">
        <f aca="false">IF($B1247="","",IF(AND(OR(KARTU!$K$6="",$E1247=KARTU!$K$6),OR(KARTU!$K$7="",$F1247=KARTU!$K$7),OR(KARTU!$K$8="",$K1247=KARTU!$K$8)),MAX($Z$3:Z1246)+1,""))</f>
        <v/>
      </c>
    </row>
    <row r="1248" customFormat="false" ht="15" hidden="false" customHeight="false" outlineLevel="0" collapsed="false">
      <c r="A1248" s="36" t="str">
        <f aca="false">IF($B1248="","",COUNTA($B$4:$B1248))</f>
        <v/>
      </c>
      <c r="B1248" s="37"/>
      <c r="C1248" s="38"/>
      <c r="D1248" s="39"/>
      <c r="E1248" s="37"/>
      <c r="F1248" s="39"/>
      <c r="G1248" s="40" t="str">
        <f aca="false">IF(OR($E1248="",$F1248=""),"",$E1248&amp;" - RT "&amp;$F1248)</f>
        <v/>
      </c>
      <c r="H1248" s="37"/>
      <c r="I1248" s="38"/>
      <c r="J1248" s="37"/>
      <c r="K1248" s="39"/>
      <c r="L1248" s="41"/>
      <c r="M1248" s="36" t="str">
        <f aca="true">IF(OR($B1248="",$L1248=""),"",DATEDIF($L1248,TODAY(),"Y"))</f>
        <v/>
      </c>
      <c r="N1248" s="40" t="str">
        <f aca="false">IF($M1248="","",INDEX(usia_label,MATCH($M1248,usia_min,1)))</f>
        <v/>
      </c>
      <c r="O1248" s="37"/>
      <c r="P1248" s="41"/>
      <c r="Q1248" s="37"/>
      <c r="R1248" s="37"/>
      <c r="S1248" s="40" t="str">
        <f aca="false">IF($G1248="","",$G1248&amp;"#"&amp;COUNTIF($G$4:$G1248,$G1248))</f>
        <v/>
      </c>
      <c r="T1248" s="40" t="str">
        <f aca="false">IF($B1248="","",IF($C1248="","NIK kosong",IF(LEN($C1248)&lt;&gt;16,"NIK bukan 16 digit",IF(COUNTIF($C$4:$C$2003,$C1248&amp;"*")&gt;1,"NIK ganda",IF($E1248="","Kadus kosong",IF($F1248="","RT kosong",IF($H1248="","Jabatan kosong",IF($I1248="","No. HP kosong",IF($J1248="","Alamat kosong",IF(AND($M1248&lt;&gt;"",$M1248&lt;17),"Usia di bawah 17",""))))))))))</f>
        <v/>
      </c>
      <c r="U1248" s="40" t="str">
        <f aca="false">IF($B1248="","",IF(AND(OR(CARI!$C$5="",ISNUMBER(SEARCH(CARI!$C$5,$B1248&amp;" "&amp;$C1248&amp;" "&amp;$I1248&amp;" "&amp;$J1248&amp;" "&amp;$Q1248))),OR(CARI!$C$6="",$E1248=CARI!$C$6),OR(CARI!$C$7="",$F1248=CARI!$C$7),OR(CARI!$C$8="",$O1248=CARI!$C$8)),MAX($U$3:U1247)+1,""))</f>
        <v/>
      </c>
      <c r="V1248" s="40" t="str">
        <f aca="false">IF($T1248="","",MAX($V$3:V1247)+1)</f>
        <v/>
      </c>
      <c r="W1248" s="40" t="str">
        <f aca="false">IF($E1248="","",$E1248&amp;"#"&amp;COUNTIF($E$4:$E1248,$E1248))</f>
        <v/>
      </c>
      <c r="X1248" s="40" t="str">
        <f aca="false">IF($B1248="","",IF(AND(OR(CETAK!$J$10="",$E1248=CETAK!$J$10),OR(CETAK!$J$11="",$F1248=CETAK!$J$11),OR(CETAK!$J$12="",$K1248=CETAK!$J$12),OR(CETAK!$J$13="",$H1248=CETAK!$J$13),OR(CETAK!$J$14="",$O1248=CETAK!$J$14)),MAX($X$3:X1247)+1,""))</f>
        <v/>
      </c>
      <c r="Y1248" s="40" t="str">
        <f aca="false">IF($B1248="","",IF(AND(OR(ABSENSI!$H$10="",$E1248=ABSENSI!$H$10),OR(ABSENSI!$H$11="",$F1248=ABSENSI!$H$11),OR(ABSENSI!$H$12="",$K1248=ABSENSI!$H$12)),MAX($Y$3:Y1247)+1,""))</f>
        <v/>
      </c>
      <c r="Z1248" s="40" t="str">
        <f aca="false">IF($B1248="","",IF(AND(OR(KARTU!$K$6="",$E1248=KARTU!$K$6),OR(KARTU!$K$7="",$F1248=KARTU!$K$7),OR(KARTU!$K$8="",$K1248=KARTU!$K$8)),MAX($Z$3:Z1247)+1,""))</f>
        <v/>
      </c>
    </row>
    <row r="1249" customFormat="false" ht="15" hidden="false" customHeight="false" outlineLevel="0" collapsed="false">
      <c r="A1249" s="36" t="str">
        <f aca="false">IF($B1249="","",COUNTA($B$4:$B1249))</f>
        <v/>
      </c>
      <c r="B1249" s="37"/>
      <c r="C1249" s="38"/>
      <c r="D1249" s="39"/>
      <c r="E1249" s="37"/>
      <c r="F1249" s="39"/>
      <c r="G1249" s="40" t="str">
        <f aca="false">IF(OR($E1249="",$F1249=""),"",$E1249&amp;" - RT "&amp;$F1249)</f>
        <v/>
      </c>
      <c r="H1249" s="37"/>
      <c r="I1249" s="38"/>
      <c r="J1249" s="37"/>
      <c r="K1249" s="39"/>
      <c r="L1249" s="41"/>
      <c r="M1249" s="36" t="str">
        <f aca="true">IF(OR($B1249="",$L1249=""),"",DATEDIF($L1249,TODAY(),"Y"))</f>
        <v/>
      </c>
      <c r="N1249" s="40" t="str">
        <f aca="false">IF($M1249="","",INDEX(usia_label,MATCH($M1249,usia_min,1)))</f>
        <v/>
      </c>
      <c r="O1249" s="37"/>
      <c r="P1249" s="41"/>
      <c r="Q1249" s="37"/>
      <c r="R1249" s="37"/>
      <c r="S1249" s="40" t="str">
        <f aca="false">IF($G1249="","",$G1249&amp;"#"&amp;COUNTIF($G$4:$G1249,$G1249))</f>
        <v/>
      </c>
      <c r="T1249" s="40" t="str">
        <f aca="false">IF($B1249="","",IF($C1249="","NIK kosong",IF(LEN($C1249)&lt;&gt;16,"NIK bukan 16 digit",IF(COUNTIF($C$4:$C$2003,$C1249&amp;"*")&gt;1,"NIK ganda",IF($E1249="","Kadus kosong",IF($F1249="","RT kosong",IF($H1249="","Jabatan kosong",IF($I1249="","No. HP kosong",IF($J1249="","Alamat kosong",IF(AND($M1249&lt;&gt;"",$M1249&lt;17),"Usia di bawah 17",""))))))))))</f>
        <v/>
      </c>
      <c r="U1249" s="40" t="str">
        <f aca="false">IF($B1249="","",IF(AND(OR(CARI!$C$5="",ISNUMBER(SEARCH(CARI!$C$5,$B1249&amp;" "&amp;$C1249&amp;" "&amp;$I1249&amp;" "&amp;$J1249&amp;" "&amp;$Q1249))),OR(CARI!$C$6="",$E1249=CARI!$C$6),OR(CARI!$C$7="",$F1249=CARI!$C$7),OR(CARI!$C$8="",$O1249=CARI!$C$8)),MAX($U$3:U1248)+1,""))</f>
        <v/>
      </c>
      <c r="V1249" s="40" t="str">
        <f aca="false">IF($T1249="","",MAX($V$3:V1248)+1)</f>
        <v/>
      </c>
      <c r="W1249" s="40" t="str">
        <f aca="false">IF($E1249="","",$E1249&amp;"#"&amp;COUNTIF($E$4:$E1249,$E1249))</f>
        <v/>
      </c>
      <c r="X1249" s="40" t="str">
        <f aca="false">IF($B1249="","",IF(AND(OR(CETAK!$J$10="",$E1249=CETAK!$J$10),OR(CETAK!$J$11="",$F1249=CETAK!$J$11),OR(CETAK!$J$12="",$K1249=CETAK!$J$12),OR(CETAK!$J$13="",$H1249=CETAK!$J$13),OR(CETAK!$J$14="",$O1249=CETAK!$J$14)),MAX($X$3:X1248)+1,""))</f>
        <v/>
      </c>
      <c r="Y1249" s="40" t="str">
        <f aca="false">IF($B1249="","",IF(AND(OR(ABSENSI!$H$10="",$E1249=ABSENSI!$H$10),OR(ABSENSI!$H$11="",$F1249=ABSENSI!$H$11),OR(ABSENSI!$H$12="",$K1249=ABSENSI!$H$12)),MAX($Y$3:Y1248)+1,""))</f>
        <v/>
      </c>
      <c r="Z1249" s="40" t="str">
        <f aca="false">IF($B1249="","",IF(AND(OR(KARTU!$K$6="",$E1249=KARTU!$K$6),OR(KARTU!$K$7="",$F1249=KARTU!$K$7),OR(KARTU!$K$8="",$K1249=KARTU!$K$8)),MAX($Z$3:Z1248)+1,""))</f>
        <v/>
      </c>
    </row>
    <row r="1250" customFormat="false" ht="15" hidden="false" customHeight="false" outlineLevel="0" collapsed="false">
      <c r="A1250" s="36" t="str">
        <f aca="false">IF($B1250="","",COUNTA($B$4:$B1250))</f>
        <v/>
      </c>
      <c r="B1250" s="37"/>
      <c r="C1250" s="38"/>
      <c r="D1250" s="39"/>
      <c r="E1250" s="37"/>
      <c r="F1250" s="39"/>
      <c r="G1250" s="40" t="str">
        <f aca="false">IF(OR($E1250="",$F1250=""),"",$E1250&amp;" - RT "&amp;$F1250)</f>
        <v/>
      </c>
      <c r="H1250" s="37"/>
      <c r="I1250" s="38"/>
      <c r="J1250" s="37"/>
      <c r="K1250" s="39"/>
      <c r="L1250" s="41"/>
      <c r="M1250" s="36" t="str">
        <f aca="true">IF(OR($B1250="",$L1250=""),"",DATEDIF($L1250,TODAY(),"Y"))</f>
        <v/>
      </c>
      <c r="N1250" s="40" t="str">
        <f aca="false">IF($M1250="","",INDEX(usia_label,MATCH($M1250,usia_min,1)))</f>
        <v/>
      </c>
      <c r="O1250" s="37"/>
      <c r="P1250" s="41"/>
      <c r="Q1250" s="37"/>
      <c r="R1250" s="37"/>
      <c r="S1250" s="40" t="str">
        <f aca="false">IF($G1250="","",$G1250&amp;"#"&amp;COUNTIF($G$4:$G1250,$G1250))</f>
        <v/>
      </c>
      <c r="T1250" s="40" t="str">
        <f aca="false">IF($B1250="","",IF($C1250="","NIK kosong",IF(LEN($C1250)&lt;&gt;16,"NIK bukan 16 digit",IF(COUNTIF($C$4:$C$2003,$C1250&amp;"*")&gt;1,"NIK ganda",IF($E1250="","Kadus kosong",IF($F1250="","RT kosong",IF($H1250="","Jabatan kosong",IF($I1250="","No. HP kosong",IF($J1250="","Alamat kosong",IF(AND($M1250&lt;&gt;"",$M1250&lt;17),"Usia di bawah 17",""))))))))))</f>
        <v/>
      </c>
      <c r="U1250" s="40" t="str">
        <f aca="false">IF($B1250="","",IF(AND(OR(CARI!$C$5="",ISNUMBER(SEARCH(CARI!$C$5,$B1250&amp;" "&amp;$C1250&amp;" "&amp;$I1250&amp;" "&amp;$J1250&amp;" "&amp;$Q1250))),OR(CARI!$C$6="",$E1250=CARI!$C$6),OR(CARI!$C$7="",$F1250=CARI!$C$7),OR(CARI!$C$8="",$O1250=CARI!$C$8)),MAX($U$3:U1249)+1,""))</f>
        <v/>
      </c>
      <c r="V1250" s="40" t="str">
        <f aca="false">IF($T1250="","",MAX($V$3:V1249)+1)</f>
        <v/>
      </c>
      <c r="W1250" s="40" t="str">
        <f aca="false">IF($E1250="","",$E1250&amp;"#"&amp;COUNTIF($E$4:$E1250,$E1250))</f>
        <v/>
      </c>
      <c r="X1250" s="40" t="str">
        <f aca="false">IF($B1250="","",IF(AND(OR(CETAK!$J$10="",$E1250=CETAK!$J$10),OR(CETAK!$J$11="",$F1250=CETAK!$J$11),OR(CETAK!$J$12="",$K1250=CETAK!$J$12),OR(CETAK!$J$13="",$H1250=CETAK!$J$13),OR(CETAK!$J$14="",$O1250=CETAK!$J$14)),MAX($X$3:X1249)+1,""))</f>
        <v/>
      </c>
      <c r="Y1250" s="40" t="str">
        <f aca="false">IF($B1250="","",IF(AND(OR(ABSENSI!$H$10="",$E1250=ABSENSI!$H$10),OR(ABSENSI!$H$11="",$F1250=ABSENSI!$H$11),OR(ABSENSI!$H$12="",$K1250=ABSENSI!$H$12)),MAX($Y$3:Y1249)+1,""))</f>
        <v/>
      </c>
      <c r="Z1250" s="40" t="str">
        <f aca="false">IF($B1250="","",IF(AND(OR(KARTU!$K$6="",$E1250=KARTU!$K$6),OR(KARTU!$K$7="",$F1250=KARTU!$K$7),OR(KARTU!$K$8="",$K1250=KARTU!$K$8)),MAX($Z$3:Z1249)+1,""))</f>
        <v/>
      </c>
    </row>
    <row r="1251" customFormat="false" ht="15" hidden="false" customHeight="false" outlineLevel="0" collapsed="false">
      <c r="A1251" s="36" t="str">
        <f aca="false">IF($B1251="","",COUNTA($B$4:$B1251))</f>
        <v/>
      </c>
      <c r="B1251" s="37"/>
      <c r="C1251" s="38"/>
      <c r="D1251" s="39"/>
      <c r="E1251" s="37"/>
      <c r="F1251" s="39"/>
      <c r="G1251" s="40" t="str">
        <f aca="false">IF(OR($E1251="",$F1251=""),"",$E1251&amp;" - RT "&amp;$F1251)</f>
        <v/>
      </c>
      <c r="H1251" s="37"/>
      <c r="I1251" s="38"/>
      <c r="J1251" s="37"/>
      <c r="K1251" s="39"/>
      <c r="L1251" s="41"/>
      <c r="M1251" s="36" t="str">
        <f aca="true">IF(OR($B1251="",$L1251=""),"",DATEDIF($L1251,TODAY(),"Y"))</f>
        <v/>
      </c>
      <c r="N1251" s="40" t="str">
        <f aca="false">IF($M1251="","",INDEX(usia_label,MATCH($M1251,usia_min,1)))</f>
        <v/>
      </c>
      <c r="O1251" s="37"/>
      <c r="P1251" s="41"/>
      <c r="Q1251" s="37"/>
      <c r="R1251" s="37"/>
      <c r="S1251" s="40" t="str">
        <f aca="false">IF($G1251="","",$G1251&amp;"#"&amp;COUNTIF($G$4:$G1251,$G1251))</f>
        <v/>
      </c>
      <c r="T1251" s="40" t="str">
        <f aca="false">IF($B1251="","",IF($C1251="","NIK kosong",IF(LEN($C1251)&lt;&gt;16,"NIK bukan 16 digit",IF(COUNTIF($C$4:$C$2003,$C1251&amp;"*")&gt;1,"NIK ganda",IF($E1251="","Kadus kosong",IF($F1251="","RT kosong",IF($H1251="","Jabatan kosong",IF($I1251="","No. HP kosong",IF($J1251="","Alamat kosong",IF(AND($M1251&lt;&gt;"",$M1251&lt;17),"Usia di bawah 17",""))))))))))</f>
        <v/>
      </c>
      <c r="U1251" s="40" t="str">
        <f aca="false">IF($B1251="","",IF(AND(OR(CARI!$C$5="",ISNUMBER(SEARCH(CARI!$C$5,$B1251&amp;" "&amp;$C1251&amp;" "&amp;$I1251&amp;" "&amp;$J1251&amp;" "&amp;$Q1251))),OR(CARI!$C$6="",$E1251=CARI!$C$6),OR(CARI!$C$7="",$F1251=CARI!$C$7),OR(CARI!$C$8="",$O1251=CARI!$C$8)),MAX($U$3:U1250)+1,""))</f>
        <v/>
      </c>
      <c r="V1251" s="40" t="str">
        <f aca="false">IF($T1251="","",MAX($V$3:V1250)+1)</f>
        <v/>
      </c>
      <c r="W1251" s="40" t="str">
        <f aca="false">IF($E1251="","",$E1251&amp;"#"&amp;COUNTIF($E$4:$E1251,$E1251))</f>
        <v/>
      </c>
      <c r="X1251" s="40" t="str">
        <f aca="false">IF($B1251="","",IF(AND(OR(CETAK!$J$10="",$E1251=CETAK!$J$10),OR(CETAK!$J$11="",$F1251=CETAK!$J$11),OR(CETAK!$J$12="",$K1251=CETAK!$J$12),OR(CETAK!$J$13="",$H1251=CETAK!$J$13),OR(CETAK!$J$14="",$O1251=CETAK!$J$14)),MAX($X$3:X1250)+1,""))</f>
        <v/>
      </c>
      <c r="Y1251" s="40" t="str">
        <f aca="false">IF($B1251="","",IF(AND(OR(ABSENSI!$H$10="",$E1251=ABSENSI!$H$10),OR(ABSENSI!$H$11="",$F1251=ABSENSI!$H$11),OR(ABSENSI!$H$12="",$K1251=ABSENSI!$H$12)),MAX($Y$3:Y1250)+1,""))</f>
        <v/>
      </c>
      <c r="Z1251" s="40" t="str">
        <f aca="false">IF($B1251="","",IF(AND(OR(KARTU!$K$6="",$E1251=KARTU!$K$6),OR(KARTU!$K$7="",$F1251=KARTU!$K$7),OR(KARTU!$K$8="",$K1251=KARTU!$K$8)),MAX($Z$3:Z1250)+1,""))</f>
        <v/>
      </c>
    </row>
    <row r="1252" customFormat="false" ht="15" hidden="false" customHeight="false" outlineLevel="0" collapsed="false">
      <c r="A1252" s="36" t="str">
        <f aca="false">IF($B1252="","",COUNTA($B$4:$B1252))</f>
        <v/>
      </c>
      <c r="B1252" s="37"/>
      <c r="C1252" s="38"/>
      <c r="D1252" s="39"/>
      <c r="E1252" s="37"/>
      <c r="F1252" s="39"/>
      <c r="G1252" s="40" t="str">
        <f aca="false">IF(OR($E1252="",$F1252=""),"",$E1252&amp;" - RT "&amp;$F1252)</f>
        <v/>
      </c>
      <c r="H1252" s="37"/>
      <c r="I1252" s="38"/>
      <c r="J1252" s="37"/>
      <c r="K1252" s="39"/>
      <c r="L1252" s="41"/>
      <c r="M1252" s="36" t="str">
        <f aca="true">IF(OR($B1252="",$L1252=""),"",DATEDIF($L1252,TODAY(),"Y"))</f>
        <v/>
      </c>
      <c r="N1252" s="40" t="str">
        <f aca="false">IF($M1252="","",INDEX(usia_label,MATCH($M1252,usia_min,1)))</f>
        <v/>
      </c>
      <c r="O1252" s="37"/>
      <c r="P1252" s="41"/>
      <c r="Q1252" s="37"/>
      <c r="R1252" s="37"/>
      <c r="S1252" s="40" t="str">
        <f aca="false">IF($G1252="","",$G1252&amp;"#"&amp;COUNTIF($G$4:$G1252,$G1252))</f>
        <v/>
      </c>
      <c r="T1252" s="40" t="str">
        <f aca="false">IF($B1252="","",IF($C1252="","NIK kosong",IF(LEN($C1252)&lt;&gt;16,"NIK bukan 16 digit",IF(COUNTIF($C$4:$C$2003,$C1252&amp;"*")&gt;1,"NIK ganda",IF($E1252="","Kadus kosong",IF($F1252="","RT kosong",IF($H1252="","Jabatan kosong",IF($I1252="","No. HP kosong",IF($J1252="","Alamat kosong",IF(AND($M1252&lt;&gt;"",$M1252&lt;17),"Usia di bawah 17",""))))))))))</f>
        <v/>
      </c>
      <c r="U1252" s="40" t="str">
        <f aca="false">IF($B1252="","",IF(AND(OR(CARI!$C$5="",ISNUMBER(SEARCH(CARI!$C$5,$B1252&amp;" "&amp;$C1252&amp;" "&amp;$I1252&amp;" "&amp;$J1252&amp;" "&amp;$Q1252))),OR(CARI!$C$6="",$E1252=CARI!$C$6),OR(CARI!$C$7="",$F1252=CARI!$C$7),OR(CARI!$C$8="",$O1252=CARI!$C$8)),MAX($U$3:U1251)+1,""))</f>
        <v/>
      </c>
      <c r="V1252" s="40" t="str">
        <f aca="false">IF($T1252="","",MAX($V$3:V1251)+1)</f>
        <v/>
      </c>
      <c r="W1252" s="40" t="str">
        <f aca="false">IF($E1252="","",$E1252&amp;"#"&amp;COUNTIF($E$4:$E1252,$E1252))</f>
        <v/>
      </c>
      <c r="X1252" s="40" t="str">
        <f aca="false">IF($B1252="","",IF(AND(OR(CETAK!$J$10="",$E1252=CETAK!$J$10),OR(CETAK!$J$11="",$F1252=CETAK!$J$11),OR(CETAK!$J$12="",$K1252=CETAK!$J$12),OR(CETAK!$J$13="",$H1252=CETAK!$J$13),OR(CETAK!$J$14="",$O1252=CETAK!$J$14)),MAX($X$3:X1251)+1,""))</f>
        <v/>
      </c>
      <c r="Y1252" s="40" t="str">
        <f aca="false">IF($B1252="","",IF(AND(OR(ABSENSI!$H$10="",$E1252=ABSENSI!$H$10),OR(ABSENSI!$H$11="",$F1252=ABSENSI!$H$11),OR(ABSENSI!$H$12="",$K1252=ABSENSI!$H$12)),MAX($Y$3:Y1251)+1,""))</f>
        <v/>
      </c>
      <c r="Z1252" s="40" t="str">
        <f aca="false">IF($B1252="","",IF(AND(OR(KARTU!$K$6="",$E1252=KARTU!$K$6),OR(KARTU!$K$7="",$F1252=KARTU!$K$7),OR(KARTU!$K$8="",$K1252=KARTU!$K$8)),MAX($Z$3:Z1251)+1,""))</f>
        <v/>
      </c>
    </row>
    <row r="1253" customFormat="false" ht="15" hidden="false" customHeight="false" outlineLevel="0" collapsed="false">
      <c r="A1253" s="36" t="str">
        <f aca="false">IF($B1253="","",COUNTA($B$4:$B1253))</f>
        <v/>
      </c>
      <c r="B1253" s="37"/>
      <c r="C1253" s="38"/>
      <c r="D1253" s="39"/>
      <c r="E1253" s="37"/>
      <c r="F1253" s="39"/>
      <c r="G1253" s="40" t="str">
        <f aca="false">IF(OR($E1253="",$F1253=""),"",$E1253&amp;" - RT "&amp;$F1253)</f>
        <v/>
      </c>
      <c r="H1253" s="37"/>
      <c r="I1253" s="38"/>
      <c r="J1253" s="37"/>
      <c r="K1253" s="39"/>
      <c r="L1253" s="41"/>
      <c r="M1253" s="36" t="str">
        <f aca="true">IF(OR($B1253="",$L1253=""),"",DATEDIF($L1253,TODAY(),"Y"))</f>
        <v/>
      </c>
      <c r="N1253" s="40" t="str">
        <f aca="false">IF($M1253="","",INDEX(usia_label,MATCH($M1253,usia_min,1)))</f>
        <v/>
      </c>
      <c r="O1253" s="37"/>
      <c r="P1253" s="41"/>
      <c r="Q1253" s="37"/>
      <c r="R1253" s="37"/>
      <c r="S1253" s="40" t="str">
        <f aca="false">IF($G1253="","",$G1253&amp;"#"&amp;COUNTIF($G$4:$G1253,$G1253))</f>
        <v/>
      </c>
      <c r="T1253" s="40" t="str">
        <f aca="false">IF($B1253="","",IF($C1253="","NIK kosong",IF(LEN($C1253)&lt;&gt;16,"NIK bukan 16 digit",IF(COUNTIF($C$4:$C$2003,$C1253&amp;"*")&gt;1,"NIK ganda",IF($E1253="","Kadus kosong",IF($F1253="","RT kosong",IF($H1253="","Jabatan kosong",IF($I1253="","No. HP kosong",IF($J1253="","Alamat kosong",IF(AND($M1253&lt;&gt;"",$M1253&lt;17),"Usia di bawah 17",""))))))))))</f>
        <v/>
      </c>
      <c r="U1253" s="40" t="str">
        <f aca="false">IF($B1253="","",IF(AND(OR(CARI!$C$5="",ISNUMBER(SEARCH(CARI!$C$5,$B1253&amp;" "&amp;$C1253&amp;" "&amp;$I1253&amp;" "&amp;$J1253&amp;" "&amp;$Q1253))),OR(CARI!$C$6="",$E1253=CARI!$C$6),OR(CARI!$C$7="",$F1253=CARI!$C$7),OR(CARI!$C$8="",$O1253=CARI!$C$8)),MAX($U$3:U1252)+1,""))</f>
        <v/>
      </c>
      <c r="V1253" s="40" t="str">
        <f aca="false">IF($T1253="","",MAX($V$3:V1252)+1)</f>
        <v/>
      </c>
      <c r="W1253" s="40" t="str">
        <f aca="false">IF($E1253="","",$E1253&amp;"#"&amp;COUNTIF($E$4:$E1253,$E1253))</f>
        <v/>
      </c>
      <c r="X1253" s="40" t="str">
        <f aca="false">IF($B1253="","",IF(AND(OR(CETAK!$J$10="",$E1253=CETAK!$J$10),OR(CETAK!$J$11="",$F1253=CETAK!$J$11),OR(CETAK!$J$12="",$K1253=CETAK!$J$12),OR(CETAK!$J$13="",$H1253=CETAK!$J$13),OR(CETAK!$J$14="",$O1253=CETAK!$J$14)),MAX($X$3:X1252)+1,""))</f>
        <v/>
      </c>
      <c r="Y1253" s="40" t="str">
        <f aca="false">IF($B1253="","",IF(AND(OR(ABSENSI!$H$10="",$E1253=ABSENSI!$H$10),OR(ABSENSI!$H$11="",$F1253=ABSENSI!$H$11),OR(ABSENSI!$H$12="",$K1253=ABSENSI!$H$12)),MAX($Y$3:Y1252)+1,""))</f>
        <v/>
      </c>
      <c r="Z1253" s="40" t="str">
        <f aca="false">IF($B1253="","",IF(AND(OR(KARTU!$K$6="",$E1253=KARTU!$K$6),OR(KARTU!$K$7="",$F1253=KARTU!$K$7),OR(KARTU!$K$8="",$K1253=KARTU!$K$8)),MAX($Z$3:Z1252)+1,""))</f>
        <v/>
      </c>
    </row>
    <row r="1254" customFormat="false" ht="15" hidden="false" customHeight="false" outlineLevel="0" collapsed="false">
      <c r="A1254" s="36" t="str">
        <f aca="false">IF($B1254="","",COUNTA($B$4:$B1254))</f>
        <v/>
      </c>
      <c r="B1254" s="37"/>
      <c r="C1254" s="38"/>
      <c r="D1254" s="39"/>
      <c r="E1254" s="37"/>
      <c r="F1254" s="39"/>
      <c r="G1254" s="40" t="str">
        <f aca="false">IF(OR($E1254="",$F1254=""),"",$E1254&amp;" - RT "&amp;$F1254)</f>
        <v/>
      </c>
      <c r="H1254" s="37"/>
      <c r="I1254" s="38"/>
      <c r="J1254" s="37"/>
      <c r="K1254" s="39"/>
      <c r="L1254" s="41"/>
      <c r="M1254" s="36" t="str">
        <f aca="true">IF(OR($B1254="",$L1254=""),"",DATEDIF($L1254,TODAY(),"Y"))</f>
        <v/>
      </c>
      <c r="N1254" s="40" t="str">
        <f aca="false">IF($M1254="","",INDEX(usia_label,MATCH($M1254,usia_min,1)))</f>
        <v/>
      </c>
      <c r="O1254" s="37"/>
      <c r="P1254" s="41"/>
      <c r="Q1254" s="37"/>
      <c r="R1254" s="37"/>
      <c r="S1254" s="40" t="str">
        <f aca="false">IF($G1254="","",$G1254&amp;"#"&amp;COUNTIF($G$4:$G1254,$G1254))</f>
        <v/>
      </c>
      <c r="T1254" s="40" t="str">
        <f aca="false">IF($B1254="","",IF($C1254="","NIK kosong",IF(LEN($C1254)&lt;&gt;16,"NIK bukan 16 digit",IF(COUNTIF($C$4:$C$2003,$C1254&amp;"*")&gt;1,"NIK ganda",IF($E1254="","Kadus kosong",IF($F1254="","RT kosong",IF($H1254="","Jabatan kosong",IF($I1254="","No. HP kosong",IF($J1254="","Alamat kosong",IF(AND($M1254&lt;&gt;"",$M1254&lt;17),"Usia di bawah 17",""))))))))))</f>
        <v/>
      </c>
      <c r="U1254" s="40" t="str">
        <f aca="false">IF($B1254="","",IF(AND(OR(CARI!$C$5="",ISNUMBER(SEARCH(CARI!$C$5,$B1254&amp;" "&amp;$C1254&amp;" "&amp;$I1254&amp;" "&amp;$J1254&amp;" "&amp;$Q1254))),OR(CARI!$C$6="",$E1254=CARI!$C$6),OR(CARI!$C$7="",$F1254=CARI!$C$7),OR(CARI!$C$8="",$O1254=CARI!$C$8)),MAX($U$3:U1253)+1,""))</f>
        <v/>
      </c>
      <c r="V1254" s="40" t="str">
        <f aca="false">IF($T1254="","",MAX($V$3:V1253)+1)</f>
        <v/>
      </c>
      <c r="W1254" s="40" t="str">
        <f aca="false">IF($E1254="","",$E1254&amp;"#"&amp;COUNTIF($E$4:$E1254,$E1254))</f>
        <v/>
      </c>
      <c r="X1254" s="40" t="str">
        <f aca="false">IF($B1254="","",IF(AND(OR(CETAK!$J$10="",$E1254=CETAK!$J$10),OR(CETAK!$J$11="",$F1254=CETAK!$J$11),OR(CETAK!$J$12="",$K1254=CETAK!$J$12),OR(CETAK!$J$13="",$H1254=CETAK!$J$13),OR(CETAK!$J$14="",$O1254=CETAK!$J$14)),MAX($X$3:X1253)+1,""))</f>
        <v/>
      </c>
      <c r="Y1254" s="40" t="str">
        <f aca="false">IF($B1254="","",IF(AND(OR(ABSENSI!$H$10="",$E1254=ABSENSI!$H$10),OR(ABSENSI!$H$11="",$F1254=ABSENSI!$H$11),OR(ABSENSI!$H$12="",$K1254=ABSENSI!$H$12)),MAX($Y$3:Y1253)+1,""))</f>
        <v/>
      </c>
      <c r="Z1254" s="40" t="str">
        <f aca="false">IF($B1254="","",IF(AND(OR(KARTU!$K$6="",$E1254=KARTU!$K$6),OR(KARTU!$K$7="",$F1254=KARTU!$K$7),OR(KARTU!$K$8="",$K1254=KARTU!$K$8)),MAX($Z$3:Z1253)+1,""))</f>
        <v/>
      </c>
    </row>
    <row r="1255" customFormat="false" ht="15" hidden="false" customHeight="false" outlineLevel="0" collapsed="false">
      <c r="A1255" s="36" t="str">
        <f aca="false">IF($B1255="","",COUNTA($B$4:$B1255))</f>
        <v/>
      </c>
      <c r="B1255" s="37"/>
      <c r="C1255" s="38"/>
      <c r="D1255" s="39"/>
      <c r="E1255" s="37"/>
      <c r="F1255" s="39"/>
      <c r="G1255" s="40" t="str">
        <f aca="false">IF(OR($E1255="",$F1255=""),"",$E1255&amp;" - RT "&amp;$F1255)</f>
        <v/>
      </c>
      <c r="H1255" s="37"/>
      <c r="I1255" s="38"/>
      <c r="J1255" s="37"/>
      <c r="K1255" s="39"/>
      <c r="L1255" s="41"/>
      <c r="M1255" s="36" t="str">
        <f aca="true">IF(OR($B1255="",$L1255=""),"",DATEDIF($L1255,TODAY(),"Y"))</f>
        <v/>
      </c>
      <c r="N1255" s="40" t="str">
        <f aca="false">IF($M1255="","",INDEX(usia_label,MATCH($M1255,usia_min,1)))</f>
        <v/>
      </c>
      <c r="O1255" s="37"/>
      <c r="P1255" s="41"/>
      <c r="Q1255" s="37"/>
      <c r="R1255" s="37"/>
      <c r="S1255" s="40" t="str">
        <f aca="false">IF($G1255="","",$G1255&amp;"#"&amp;COUNTIF($G$4:$G1255,$G1255))</f>
        <v/>
      </c>
      <c r="T1255" s="40" t="str">
        <f aca="false">IF($B1255="","",IF($C1255="","NIK kosong",IF(LEN($C1255)&lt;&gt;16,"NIK bukan 16 digit",IF(COUNTIF($C$4:$C$2003,$C1255&amp;"*")&gt;1,"NIK ganda",IF($E1255="","Kadus kosong",IF($F1255="","RT kosong",IF($H1255="","Jabatan kosong",IF($I1255="","No. HP kosong",IF($J1255="","Alamat kosong",IF(AND($M1255&lt;&gt;"",$M1255&lt;17),"Usia di bawah 17",""))))))))))</f>
        <v/>
      </c>
      <c r="U1255" s="40" t="str">
        <f aca="false">IF($B1255="","",IF(AND(OR(CARI!$C$5="",ISNUMBER(SEARCH(CARI!$C$5,$B1255&amp;" "&amp;$C1255&amp;" "&amp;$I1255&amp;" "&amp;$J1255&amp;" "&amp;$Q1255))),OR(CARI!$C$6="",$E1255=CARI!$C$6),OR(CARI!$C$7="",$F1255=CARI!$C$7),OR(CARI!$C$8="",$O1255=CARI!$C$8)),MAX($U$3:U1254)+1,""))</f>
        <v/>
      </c>
      <c r="V1255" s="40" t="str">
        <f aca="false">IF($T1255="","",MAX($V$3:V1254)+1)</f>
        <v/>
      </c>
      <c r="W1255" s="40" t="str">
        <f aca="false">IF($E1255="","",$E1255&amp;"#"&amp;COUNTIF($E$4:$E1255,$E1255))</f>
        <v/>
      </c>
      <c r="X1255" s="40" t="str">
        <f aca="false">IF($B1255="","",IF(AND(OR(CETAK!$J$10="",$E1255=CETAK!$J$10),OR(CETAK!$J$11="",$F1255=CETAK!$J$11),OR(CETAK!$J$12="",$K1255=CETAK!$J$12),OR(CETAK!$J$13="",$H1255=CETAK!$J$13),OR(CETAK!$J$14="",$O1255=CETAK!$J$14)),MAX($X$3:X1254)+1,""))</f>
        <v/>
      </c>
      <c r="Y1255" s="40" t="str">
        <f aca="false">IF($B1255="","",IF(AND(OR(ABSENSI!$H$10="",$E1255=ABSENSI!$H$10),OR(ABSENSI!$H$11="",$F1255=ABSENSI!$H$11),OR(ABSENSI!$H$12="",$K1255=ABSENSI!$H$12)),MAX($Y$3:Y1254)+1,""))</f>
        <v/>
      </c>
      <c r="Z1255" s="40" t="str">
        <f aca="false">IF($B1255="","",IF(AND(OR(KARTU!$K$6="",$E1255=KARTU!$K$6),OR(KARTU!$K$7="",$F1255=KARTU!$K$7),OR(KARTU!$K$8="",$K1255=KARTU!$K$8)),MAX($Z$3:Z1254)+1,""))</f>
        <v/>
      </c>
    </row>
    <row r="1256" customFormat="false" ht="15" hidden="false" customHeight="false" outlineLevel="0" collapsed="false">
      <c r="A1256" s="36" t="str">
        <f aca="false">IF($B1256="","",COUNTA($B$4:$B1256))</f>
        <v/>
      </c>
      <c r="B1256" s="37"/>
      <c r="C1256" s="38"/>
      <c r="D1256" s="39"/>
      <c r="E1256" s="37"/>
      <c r="F1256" s="39"/>
      <c r="G1256" s="40" t="str">
        <f aca="false">IF(OR($E1256="",$F1256=""),"",$E1256&amp;" - RT "&amp;$F1256)</f>
        <v/>
      </c>
      <c r="H1256" s="37"/>
      <c r="I1256" s="38"/>
      <c r="J1256" s="37"/>
      <c r="K1256" s="39"/>
      <c r="L1256" s="41"/>
      <c r="M1256" s="36" t="str">
        <f aca="true">IF(OR($B1256="",$L1256=""),"",DATEDIF($L1256,TODAY(),"Y"))</f>
        <v/>
      </c>
      <c r="N1256" s="40" t="str">
        <f aca="false">IF($M1256="","",INDEX(usia_label,MATCH($M1256,usia_min,1)))</f>
        <v/>
      </c>
      <c r="O1256" s="37"/>
      <c r="P1256" s="41"/>
      <c r="Q1256" s="37"/>
      <c r="R1256" s="37"/>
      <c r="S1256" s="40" t="str">
        <f aca="false">IF($G1256="","",$G1256&amp;"#"&amp;COUNTIF($G$4:$G1256,$G1256))</f>
        <v/>
      </c>
      <c r="T1256" s="40" t="str">
        <f aca="false">IF($B1256="","",IF($C1256="","NIK kosong",IF(LEN($C1256)&lt;&gt;16,"NIK bukan 16 digit",IF(COUNTIF($C$4:$C$2003,$C1256&amp;"*")&gt;1,"NIK ganda",IF($E1256="","Kadus kosong",IF($F1256="","RT kosong",IF($H1256="","Jabatan kosong",IF($I1256="","No. HP kosong",IF($J1256="","Alamat kosong",IF(AND($M1256&lt;&gt;"",$M1256&lt;17),"Usia di bawah 17",""))))))))))</f>
        <v/>
      </c>
      <c r="U1256" s="40" t="str">
        <f aca="false">IF($B1256="","",IF(AND(OR(CARI!$C$5="",ISNUMBER(SEARCH(CARI!$C$5,$B1256&amp;" "&amp;$C1256&amp;" "&amp;$I1256&amp;" "&amp;$J1256&amp;" "&amp;$Q1256))),OR(CARI!$C$6="",$E1256=CARI!$C$6),OR(CARI!$C$7="",$F1256=CARI!$C$7),OR(CARI!$C$8="",$O1256=CARI!$C$8)),MAX($U$3:U1255)+1,""))</f>
        <v/>
      </c>
      <c r="V1256" s="40" t="str">
        <f aca="false">IF($T1256="","",MAX($V$3:V1255)+1)</f>
        <v/>
      </c>
      <c r="W1256" s="40" t="str">
        <f aca="false">IF($E1256="","",$E1256&amp;"#"&amp;COUNTIF($E$4:$E1256,$E1256))</f>
        <v/>
      </c>
      <c r="X1256" s="40" t="str">
        <f aca="false">IF($B1256="","",IF(AND(OR(CETAK!$J$10="",$E1256=CETAK!$J$10),OR(CETAK!$J$11="",$F1256=CETAK!$J$11),OR(CETAK!$J$12="",$K1256=CETAK!$J$12),OR(CETAK!$J$13="",$H1256=CETAK!$J$13),OR(CETAK!$J$14="",$O1256=CETAK!$J$14)),MAX($X$3:X1255)+1,""))</f>
        <v/>
      </c>
      <c r="Y1256" s="40" t="str">
        <f aca="false">IF($B1256="","",IF(AND(OR(ABSENSI!$H$10="",$E1256=ABSENSI!$H$10),OR(ABSENSI!$H$11="",$F1256=ABSENSI!$H$11),OR(ABSENSI!$H$12="",$K1256=ABSENSI!$H$12)),MAX($Y$3:Y1255)+1,""))</f>
        <v/>
      </c>
      <c r="Z1256" s="40" t="str">
        <f aca="false">IF($B1256="","",IF(AND(OR(KARTU!$K$6="",$E1256=KARTU!$K$6),OR(KARTU!$K$7="",$F1256=KARTU!$K$7),OR(KARTU!$K$8="",$K1256=KARTU!$K$8)),MAX($Z$3:Z1255)+1,""))</f>
        <v/>
      </c>
    </row>
    <row r="1257" customFormat="false" ht="15" hidden="false" customHeight="false" outlineLevel="0" collapsed="false">
      <c r="A1257" s="36" t="str">
        <f aca="false">IF($B1257="","",COUNTA($B$4:$B1257))</f>
        <v/>
      </c>
      <c r="B1257" s="37"/>
      <c r="C1257" s="38"/>
      <c r="D1257" s="39"/>
      <c r="E1257" s="37"/>
      <c r="F1257" s="39"/>
      <c r="G1257" s="40" t="str">
        <f aca="false">IF(OR($E1257="",$F1257=""),"",$E1257&amp;" - RT "&amp;$F1257)</f>
        <v/>
      </c>
      <c r="H1257" s="37"/>
      <c r="I1257" s="38"/>
      <c r="J1257" s="37"/>
      <c r="K1257" s="39"/>
      <c r="L1257" s="41"/>
      <c r="M1257" s="36" t="str">
        <f aca="true">IF(OR($B1257="",$L1257=""),"",DATEDIF($L1257,TODAY(),"Y"))</f>
        <v/>
      </c>
      <c r="N1257" s="40" t="str">
        <f aca="false">IF($M1257="","",INDEX(usia_label,MATCH($M1257,usia_min,1)))</f>
        <v/>
      </c>
      <c r="O1257" s="37"/>
      <c r="P1257" s="41"/>
      <c r="Q1257" s="37"/>
      <c r="R1257" s="37"/>
      <c r="S1257" s="40" t="str">
        <f aca="false">IF($G1257="","",$G1257&amp;"#"&amp;COUNTIF($G$4:$G1257,$G1257))</f>
        <v/>
      </c>
      <c r="T1257" s="40" t="str">
        <f aca="false">IF($B1257="","",IF($C1257="","NIK kosong",IF(LEN($C1257)&lt;&gt;16,"NIK bukan 16 digit",IF(COUNTIF($C$4:$C$2003,$C1257&amp;"*")&gt;1,"NIK ganda",IF($E1257="","Kadus kosong",IF($F1257="","RT kosong",IF($H1257="","Jabatan kosong",IF($I1257="","No. HP kosong",IF($J1257="","Alamat kosong",IF(AND($M1257&lt;&gt;"",$M1257&lt;17),"Usia di bawah 17",""))))))))))</f>
        <v/>
      </c>
      <c r="U1257" s="40" t="str">
        <f aca="false">IF($B1257="","",IF(AND(OR(CARI!$C$5="",ISNUMBER(SEARCH(CARI!$C$5,$B1257&amp;" "&amp;$C1257&amp;" "&amp;$I1257&amp;" "&amp;$J1257&amp;" "&amp;$Q1257))),OR(CARI!$C$6="",$E1257=CARI!$C$6),OR(CARI!$C$7="",$F1257=CARI!$C$7),OR(CARI!$C$8="",$O1257=CARI!$C$8)),MAX($U$3:U1256)+1,""))</f>
        <v/>
      </c>
      <c r="V1257" s="40" t="str">
        <f aca="false">IF($T1257="","",MAX($V$3:V1256)+1)</f>
        <v/>
      </c>
      <c r="W1257" s="40" t="str">
        <f aca="false">IF($E1257="","",$E1257&amp;"#"&amp;COUNTIF($E$4:$E1257,$E1257))</f>
        <v/>
      </c>
      <c r="X1257" s="40" t="str">
        <f aca="false">IF($B1257="","",IF(AND(OR(CETAK!$J$10="",$E1257=CETAK!$J$10),OR(CETAK!$J$11="",$F1257=CETAK!$J$11),OR(CETAK!$J$12="",$K1257=CETAK!$J$12),OR(CETAK!$J$13="",$H1257=CETAK!$J$13),OR(CETAK!$J$14="",$O1257=CETAK!$J$14)),MAX($X$3:X1256)+1,""))</f>
        <v/>
      </c>
      <c r="Y1257" s="40" t="str">
        <f aca="false">IF($B1257="","",IF(AND(OR(ABSENSI!$H$10="",$E1257=ABSENSI!$H$10),OR(ABSENSI!$H$11="",$F1257=ABSENSI!$H$11),OR(ABSENSI!$H$12="",$K1257=ABSENSI!$H$12)),MAX($Y$3:Y1256)+1,""))</f>
        <v/>
      </c>
      <c r="Z1257" s="40" t="str">
        <f aca="false">IF($B1257="","",IF(AND(OR(KARTU!$K$6="",$E1257=KARTU!$K$6),OR(KARTU!$K$7="",$F1257=KARTU!$K$7),OR(KARTU!$K$8="",$K1257=KARTU!$K$8)),MAX($Z$3:Z1256)+1,""))</f>
        <v/>
      </c>
    </row>
    <row r="1258" customFormat="false" ht="15" hidden="false" customHeight="false" outlineLevel="0" collapsed="false">
      <c r="A1258" s="36" t="str">
        <f aca="false">IF($B1258="","",COUNTA($B$4:$B1258))</f>
        <v/>
      </c>
      <c r="B1258" s="37"/>
      <c r="C1258" s="38"/>
      <c r="D1258" s="39"/>
      <c r="E1258" s="37"/>
      <c r="F1258" s="39"/>
      <c r="G1258" s="40" t="str">
        <f aca="false">IF(OR($E1258="",$F1258=""),"",$E1258&amp;" - RT "&amp;$F1258)</f>
        <v/>
      </c>
      <c r="H1258" s="37"/>
      <c r="I1258" s="38"/>
      <c r="J1258" s="37"/>
      <c r="K1258" s="39"/>
      <c r="L1258" s="41"/>
      <c r="M1258" s="36" t="str">
        <f aca="true">IF(OR($B1258="",$L1258=""),"",DATEDIF($L1258,TODAY(),"Y"))</f>
        <v/>
      </c>
      <c r="N1258" s="40" t="str">
        <f aca="false">IF($M1258="","",INDEX(usia_label,MATCH($M1258,usia_min,1)))</f>
        <v/>
      </c>
      <c r="O1258" s="37"/>
      <c r="P1258" s="41"/>
      <c r="Q1258" s="37"/>
      <c r="R1258" s="37"/>
      <c r="S1258" s="40" t="str">
        <f aca="false">IF($G1258="","",$G1258&amp;"#"&amp;COUNTIF($G$4:$G1258,$G1258))</f>
        <v/>
      </c>
      <c r="T1258" s="40" t="str">
        <f aca="false">IF($B1258="","",IF($C1258="","NIK kosong",IF(LEN($C1258)&lt;&gt;16,"NIK bukan 16 digit",IF(COUNTIF($C$4:$C$2003,$C1258&amp;"*")&gt;1,"NIK ganda",IF($E1258="","Kadus kosong",IF($F1258="","RT kosong",IF($H1258="","Jabatan kosong",IF($I1258="","No. HP kosong",IF($J1258="","Alamat kosong",IF(AND($M1258&lt;&gt;"",$M1258&lt;17),"Usia di bawah 17",""))))))))))</f>
        <v/>
      </c>
      <c r="U1258" s="40" t="str">
        <f aca="false">IF($B1258="","",IF(AND(OR(CARI!$C$5="",ISNUMBER(SEARCH(CARI!$C$5,$B1258&amp;" "&amp;$C1258&amp;" "&amp;$I1258&amp;" "&amp;$J1258&amp;" "&amp;$Q1258))),OR(CARI!$C$6="",$E1258=CARI!$C$6),OR(CARI!$C$7="",$F1258=CARI!$C$7),OR(CARI!$C$8="",$O1258=CARI!$C$8)),MAX($U$3:U1257)+1,""))</f>
        <v/>
      </c>
      <c r="V1258" s="40" t="str">
        <f aca="false">IF($T1258="","",MAX($V$3:V1257)+1)</f>
        <v/>
      </c>
      <c r="W1258" s="40" t="str">
        <f aca="false">IF($E1258="","",$E1258&amp;"#"&amp;COUNTIF($E$4:$E1258,$E1258))</f>
        <v/>
      </c>
      <c r="X1258" s="40" t="str">
        <f aca="false">IF($B1258="","",IF(AND(OR(CETAK!$J$10="",$E1258=CETAK!$J$10),OR(CETAK!$J$11="",$F1258=CETAK!$J$11),OR(CETAK!$J$12="",$K1258=CETAK!$J$12),OR(CETAK!$J$13="",$H1258=CETAK!$J$13),OR(CETAK!$J$14="",$O1258=CETAK!$J$14)),MAX($X$3:X1257)+1,""))</f>
        <v/>
      </c>
      <c r="Y1258" s="40" t="str">
        <f aca="false">IF($B1258="","",IF(AND(OR(ABSENSI!$H$10="",$E1258=ABSENSI!$H$10),OR(ABSENSI!$H$11="",$F1258=ABSENSI!$H$11),OR(ABSENSI!$H$12="",$K1258=ABSENSI!$H$12)),MAX($Y$3:Y1257)+1,""))</f>
        <v/>
      </c>
      <c r="Z1258" s="40" t="str">
        <f aca="false">IF($B1258="","",IF(AND(OR(KARTU!$K$6="",$E1258=KARTU!$K$6),OR(KARTU!$K$7="",$F1258=KARTU!$K$7),OR(KARTU!$K$8="",$K1258=KARTU!$K$8)),MAX($Z$3:Z1257)+1,""))</f>
        <v/>
      </c>
    </row>
    <row r="1259" customFormat="false" ht="15" hidden="false" customHeight="false" outlineLevel="0" collapsed="false">
      <c r="A1259" s="36" t="str">
        <f aca="false">IF($B1259="","",COUNTA($B$4:$B1259))</f>
        <v/>
      </c>
      <c r="B1259" s="37"/>
      <c r="C1259" s="38"/>
      <c r="D1259" s="39"/>
      <c r="E1259" s="37"/>
      <c r="F1259" s="39"/>
      <c r="G1259" s="40" t="str">
        <f aca="false">IF(OR($E1259="",$F1259=""),"",$E1259&amp;" - RT "&amp;$F1259)</f>
        <v/>
      </c>
      <c r="H1259" s="37"/>
      <c r="I1259" s="38"/>
      <c r="J1259" s="37"/>
      <c r="K1259" s="39"/>
      <c r="L1259" s="41"/>
      <c r="M1259" s="36" t="str">
        <f aca="true">IF(OR($B1259="",$L1259=""),"",DATEDIF($L1259,TODAY(),"Y"))</f>
        <v/>
      </c>
      <c r="N1259" s="40" t="str">
        <f aca="false">IF($M1259="","",INDEX(usia_label,MATCH($M1259,usia_min,1)))</f>
        <v/>
      </c>
      <c r="O1259" s="37"/>
      <c r="P1259" s="41"/>
      <c r="Q1259" s="37"/>
      <c r="R1259" s="37"/>
      <c r="S1259" s="40" t="str">
        <f aca="false">IF($G1259="","",$G1259&amp;"#"&amp;COUNTIF($G$4:$G1259,$G1259))</f>
        <v/>
      </c>
      <c r="T1259" s="40" t="str">
        <f aca="false">IF($B1259="","",IF($C1259="","NIK kosong",IF(LEN($C1259)&lt;&gt;16,"NIK bukan 16 digit",IF(COUNTIF($C$4:$C$2003,$C1259&amp;"*")&gt;1,"NIK ganda",IF($E1259="","Kadus kosong",IF($F1259="","RT kosong",IF($H1259="","Jabatan kosong",IF($I1259="","No. HP kosong",IF($J1259="","Alamat kosong",IF(AND($M1259&lt;&gt;"",$M1259&lt;17),"Usia di bawah 17",""))))))))))</f>
        <v/>
      </c>
      <c r="U1259" s="40" t="str">
        <f aca="false">IF($B1259="","",IF(AND(OR(CARI!$C$5="",ISNUMBER(SEARCH(CARI!$C$5,$B1259&amp;" "&amp;$C1259&amp;" "&amp;$I1259&amp;" "&amp;$J1259&amp;" "&amp;$Q1259))),OR(CARI!$C$6="",$E1259=CARI!$C$6),OR(CARI!$C$7="",$F1259=CARI!$C$7),OR(CARI!$C$8="",$O1259=CARI!$C$8)),MAX($U$3:U1258)+1,""))</f>
        <v/>
      </c>
      <c r="V1259" s="40" t="str">
        <f aca="false">IF($T1259="","",MAX($V$3:V1258)+1)</f>
        <v/>
      </c>
      <c r="W1259" s="40" t="str">
        <f aca="false">IF($E1259="","",$E1259&amp;"#"&amp;COUNTIF($E$4:$E1259,$E1259))</f>
        <v/>
      </c>
      <c r="X1259" s="40" t="str">
        <f aca="false">IF($B1259="","",IF(AND(OR(CETAK!$J$10="",$E1259=CETAK!$J$10),OR(CETAK!$J$11="",$F1259=CETAK!$J$11),OR(CETAK!$J$12="",$K1259=CETAK!$J$12),OR(CETAK!$J$13="",$H1259=CETAK!$J$13),OR(CETAK!$J$14="",$O1259=CETAK!$J$14)),MAX($X$3:X1258)+1,""))</f>
        <v/>
      </c>
      <c r="Y1259" s="40" t="str">
        <f aca="false">IF($B1259="","",IF(AND(OR(ABSENSI!$H$10="",$E1259=ABSENSI!$H$10),OR(ABSENSI!$H$11="",$F1259=ABSENSI!$H$11),OR(ABSENSI!$H$12="",$K1259=ABSENSI!$H$12)),MAX($Y$3:Y1258)+1,""))</f>
        <v/>
      </c>
      <c r="Z1259" s="40" t="str">
        <f aca="false">IF($B1259="","",IF(AND(OR(KARTU!$K$6="",$E1259=KARTU!$K$6),OR(KARTU!$K$7="",$F1259=KARTU!$K$7),OR(KARTU!$K$8="",$K1259=KARTU!$K$8)),MAX($Z$3:Z1258)+1,""))</f>
        <v/>
      </c>
    </row>
    <row r="1260" customFormat="false" ht="15" hidden="false" customHeight="false" outlineLevel="0" collapsed="false">
      <c r="A1260" s="36" t="str">
        <f aca="false">IF($B1260="","",COUNTA($B$4:$B1260))</f>
        <v/>
      </c>
      <c r="B1260" s="37"/>
      <c r="C1260" s="38"/>
      <c r="D1260" s="39"/>
      <c r="E1260" s="37"/>
      <c r="F1260" s="39"/>
      <c r="G1260" s="40" t="str">
        <f aca="false">IF(OR($E1260="",$F1260=""),"",$E1260&amp;" - RT "&amp;$F1260)</f>
        <v/>
      </c>
      <c r="H1260" s="37"/>
      <c r="I1260" s="38"/>
      <c r="J1260" s="37"/>
      <c r="K1260" s="39"/>
      <c r="L1260" s="41"/>
      <c r="M1260" s="36" t="str">
        <f aca="true">IF(OR($B1260="",$L1260=""),"",DATEDIF($L1260,TODAY(),"Y"))</f>
        <v/>
      </c>
      <c r="N1260" s="40" t="str">
        <f aca="false">IF($M1260="","",INDEX(usia_label,MATCH($M1260,usia_min,1)))</f>
        <v/>
      </c>
      <c r="O1260" s="37"/>
      <c r="P1260" s="41"/>
      <c r="Q1260" s="37"/>
      <c r="R1260" s="37"/>
      <c r="S1260" s="40" t="str">
        <f aca="false">IF($G1260="","",$G1260&amp;"#"&amp;COUNTIF($G$4:$G1260,$G1260))</f>
        <v/>
      </c>
      <c r="T1260" s="40" t="str">
        <f aca="false">IF($B1260="","",IF($C1260="","NIK kosong",IF(LEN($C1260)&lt;&gt;16,"NIK bukan 16 digit",IF(COUNTIF($C$4:$C$2003,$C1260&amp;"*")&gt;1,"NIK ganda",IF($E1260="","Kadus kosong",IF($F1260="","RT kosong",IF($H1260="","Jabatan kosong",IF($I1260="","No. HP kosong",IF($J1260="","Alamat kosong",IF(AND($M1260&lt;&gt;"",$M1260&lt;17),"Usia di bawah 17",""))))))))))</f>
        <v/>
      </c>
      <c r="U1260" s="40" t="str">
        <f aca="false">IF($B1260="","",IF(AND(OR(CARI!$C$5="",ISNUMBER(SEARCH(CARI!$C$5,$B1260&amp;" "&amp;$C1260&amp;" "&amp;$I1260&amp;" "&amp;$J1260&amp;" "&amp;$Q1260))),OR(CARI!$C$6="",$E1260=CARI!$C$6),OR(CARI!$C$7="",$F1260=CARI!$C$7),OR(CARI!$C$8="",$O1260=CARI!$C$8)),MAX($U$3:U1259)+1,""))</f>
        <v/>
      </c>
      <c r="V1260" s="40" t="str">
        <f aca="false">IF($T1260="","",MAX($V$3:V1259)+1)</f>
        <v/>
      </c>
      <c r="W1260" s="40" t="str">
        <f aca="false">IF($E1260="","",$E1260&amp;"#"&amp;COUNTIF($E$4:$E1260,$E1260))</f>
        <v/>
      </c>
      <c r="X1260" s="40" t="str">
        <f aca="false">IF($B1260="","",IF(AND(OR(CETAK!$J$10="",$E1260=CETAK!$J$10),OR(CETAK!$J$11="",$F1260=CETAK!$J$11),OR(CETAK!$J$12="",$K1260=CETAK!$J$12),OR(CETAK!$J$13="",$H1260=CETAK!$J$13),OR(CETAK!$J$14="",$O1260=CETAK!$J$14)),MAX($X$3:X1259)+1,""))</f>
        <v/>
      </c>
      <c r="Y1260" s="40" t="str">
        <f aca="false">IF($B1260="","",IF(AND(OR(ABSENSI!$H$10="",$E1260=ABSENSI!$H$10),OR(ABSENSI!$H$11="",$F1260=ABSENSI!$H$11),OR(ABSENSI!$H$12="",$K1260=ABSENSI!$H$12)),MAX($Y$3:Y1259)+1,""))</f>
        <v/>
      </c>
      <c r="Z1260" s="40" t="str">
        <f aca="false">IF($B1260="","",IF(AND(OR(KARTU!$K$6="",$E1260=KARTU!$K$6),OR(KARTU!$K$7="",$F1260=KARTU!$K$7),OR(KARTU!$K$8="",$K1260=KARTU!$K$8)),MAX($Z$3:Z1259)+1,""))</f>
        <v/>
      </c>
    </row>
    <row r="1261" customFormat="false" ht="15" hidden="false" customHeight="false" outlineLevel="0" collapsed="false">
      <c r="A1261" s="36" t="str">
        <f aca="false">IF($B1261="","",COUNTA($B$4:$B1261))</f>
        <v/>
      </c>
      <c r="B1261" s="37"/>
      <c r="C1261" s="38"/>
      <c r="D1261" s="39"/>
      <c r="E1261" s="37"/>
      <c r="F1261" s="39"/>
      <c r="G1261" s="40" t="str">
        <f aca="false">IF(OR($E1261="",$F1261=""),"",$E1261&amp;" - RT "&amp;$F1261)</f>
        <v/>
      </c>
      <c r="H1261" s="37"/>
      <c r="I1261" s="38"/>
      <c r="J1261" s="37"/>
      <c r="K1261" s="39"/>
      <c r="L1261" s="41"/>
      <c r="M1261" s="36" t="str">
        <f aca="true">IF(OR($B1261="",$L1261=""),"",DATEDIF($L1261,TODAY(),"Y"))</f>
        <v/>
      </c>
      <c r="N1261" s="40" t="str">
        <f aca="false">IF($M1261="","",INDEX(usia_label,MATCH($M1261,usia_min,1)))</f>
        <v/>
      </c>
      <c r="O1261" s="37"/>
      <c r="P1261" s="41"/>
      <c r="Q1261" s="37"/>
      <c r="R1261" s="37"/>
      <c r="S1261" s="40" t="str">
        <f aca="false">IF($G1261="","",$G1261&amp;"#"&amp;COUNTIF($G$4:$G1261,$G1261))</f>
        <v/>
      </c>
      <c r="T1261" s="40" t="str">
        <f aca="false">IF($B1261="","",IF($C1261="","NIK kosong",IF(LEN($C1261)&lt;&gt;16,"NIK bukan 16 digit",IF(COUNTIF($C$4:$C$2003,$C1261&amp;"*")&gt;1,"NIK ganda",IF($E1261="","Kadus kosong",IF($F1261="","RT kosong",IF($H1261="","Jabatan kosong",IF($I1261="","No. HP kosong",IF($J1261="","Alamat kosong",IF(AND($M1261&lt;&gt;"",$M1261&lt;17),"Usia di bawah 17",""))))))))))</f>
        <v/>
      </c>
      <c r="U1261" s="40" t="str">
        <f aca="false">IF($B1261="","",IF(AND(OR(CARI!$C$5="",ISNUMBER(SEARCH(CARI!$C$5,$B1261&amp;" "&amp;$C1261&amp;" "&amp;$I1261&amp;" "&amp;$J1261&amp;" "&amp;$Q1261))),OR(CARI!$C$6="",$E1261=CARI!$C$6),OR(CARI!$C$7="",$F1261=CARI!$C$7),OR(CARI!$C$8="",$O1261=CARI!$C$8)),MAX($U$3:U1260)+1,""))</f>
        <v/>
      </c>
      <c r="V1261" s="40" t="str">
        <f aca="false">IF($T1261="","",MAX($V$3:V1260)+1)</f>
        <v/>
      </c>
      <c r="W1261" s="40" t="str">
        <f aca="false">IF($E1261="","",$E1261&amp;"#"&amp;COUNTIF($E$4:$E1261,$E1261))</f>
        <v/>
      </c>
      <c r="X1261" s="40" t="str">
        <f aca="false">IF($B1261="","",IF(AND(OR(CETAK!$J$10="",$E1261=CETAK!$J$10),OR(CETAK!$J$11="",$F1261=CETAK!$J$11),OR(CETAK!$J$12="",$K1261=CETAK!$J$12),OR(CETAK!$J$13="",$H1261=CETAK!$J$13),OR(CETAK!$J$14="",$O1261=CETAK!$J$14)),MAX($X$3:X1260)+1,""))</f>
        <v/>
      </c>
      <c r="Y1261" s="40" t="str">
        <f aca="false">IF($B1261="","",IF(AND(OR(ABSENSI!$H$10="",$E1261=ABSENSI!$H$10),OR(ABSENSI!$H$11="",$F1261=ABSENSI!$H$11),OR(ABSENSI!$H$12="",$K1261=ABSENSI!$H$12)),MAX($Y$3:Y1260)+1,""))</f>
        <v/>
      </c>
      <c r="Z1261" s="40" t="str">
        <f aca="false">IF($B1261="","",IF(AND(OR(KARTU!$K$6="",$E1261=KARTU!$K$6),OR(KARTU!$K$7="",$F1261=KARTU!$K$7),OR(KARTU!$K$8="",$K1261=KARTU!$K$8)),MAX($Z$3:Z1260)+1,""))</f>
        <v/>
      </c>
    </row>
    <row r="1262" customFormat="false" ht="15" hidden="false" customHeight="false" outlineLevel="0" collapsed="false">
      <c r="A1262" s="36" t="str">
        <f aca="false">IF($B1262="","",COUNTA($B$4:$B1262))</f>
        <v/>
      </c>
      <c r="B1262" s="37"/>
      <c r="C1262" s="38"/>
      <c r="D1262" s="39"/>
      <c r="E1262" s="37"/>
      <c r="F1262" s="39"/>
      <c r="G1262" s="40" t="str">
        <f aca="false">IF(OR($E1262="",$F1262=""),"",$E1262&amp;" - RT "&amp;$F1262)</f>
        <v/>
      </c>
      <c r="H1262" s="37"/>
      <c r="I1262" s="38"/>
      <c r="J1262" s="37"/>
      <c r="K1262" s="39"/>
      <c r="L1262" s="41"/>
      <c r="M1262" s="36" t="str">
        <f aca="true">IF(OR($B1262="",$L1262=""),"",DATEDIF($L1262,TODAY(),"Y"))</f>
        <v/>
      </c>
      <c r="N1262" s="40" t="str">
        <f aca="false">IF($M1262="","",INDEX(usia_label,MATCH($M1262,usia_min,1)))</f>
        <v/>
      </c>
      <c r="O1262" s="37"/>
      <c r="P1262" s="41"/>
      <c r="Q1262" s="37"/>
      <c r="R1262" s="37"/>
      <c r="S1262" s="40" t="str">
        <f aca="false">IF($G1262="","",$G1262&amp;"#"&amp;COUNTIF($G$4:$G1262,$G1262))</f>
        <v/>
      </c>
      <c r="T1262" s="40" t="str">
        <f aca="false">IF($B1262="","",IF($C1262="","NIK kosong",IF(LEN($C1262)&lt;&gt;16,"NIK bukan 16 digit",IF(COUNTIF($C$4:$C$2003,$C1262&amp;"*")&gt;1,"NIK ganda",IF($E1262="","Kadus kosong",IF($F1262="","RT kosong",IF($H1262="","Jabatan kosong",IF($I1262="","No. HP kosong",IF($J1262="","Alamat kosong",IF(AND($M1262&lt;&gt;"",$M1262&lt;17),"Usia di bawah 17",""))))))))))</f>
        <v/>
      </c>
      <c r="U1262" s="40" t="str">
        <f aca="false">IF($B1262="","",IF(AND(OR(CARI!$C$5="",ISNUMBER(SEARCH(CARI!$C$5,$B1262&amp;" "&amp;$C1262&amp;" "&amp;$I1262&amp;" "&amp;$J1262&amp;" "&amp;$Q1262))),OR(CARI!$C$6="",$E1262=CARI!$C$6),OR(CARI!$C$7="",$F1262=CARI!$C$7),OR(CARI!$C$8="",$O1262=CARI!$C$8)),MAX($U$3:U1261)+1,""))</f>
        <v/>
      </c>
      <c r="V1262" s="40" t="str">
        <f aca="false">IF($T1262="","",MAX($V$3:V1261)+1)</f>
        <v/>
      </c>
      <c r="W1262" s="40" t="str">
        <f aca="false">IF($E1262="","",$E1262&amp;"#"&amp;COUNTIF($E$4:$E1262,$E1262))</f>
        <v/>
      </c>
      <c r="X1262" s="40" t="str">
        <f aca="false">IF($B1262="","",IF(AND(OR(CETAK!$J$10="",$E1262=CETAK!$J$10),OR(CETAK!$J$11="",$F1262=CETAK!$J$11),OR(CETAK!$J$12="",$K1262=CETAK!$J$12),OR(CETAK!$J$13="",$H1262=CETAK!$J$13),OR(CETAK!$J$14="",$O1262=CETAK!$J$14)),MAX($X$3:X1261)+1,""))</f>
        <v/>
      </c>
      <c r="Y1262" s="40" t="str">
        <f aca="false">IF($B1262="","",IF(AND(OR(ABSENSI!$H$10="",$E1262=ABSENSI!$H$10),OR(ABSENSI!$H$11="",$F1262=ABSENSI!$H$11),OR(ABSENSI!$H$12="",$K1262=ABSENSI!$H$12)),MAX($Y$3:Y1261)+1,""))</f>
        <v/>
      </c>
      <c r="Z1262" s="40" t="str">
        <f aca="false">IF($B1262="","",IF(AND(OR(KARTU!$K$6="",$E1262=KARTU!$K$6),OR(KARTU!$K$7="",$F1262=KARTU!$K$7),OR(KARTU!$K$8="",$K1262=KARTU!$K$8)),MAX($Z$3:Z1261)+1,""))</f>
        <v/>
      </c>
    </row>
    <row r="1263" customFormat="false" ht="15" hidden="false" customHeight="false" outlineLevel="0" collapsed="false">
      <c r="A1263" s="36" t="str">
        <f aca="false">IF($B1263="","",COUNTA($B$4:$B1263))</f>
        <v/>
      </c>
      <c r="B1263" s="37"/>
      <c r="C1263" s="38"/>
      <c r="D1263" s="39"/>
      <c r="E1263" s="37"/>
      <c r="F1263" s="39"/>
      <c r="G1263" s="40" t="str">
        <f aca="false">IF(OR($E1263="",$F1263=""),"",$E1263&amp;" - RT "&amp;$F1263)</f>
        <v/>
      </c>
      <c r="H1263" s="37"/>
      <c r="I1263" s="38"/>
      <c r="J1263" s="37"/>
      <c r="K1263" s="39"/>
      <c r="L1263" s="41"/>
      <c r="M1263" s="36" t="str">
        <f aca="true">IF(OR($B1263="",$L1263=""),"",DATEDIF($L1263,TODAY(),"Y"))</f>
        <v/>
      </c>
      <c r="N1263" s="40" t="str">
        <f aca="false">IF($M1263="","",INDEX(usia_label,MATCH($M1263,usia_min,1)))</f>
        <v/>
      </c>
      <c r="O1263" s="37"/>
      <c r="P1263" s="41"/>
      <c r="Q1263" s="37"/>
      <c r="R1263" s="37"/>
      <c r="S1263" s="40" t="str">
        <f aca="false">IF($G1263="","",$G1263&amp;"#"&amp;COUNTIF($G$4:$G1263,$G1263))</f>
        <v/>
      </c>
      <c r="T1263" s="40" t="str">
        <f aca="false">IF($B1263="","",IF($C1263="","NIK kosong",IF(LEN($C1263)&lt;&gt;16,"NIK bukan 16 digit",IF(COUNTIF($C$4:$C$2003,$C1263&amp;"*")&gt;1,"NIK ganda",IF($E1263="","Kadus kosong",IF($F1263="","RT kosong",IF($H1263="","Jabatan kosong",IF($I1263="","No. HP kosong",IF($J1263="","Alamat kosong",IF(AND($M1263&lt;&gt;"",$M1263&lt;17),"Usia di bawah 17",""))))))))))</f>
        <v/>
      </c>
      <c r="U1263" s="40" t="str">
        <f aca="false">IF($B1263="","",IF(AND(OR(CARI!$C$5="",ISNUMBER(SEARCH(CARI!$C$5,$B1263&amp;" "&amp;$C1263&amp;" "&amp;$I1263&amp;" "&amp;$J1263&amp;" "&amp;$Q1263))),OR(CARI!$C$6="",$E1263=CARI!$C$6),OR(CARI!$C$7="",$F1263=CARI!$C$7),OR(CARI!$C$8="",$O1263=CARI!$C$8)),MAX($U$3:U1262)+1,""))</f>
        <v/>
      </c>
      <c r="V1263" s="40" t="str">
        <f aca="false">IF($T1263="","",MAX($V$3:V1262)+1)</f>
        <v/>
      </c>
      <c r="W1263" s="40" t="str">
        <f aca="false">IF($E1263="","",$E1263&amp;"#"&amp;COUNTIF($E$4:$E1263,$E1263))</f>
        <v/>
      </c>
      <c r="X1263" s="40" t="str">
        <f aca="false">IF($B1263="","",IF(AND(OR(CETAK!$J$10="",$E1263=CETAK!$J$10),OR(CETAK!$J$11="",$F1263=CETAK!$J$11),OR(CETAK!$J$12="",$K1263=CETAK!$J$12),OR(CETAK!$J$13="",$H1263=CETAK!$J$13),OR(CETAK!$J$14="",$O1263=CETAK!$J$14)),MAX($X$3:X1262)+1,""))</f>
        <v/>
      </c>
      <c r="Y1263" s="40" t="str">
        <f aca="false">IF($B1263="","",IF(AND(OR(ABSENSI!$H$10="",$E1263=ABSENSI!$H$10),OR(ABSENSI!$H$11="",$F1263=ABSENSI!$H$11),OR(ABSENSI!$H$12="",$K1263=ABSENSI!$H$12)),MAX($Y$3:Y1262)+1,""))</f>
        <v/>
      </c>
      <c r="Z1263" s="40" t="str">
        <f aca="false">IF($B1263="","",IF(AND(OR(KARTU!$K$6="",$E1263=KARTU!$K$6),OR(KARTU!$K$7="",$F1263=KARTU!$K$7),OR(KARTU!$K$8="",$K1263=KARTU!$K$8)),MAX($Z$3:Z1262)+1,""))</f>
        <v/>
      </c>
    </row>
    <row r="1264" customFormat="false" ht="15" hidden="false" customHeight="false" outlineLevel="0" collapsed="false">
      <c r="A1264" s="36" t="str">
        <f aca="false">IF($B1264="","",COUNTA($B$4:$B1264))</f>
        <v/>
      </c>
      <c r="B1264" s="37"/>
      <c r="C1264" s="38"/>
      <c r="D1264" s="39"/>
      <c r="E1264" s="37"/>
      <c r="F1264" s="39"/>
      <c r="G1264" s="40" t="str">
        <f aca="false">IF(OR($E1264="",$F1264=""),"",$E1264&amp;" - RT "&amp;$F1264)</f>
        <v/>
      </c>
      <c r="H1264" s="37"/>
      <c r="I1264" s="38"/>
      <c r="J1264" s="37"/>
      <c r="K1264" s="39"/>
      <c r="L1264" s="41"/>
      <c r="M1264" s="36" t="str">
        <f aca="true">IF(OR($B1264="",$L1264=""),"",DATEDIF($L1264,TODAY(),"Y"))</f>
        <v/>
      </c>
      <c r="N1264" s="40" t="str">
        <f aca="false">IF($M1264="","",INDEX(usia_label,MATCH($M1264,usia_min,1)))</f>
        <v/>
      </c>
      <c r="O1264" s="37"/>
      <c r="P1264" s="41"/>
      <c r="Q1264" s="37"/>
      <c r="R1264" s="37"/>
      <c r="S1264" s="40" t="str">
        <f aca="false">IF($G1264="","",$G1264&amp;"#"&amp;COUNTIF($G$4:$G1264,$G1264))</f>
        <v/>
      </c>
      <c r="T1264" s="40" t="str">
        <f aca="false">IF($B1264="","",IF($C1264="","NIK kosong",IF(LEN($C1264)&lt;&gt;16,"NIK bukan 16 digit",IF(COUNTIF($C$4:$C$2003,$C1264&amp;"*")&gt;1,"NIK ganda",IF($E1264="","Kadus kosong",IF($F1264="","RT kosong",IF($H1264="","Jabatan kosong",IF($I1264="","No. HP kosong",IF($J1264="","Alamat kosong",IF(AND($M1264&lt;&gt;"",$M1264&lt;17),"Usia di bawah 17",""))))))))))</f>
        <v/>
      </c>
      <c r="U1264" s="40" t="str">
        <f aca="false">IF($B1264="","",IF(AND(OR(CARI!$C$5="",ISNUMBER(SEARCH(CARI!$C$5,$B1264&amp;" "&amp;$C1264&amp;" "&amp;$I1264&amp;" "&amp;$J1264&amp;" "&amp;$Q1264))),OR(CARI!$C$6="",$E1264=CARI!$C$6),OR(CARI!$C$7="",$F1264=CARI!$C$7),OR(CARI!$C$8="",$O1264=CARI!$C$8)),MAX($U$3:U1263)+1,""))</f>
        <v/>
      </c>
      <c r="V1264" s="40" t="str">
        <f aca="false">IF($T1264="","",MAX($V$3:V1263)+1)</f>
        <v/>
      </c>
      <c r="W1264" s="40" t="str">
        <f aca="false">IF($E1264="","",$E1264&amp;"#"&amp;COUNTIF($E$4:$E1264,$E1264))</f>
        <v/>
      </c>
      <c r="X1264" s="40" t="str">
        <f aca="false">IF($B1264="","",IF(AND(OR(CETAK!$J$10="",$E1264=CETAK!$J$10),OR(CETAK!$J$11="",$F1264=CETAK!$J$11),OR(CETAK!$J$12="",$K1264=CETAK!$J$12),OR(CETAK!$J$13="",$H1264=CETAK!$J$13),OR(CETAK!$J$14="",$O1264=CETAK!$J$14)),MAX($X$3:X1263)+1,""))</f>
        <v/>
      </c>
      <c r="Y1264" s="40" t="str">
        <f aca="false">IF($B1264="","",IF(AND(OR(ABSENSI!$H$10="",$E1264=ABSENSI!$H$10),OR(ABSENSI!$H$11="",$F1264=ABSENSI!$H$11),OR(ABSENSI!$H$12="",$K1264=ABSENSI!$H$12)),MAX($Y$3:Y1263)+1,""))</f>
        <v/>
      </c>
      <c r="Z1264" s="40" t="str">
        <f aca="false">IF($B1264="","",IF(AND(OR(KARTU!$K$6="",$E1264=KARTU!$K$6),OR(KARTU!$K$7="",$F1264=KARTU!$K$7),OR(KARTU!$K$8="",$K1264=KARTU!$K$8)),MAX($Z$3:Z1263)+1,""))</f>
        <v/>
      </c>
    </row>
    <row r="1265" customFormat="false" ht="15" hidden="false" customHeight="false" outlineLevel="0" collapsed="false">
      <c r="A1265" s="36" t="str">
        <f aca="false">IF($B1265="","",COUNTA($B$4:$B1265))</f>
        <v/>
      </c>
      <c r="B1265" s="37"/>
      <c r="C1265" s="38"/>
      <c r="D1265" s="39"/>
      <c r="E1265" s="37"/>
      <c r="F1265" s="39"/>
      <c r="G1265" s="40" t="str">
        <f aca="false">IF(OR($E1265="",$F1265=""),"",$E1265&amp;" - RT "&amp;$F1265)</f>
        <v/>
      </c>
      <c r="H1265" s="37"/>
      <c r="I1265" s="38"/>
      <c r="J1265" s="37"/>
      <c r="K1265" s="39"/>
      <c r="L1265" s="41"/>
      <c r="M1265" s="36" t="str">
        <f aca="true">IF(OR($B1265="",$L1265=""),"",DATEDIF($L1265,TODAY(),"Y"))</f>
        <v/>
      </c>
      <c r="N1265" s="40" t="str">
        <f aca="false">IF($M1265="","",INDEX(usia_label,MATCH($M1265,usia_min,1)))</f>
        <v/>
      </c>
      <c r="O1265" s="37"/>
      <c r="P1265" s="41"/>
      <c r="Q1265" s="37"/>
      <c r="R1265" s="37"/>
      <c r="S1265" s="40" t="str">
        <f aca="false">IF($G1265="","",$G1265&amp;"#"&amp;COUNTIF($G$4:$G1265,$G1265))</f>
        <v/>
      </c>
      <c r="T1265" s="40" t="str">
        <f aca="false">IF($B1265="","",IF($C1265="","NIK kosong",IF(LEN($C1265)&lt;&gt;16,"NIK bukan 16 digit",IF(COUNTIF($C$4:$C$2003,$C1265&amp;"*")&gt;1,"NIK ganda",IF($E1265="","Kadus kosong",IF($F1265="","RT kosong",IF($H1265="","Jabatan kosong",IF($I1265="","No. HP kosong",IF($J1265="","Alamat kosong",IF(AND($M1265&lt;&gt;"",$M1265&lt;17),"Usia di bawah 17",""))))))))))</f>
        <v/>
      </c>
      <c r="U1265" s="40" t="str">
        <f aca="false">IF($B1265="","",IF(AND(OR(CARI!$C$5="",ISNUMBER(SEARCH(CARI!$C$5,$B1265&amp;" "&amp;$C1265&amp;" "&amp;$I1265&amp;" "&amp;$J1265&amp;" "&amp;$Q1265))),OR(CARI!$C$6="",$E1265=CARI!$C$6),OR(CARI!$C$7="",$F1265=CARI!$C$7),OR(CARI!$C$8="",$O1265=CARI!$C$8)),MAX($U$3:U1264)+1,""))</f>
        <v/>
      </c>
      <c r="V1265" s="40" t="str">
        <f aca="false">IF($T1265="","",MAX($V$3:V1264)+1)</f>
        <v/>
      </c>
      <c r="W1265" s="40" t="str">
        <f aca="false">IF($E1265="","",$E1265&amp;"#"&amp;COUNTIF($E$4:$E1265,$E1265))</f>
        <v/>
      </c>
      <c r="X1265" s="40" t="str">
        <f aca="false">IF($B1265="","",IF(AND(OR(CETAK!$J$10="",$E1265=CETAK!$J$10),OR(CETAK!$J$11="",$F1265=CETAK!$J$11),OR(CETAK!$J$12="",$K1265=CETAK!$J$12),OR(CETAK!$J$13="",$H1265=CETAK!$J$13),OR(CETAK!$J$14="",$O1265=CETAK!$J$14)),MAX($X$3:X1264)+1,""))</f>
        <v/>
      </c>
      <c r="Y1265" s="40" t="str">
        <f aca="false">IF($B1265="","",IF(AND(OR(ABSENSI!$H$10="",$E1265=ABSENSI!$H$10),OR(ABSENSI!$H$11="",$F1265=ABSENSI!$H$11),OR(ABSENSI!$H$12="",$K1265=ABSENSI!$H$12)),MAX($Y$3:Y1264)+1,""))</f>
        <v/>
      </c>
      <c r="Z1265" s="40" t="str">
        <f aca="false">IF($B1265="","",IF(AND(OR(KARTU!$K$6="",$E1265=KARTU!$K$6),OR(KARTU!$K$7="",$F1265=KARTU!$K$7),OR(KARTU!$K$8="",$K1265=KARTU!$K$8)),MAX($Z$3:Z1264)+1,""))</f>
        <v/>
      </c>
    </row>
    <row r="1266" customFormat="false" ht="15" hidden="false" customHeight="false" outlineLevel="0" collapsed="false">
      <c r="A1266" s="36" t="str">
        <f aca="false">IF($B1266="","",COUNTA($B$4:$B1266))</f>
        <v/>
      </c>
      <c r="B1266" s="37"/>
      <c r="C1266" s="38"/>
      <c r="D1266" s="39"/>
      <c r="E1266" s="37"/>
      <c r="F1266" s="39"/>
      <c r="G1266" s="40" t="str">
        <f aca="false">IF(OR($E1266="",$F1266=""),"",$E1266&amp;" - RT "&amp;$F1266)</f>
        <v/>
      </c>
      <c r="H1266" s="37"/>
      <c r="I1266" s="38"/>
      <c r="J1266" s="37"/>
      <c r="K1266" s="39"/>
      <c r="L1266" s="41"/>
      <c r="M1266" s="36" t="str">
        <f aca="true">IF(OR($B1266="",$L1266=""),"",DATEDIF($L1266,TODAY(),"Y"))</f>
        <v/>
      </c>
      <c r="N1266" s="40" t="str">
        <f aca="false">IF($M1266="","",INDEX(usia_label,MATCH($M1266,usia_min,1)))</f>
        <v/>
      </c>
      <c r="O1266" s="37"/>
      <c r="P1266" s="41"/>
      <c r="Q1266" s="37"/>
      <c r="R1266" s="37"/>
      <c r="S1266" s="40" t="str">
        <f aca="false">IF($G1266="","",$G1266&amp;"#"&amp;COUNTIF($G$4:$G1266,$G1266))</f>
        <v/>
      </c>
      <c r="T1266" s="40" t="str">
        <f aca="false">IF($B1266="","",IF($C1266="","NIK kosong",IF(LEN($C1266)&lt;&gt;16,"NIK bukan 16 digit",IF(COUNTIF($C$4:$C$2003,$C1266&amp;"*")&gt;1,"NIK ganda",IF($E1266="","Kadus kosong",IF($F1266="","RT kosong",IF($H1266="","Jabatan kosong",IF($I1266="","No. HP kosong",IF($J1266="","Alamat kosong",IF(AND($M1266&lt;&gt;"",$M1266&lt;17),"Usia di bawah 17",""))))))))))</f>
        <v/>
      </c>
      <c r="U1266" s="40" t="str">
        <f aca="false">IF($B1266="","",IF(AND(OR(CARI!$C$5="",ISNUMBER(SEARCH(CARI!$C$5,$B1266&amp;" "&amp;$C1266&amp;" "&amp;$I1266&amp;" "&amp;$J1266&amp;" "&amp;$Q1266))),OR(CARI!$C$6="",$E1266=CARI!$C$6),OR(CARI!$C$7="",$F1266=CARI!$C$7),OR(CARI!$C$8="",$O1266=CARI!$C$8)),MAX($U$3:U1265)+1,""))</f>
        <v/>
      </c>
      <c r="V1266" s="40" t="str">
        <f aca="false">IF($T1266="","",MAX($V$3:V1265)+1)</f>
        <v/>
      </c>
      <c r="W1266" s="40" t="str">
        <f aca="false">IF($E1266="","",$E1266&amp;"#"&amp;COUNTIF($E$4:$E1266,$E1266))</f>
        <v/>
      </c>
      <c r="X1266" s="40" t="str">
        <f aca="false">IF($B1266="","",IF(AND(OR(CETAK!$J$10="",$E1266=CETAK!$J$10),OR(CETAK!$J$11="",$F1266=CETAK!$J$11),OR(CETAK!$J$12="",$K1266=CETAK!$J$12),OR(CETAK!$J$13="",$H1266=CETAK!$J$13),OR(CETAK!$J$14="",$O1266=CETAK!$J$14)),MAX($X$3:X1265)+1,""))</f>
        <v/>
      </c>
      <c r="Y1266" s="40" t="str">
        <f aca="false">IF($B1266="","",IF(AND(OR(ABSENSI!$H$10="",$E1266=ABSENSI!$H$10),OR(ABSENSI!$H$11="",$F1266=ABSENSI!$H$11),OR(ABSENSI!$H$12="",$K1266=ABSENSI!$H$12)),MAX($Y$3:Y1265)+1,""))</f>
        <v/>
      </c>
      <c r="Z1266" s="40" t="str">
        <f aca="false">IF($B1266="","",IF(AND(OR(KARTU!$K$6="",$E1266=KARTU!$K$6),OR(KARTU!$K$7="",$F1266=KARTU!$K$7),OR(KARTU!$K$8="",$K1266=KARTU!$K$8)),MAX($Z$3:Z1265)+1,""))</f>
        <v/>
      </c>
    </row>
    <row r="1267" customFormat="false" ht="15" hidden="false" customHeight="false" outlineLevel="0" collapsed="false">
      <c r="A1267" s="36" t="str">
        <f aca="false">IF($B1267="","",COUNTA($B$4:$B1267))</f>
        <v/>
      </c>
      <c r="B1267" s="37"/>
      <c r="C1267" s="38"/>
      <c r="D1267" s="39"/>
      <c r="E1267" s="37"/>
      <c r="F1267" s="39"/>
      <c r="G1267" s="40" t="str">
        <f aca="false">IF(OR($E1267="",$F1267=""),"",$E1267&amp;" - RT "&amp;$F1267)</f>
        <v/>
      </c>
      <c r="H1267" s="37"/>
      <c r="I1267" s="38"/>
      <c r="J1267" s="37"/>
      <c r="K1267" s="39"/>
      <c r="L1267" s="41"/>
      <c r="M1267" s="36" t="str">
        <f aca="true">IF(OR($B1267="",$L1267=""),"",DATEDIF($L1267,TODAY(),"Y"))</f>
        <v/>
      </c>
      <c r="N1267" s="40" t="str">
        <f aca="false">IF($M1267="","",INDEX(usia_label,MATCH($M1267,usia_min,1)))</f>
        <v/>
      </c>
      <c r="O1267" s="37"/>
      <c r="P1267" s="41"/>
      <c r="Q1267" s="37"/>
      <c r="R1267" s="37"/>
      <c r="S1267" s="40" t="str">
        <f aca="false">IF($G1267="","",$G1267&amp;"#"&amp;COUNTIF($G$4:$G1267,$G1267))</f>
        <v/>
      </c>
      <c r="T1267" s="40" t="str">
        <f aca="false">IF($B1267="","",IF($C1267="","NIK kosong",IF(LEN($C1267)&lt;&gt;16,"NIK bukan 16 digit",IF(COUNTIF($C$4:$C$2003,$C1267&amp;"*")&gt;1,"NIK ganda",IF($E1267="","Kadus kosong",IF($F1267="","RT kosong",IF($H1267="","Jabatan kosong",IF($I1267="","No. HP kosong",IF($J1267="","Alamat kosong",IF(AND($M1267&lt;&gt;"",$M1267&lt;17),"Usia di bawah 17",""))))))))))</f>
        <v/>
      </c>
      <c r="U1267" s="40" t="str">
        <f aca="false">IF($B1267="","",IF(AND(OR(CARI!$C$5="",ISNUMBER(SEARCH(CARI!$C$5,$B1267&amp;" "&amp;$C1267&amp;" "&amp;$I1267&amp;" "&amp;$J1267&amp;" "&amp;$Q1267))),OR(CARI!$C$6="",$E1267=CARI!$C$6),OR(CARI!$C$7="",$F1267=CARI!$C$7),OR(CARI!$C$8="",$O1267=CARI!$C$8)),MAX($U$3:U1266)+1,""))</f>
        <v/>
      </c>
      <c r="V1267" s="40" t="str">
        <f aca="false">IF($T1267="","",MAX($V$3:V1266)+1)</f>
        <v/>
      </c>
      <c r="W1267" s="40" t="str">
        <f aca="false">IF($E1267="","",$E1267&amp;"#"&amp;COUNTIF($E$4:$E1267,$E1267))</f>
        <v/>
      </c>
      <c r="X1267" s="40" t="str">
        <f aca="false">IF($B1267="","",IF(AND(OR(CETAK!$J$10="",$E1267=CETAK!$J$10),OR(CETAK!$J$11="",$F1267=CETAK!$J$11),OR(CETAK!$J$12="",$K1267=CETAK!$J$12),OR(CETAK!$J$13="",$H1267=CETAK!$J$13),OR(CETAK!$J$14="",$O1267=CETAK!$J$14)),MAX($X$3:X1266)+1,""))</f>
        <v/>
      </c>
      <c r="Y1267" s="40" t="str">
        <f aca="false">IF($B1267="","",IF(AND(OR(ABSENSI!$H$10="",$E1267=ABSENSI!$H$10),OR(ABSENSI!$H$11="",$F1267=ABSENSI!$H$11),OR(ABSENSI!$H$12="",$K1267=ABSENSI!$H$12)),MAX($Y$3:Y1266)+1,""))</f>
        <v/>
      </c>
      <c r="Z1267" s="40" t="str">
        <f aca="false">IF($B1267="","",IF(AND(OR(KARTU!$K$6="",$E1267=KARTU!$K$6),OR(KARTU!$K$7="",$F1267=KARTU!$K$7),OR(KARTU!$K$8="",$K1267=KARTU!$K$8)),MAX($Z$3:Z1266)+1,""))</f>
        <v/>
      </c>
    </row>
    <row r="1268" customFormat="false" ht="15" hidden="false" customHeight="false" outlineLevel="0" collapsed="false">
      <c r="A1268" s="36" t="str">
        <f aca="false">IF($B1268="","",COUNTA($B$4:$B1268))</f>
        <v/>
      </c>
      <c r="B1268" s="37"/>
      <c r="C1268" s="38"/>
      <c r="D1268" s="39"/>
      <c r="E1268" s="37"/>
      <c r="F1268" s="39"/>
      <c r="G1268" s="40" t="str">
        <f aca="false">IF(OR($E1268="",$F1268=""),"",$E1268&amp;" - RT "&amp;$F1268)</f>
        <v/>
      </c>
      <c r="H1268" s="37"/>
      <c r="I1268" s="38"/>
      <c r="J1268" s="37"/>
      <c r="K1268" s="39"/>
      <c r="L1268" s="41"/>
      <c r="M1268" s="36" t="str">
        <f aca="true">IF(OR($B1268="",$L1268=""),"",DATEDIF($L1268,TODAY(),"Y"))</f>
        <v/>
      </c>
      <c r="N1268" s="40" t="str">
        <f aca="false">IF($M1268="","",INDEX(usia_label,MATCH($M1268,usia_min,1)))</f>
        <v/>
      </c>
      <c r="O1268" s="37"/>
      <c r="P1268" s="41"/>
      <c r="Q1268" s="37"/>
      <c r="R1268" s="37"/>
      <c r="S1268" s="40" t="str">
        <f aca="false">IF($G1268="","",$G1268&amp;"#"&amp;COUNTIF($G$4:$G1268,$G1268))</f>
        <v/>
      </c>
      <c r="T1268" s="40" t="str">
        <f aca="false">IF($B1268="","",IF($C1268="","NIK kosong",IF(LEN($C1268)&lt;&gt;16,"NIK bukan 16 digit",IF(COUNTIF($C$4:$C$2003,$C1268&amp;"*")&gt;1,"NIK ganda",IF($E1268="","Kadus kosong",IF($F1268="","RT kosong",IF($H1268="","Jabatan kosong",IF($I1268="","No. HP kosong",IF($J1268="","Alamat kosong",IF(AND($M1268&lt;&gt;"",$M1268&lt;17),"Usia di bawah 17",""))))))))))</f>
        <v/>
      </c>
      <c r="U1268" s="40" t="str">
        <f aca="false">IF($B1268="","",IF(AND(OR(CARI!$C$5="",ISNUMBER(SEARCH(CARI!$C$5,$B1268&amp;" "&amp;$C1268&amp;" "&amp;$I1268&amp;" "&amp;$J1268&amp;" "&amp;$Q1268))),OR(CARI!$C$6="",$E1268=CARI!$C$6),OR(CARI!$C$7="",$F1268=CARI!$C$7),OR(CARI!$C$8="",$O1268=CARI!$C$8)),MAX($U$3:U1267)+1,""))</f>
        <v/>
      </c>
      <c r="V1268" s="40" t="str">
        <f aca="false">IF($T1268="","",MAX($V$3:V1267)+1)</f>
        <v/>
      </c>
      <c r="W1268" s="40" t="str">
        <f aca="false">IF($E1268="","",$E1268&amp;"#"&amp;COUNTIF($E$4:$E1268,$E1268))</f>
        <v/>
      </c>
      <c r="X1268" s="40" t="str">
        <f aca="false">IF($B1268="","",IF(AND(OR(CETAK!$J$10="",$E1268=CETAK!$J$10),OR(CETAK!$J$11="",$F1268=CETAK!$J$11),OR(CETAK!$J$12="",$K1268=CETAK!$J$12),OR(CETAK!$J$13="",$H1268=CETAK!$J$13),OR(CETAK!$J$14="",$O1268=CETAK!$J$14)),MAX($X$3:X1267)+1,""))</f>
        <v/>
      </c>
      <c r="Y1268" s="40" t="str">
        <f aca="false">IF($B1268="","",IF(AND(OR(ABSENSI!$H$10="",$E1268=ABSENSI!$H$10),OR(ABSENSI!$H$11="",$F1268=ABSENSI!$H$11),OR(ABSENSI!$H$12="",$K1268=ABSENSI!$H$12)),MAX($Y$3:Y1267)+1,""))</f>
        <v/>
      </c>
      <c r="Z1268" s="40" t="str">
        <f aca="false">IF($B1268="","",IF(AND(OR(KARTU!$K$6="",$E1268=KARTU!$K$6),OR(KARTU!$K$7="",$F1268=KARTU!$K$7),OR(KARTU!$K$8="",$K1268=KARTU!$K$8)),MAX($Z$3:Z1267)+1,""))</f>
        <v/>
      </c>
    </row>
    <row r="1269" customFormat="false" ht="15" hidden="false" customHeight="false" outlineLevel="0" collapsed="false">
      <c r="A1269" s="36" t="str">
        <f aca="false">IF($B1269="","",COUNTA($B$4:$B1269))</f>
        <v/>
      </c>
      <c r="B1269" s="37"/>
      <c r="C1269" s="38"/>
      <c r="D1269" s="39"/>
      <c r="E1269" s="37"/>
      <c r="F1269" s="39"/>
      <c r="G1269" s="40" t="str">
        <f aca="false">IF(OR($E1269="",$F1269=""),"",$E1269&amp;" - RT "&amp;$F1269)</f>
        <v/>
      </c>
      <c r="H1269" s="37"/>
      <c r="I1269" s="38"/>
      <c r="J1269" s="37"/>
      <c r="K1269" s="39"/>
      <c r="L1269" s="41"/>
      <c r="M1269" s="36" t="str">
        <f aca="true">IF(OR($B1269="",$L1269=""),"",DATEDIF($L1269,TODAY(),"Y"))</f>
        <v/>
      </c>
      <c r="N1269" s="40" t="str">
        <f aca="false">IF($M1269="","",INDEX(usia_label,MATCH($M1269,usia_min,1)))</f>
        <v/>
      </c>
      <c r="O1269" s="37"/>
      <c r="P1269" s="41"/>
      <c r="Q1269" s="37"/>
      <c r="R1269" s="37"/>
      <c r="S1269" s="40" t="str">
        <f aca="false">IF($G1269="","",$G1269&amp;"#"&amp;COUNTIF($G$4:$G1269,$G1269))</f>
        <v/>
      </c>
      <c r="T1269" s="40" t="str">
        <f aca="false">IF($B1269="","",IF($C1269="","NIK kosong",IF(LEN($C1269)&lt;&gt;16,"NIK bukan 16 digit",IF(COUNTIF($C$4:$C$2003,$C1269&amp;"*")&gt;1,"NIK ganda",IF($E1269="","Kadus kosong",IF($F1269="","RT kosong",IF($H1269="","Jabatan kosong",IF($I1269="","No. HP kosong",IF($J1269="","Alamat kosong",IF(AND($M1269&lt;&gt;"",$M1269&lt;17),"Usia di bawah 17",""))))))))))</f>
        <v/>
      </c>
      <c r="U1269" s="40" t="str">
        <f aca="false">IF($B1269="","",IF(AND(OR(CARI!$C$5="",ISNUMBER(SEARCH(CARI!$C$5,$B1269&amp;" "&amp;$C1269&amp;" "&amp;$I1269&amp;" "&amp;$J1269&amp;" "&amp;$Q1269))),OR(CARI!$C$6="",$E1269=CARI!$C$6),OR(CARI!$C$7="",$F1269=CARI!$C$7),OR(CARI!$C$8="",$O1269=CARI!$C$8)),MAX($U$3:U1268)+1,""))</f>
        <v/>
      </c>
      <c r="V1269" s="40" t="str">
        <f aca="false">IF($T1269="","",MAX($V$3:V1268)+1)</f>
        <v/>
      </c>
      <c r="W1269" s="40" t="str">
        <f aca="false">IF($E1269="","",$E1269&amp;"#"&amp;COUNTIF($E$4:$E1269,$E1269))</f>
        <v/>
      </c>
      <c r="X1269" s="40" t="str">
        <f aca="false">IF($B1269="","",IF(AND(OR(CETAK!$J$10="",$E1269=CETAK!$J$10),OR(CETAK!$J$11="",$F1269=CETAK!$J$11),OR(CETAK!$J$12="",$K1269=CETAK!$J$12),OR(CETAK!$J$13="",$H1269=CETAK!$J$13),OR(CETAK!$J$14="",$O1269=CETAK!$J$14)),MAX($X$3:X1268)+1,""))</f>
        <v/>
      </c>
      <c r="Y1269" s="40" t="str">
        <f aca="false">IF($B1269="","",IF(AND(OR(ABSENSI!$H$10="",$E1269=ABSENSI!$H$10),OR(ABSENSI!$H$11="",$F1269=ABSENSI!$H$11),OR(ABSENSI!$H$12="",$K1269=ABSENSI!$H$12)),MAX($Y$3:Y1268)+1,""))</f>
        <v/>
      </c>
      <c r="Z1269" s="40" t="str">
        <f aca="false">IF($B1269="","",IF(AND(OR(KARTU!$K$6="",$E1269=KARTU!$K$6),OR(KARTU!$K$7="",$F1269=KARTU!$K$7),OR(KARTU!$K$8="",$K1269=KARTU!$K$8)),MAX($Z$3:Z1268)+1,""))</f>
        <v/>
      </c>
    </row>
    <row r="1270" customFormat="false" ht="15" hidden="false" customHeight="false" outlineLevel="0" collapsed="false">
      <c r="A1270" s="36" t="str">
        <f aca="false">IF($B1270="","",COUNTA($B$4:$B1270))</f>
        <v/>
      </c>
      <c r="B1270" s="37"/>
      <c r="C1270" s="38"/>
      <c r="D1270" s="39"/>
      <c r="E1270" s="37"/>
      <c r="F1270" s="39"/>
      <c r="G1270" s="40" t="str">
        <f aca="false">IF(OR($E1270="",$F1270=""),"",$E1270&amp;" - RT "&amp;$F1270)</f>
        <v/>
      </c>
      <c r="H1270" s="37"/>
      <c r="I1270" s="38"/>
      <c r="J1270" s="37"/>
      <c r="K1270" s="39"/>
      <c r="L1270" s="41"/>
      <c r="M1270" s="36" t="str">
        <f aca="true">IF(OR($B1270="",$L1270=""),"",DATEDIF($L1270,TODAY(),"Y"))</f>
        <v/>
      </c>
      <c r="N1270" s="40" t="str">
        <f aca="false">IF($M1270="","",INDEX(usia_label,MATCH($M1270,usia_min,1)))</f>
        <v/>
      </c>
      <c r="O1270" s="37"/>
      <c r="P1270" s="41"/>
      <c r="Q1270" s="37"/>
      <c r="R1270" s="37"/>
      <c r="S1270" s="40" t="str">
        <f aca="false">IF($G1270="","",$G1270&amp;"#"&amp;COUNTIF($G$4:$G1270,$G1270))</f>
        <v/>
      </c>
      <c r="T1270" s="40" t="str">
        <f aca="false">IF($B1270="","",IF($C1270="","NIK kosong",IF(LEN($C1270)&lt;&gt;16,"NIK bukan 16 digit",IF(COUNTIF($C$4:$C$2003,$C1270&amp;"*")&gt;1,"NIK ganda",IF($E1270="","Kadus kosong",IF($F1270="","RT kosong",IF($H1270="","Jabatan kosong",IF($I1270="","No. HP kosong",IF($J1270="","Alamat kosong",IF(AND($M1270&lt;&gt;"",$M1270&lt;17),"Usia di bawah 17",""))))))))))</f>
        <v/>
      </c>
      <c r="U1270" s="40" t="str">
        <f aca="false">IF($B1270="","",IF(AND(OR(CARI!$C$5="",ISNUMBER(SEARCH(CARI!$C$5,$B1270&amp;" "&amp;$C1270&amp;" "&amp;$I1270&amp;" "&amp;$J1270&amp;" "&amp;$Q1270))),OR(CARI!$C$6="",$E1270=CARI!$C$6),OR(CARI!$C$7="",$F1270=CARI!$C$7),OR(CARI!$C$8="",$O1270=CARI!$C$8)),MAX($U$3:U1269)+1,""))</f>
        <v/>
      </c>
      <c r="V1270" s="40" t="str">
        <f aca="false">IF($T1270="","",MAX($V$3:V1269)+1)</f>
        <v/>
      </c>
      <c r="W1270" s="40" t="str">
        <f aca="false">IF($E1270="","",$E1270&amp;"#"&amp;COUNTIF($E$4:$E1270,$E1270))</f>
        <v/>
      </c>
      <c r="X1270" s="40" t="str">
        <f aca="false">IF($B1270="","",IF(AND(OR(CETAK!$J$10="",$E1270=CETAK!$J$10),OR(CETAK!$J$11="",$F1270=CETAK!$J$11),OR(CETAK!$J$12="",$K1270=CETAK!$J$12),OR(CETAK!$J$13="",$H1270=CETAK!$J$13),OR(CETAK!$J$14="",$O1270=CETAK!$J$14)),MAX($X$3:X1269)+1,""))</f>
        <v/>
      </c>
      <c r="Y1270" s="40" t="str">
        <f aca="false">IF($B1270="","",IF(AND(OR(ABSENSI!$H$10="",$E1270=ABSENSI!$H$10),OR(ABSENSI!$H$11="",$F1270=ABSENSI!$H$11),OR(ABSENSI!$H$12="",$K1270=ABSENSI!$H$12)),MAX($Y$3:Y1269)+1,""))</f>
        <v/>
      </c>
      <c r="Z1270" s="40" t="str">
        <f aca="false">IF($B1270="","",IF(AND(OR(KARTU!$K$6="",$E1270=KARTU!$K$6),OR(KARTU!$K$7="",$F1270=KARTU!$K$7),OR(KARTU!$K$8="",$K1270=KARTU!$K$8)),MAX($Z$3:Z1269)+1,""))</f>
        <v/>
      </c>
    </row>
    <row r="1271" customFormat="false" ht="15" hidden="false" customHeight="false" outlineLevel="0" collapsed="false">
      <c r="A1271" s="36" t="str">
        <f aca="false">IF($B1271="","",COUNTA($B$4:$B1271))</f>
        <v/>
      </c>
      <c r="B1271" s="37"/>
      <c r="C1271" s="38"/>
      <c r="D1271" s="39"/>
      <c r="E1271" s="37"/>
      <c r="F1271" s="39"/>
      <c r="G1271" s="40" t="str">
        <f aca="false">IF(OR($E1271="",$F1271=""),"",$E1271&amp;" - RT "&amp;$F1271)</f>
        <v/>
      </c>
      <c r="H1271" s="37"/>
      <c r="I1271" s="38"/>
      <c r="J1271" s="37"/>
      <c r="K1271" s="39"/>
      <c r="L1271" s="41"/>
      <c r="M1271" s="36" t="str">
        <f aca="true">IF(OR($B1271="",$L1271=""),"",DATEDIF($L1271,TODAY(),"Y"))</f>
        <v/>
      </c>
      <c r="N1271" s="40" t="str">
        <f aca="false">IF($M1271="","",INDEX(usia_label,MATCH($M1271,usia_min,1)))</f>
        <v/>
      </c>
      <c r="O1271" s="37"/>
      <c r="P1271" s="41"/>
      <c r="Q1271" s="37"/>
      <c r="R1271" s="37"/>
      <c r="S1271" s="40" t="str">
        <f aca="false">IF($G1271="","",$G1271&amp;"#"&amp;COUNTIF($G$4:$G1271,$G1271))</f>
        <v/>
      </c>
      <c r="T1271" s="40" t="str">
        <f aca="false">IF($B1271="","",IF($C1271="","NIK kosong",IF(LEN($C1271)&lt;&gt;16,"NIK bukan 16 digit",IF(COUNTIF($C$4:$C$2003,$C1271&amp;"*")&gt;1,"NIK ganda",IF($E1271="","Kadus kosong",IF($F1271="","RT kosong",IF($H1271="","Jabatan kosong",IF($I1271="","No. HP kosong",IF($J1271="","Alamat kosong",IF(AND($M1271&lt;&gt;"",$M1271&lt;17),"Usia di bawah 17",""))))))))))</f>
        <v/>
      </c>
      <c r="U1271" s="40" t="str">
        <f aca="false">IF($B1271="","",IF(AND(OR(CARI!$C$5="",ISNUMBER(SEARCH(CARI!$C$5,$B1271&amp;" "&amp;$C1271&amp;" "&amp;$I1271&amp;" "&amp;$J1271&amp;" "&amp;$Q1271))),OR(CARI!$C$6="",$E1271=CARI!$C$6),OR(CARI!$C$7="",$F1271=CARI!$C$7),OR(CARI!$C$8="",$O1271=CARI!$C$8)),MAX($U$3:U1270)+1,""))</f>
        <v/>
      </c>
      <c r="V1271" s="40" t="str">
        <f aca="false">IF($T1271="","",MAX($V$3:V1270)+1)</f>
        <v/>
      </c>
      <c r="W1271" s="40" t="str">
        <f aca="false">IF($E1271="","",$E1271&amp;"#"&amp;COUNTIF($E$4:$E1271,$E1271))</f>
        <v/>
      </c>
      <c r="X1271" s="40" t="str">
        <f aca="false">IF($B1271="","",IF(AND(OR(CETAK!$J$10="",$E1271=CETAK!$J$10),OR(CETAK!$J$11="",$F1271=CETAK!$J$11),OR(CETAK!$J$12="",$K1271=CETAK!$J$12),OR(CETAK!$J$13="",$H1271=CETAK!$J$13),OR(CETAK!$J$14="",$O1271=CETAK!$J$14)),MAX($X$3:X1270)+1,""))</f>
        <v/>
      </c>
      <c r="Y1271" s="40" t="str">
        <f aca="false">IF($B1271="","",IF(AND(OR(ABSENSI!$H$10="",$E1271=ABSENSI!$H$10),OR(ABSENSI!$H$11="",$F1271=ABSENSI!$H$11),OR(ABSENSI!$H$12="",$K1271=ABSENSI!$H$12)),MAX($Y$3:Y1270)+1,""))</f>
        <v/>
      </c>
      <c r="Z1271" s="40" t="str">
        <f aca="false">IF($B1271="","",IF(AND(OR(KARTU!$K$6="",$E1271=KARTU!$K$6),OR(KARTU!$K$7="",$F1271=KARTU!$K$7),OR(KARTU!$K$8="",$K1271=KARTU!$K$8)),MAX($Z$3:Z1270)+1,""))</f>
        <v/>
      </c>
    </row>
    <row r="1272" customFormat="false" ht="15" hidden="false" customHeight="false" outlineLevel="0" collapsed="false">
      <c r="A1272" s="36" t="str">
        <f aca="false">IF($B1272="","",COUNTA($B$4:$B1272))</f>
        <v/>
      </c>
      <c r="B1272" s="37"/>
      <c r="C1272" s="38"/>
      <c r="D1272" s="39"/>
      <c r="E1272" s="37"/>
      <c r="F1272" s="39"/>
      <c r="G1272" s="40" t="str">
        <f aca="false">IF(OR($E1272="",$F1272=""),"",$E1272&amp;" - RT "&amp;$F1272)</f>
        <v/>
      </c>
      <c r="H1272" s="37"/>
      <c r="I1272" s="38"/>
      <c r="J1272" s="37"/>
      <c r="K1272" s="39"/>
      <c r="L1272" s="41"/>
      <c r="M1272" s="36" t="str">
        <f aca="true">IF(OR($B1272="",$L1272=""),"",DATEDIF($L1272,TODAY(),"Y"))</f>
        <v/>
      </c>
      <c r="N1272" s="40" t="str">
        <f aca="false">IF($M1272="","",INDEX(usia_label,MATCH($M1272,usia_min,1)))</f>
        <v/>
      </c>
      <c r="O1272" s="37"/>
      <c r="P1272" s="41"/>
      <c r="Q1272" s="37"/>
      <c r="R1272" s="37"/>
      <c r="S1272" s="40" t="str">
        <f aca="false">IF($G1272="","",$G1272&amp;"#"&amp;COUNTIF($G$4:$G1272,$G1272))</f>
        <v/>
      </c>
      <c r="T1272" s="40" t="str">
        <f aca="false">IF($B1272="","",IF($C1272="","NIK kosong",IF(LEN($C1272)&lt;&gt;16,"NIK bukan 16 digit",IF(COUNTIF($C$4:$C$2003,$C1272&amp;"*")&gt;1,"NIK ganda",IF($E1272="","Kadus kosong",IF($F1272="","RT kosong",IF($H1272="","Jabatan kosong",IF($I1272="","No. HP kosong",IF($J1272="","Alamat kosong",IF(AND($M1272&lt;&gt;"",$M1272&lt;17),"Usia di bawah 17",""))))))))))</f>
        <v/>
      </c>
      <c r="U1272" s="40" t="str">
        <f aca="false">IF($B1272="","",IF(AND(OR(CARI!$C$5="",ISNUMBER(SEARCH(CARI!$C$5,$B1272&amp;" "&amp;$C1272&amp;" "&amp;$I1272&amp;" "&amp;$J1272&amp;" "&amp;$Q1272))),OR(CARI!$C$6="",$E1272=CARI!$C$6),OR(CARI!$C$7="",$F1272=CARI!$C$7),OR(CARI!$C$8="",$O1272=CARI!$C$8)),MAX($U$3:U1271)+1,""))</f>
        <v/>
      </c>
      <c r="V1272" s="40" t="str">
        <f aca="false">IF($T1272="","",MAX($V$3:V1271)+1)</f>
        <v/>
      </c>
      <c r="W1272" s="40" t="str">
        <f aca="false">IF($E1272="","",$E1272&amp;"#"&amp;COUNTIF($E$4:$E1272,$E1272))</f>
        <v/>
      </c>
      <c r="X1272" s="40" t="str">
        <f aca="false">IF($B1272="","",IF(AND(OR(CETAK!$J$10="",$E1272=CETAK!$J$10),OR(CETAK!$J$11="",$F1272=CETAK!$J$11),OR(CETAK!$J$12="",$K1272=CETAK!$J$12),OR(CETAK!$J$13="",$H1272=CETAK!$J$13),OR(CETAK!$J$14="",$O1272=CETAK!$J$14)),MAX($X$3:X1271)+1,""))</f>
        <v/>
      </c>
      <c r="Y1272" s="40" t="str">
        <f aca="false">IF($B1272="","",IF(AND(OR(ABSENSI!$H$10="",$E1272=ABSENSI!$H$10),OR(ABSENSI!$H$11="",$F1272=ABSENSI!$H$11),OR(ABSENSI!$H$12="",$K1272=ABSENSI!$H$12)),MAX($Y$3:Y1271)+1,""))</f>
        <v/>
      </c>
      <c r="Z1272" s="40" t="str">
        <f aca="false">IF($B1272="","",IF(AND(OR(KARTU!$K$6="",$E1272=KARTU!$K$6),OR(KARTU!$K$7="",$F1272=KARTU!$K$7),OR(KARTU!$K$8="",$K1272=KARTU!$K$8)),MAX($Z$3:Z1271)+1,""))</f>
        <v/>
      </c>
    </row>
    <row r="1273" customFormat="false" ht="15" hidden="false" customHeight="false" outlineLevel="0" collapsed="false">
      <c r="A1273" s="36" t="str">
        <f aca="false">IF($B1273="","",COUNTA($B$4:$B1273))</f>
        <v/>
      </c>
      <c r="B1273" s="37"/>
      <c r="C1273" s="38"/>
      <c r="D1273" s="39"/>
      <c r="E1273" s="37"/>
      <c r="F1273" s="39"/>
      <c r="G1273" s="40" t="str">
        <f aca="false">IF(OR($E1273="",$F1273=""),"",$E1273&amp;" - RT "&amp;$F1273)</f>
        <v/>
      </c>
      <c r="H1273" s="37"/>
      <c r="I1273" s="38"/>
      <c r="J1273" s="37"/>
      <c r="K1273" s="39"/>
      <c r="L1273" s="41"/>
      <c r="M1273" s="36" t="str">
        <f aca="true">IF(OR($B1273="",$L1273=""),"",DATEDIF($L1273,TODAY(),"Y"))</f>
        <v/>
      </c>
      <c r="N1273" s="40" t="str">
        <f aca="false">IF($M1273="","",INDEX(usia_label,MATCH($M1273,usia_min,1)))</f>
        <v/>
      </c>
      <c r="O1273" s="37"/>
      <c r="P1273" s="41"/>
      <c r="Q1273" s="37"/>
      <c r="R1273" s="37"/>
      <c r="S1273" s="40" t="str">
        <f aca="false">IF($G1273="","",$G1273&amp;"#"&amp;COUNTIF($G$4:$G1273,$G1273))</f>
        <v/>
      </c>
      <c r="T1273" s="40" t="str">
        <f aca="false">IF($B1273="","",IF($C1273="","NIK kosong",IF(LEN($C1273)&lt;&gt;16,"NIK bukan 16 digit",IF(COUNTIF($C$4:$C$2003,$C1273&amp;"*")&gt;1,"NIK ganda",IF($E1273="","Kadus kosong",IF($F1273="","RT kosong",IF($H1273="","Jabatan kosong",IF($I1273="","No. HP kosong",IF($J1273="","Alamat kosong",IF(AND($M1273&lt;&gt;"",$M1273&lt;17),"Usia di bawah 17",""))))))))))</f>
        <v/>
      </c>
      <c r="U1273" s="40" t="str">
        <f aca="false">IF($B1273="","",IF(AND(OR(CARI!$C$5="",ISNUMBER(SEARCH(CARI!$C$5,$B1273&amp;" "&amp;$C1273&amp;" "&amp;$I1273&amp;" "&amp;$J1273&amp;" "&amp;$Q1273))),OR(CARI!$C$6="",$E1273=CARI!$C$6),OR(CARI!$C$7="",$F1273=CARI!$C$7),OR(CARI!$C$8="",$O1273=CARI!$C$8)),MAX($U$3:U1272)+1,""))</f>
        <v/>
      </c>
      <c r="V1273" s="40" t="str">
        <f aca="false">IF($T1273="","",MAX($V$3:V1272)+1)</f>
        <v/>
      </c>
      <c r="W1273" s="40" t="str">
        <f aca="false">IF($E1273="","",$E1273&amp;"#"&amp;COUNTIF($E$4:$E1273,$E1273))</f>
        <v/>
      </c>
      <c r="X1273" s="40" t="str">
        <f aca="false">IF($B1273="","",IF(AND(OR(CETAK!$J$10="",$E1273=CETAK!$J$10),OR(CETAK!$J$11="",$F1273=CETAK!$J$11),OR(CETAK!$J$12="",$K1273=CETAK!$J$12),OR(CETAK!$J$13="",$H1273=CETAK!$J$13),OR(CETAK!$J$14="",$O1273=CETAK!$J$14)),MAX($X$3:X1272)+1,""))</f>
        <v/>
      </c>
      <c r="Y1273" s="40" t="str">
        <f aca="false">IF($B1273="","",IF(AND(OR(ABSENSI!$H$10="",$E1273=ABSENSI!$H$10),OR(ABSENSI!$H$11="",$F1273=ABSENSI!$H$11),OR(ABSENSI!$H$12="",$K1273=ABSENSI!$H$12)),MAX($Y$3:Y1272)+1,""))</f>
        <v/>
      </c>
      <c r="Z1273" s="40" t="str">
        <f aca="false">IF($B1273="","",IF(AND(OR(KARTU!$K$6="",$E1273=KARTU!$K$6),OR(KARTU!$K$7="",$F1273=KARTU!$K$7),OR(KARTU!$K$8="",$K1273=KARTU!$K$8)),MAX($Z$3:Z1272)+1,""))</f>
        <v/>
      </c>
    </row>
    <row r="1274" customFormat="false" ht="15" hidden="false" customHeight="false" outlineLevel="0" collapsed="false">
      <c r="A1274" s="36" t="str">
        <f aca="false">IF($B1274="","",COUNTA($B$4:$B1274))</f>
        <v/>
      </c>
      <c r="B1274" s="37"/>
      <c r="C1274" s="38"/>
      <c r="D1274" s="39"/>
      <c r="E1274" s="37"/>
      <c r="F1274" s="39"/>
      <c r="G1274" s="40" t="str">
        <f aca="false">IF(OR($E1274="",$F1274=""),"",$E1274&amp;" - RT "&amp;$F1274)</f>
        <v/>
      </c>
      <c r="H1274" s="37"/>
      <c r="I1274" s="38"/>
      <c r="J1274" s="37"/>
      <c r="K1274" s="39"/>
      <c r="L1274" s="41"/>
      <c r="M1274" s="36" t="str">
        <f aca="true">IF(OR($B1274="",$L1274=""),"",DATEDIF($L1274,TODAY(),"Y"))</f>
        <v/>
      </c>
      <c r="N1274" s="40" t="str">
        <f aca="false">IF($M1274="","",INDEX(usia_label,MATCH($M1274,usia_min,1)))</f>
        <v/>
      </c>
      <c r="O1274" s="37"/>
      <c r="P1274" s="41"/>
      <c r="Q1274" s="37"/>
      <c r="R1274" s="37"/>
      <c r="S1274" s="40" t="str">
        <f aca="false">IF($G1274="","",$G1274&amp;"#"&amp;COUNTIF($G$4:$G1274,$G1274))</f>
        <v/>
      </c>
      <c r="T1274" s="40" t="str">
        <f aca="false">IF($B1274="","",IF($C1274="","NIK kosong",IF(LEN($C1274)&lt;&gt;16,"NIK bukan 16 digit",IF(COUNTIF($C$4:$C$2003,$C1274&amp;"*")&gt;1,"NIK ganda",IF($E1274="","Kadus kosong",IF($F1274="","RT kosong",IF($H1274="","Jabatan kosong",IF($I1274="","No. HP kosong",IF($J1274="","Alamat kosong",IF(AND($M1274&lt;&gt;"",$M1274&lt;17),"Usia di bawah 17",""))))))))))</f>
        <v/>
      </c>
      <c r="U1274" s="40" t="str">
        <f aca="false">IF($B1274="","",IF(AND(OR(CARI!$C$5="",ISNUMBER(SEARCH(CARI!$C$5,$B1274&amp;" "&amp;$C1274&amp;" "&amp;$I1274&amp;" "&amp;$J1274&amp;" "&amp;$Q1274))),OR(CARI!$C$6="",$E1274=CARI!$C$6),OR(CARI!$C$7="",$F1274=CARI!$C$7),OR(CARI!$C$8="",$O1274=CARI!$C$8)),MAX($U$3:U1273)+1,""))</f>
        <v/>
      </c>
      <c r="V1274" s="40" t="str">
        <f aca="false">IF($T1274="","",MAX($V$3:V1273)+1)</f>
        <v/>
      </c>
      <c r="W1274" s="40" t="str">
        <f aca="false">IF($E1274="","",$E1274&amp;"#"&amp;COUNTIF($E$4:$E1274,$E1274))</f>
        <v/>
      </c>
      <c r="X1274" s="40" t="str">
        <f aca="false">IF($B1274="","",IF(AND(OR(CETAK!$J$10="",$E1274=CETAK!$J$10),OR(CETAK!$J$11="",$F1274=CETAK!$J$11),OR(CETAK!$J$12="",$K1274=CETAK!$J$12),OR(CETAK!$J$13="",$H1274=CETAK!$J$13),OR(CETAK!$J$14="",$O1274=CETAK!$J$14)),MAX($X$3:X1273)+1,""))</f>
        <v/>
      </c>
      <c r="Y1274" s="40" t="str">
        <f aca="false">IF($B1274="","",IF(AND(OR(ABSENSI!$H$10="",$E1274=ABSENSI!$H$10),OR(ABSENSI!$H$11="",$F1274=ABSENSI!$H$11),OR(ABSENSI!$H$12="",$K1274=ABSENSI!$H$12)),MAX($Y$3:Y1273)+1,""))</f>
        <v/>
      </c>
      <c r="Z1274" s="40" t="str">
        <f aca="false">IF($B1274="","",IF(AND(OR(KARTU!$K$6="",$E1274=KARTU!$K$6),OR(KARTU!$K$7="",$F1274=KARTU!$K$7),OR(KARTU!$K$8="",$K1274=KARTU!$K$8)),MAX($Z$3:Z1273)+1,""))</f>
        <v/>
      </c>
    </row>
    <row r="1275" customFormat="false" ht="15" hidden="false" customHeight="false" outlineLevel="0" collapsed="false">
      <c r="A1275" s="36" t="str">
        <f aca="false">IF($B1275="","",COUNTA($B$4:$B1275))</f>
        <v/>
      </c>
      <c r="B1275" s="37"/>
      <c r="C1275" s="38"/>
      <c r="D1275" s="39"/>
      <c r="E1275" s="37"/>
      <c r="F1275" s="39"/>
      <c r="G1275" s="40" t="str">
        <f aca="false">IF(OR($E1275="",$F1275=""),"",$E1275&amp;" - RT "&amp;$F1275)</f>
        <v/>
      </c>
      <c r="H1275" s="37"/>
      <c r="I1275" s="38"/>
      <c r="J1275" s="37"/>
      <c r="K1275" s="39"/>
      <c r="L1275" s="41"/>
      <c r="M1275" s="36" t="str">
        <f aca="true">IF(OR($B1275="",$L1275=""),"",DATEDIF($L1275,TODAY(),"Y"))</f>
        <v/>
      </c>
      <c r="N1275" s="40" t="str">
        <f aca="false">IF($M1275="","",INDEX(usia_label,MATCH($M1275,usia_min,1)))</f>
        <v/>
      </c>
      <c r="O1275" s="37"/>
      <c r="P1275" s="41"/>
      <c r="Q1275" s="37"/>
      <c r="R1275" s="37"/>
      <c r="S1275" s="40" t="str">
        <f aca="false">IF($G1275="","",$G1275&amp;"#"&amp;COUNTIF($G$4:$G1275,$G1275))</f>
        <v/>
      </c>
      <c r="T1275" s="40" t="str">
        <f aca="false">IF($B1275="","",IF($C1275="","NIK kosong",IF(LEN($C1275)&lt;&gt;16,"NIK bukan 16 digit",IF(COUNTIF($C$4:$C$2003,$C1275&amp;"*")&gt;1,"NIK ganda",IF($E1275="","Kadus kosong",IF($F1275="","RT kosong",IF($H1275="","Jabatan kosong",IF($I1275="","No. HP kosong",IF($J1275="","Alamat kosong",IF(AND($M1275&lt;&gt;"",$M1275&lt;17),"Usia di bawah 17",""))))))))))</f>
        <v/>
      </c>
      <c r="U1275" s="40" t="str">
        <f aca="false">IF($B1275="","",IF(AND(OR(CARI!$C$5="",ISNUMBER(SEARCH(CARI!$C$5,$B1275&amp;" "&amp;$C1275&amp;" "&amp;$I1275&amp;" "&amp;$J1275&amp;" "&amp;$Q1275))),OR(CARI!$C$6="",$E1275=CARI!$C$6),OR(CARI!$C$7="",$F1275=CARI!$C$7),OR(CARI!$C$8="",$O1275=CARI!$C$8)),MAX($U$3:U1274)+1,""))</f>
        <v/>
      </c>
      <c r="V1275" s="40" t="str">
        <f aca="false">IF($T1275="","",MAX($V$3:V1274)+1)</f>
        <v/>
      </c>
      <c r="W1275" s="40" t="str">
        <f aca="false">IF($E1275="","",$E1275&amp;"#"&amp;COUNTIF($E$4:$E1275,$E1275))</f>
        <v/>
      </c>
      <c r="X1275" s="40" t="str">
        <f aca="false">IF($B1275="","",IF(AND(OR(CETAK!$J$10="",$E1275=CETAK!$J$10),OR(CETAK!$J$11="",$F1275=CETAK!$J$11),OR(CETAK!$J$12="",$K1275=CETAK!$J$12),OR(CETAK!$J$13="",$H1275=CETAK!$J$13),OR(CETAK!$J$14="",$O1275=CETAK!$J$14)),MAX($X$3:X1274)+1,""))</f>
        <v/>
      </c>
      <c r="Y1275" s="40" t="str">
        <f aca="false">IF($B1275="","",IF(AND(OR(ABSENSI!$H$10="",$E1275=ABSENSI!$H$10),OR(ABSENSI!$H$11="",$F1275=ABSENSI!$H$11),OR(ABSENSI!$H$12="",$K1275=ABSENSI!$H$12)),MAX($Y$3:Y1274)+1,""))</f>
        <v/>
      </c>
      <c r="Z1275" s="40" t="str">
        <f aca="false">IF($B1275="","",IF(AND(OR(KARTU!$K$6="",$E1275=KARTU!$K$6),OR(KARTU!$K$7="",$F1275=KARTU!$K$7),OR(KARTU!$K$8="",$K1275=KARTU!$K$8)),MAX($Z$3:Z1274)+1,""))</f>
        <v/>
      </c>
    </row>
    <row r="1276" customFormat="false" ht="15" hidden="false" customHeight="false" outlineLevel="0" collapsed="false">
      <c r="A1276" s="36" t="str">
        <f aca="false">IF($B1276="","",COUNTA($B$4:$B1276))</f>
        <v/>
      </c>
      <c r="B1276" s="37"/>
      <c r="C1276" s="38"/>
      <c r="D1276" s="39"/>
      <c r="E1276" s="37"/>
      <c r="F1276" s="39"/>
      <c r="G1276" s="40" t="str">
        <f aca="false">IF(OR($E1276="",$F1276=""),"",$E1276&amp;" - RT "&amp;$F1276)</f>
        <v/>
      </c>
      <c r="H1276" s="37"/>
      <c r="I1276" s="38"/>
      <c r="J1276" s="37"/>
      <c r="K1276" s="39"/>
      <c r="L1276" s="41"/>
      <c r="M1276" s="36" t="str">
        <f aca="true">IF(OR($B1276="",$L1276=""),"",DATEDIF($L1276,TODAY(),"Y"))</f>
        <v/>
      </c>
      <c r="N1276" s="40" t="str">
        <f aca="false">IF($M1276="","",INDEX(usia_label,MATCH($M1276,usia_min,1)))</f>
        <v/>
      </c>
      <c r="O1276" s="37"/>
      <c r="P1276" s="41"/>
      <c r="Q1276" s="37"/>
      <c r="R1276" s="37"/>
      <c r="S1276" s="40" t="str">
        <f aca="false">IF($G1276="","",$G1276&amp;"#"&amp;COUNTIF($G$4:$G1276,$G1276))</f>
        <v/>
      </c>
      <c r="T1276" s="40" t="str">
        <f aca="false">IF($B1276="","",IF($C1276="","NIK kosong",IF(LEN($C1276)&lt;&gt;16,"NIK bukan 16 digit",IF(COUNTIF($C$4:$C$2003,$C1276&amp;"*")&gt;1,"NIK ganda",IF($E1276="","Kadus kosong",IF($F1276="","RT kosong",IF($H1276="","Jabatan kosong",IF($I1276="","No. HP kosong",IF($J1276="","Alamat kosong",IF(AND($M1276&lt;&gt;"",$M1276&lt;17),"Usia di bawah 17",""))))))))))</f>
        <v/>
      </c>
      <c r="U1276" s="40" t="str">
        <f aca="false">IF($B1276="","",IF(AND(OR(CARI!$C$5="",ISNUMBER(SEARCH(CARI!$C$5,$B1276&amp;" "&amp;$C1276&amp;" "&amp;$I1276&amp;" "&amp;$J1276&amp;" "&amp;$Q1276))),OR(CARI!$C$6="",$E1276=CARI!$C$6),OR(CARI!$C$7="",$F1276=CARI!$C$7),OR(CARI!$C$8="",$O1276=CARI!$C$8)),MAX($U$3:U1275)+1,""))</f>
        <v/>
      </c>
      <c r="V1276" s="40" t="str">
        <f aca="false">IF($T1276="","",MAX($V$3:V1275)+1)</f>
        <v/>
      </c>
      <c r="W1276" s="40" t="str">
        <f aca="false">IF($E1276="","",$E1276&amp;"#"&amp;COUNTIF($E$4:$E1276,$E1276))</f>
        <v/>
      </c>
      <c r="X1276" s="40" t="str">
        <f aca="false">IF($B1276="","",IF(AND(OR(CETAK!$J$10="",$E1276=CETAK!$J$10),OR(CETAK!$J$11="",$F1276=CETAK!$J$11),OR(CETAK!$J$12="",$K1276=CETAK!$J$12),OR(CETAK!$J$13="",$H1276=CETAK!$J$13),OR(CETAK!$J$14="",$O1276=CETAK!$J$14)),MAX($X$3:X1275)+1,""))</f>
        <v/>
      </c>
      <c r="Y1276" s="40" t="str">
        <f aca="false">IF($B1276="","",IF(AND(OR(ABSENSI!$H$10="",$E1276=ABSENSI!$H$10),OR(ABSENSI!$H$11="",$F1276=ABSENSI!$H$11),OR(ABSENSI!$H$12="",$K1276=ABSENSI!$H$12)),MAX($Y$3:Y1275)+1,""))</f>
        <v/>
      </c>
      <c r="Z1276" s="40" t="str">
        <f aca="false">IF($B1276="","",IF(AND(OR(KARTU!$K$6="",$E1276=KARTU!$K$6),OR(KARTU!$K$7="",$F1276=KARTU!$K$7),OR(KARTU!$K$8="",$K1276=KARTU!$K$8)),MAX($Z$3:Z1275)+1,""))</f>
        <v/>
      </c>
    </row>
    <row r="1277" customFormat="false" ht="15" hidden="false" customHeight="false" outlineLevel="0" collapsed="false">
      <c r="A1277" s="36" t="str">
        <f aca="false">IF($B1277="","",COUNTA($B$4:$B1277))</f>
        <v/>
      </c>
      <c r="B1277" s="37"/>
      <c r="C1277" s="38"/>
      <c r="D1277" s="39"/>
      <c r="E1277" s="37"/>
      <c r="F1277" s="39"/>
      <c r="G1277" s="40" t="str">
        <f aca="false">IF(OR($E1277="",$F1277=""),"",$E1277&amp;" - RT "&amp;$F1277)</f>
        <v/>
      </c>
      <c r="H1277" s="37"/>
      <c r="I1277" s="38"/>
      <c r="J1277" s="37"/>
      <c r="K1277" s="39"/>
      <c r="L1277" s="41"/>
      <c r="M1277" s="36" t="str">
        <f aca="true">IF(OR($B1277="",$L1277=""),"",DATEDIF($L1277,TODAY(),"Y"))</f>
        <v/>
      </c>
      <c r="N1277" s="40" t="str">
        <f aca="false">IF($M1277="","",INDEX(usia_label,MATCH($M1277,usia_min,1)))</f>
        <v/>
      </c>
      <c r="O1277" s="37"/>
      <c r="P1277" s="41"/>
      <c r="Q1277" s="37"/>
      <c r="R1277" s="37"/>
      <c r="S1277" s="40" t="str">
        <f aca="false">IF($G1277="","",$G1277&amp;"#"&amp;COUNTIF($G$4:$G1277,$G1277))</f>
        <v/>
      </c>
      <c r="T1277" s="40" t="str">
        <f aca="false">IF($B1277="","",IF($C1277="","NIK kosong",IF(LEN($C1277)&lt;&gt;16,"NIK bukan 16 digit",IF(COUNTIF($C$4:$C$2003,$C1277&amp;"*")&gt;1,"NIK ganda",IF($E1277="","Kadus kosong",IF($F1277="","RT kosong",IF($H1277="","Jabatan kosong",IF($I1277="","No. HP kosong",IF($J1277="","Alamat kosong",IF(AND($M1277&lt;&gt;"",$M1277&lt;17),"Usia di bawah 17",""))))))))))</f>
        <v/>
      </c>
      <c r="U1277" s="40" t="str">
        <f aca="false">IF($B1277="","",IF(AND(OR(CARI!$C$5="",ISNUMBER(SEARCH(CARI!$C$5,$B1277&amp;" "&amp;$C1277&amp;" "&amp;$I1277&amp;" "&amp;$J1277&amp;" "&amp;$Q1277))),OR(CARI!$C$6="",$E1277=CARI!$C$6),OR(CARI!$C$7="",$F1277=CARI!$C$7),OR(CARI!$C$8="",$O1277=CARI!$C$8)),MAX($U$3:U1276)+1,""))</f>
        <v/>
      </c>
      <c r="V1277" s="40" t="str">
        <f aca="false">IF($T1277="","",MAX($V$3:V1276)+1)</f>
        <v/>
      </c>
      <c r="W1277" s="40" t="str">
        <f aca="false">IF($E1277="","",$E1277&amp;"#"&amp;COUNTIF($E$4:$E1277,$E1277))</f>
        <v/>
      </c>
      <c r="X1277" s="40" t="str">
        <f aca="false">IF($B1277="","",IF(AND(OR(CETAK!$J$10="",$E1277=CETAK!$J$10),OR(CETAK!$J$11="",$F1277=CETAK!$J$11),OR(CETAK!$J$12="",$K1277=CETAK!$J$12),OR(CETAK!$J$13="",$H1277=CETAK!$J$13),OR(CETAK!$J$14="",$O1277=CETAK!$J$14)),MAX($X$3:X1276)+1,""))</f>
        <v/>
      </c>
      <c r="Y1277" s="40" t="str">
        <f aca="false">IF($B1277="","",IF(AND(OR(ABSENSI!$H$10="",$E1277=ABSENSI!$H$10),OR(ABSENSI!$H$11="",$F1277=ABSENSI!$H$11),OR(ABSENSI!$H$12="",$K1277=ABSENSI!$H$12)),MAX($Y$3:Y1276)+1,""))</f>
        <v/>
      </c>
      <c r="Z1277" s="40" t="str">
        <f aca="false">IF($B1277="","",IF(AND(OR(KARTU!$K$6="",$E1277=KARTU!$K$6),OR(KARTU!$K$7="",$F1277=KARTU!$K$7),OR(KARTU!$K$8="",$K1277=KARTU!$K$8)),MAX($Z$3:Z1276)+1,""))</f>
        <v/>
      </c>
    </row>
    <row r="1278" customFormat="false" ht="15" hidden="false" customHeight="false" outlineLevel="0" collapsed="false">
      <c r="A1278" s="36" t="str">
        <f aca="false">IF($B1278="","",COUNTA($B$4:$B1278))</f>
        <v/>
      </c>
      <c r="B1278" s="37"/>
      <c r="C1278" s="38"/>
      <c r="D1278" s="39"/>
      <c r="E1278" s="37"/>
      <c r="F1278" s="39"/>
      <c r="G1278" s="40" t="str">
        <f aca="false">IF(OR($E1278="",$F1278=""),"",$E1278&amp;" - RT "&amp;$F1278)</f>
        <v/>
      </c>
      <c r="H1278" s="37"/>
      <c r="I1278" s="38"/>
      <c r="J1278" s="37"/>
      <c r="K1278" s="39"/>
      <c r="L1278" s="41"/>
      <c r="M1278" s="36" t="str">
        <f aca="true">IF(OR($B1278="",$L1278=""),"",DATEDIF($L1278,TODAY(),"Y"))</f>
        <v/>
      </c>
      <c r="N1278" s="40" t="str">
        <f aca="false">IF($M1278="","",INDEX(usia_label,MATCH($M1278,usia_min,1)))</f>
        <v/>
      </c>
      <c r="O1278" s="37"/>
      <c r="P1278" s="41"/>
      <c r="Q1278" s="37"/>
      <c r="R1278" s="37"/>
      <c r="S1278" s="40" t="str">
        <f aca="false">IF($G1278="","",$G1278&amp;"#"&amp;COUNTIF($G$4:$G1278,$G1278))</f>
        <v/>
      </c>
      <c r="T1278" s="40" t="str">
        <f aca="false">IF($B1278="","",IF($C1278="","NIK kosong",IF(LEN($C1278)&lt;&gt;16,"NIK bukan 16 digit",IF(COUNTIF($C$4:$C$2003,$C1278&amp;"*")&gt;1,"NIK ganda",IF($E1278="","Kadus kosong",IF($F1278="","RT kosong",IF($H1278="","Jabatan kosong",IF($I1278="","No. HP kosong",IF($J1278="","Alamat kosong",IF(AND($M1278&lt;&gt;"",$M1278&lt;17),"Usia di bawah 17",""))))))))))</f>
        <v/>
      </c>
      <c r="U1278" s="40" t="str">
        <f aca="false">IF($B1278="","",IF(AND(OR(CARI!$C$5="",ISNUMBER(SEARCH(CARI!$C$5,$B1278&amp;" "&amp;$C1278&amp;" "&amp;$I1278&amp;" "&amp;$J1278&amp;" "&amp;$Q1278))),OR(CARI!$C$6="",$E1278=CARI!$C$6),OR(CARI!$C$7="",$F1278=CARI!$C$7),OR(CARI!$C$8="",$O1278=CARI!$C$8)),MAX($U$3:U1277)+1,""))</f>
        <v/>
      </c>
      <c r="V1278" s="40" t="str">
        <f aca="false">IF($T1278="","",MAX($V$3:V1277)+1)</f>
        <v/>
      </c>
      <c r="W1278" s="40" t="str">
        <f aca="false">IF($E1278="","",$E1278&amp;"#"&amp;COUNTIF($E$4:$E1278,$E1278))</f>
        <v/>
      </c>
      <c r="X1278" s="40" t="str">
        <f aca="false">IF($B1278="","",IF(AND(OR(CETAK!$J$10="",$E1278=CETAK!$J$10),OR(CETAK!$J$11="",$F1278=CETAK!$J$11),OR(CETAK!$J$12="",$K1278=CETAK!$J$12),OR(CETAK!$J$13="",$H1278=CETAK!$J$13),OR(CETAK!$J$14="",$O1278=CETAK!$J$14)),MAX($X$3:X1277)+1,""))</f>
        <v/>
      </c>
      <c r="Y1278" s="40" t="str">
        <f aca="false">IF($B1278="","",IF(AND(OR(ABSENSI!$H$10="",$E1278=ABSENSI!$H$10),OR(ABSENSI!$H$11="",$F1278=ABSENSI!$H$11),OR(ABSENSI!$H$12="",$K1278=ABSENSI!$H$12)),MAX($Y$3:Y1277)+1,""))</f>
        <v/>
      </c>
      <c r="Z1278" s="40" t="str">
        <f aca="false">IF($B1278="","",IF(AND(OR(KARTU!$K$6="",$E1278=KARTU!$K$6),OR(KARTU!$K$7="",$F1278=KARTU!$K$7),OR(KARTU!$K$8="",$K1278=KARTU!$K$8)),MAX($Z$3:Z1277)+1,""))</f>
        <v/>
      </c>
    </row>
    <row r="1279" customFormat="false" ht="15" hidden="false" customHeight="false" outlineLevel="0" collapsed="false">
      <c r="A1279" s="36" t="str">
        <f aca="false">IF($B1279="","",COUNTA($B$4:$B1279))</f>
        <v/>
      </c>
      <c r="B1279" s="37"/>
      <c r="C1279" s="38"/>
      <c r="D1279" s="39"/>
      <c r="E1279" s="37"/>
      <c r="F1279" s="39"/>
      <c r="G1279" s="40" t="str">
        <f aca="false">IF(OR($E1279="",$F1279=""),"",$E1279&amp;" - RT "&amp;$F1279)</f>
        <v/>
      </c>
      <c r="H1279" s="37"/>
      <c r="I1279" s="38"/>
      <c r="J1279" s="37"/>
      <c r="K1279" s="39"/>
      <c r="L1279" s="41"/>
      <c r="M1279" s="36" t="str">
        <f aca="true">IF(OR($B1279="",$L1279=""),"",DATEDIF($L1279,TODAY(),"Y"))</f>
        <v/>
      </c>
      <c r="N1279" s="40" t="str">
        <f aca="false">IF($M1279="","",INDEX(usia_label,MATCH($M1279,usia_min,1)))</f>
        <v/>
      </c>
      <c r="O1279" s="37"/>
      <c r="P1279" s="41"/>
      <c r="Q1279" s="37"/>
      <c r="R1279" s="37"/>
      <c r="S1279" s="40" t="str">
        <f aca="false">IF($G1279="","",$G1279&amp;"#"&amp;COUNTIF($G$4:$G1279,$G1279))</f>
        <v/>
      </c>
      <c r="T1279" s="40" t="str">
        <f aca="false">IF($B1279="","",IF($C1279="","NIK kosong",IF(LEN($C1279)&lt;&gt;16,"NIK bukan 16 digit",IF(COUNTIF($C$4:$C$2003,$C1279&amp;"*")&gt;1,"NIK ganda",IF($E1279="","Kadus kosong",IF($F1279="","RT kosong",IF($H1279="","Jabatan kosong",IF($I1279="","No. HP kosong",IF($J1279="","Alamat kosong",IF(AND($M1279&lt;&gt;"",$M1279&lt;17),"Usia di bawah 17",""))))))))))</f>
        <v/>
      </c>
      <c r="U1279" s="40" t="str">
        <f aca="false">IF($B1279="","",IF(AND(OR(CARI!$C$5="",ISNUMBER(SEARCH(CARI!$C$5,$B1279&amp;" "&amp;$C1279&amp;" "&amp;$I1279&amp;" "&amp;$J1279&amp;" "&amp;$Q1279))),OR(CARI!$C$6="",$E1279=CARI!$C$6),OR(CARI!$C$7="",$F1279=CARI!$C$7),OR(CARI!$C$8="",$O1279=CARI!$C$8)),MAX($U$3:U1278)+1,""))</f>
        <v/>
      </c>
      <c r="V1279" s="40" t="str">
        <f aca="false">IF($T1279="","",MAX($V$3:V1278)+1)</f>
        <v/>
      </c>
      <c r="W1279" s="40" t="str">
        <f aca="false">IF($E1279="","",$E1279&amp;"#"&amp;COUNTIF($E$4:$E1279,$E1279))</f>
        <v/>
      </c>
      <c r="X1279" s="40" t="str">
        <f aca="false">IF($B1279="","",IF(AND(OR(CETAK!$J$10="",$E1279=CETAK!$J$10),OR(CETAK!$J$11="",$F1279=CETAK!$J$11),OR(CETAK!$J$12="",$K1279=CETAK!$J$12),OR(CETAK!$J$13="",$H1279=CETAK!$J$13),OR(CETAK!$J$14="",$O1279=CETAK!$J$14)),MAX($X$3:X1278)+1,""))</f>
        <v/>
      </c>
      <c r="Y1279" s="40" t="str">
        <f aca="false">IF($B1279="","",IF(AND(OR(ABSENSI!$H$10="",$E1279=ABSENSI!$H$10),OR(ABSENSI!$H$11="",$F1279=ABSENSI!$H$11),OR(ABSENSI!$H$12="",$K1279=ABSENSI!$H$12)),MAX($Y$3:Y1278)+1,""))</f>
        <v/>
      </c>
      <c r="Z1279" s="40" t="str">
        <f aca="false">IF($B1279="","",IF(AND(OR(KARTU!$K$6="",$E1279=KARTU!$K$6),OR(KARTU!$K$7="",$F1279=KARTU!$K$7),OR(KARTU!$K$8="",$K1279=KARTU!$K$8)),MAX($Z$3:Z1278)+1,""))</f>
        <v/>
      </c>
    </row>
    <row r="1280" customFormat="false" ht="15" hidden="false" customHeight="false" outlineLevel="0" collapsed="false">
      <c r="A1280" s="36" t="str">
        <f aca="false">IF($B1280="","",COUNTA($B$4:$B1280))</f>
        <v/>
      </c>
      <c r="B1280" s="37"/>
      <c r="C1280" s="38"/>
      <c r="D1280" s="39"/>
      <c r="E1280" s="37"/>
      <c r="F1280" s="39"/>
      <c r="G1280" s="40" t="str">
        <f aca="false">IF(OR($E1280="",$F1280=""),"",$E1280&amp;" - RT "&amp;$F1280)</f>
        <v/>
      </c>
      <c r="H1280" s="37"/>
      <c r="I1280" s="38"/>
      <c r="J1280" s="37"/>
      <c r="K1280" s="39"/>
      <c r="L1280" s="41"/>
      <c r="M1280" s="36" t="str">
        <f aca="true">IF(OR($B1280="",$L1280=""),"",DATEDIF($L1280,TODAY(),"Y"))</f>
        <v/>
      </c>
      <c r="N1280" s="40" t="str">
        <f aca="false">IF($M1280="","",INDEX(usia_label,MATCH($M1280,usia_min,1)))</f>
        <v/>
      </c>
      <c r="O1280" s="37"/>
      <c r="P1280" s="41"/>
      <c r="Q1280" s="37"/>
      <c r="R1280" s="37"/>
      <c r="S1280" s="40" t="str">
        <f aca="false">IF($G1280="","",$G1280&amp;"#"&amp;COUNTIF($G$4:$G1280,$G1280))</f>
        <v/>
      </c>
      <c r="T1280" s="40" t="str">
        <f aca="false">IF($B1280="","",IF($C1280="","NIK kosong",IF(LEN($C1280)&lt;&gt;16,"NIK bukan 16 digit",IF(COUNTIF($C$4:$C$2003,$C1280&amp;"*")&gt;1,"NIK ganda",IF($E1280="","Kadus kosong",IF($F1280="","RT kosong",IF($H1280="","Jabatan kosong",IF($I1280="","No. HP kosong",IF($J1280="","Alamat kosong",IF(AND($M1280&lt;&gt;"",$M1280&lt;17),"Usia di bawah 17",""))))))))))</f>
        <v/>
      </c>
      <c r="U1280" s="40" t="str">
        <f aca="false">IF($B1280="","",IF(AND(OR(CARI!$C$5="",ISNUMBER(SEARCH(CARI!$C$5,$B1280&amp;" "&amp;$C1280&amp;" "&amp;$I1280&amp;" "&amp;$J1280&amp;" "&amp;$Q1280))),OR(CARI!$C$6="",$E1280=CARI!$C$6),OR(CARI!$C$7="",$F1280=CARI!$C$7),OR(CARI!$C$8="",$O1280=CARI!$C$8)),MAX($U$3:U1279)+1,""))</f>
        <v/>
      </c>
      <c r="V1280" s="40" t="str">
        <f aca="false">IF($T1280="","",MAX($V$3:V1279)+1)</f>
        <v/>
      </c>
      <c r="W1280" s="40" t="str">
        <f aca="false">IF($E1280="","",$E1280&amp;"#"&amp;COUNTIF($E$4:$E1280,$E1280))</f>
        <v/>
      </c>
      <c r="X1280" s="40" t="str">
        <f aca="false">IF($B1280="","",IF(AND(OR(CETAK!$J$10="",$E1280=CETAK!$J$10),OR(CETAK!$J$11="",$F1280=CETAK!$J$11),OR(CETAK!$J$12="",$K1280=CETAK!$J$12),OR(CETAK!$J$13="",$H1280=CETAK!$J$13),OR(CETAK!$J$14="",$O1280=CETAK!$J$14)),MAX($X$3:X1279)+1,""))</f>
        <v/>
      </c>
      <c r="Y1280" s="40" t="str">
        <f aca="false">IF($B1280="","",IF(AND(OR(ABSENSI!$H$10="",$E1280=ABSENSI!$H$10),OR(ABSENSI!$H$11="",$F1280=ABSENSI!$H$11),OR(ABSENSI!$H$12="",$K1280=ABSENSI!$H$12)),MAX($Y$3:Y1279)+1,""))</f>
        <v/>
      </c>
      <c r="Z1280" s="40" t="str">
        <f aca="false">IF($B1280="","",IF(AND(OR(KARTU!$K$6="",$E1280=KARTU!$K$6),OR(KARTU!$K$7="",$F1280=KARTU!$K$7),OR(KARTU!$K$8="",$K1280=KARTU!$K$8)),MAX($Z$3:Z1279)+1,""))</f>
        <v/>
      </c>
    </row>
    <row r="1281" customFormat="false" ht="15" hidden="false" customHeight="false" outlineLevel="0" collapsed="false">
      <c r="A1281" s="36" t="str">
        <f aca="false">IF($B1281="","",COUNTA($B$4:$B1281))</f>
        <v/>
      </c>
      <c r="B1281" s="37"/>
      <c r="C1281" s="38"/>
      <c r="D1281" s="39"/>
      <c r="E1281" s="37"/>
      <c r="F1281" s="39"/>
      <c r="G1281" s="40" t="str">
        <f aca="false">IF(OR($E1281="",$F1281=""),"",$E1281&amp;" - RT "&amp;$F1281)</f>
        <v/>
      </c>
      <c r="H1281" s="37"/>
      <c r="I1281" s="38"/>
      <c r="J1281" s="37"/>
      <c r="K1281" s="39"/>
      <c r="L1281" s="41"/>
      <c r="M1281" s="36" t="str">
        <f aca="true">IF(OR($B1281="",$L1281=""),"",DATEDIF($L1281,TODAY(),"Y"))</f>
        <v/>
      </c>
      <c r="N1281" s="40" t="str">
        <f aca="false">IF($M1281="","",INDEX(usia_label,MATCH($M1281,usia_min,1)))</f>
        <v/>
      </c>
      <c r="O1281" s="37"/>
      <c r="P1281" s="41"/>
      <c r="Q1281" s="37"/>
      <c r="R1281" s="37"/>
      <c r="S1281" s="40" t="str">
        <f aca="false">IF($G1281="","",$G1281&amp;"#"&amp;COUNTIF($G$4:$G1281,$G1281))</f>
        <v/>
      </c>
      <c r="T1281" s="40" t="str">
        <f aca="false">IF($B1281="","",IF($C1281="","NIK kosong",IF(LEN($C1281)&lt;&gt;16,"NIK bukan 16 digit",IF(COUNTIF($C$4:$C$2003,$C1281&amp;"*")&gt;1,"NIK ganda",IF($E1281="","Kadus kosong",IF($F1281="","RT kosong",IF($H1281="","Jabatan kosong",IF($I1281="","No. HP kosong",IF($J1281="","Alamat kosong",IF(AND($M1281&lt;&gt;"",$M1281&lt;17),"Usia di bawah 17",""))))))))))</f>
        <v/>
      </c>
      <c r="U1281" s="40" t="str">
        <f aca="false">IF($B1281="","",IF(AND(OR(CARI!$C$5="",ISNUMBER(SEARCH(CARI!$C$5,$B1281&amp;" "&amp;$C1281&amp;" "&amp;$I1281&amp;" "&amp;$J1281&amp;" "&amp;$Q1281))),OR(CARI!$C$6="",$E1281=CARI!$C$6),OR(CARI!$C$7="",$F1281=CARI!$C$7),OR(CARI!$C$8="",$O1281=CARI!$C$8)),MAX($U$3:U1280)+1,""))</f>
        <v/>
      </c>
      <c r="V1281" s="40" t="str">
        <f aca="false">IF($T1281="","",MAX($V$3:V1280)+1)</f>
        <v/>
      </c>
      <c r="W1281" s="40" t="str">
        <f aca="false">IF($E1281="","",$E1281&amp;"#"&amp;COUNTIF($E$4:$E1281,$E1281))</f>
        <v/>
      </c>
      <c r="X1281" s="40" t="str">
        <f aca="false">IF($B1281="","",IF(AND(OR(CETAK!$J$10="",$E1281=CETAK!$J$10),OR(CETAK!$J$11="",$F1281=CETAK!$J$11),OR(CETAK!$J$12="",$K1281=CETAK!$J$12),OR(CETAK!$J$13="",$H1281=CETAK!$J$13),OR(CETAK!$J$14="",$O1281=CETAK!$J$14)),MAX($X$3:X1280)+1,""))</f>
        <v/>
      </c>
      <c r="Y1281" s="40" t="str">
        <f aca="false">IF($B1281="","",IF(AND(OR(ABSENSI!$H$10="",$E1281=ABSENSI!$H$10),OR(ABSENSI!$H$11="",$F1281=ABSENSI!$H$11),OR(ABSENSI!$H$12="",$K1281=ABSENSI!$H$12)),MAX($Y$3:Y1280)+1,""))</f>
        <v/>
      </c>
      <c r="Z1281" s="40" t="str">
        <f aca="false">IF($B1281="","",IF(AND(OR(KARTU!$K$6="",$E1281=KARTU!$K$6),OR(KARTU!$K$7="",$F1281=KARTU!$K$7),OR(KARTU!$K$8="",$K1281=KARTU!$K$8)),MAX($Z$3:Z1280)+1,""))</f>
        <v/>
      </c>
    </row>
    <row r="1282" customFormat="false" ht="15" hidden="false" customHeight="false" outlineLevel="0" collapsed="false">
      <c r="A1282" s="36" t="str">
        <f aca="false">IF($B1282="","",COUNTA($B$4:$B1282))</f>
        <v/>
      </c>
      <c r="B1282" s="37"/>
      <c r="C1282" s="38"/>
      <c r="D1282" s="39"/>
      <c r="E1282" s="37"/>
      <c r="F1282" s="39"/>
      <c r="G1282" s="40" t="str">
        <f aca="false">IF(OR($E1282="",$F1282=""),"",$E1282&amp;" - RT "&amp;$F1282)</f>
        <v/>
      </c>
      <c r="H1282" s="37"/>
      <c r="I1282" s="38"/>
      <c r="J1282" s="37"/>
      <c r="K1282" s="39"/>
      <c r="L1282" s="41"/>
      <c r="M1282" s="36" t="str">
        <f aca="true">IF(OR($B1282="",$L1282=""),"",DATEDIF($L1282,TODAY(),"Y"))</f>
        <v/>
      </c>
      <c r="N1282" s="40" t="str">
        <f aca="false">IF($M1282="","",INDEX(usia_label,MATCH($M1282,usia_min,1)))</f>
        <v/>
      </c>
      <c r="O1282" s="37"/>
      <c r="P1282" s="41"/>
      <c r="Q1282" s="37"/>
      <c r="R1282" s="37"/>
      <c r="S1282" s="40" t="str">
        <f aca="false">IF($G1282="","",$G1282&amp;"#"&amp;COUNTIF($G$4:$G1282,$G1282))</f>
        <v/>
      </c>
      <c r="T1282" s="40" t="str">
        <f aca="false">IF($B1282="","",IF($C1282="","NIK kosong",IF(LEN($C1282)&lt;&gt;16,"NIK bukan 16 digit",IF(COUNTIF($C$4:$C$2003,$C1282&amp;"*")&gt;1,"NIK ganda",IF($E1282="","Kadus kosong",IF($F1282="","RT kosong",IF($H1282="","Jabatan kosong",IF($I1282="","No. HP kosong",IF($J1282="","Alamat kosong",IF(AND($M1282&lt;&gt;"",$M1282&lt;17),"Usia di bawah 17",""))))))))))</f>
        <v/>
      </c>
      <c r="U1282" s="40" t="str">
        <f aca="false">IF($B1282="","",IF(AND(OR(CARI!$C$5="",ISNUMBER(SEARCH(CARI!$C$5,$B1282&amp;" "&amp;$C1282&amp;" "&amp;$I1282&amp;" "&amp;$J1282&amp;" "&amp;$Q1282))),OR(CARI!$C$6="",$E1282=CARI!$C$6),OR(CARI!$C$7="",$F1282=CARI!$C$7),OR(CARI!$C$8="",$O1282=CARI!$C$8)),MAX($U$3:U1281)+1,""))</f>
        <v/>
      </c>
      <c r="V1282" s="40" t="str">
        <f aca="false">IF($T1282="","",MAX($V$3:V1281)+1)</f>
        <v/>
      </c>
      <c r="W1282" s="40" t="str">
        <f aca="false">IF($E1282="","",$E1282&amp;"#"&amp;COUNTIF($E$4:$E1282,$E1282))</f>
        <v/>
      </c>
      <c r="X1282" s="40" t="str">
        <f aca="false">IF($B1282="","",IF(AND(OR(CETAK!$J$10="",$E1282=CETAK!$J$10),OR(CETAK!$J$11="",$F1282=CETAK!$J$11),OR(CETAK!$J$12="",$K1282=CETAK!$J$12),OR(CETAK!$J$13="",$H1282=CETAK!$J$13),OR(CETAK!$J$14="",$O1282=CETAK!$J$14)),MAX($X$3:X1281)+1,""))</f>
        <v/>
      </c>
      <c r="Y1282" s="40" t="str">
        <f aca="false">IF($B1282="","",IF(AND(OR(ABSENSI!$H$10="",$E1282=ABSENSI!$H$10),OR(ABSENSI!$H$11="",$F1282=ABSENSI!$H$11),OR(ABSENSI!$H$12="",$K1282=ABSENSI!$H$12)),MAX($Y$3:Y1281)+1,""))</f>
        <v/>
      </c>
      <c r="Z1282" s="40" t="str">
        <f aca="false">IF($B1282="","",IF(AND(OR(KARTU!$K$6="",$E1282=KARTU!$K$6),OR(KARTU!$K$7="",$F1282=KARTU!$K$7),OR(KARTU!$K$8="",$K1282=KARTU!$K$8)),MAX($Z$3:Z1281)+1,""))</f>
        <v/>
      </c>
    </row>
    <row r="1283" customFormat="false" ht="15" hidden="false" customHeight="false" outlineLevel="0" collapsed="false">
      <c r="A1283" s="36" t="str">
        <f aca="false">IF($B1283="","",COUNTA($B$4:$B1283))</f>
        <v/>
      </c>
      <c r="B1283" s="37"/>
      <c r="C1283" s="38"/>
      <c r="D1283" s="39"/>
      <c r="E1283" s="37"/>
      <c r="F1283" s="39"/>
      <c r="G1283" s="40" t="str">
        <f aca="false">IF(OR($E1283="",$F1283=""),"",$E1283&amp;" - RT "&amp;$F1283)</f>
        <v/>
      </c>
      <c r="H1283" s="37"/>
      <c r="I1283" s="38"/>
      <c r="J1283" s="37"/>
      <c r="K1283" s="39"/>
      <c r="L1283" s="41"/>
      <c r="M1283" s="36" t="str">
        <f aca="true">IF(OR($B1283="",$L1283=""),"",DATEDIF($L1283,TODAY(),"Y"))</f>
        <v/>
      </c>
      <c r="N1283" s="40" t="str">
        <f aca="false">IF($M1283="","",INDEX(usia_label,MATCH($M1283,usia_min,1)))</f>
        <v/>
      </c>
      <c r="O1283" s="37"/>
      <c r="P1283" s="41"/>
      <c r="Q1283" s="37"/>
      <c r="R1283" s="37"/>
      <c r="S1283" s="40" t="str">
        <f aca="false">IF($G1283="","",$G1283&amp;"#"&amp;COUNTIF($G$4:$G1283,$G1283))</f>
        <v/>
      </c>
      <c r="T1283" s="40" t="str">
        <f aca="false">IF($B1283="","",IF($C1283="","NIK kosong",IF(LEN($C1283)&lt;&gt;16,"NIK bukan 16 digit",IF(COUNTIF($C$4:$C$2003,$C1283&amp;"*")&gt;1,"NIK ganda",IF($E1283="","Kadus kosong",IF($F1283="","RT kosong",IF($H1283="","Jabatan kosong",IF($I1283="","No. HP kosong",IF($J1283="","Alamat kosong",IF(AND($M1283&lt;&gt;"",$M1283&lt;17),"Usia di bawah 17",""))))))))))</f>
        <v/>
      </c>
      <c r="U1283" s="40" t="str">
        <f aca="false">IF($B1283="","",IF(AND(OR(CARI!$C$5="",ISNUMBER(SEARCH(CARI!$C$5,$B1283&amp;" "&amp;$C1283&amp;" "&amp;$I1283&amp;" "&amp;$J1283&amp;" "&amp;$Q1283))),OR(CARI!$C$6="",$E1283=CARI!$C$6),OR(CARI!$C$7="",$F1283=CARI!$C$7),OR(CARI!$C$8="",$O1283=CARI!$C$8)),MAX($U$3:U1282)+1,""))</f>
        <v/>
      </c>
      <c r="V1283" s="40" t="str">
        <f aca="false">IF($T1283="","",MAX($V$3:V1282)+1)</f>
        <v/>
      </c>
      <c r="W1283" s="40" t="str">
        <f aca="false">IF($E1283="","",$E1283&amp;"#"&amp;COUNTIF($E$4:$E1283,$E1283))</f>
        <v/>
      </c>
      <c r="X1283" s="40" t="str">
        <f aca="false">IF($B1283="","",IF(AND(OR(CETAK!$J$10="",$E1283=CETAK!$J$10),OR(CETAK!$J$11="",$F1283=CETAK!$J$11),OR(CETAK!$J$12="",$K1283=CETAK!$J$12),OR(CETAK!$J$13="",$H1283=CETAK!$J$13),OR(CETAK!$J$14="",$O1283=CETAK!$J$14)),MAX($X$3:X1282)+1,""))</f>
        <v/>
      </c>
      <c r="Y1283" s="40" t="str">
        <f aca="false">IF($B1283="","",IF(AND(OR(ABSENSI!$H$10="",$E1283=ABSENSI!$H$10),OR(ABSENSI!$H$11="",$F1283=ABSENSI!$H$11),OR(ABSENSI!$H$12="",$K1283=ABSENSI!$H$12)),MAX($Y$3:Y1282)+1,""))</f>
        <v/>
      </c>
      <c r="Z1283" s="40" t="str">
        <f aca="false">IF($B1283="","",IF(AND(OR(KARTU!$K$6="",$E1283=KARTU!$K$6),OR(KARTU!$K$7="",$F1283=KARTU!$K$7),OR(KARTU!$K$8="",$K1283=KARTU!$K$8)),MAX($Z$3:Z1282)+1,""))</f>
        <v/>
      </c>
    </row>
    <row r="1284" customFormat="false" ht="15" hidden="false" customHeight="false" outlineLevel="0" collapsed="false">
      <c r="A1284" s="36" t="str">
        <f aca="false">IF($B1284="","",COUNTA($B$4:$B1284))</f>
        <v/>
      </c>
      <c r="B1284" s="37"/>
      <c r="C1284" s="38"/>
      <c r="D1284" s="39"/>
      <c r="E1284" s="37"/>
      <c r="F1284" s="39"/>
      <c r="G1284" s="40" t="str">
        <f aca="false">IF(OR($E1284="",$F1284=""),"",$E1284&amp;" - RT "&amp;$F1284)</f>
        <v/>
      </c>
      <c r="H1284" s="37"/>
      <c r="I1284" s="38"/>
      <c r="J1284" s="37"/>
      <c r="K1284" s="39"/>
      <c r="L1284" s="41"/>
      <c r="M1284" s="36" t="str">
        <f aca="true">IF(OR($B1284="",$L1284=""),"",DATEDIF($L1284,TODAY(),"Y"))</f>
        <v/>
      </c>
      <c r="N1284" s="40" t="str">
        <f aca="false">IF($M1284="","",INDEX(usia_label,MATCH($M1284,usia_min,1)))</f>
        <v/>
      </c>
      <c r="O1284" s="37"/>
      <c r="P1284" s="41"/>
      <c r="Q1284" s="37"/>
      <c r="R1284" s="37"/>
      <c r="S1284" s="40" t="str">
        <f aca="false">IF($G1284="","",$G1284&amp;"#"&amp;COUNTIF($G$4:$G1284,$G1284))</f>
        <v/>
      </c>
      <c r="T1284" s="40" t="str">
        <f aca="false">IF($B1284="","",IF($C1284="","NIK kosong",IF(LEN($C1284)&lt;&gt;16,"NIK bukan 16 digit",IF(COUNTIF($C$4:$C$2003,$C1284&amp;"*")&gt;1,"NIK ganda",IF($E1284="","Kadus kosong",IF($F1284="","RT kosong",IF($H1284="","Jabatan kosong",IF($I1284="","No. HP kosong",IF($J1284="","Alamat kosong",IF(AND($M1284&lt;&gt;"",$M1284&lt;17),"Usia di bawah 17",""))))))))))</f>
        <v/>
      </c>
      <c r="U1284" s="40" t="str">
        <f aca="false">IF($B1284="","",IF(AND(OR(CARI!$C$5="",ISNUMBER(SEARCH(CARI!$C$5,$B1284&amp;" "&amp;$C1284&amp;" "&amp;$I1284&amp;" "&amp;$J1284&amp;" "&amp;$Q1284))),OR(CARI!$C$6="",$E1284=CARI!$C$6),OR(CARI!$C$7="",$F1284=CARI!$C$7),OR(CARI!$C$8="",$O1284=CARI!$C$8)),MAX($U$3:U1283)+1,""))</f>
        <v/>
      </c>
      <c r="V1284" s="40" t="str">
        <f aca="false">IF($T1284="","",MAX($V$3:V1283)+1)</f>
        <v/>
      </c>
      <c r="W1284" s="40" t="str">
        <f aca="false">IF($E1284="","",$E1284&amp;"#"&amp;COUNTIF($E$4:$E1284,$E1284))</f>
        <v/>
      </c>
      <c r="X1284" s="40" t="str">
        <f aca="false">IF($B1284="","",IF(AND(OR(CETAK!$J$10="",$E1284=CETAK!$J$10),OR(CETAK!$J$11="",$F1284=CETAK!$J$11),OR(CETAK!$J$12="",$K1284=CETAK!$J$12),OR(CETAK!$J$13="",$H1284=CETAK!$J$13),OR(CETAK!$J$14="",$O1284=CETAK!$J$14)),MAX($X$3:X1283)+1,""))</f>
        <v/>
      </c>
      <c r="Y1284" s="40" t="str">
        <f aca="false">IF($B1284="","",IF(AND(OR(ABSENSI!$H$10="",$E1284=ABSENSI!$H$10),OR(ABSENSI!$H$11="",$F1284=ABSENSI!$H$11),OR(ABSENSI!$H$12="",$K1284=ABSENSI!$H$12)),MAX($Y$3:Y1283)+1,""))</f>
        <v/>
      </c>
      <c r="Z1284" s="40" t="str">
        <f aca="false">IF($B1284="","",IF(AND(OR(KARTU!$K$6="",$E1284=KARTU!$K$6),OR(KARTU!$K$7="",$F1284=KARTU!$K$7),OR(KARTU!$K$8="",$K1284=KARTU!$K$8)),MAX($Z$3:Z1283)+1,""))</f>
        <v/>
      </c>
    </row>
    <row r="1285" customFormat="false" ht="15" hidden="false" customHeight="false" outlineLevel="0" collapsed="false">
      <c r="A1285" s="36" t="str">
        <f aca="false">IF($B1285="","",COUNTA($B$4:$B1285))</f>
        <v/>
      </c>
      <c r="B1285" s="37"/>
      <c r="C1285" s="38"/>
      <c r="D1285" s="39"/>
      <c r="E1285" s="37"/>
      <c r="F1285" s="39"/>
      <c r="G1285" s="40" t="str">
        <f aca="false">IF(OR($E1285="",$F1285=""),"",$E1285&amp;" - RT "&amp;$F1285)</f>
        <v/>
      </c>
      <c r="H1285" s="37"/>
      <c r="I1285" s="38"/>
      <c r="J1285" s="37"/>
      <c r="K1285" s="39"/>
      <c r="L1285" s="41"/>
      <c r="M1285" s="36" t="str">
        <f aca="true">IF(OR($B1285="",$L1285=""),"",DATEDIF($L1285,TODAY(),"Y"))</f>
        <v/>
      </c>
      <c r="N1285" s="40" t="str">
        <f aca="false">IF($M1285="","",INDEX(usia_label,MATCH($M1285,usia_min,1)))</f>
        <v/>
      </c>
      <c r="O1285" s="37"/>
      <c r="P1285" s="41"/>
      <c r="Q1285" s="37"/>
      <c r="R1285" s="37"/>
      <c r="S1285" s="40" t="str">
        <f aca="false">IF($G1285="","",$G1285&amp;"#"&amp;COUNTIF($G$4:$G1285,$G1285))</f>
        <v/>
      </c>
      <c r="T1285" s="40" t="str">
        <f aca="false">IF($B1285="","",IF($C1285="","NIK kosong",IF(LEN($C1285)&lt;&gt;16,"NIK bukan 16 digit",IF(COUNTIF($C$4:$C$2003,$C1285&amp;"*")&gt;1,"NIK ganda",IF($E1285="","Kadus kosong",IF($F1285="","RT kosong",IF($H1285="","Jabatan kosong",IF($I1285="","No. HP kosong",IF($J1285="","Alamat kosong",IF(AND($M1285&lt;&gt;"",$M1285&lt;17),"Usia di bawah 17",""))))))))))</f>
        <v/>
      </c>
      <c r="U1285" s="40" t="str">
        <f aca="false">IF($B1285="","",IF(AND(OR(CARI!$C$5="",ISNUMBER(SEARCH(CARI!$C$5,$B1285&amp;" "&amp;$C1285&amp;" "&amp;$I1285&amp;" "&amp;$J1285&amp;" "&amp;$Q1285))),OR(CARI!$C$6="",$E1285=CARI!$C$6),OR(CARI!$C$7="",$F1285=CARI!$C$7),OR(CARI!$C$8="",$O1285=CARI!$C$8)),MAX($U$3:U1284)+1,""))</f>
        <v/>
      </c>
      <c r="V1285" s="40" t="str">
        <f aca="false">IF($T1285="","",MAX($V$3:V1284)+1)</f>
        <v/>
      </c>
      <c r="W1285" s="40" t="str">
        <f aca="false">IF($E1285="","",$E1285&amp;"#"&amp;COUNTIF($E$4:$E1285,$E1285))</f>
        <v/>
      </c>
      <c r="X1285" s="40" t="str">
        <f aca="false">IF($B1285="","",IF(AND(OR(CETAK!$J$10="",$E1285=CETAK!$J$10),OR(CETAK!$J$11="",$F1285=CETAK!$J$11),OR(CETAK!$J$12="",$K1285=CETAK!$J$12),OR(CETAK!$J$13="",$H1285=CETAK!$J$13),OR(CETAK!$J$14="",$O1285=CETAK!$J$14)),MAX($X$3:X1284)+1,""))</f>
        <v/>
      </c>
      <c r="Y1285" s="40" t="str">
        <f aca="false">IF($B1285="","",IF(AND(OR(ABSENSI!$H$10="",$E1285=ABSENSI!$H$10),OR(ABSENSI!$H$11="",$F1285=ABSENSI!$H$11),OR(ABSENSI!$H$12="",$K1285=ABSENSI!$H$12)),MAX($Y$3:Y1284)+1,""))</f>
        <v/>
      </c>
      <c r="Z1285" s="40" t="str">
        <f aca="false">IF($B1285="","",IF(AND(OR(KARTU!$K$6="",$E1285=KARTU!$K$6),OR(KARTU!$K$7="",$F1285=KARTU!$K$7),OR(KARTU!$K$8="",$K1285=KARTU!$K$8)),MAX($Z$3:Z1284)+1,""))</f>
        <v/>
      </c>
    </row>
    <row r="1286" customFormat="false" ht="15" hidden="false" customHeight="false" outlineLevel="0" collapsed="false">
      <c r="A1286" s="36" t="str">
        <f aca="false">IF($B1286="","",COUNTA($B$4:$B1286))</f>
        <v/>
      </c>
      <c r="B1286" s="37"/>
      <c r="C1286" s="38"/>
      <c r="D1286" s="39"/>
      <c r="E1286" s="37"/>
      <c r="F1286" s="39"/>
      <c r="G1286" s="40" t="str">
        <f aca="false">IF(OR($E1286="",$F1286=""),"",$E1286&amp;" - RT "&amp;$F1286)</f>
        <v/>
      </c>
      <c r="H1286" s="37"/>
      <c r="I1286" s="38"/>
      <c r="J1286" s="37"/>
      <c r="K1286" s="39"/>
      <c r="L1286" s="41"/>
      <c r="M1286" s="36" t="str">
        <f aca="true">IF(OR($B1286="",$L1286=""),"",DATEDIF($L1286,TODAY(),"Y"))</f>
        <v/>
      </c>
      <c r="N1286" s="40" t="str">
        <f aca="false">IF($M1286="","",INDEX(usia_label,MATCH($M1286,usia_min,1)))</f>
        <v/>
      </c>
      <c r="O1286" s="37"/>
      <c r="P1286" s="41"/>
      <c r="Q1286" s="37"/>
      <c r="R1286" s="37"/>
      <c r="S1286" s="40" t="str">
        <f aca="false">IF($G1286="","",$G1286&amp;"#"&amp;COUNTIF($G$4:$G1286,$G1286))</f>
        <v/>
      </c>
      <c r="T1286" s="40" t="str">
        <f aca="false">IF($B1286="","",IF($C1286="","NIK kosong",IF(LEN($C1286)&lt;&gt;16,"NIK bukan 16 digit",IF(COUNTIF($C$4:$C$2003,$C1286&amp;"*")&gt;1,"NIK ganda",IF($E1286="","Kadus kosong",IF($F1286="","RT kosong",IF($H1286="","Jabatan kosong",IF($I1286="","No. HP kosong",IF($J1286="","Alamat kosong",IF(AND($M1286&lt;&gt;"",$M1286&lt;17),"Usia di bawah 17",""))))))))))</f>
        <v/>
      </c>
      <c r="U1286" s="40" t="str">
        <f aca="false">IF($B1286="","",IF(AND(OR(CARI!$C$5="",ISNUMBER(SEARCH(CARI!$C$5,$B1286&amp;" "&amp;$C1286&amp;" "&amp;$I1286&amp;" "&amp;$J1286&amp;" "&amp;$Q1286))),OR(CARI!$C$6="",$E1286=CARI!$C$6),OR(CARI!$C$7="",$F1286=CARI!$C$7),OR(CARI!$C$8="",$O1286=CARI!$C$8)),MAX($U$3:U1285)+1,""))</f>
        <v/>
      </c>
      <c r="V1286" s="40" t="str">
        <f aca="false">IF($T1286="","",MAX($V$3:V1285)+1)</f>
        <v/>
      </c>
      <c r="W1286" s="40" t="str">
        <f aca="false">IF($E1286="","",$E1286&amp;"#"&amp;COUNTIF($E$4:$E1286,$E1286))</f>
        <v/>
      </c>
      <c r="X1286" s="40" t="str">
        <f aca="false">IF($B1286="","",IF(AND(OR(CETAK!$J$10="",$E1286=CETAK!$J$10),OR(CETAK!$J$11="",$F1286=CETAK!$J$11),OR(CETAK!$J$12="",$K1286=CETAK!$J$12),OR(CETAK!$J$13="",$H1286=CETAK!$J$13),OR(CETAK!$J$14="",$O1286=CETAK!$J$14)),MAX($X$3:X1285)+1,""))</f>
        <v/>
      </c>
      <c r="Y1286" s="40" t="str">
        <f aca="false">IF($B1286="","",IF(AND(OR(ABSENSI!$H$10="",$E1286=ABSENSI!$H$10),OR(ABSENSI!$H$11="",$F1286=ABSENSI!$H$11),OR(ABSENSI!$H$12="",$K1286=ABSENSI!$H$12)),MAX($Y$3:Y1285)+1,""))</f>
        <v/>
      </c>
      <c r="Z1286" s="40" t="str">
        <f aca="false">IF($B1286="","",IF(AND(OR(KARTU!$K$6="",$E1286=KARTU!$K$6),OR(KARTU!$K$7="",$F1286=KARTU!$K$7),OR(KARTU!$K$8="",$K1286=KARTU!$K$8)),MAX($Z$3:Z1285)+1,""))</f>
        <v/>
      </c>
    </row>
    <row r="1287" customFormat="false" ht="15" hidden="false" customHeight="false" outlineLevel="0" collapsed="false">
      <c r="A1287" s="36" t="str">
        <f aca="false">IF($B1287="","",COUNTA($B$4:$B1287))</f>
        <v/>
      </c>
      <c r="B1287" s="37"/>
      <c r="C1287" s="38"/>
      <c r="D1287" s="39"/>
      <c r="E1287" s="37"/>
      <c r="F1287" s="39"/>
      <c r="G1287" s="40" t="str">
        <f aca="false">IF(OR($E1287="",$F1287=""),"",$E1287&amp;" - RT "&amp;$F1287)</f>
        <v/>
      </c>
      <c r="H1287" s="37"/>
      <c r="I1287" s="38"/>
      <c r="J1287" s="37"/>
      <c r="K1287" s="39"/>
      <c r="L1287" s="41"/>
      <c r="M1287" s="36" t="str">
        <f aca="true">IF(OR($B1287="",$L1287=""),"",DATEDIF($L1287,TODAY(),"Y"))</f>
        <v/>
      </c>
      <c r="N1287" s="40" t="str">
        <f aca="false">IF($M1287="","",INDEX(usia_label,MATCH($M1287,usia_min,1)))</f>
        <v/>
      </c>
      <c r="O1287" s="37"/>
      <c r="P1287" s="41"/>
      <c r="Q1287" s="37"/>
      <c r="R1287" s="37"/>
      <c r="S1287" s="40" t="str">
        <f aca="false">IF($G1287="","",$G1287&amp;"#"&amp;COUNTIF($G$4:$G1287,$G1287))</f>
        <v/>
      </c>
      <c r="T1287" s="40" t="str">
        <f aca="false">IF($B1287="","",IF($C1287="","NIK kosong",IF(LEN($C1287)&lt;&gt;16,"NIK bukan 16 digit",IF(COUNTIF($C$4:$C$2003,$C1287&amp;"*")&gt;1,"NIK ganda",IF($E1287="","Kadus kosong",IF($F1287="","RT kosong",IF($H1287="","Jabatan kosong",IF($I1287="","No. HP kosong",IF($J1287="","Alamat kosong",IF(AND($M1287&lt;&gt;"",$M1287&lt;17),"Usia di bawah 17",""))))))))))</f>
        <v/>
      </c>
      <c r="U1287" s="40" t="str">
        <f aca="false">IF($B1287="","",IF(AND(OR(CARI!$C$5="",ISNUMBER(SEARCH(CARI!$C$5,$B1287&amp;" "&amp;$C1287&amp;" "&amp;$I1287&amp;" "&amp;$J1287&amp;" "&amp;$Q1287))),OR(CARI!$C$6="",$E1287=CARI!$C$6),OR(CARI!$C$7="",$F1287=CARI!$C$7),OR(CARI!$C$8="",$O1287=CARI!$C$8)),MAX($U$3:U1286)+1,""))</f>
        <v/>
      </c>
      <c r="V1287" s="40" t="str">
        <f aca="false">IF($T1287="","",MAX($V$3:V1286)+1)</f>
        <v/>
      </c>
      <c r="W1287" s="40" t="str">
        <f aca="false">IF($E1287="","",$E1287&amp;"#"&amp;COUNTIF($E$4:$E1287,$E1287))</f>
        <v/>
      </c>
      <c r="X1287" s="40" t="str">
        <f aca="false">IF($B1287="","",IF(AND(OR(CETAK!$J$10="",$E1287=CETAK!$J$10),OR(CETAK!$J$11="",$F1287=CETAK!$J$11),OR(CETAK!$J$12="",$K1287=CETAK!$J$12),OR(CETAK!$J$13="",$H1287=CETAK!$J$13),OR(CETAK!$J$14="",$O1287=CETAK!$J$14)),MAX($X$3:X1286)+1,""))</f>
        <v/>
      </c>
      <c r="Y1287" s="40" t="str">
        <f aca="false">IF($B1287="","",IF(AND(OR(ABSENSI!$H$10="",$E1287=ABSENSI!$H$10),OR(ABSENSI!$H$11="",$F1287=ABSENSI!$H$11),OR(ABSENSI!$H$12="",$K1287=ABSENSI!$H$12)),MAX($Y$3:Y1286)+1,""))</f>
        <v/>
      </c>
      <c r="Z1287" s="40" t="str">
        <f aca="false">IF($B1287="","",IF(AND(OR(KARTU!$K$6="",$E1287=KARTU!$K$6),OR(KARTU!$K$7="",$F1287=KARTU!$K$7),OR(KARTU!$K$8="",$K1287=KARTU!$K$8)),MAX($Z$3:Z1286)+1,""))</f>
        <v/>
      </c>
    </row>
    <row r="1288" customFormat="false" ht="15" hidden="false" customHeight="false" outlineLevel="0" collapsed="false">
      <c r="A1288" s="36" t="str">
        <f aca="false">IF($B1288="","",COUNTA($B$4:$B1288))</f>
        <v/>
      </c>
      <c r="B1288" s="37"/>
      <c r="C1288" s="38"/>
      <c r="D1288" s="39"/>
      <c r="E1288" s="37"/>
      <c r="F1288" s="39"/>
      <c r="G1288" s="40" t="str">
        <f aca="false">IF(OR($E1288="",$F1288=""),"",$E1288&amp;" - RT "&amp;$F1288)</f>
        <v/>
      </c>
      <c r="H1288" s="37"/>
      <c r="I1288" s="38"/>
      <c r="J1288" s="37"/>
      <c r="K1288" s="39"/>
      <c r="L1288" s="41"/>
      <c r="M1288" s="36" t="str">
        <f aca="true">IF(OR($B1288="",$L1288=""),"",DATEDIF($L1288,TODAY(),"Y"))</f>
        <v/>
      </c>
      <c r="N1288" s="40" t="str">
        <f aca="false">IF($M1288="","",INDEX(usia_label,MATCH($M1288,usia_min,1)))</f>
        <v/>
      </c>
      <c r="O1288" s="37"/>
      <c r="P1288" s="41"/>
      <c r="Q1288" s="37"/>
      <c r="R1288" s="37"/>
      <c r="S1288" s="40" t="str">
        <f aca="false">IF($G1288="","",$G1288&amp;"#"&amp;COUNTIF($G$4:$G1288,$G1288))</f>
        <v/>
      </c>
      <c r="T1288" s="40" t="str">
        <f aca="false">IF($B1288="","",IF($C1288="","NIK kosong",IF(LEN($C1288)&lt;&gt;16,"NIK bukan 16 digit",IF(COUNTIF($C$4:$C$2003,$C1288&amp;"*")&gt;1,"NIK ganda",IF($E1288="","Kadus kosong",IF($F1288="","RT kosong",IF($H1288="","Jabatan kosong",IF($I1288="","No. HP kosong",IF($J1288="","Alamat kosong",IF(AND($M1288&lt;&gt;"",$M1288&lt;17),"Usia di bawah 17",""))))))))))</f>
        <v/>
      </c>
      <c r="U1288" s="40" t="str">
        <f aca="false">IF($B1288="","",IF(AND(OR(CARI!$C$5="",ISNUMBER(SEARCH(CARI!$C$5,$B1288&amp;" "&amp;$C1288&amp;" "&amp;$I1288&amp;" "&amp;$J1288&amp;" "&amp;$Q1288))),OR(CARI!$C$6="",$E1288=CARI!$C$6),OR(CARI!$C$7="",$F1288=CARI!$C$7),OR(CARI!$C$8="",$O1288=CARI!$C$8)),MAX($U$3:U1287)+1,""))</f>
        <v/>
      </c>
      <c r="V1288" s="40" t="str">
        <f aca="false">IF($T1288="","",MAX($V$3:V1287)+1)</f>
        <v/>
      </c>
      <c r="W1288" s="40" t="str">
        <f aca="false">IF($E1288="","",$E1288&amp;"#"&amp;COUNTIF($E$4:$E1288,$E1288))</f>
        <v/>
      </c>
      <c r="X1288" s="40" t="str">
        <f aca="false">IF($B1288="","",IF(AND(OR(CETAK!$J$10="",$E1288=CETAK!$J$10),OR(CETAK!$J$11="",$F1288=CETAK!$J$11),OR(CETAK!$J$12="",$K1288=CETAK!$J$12),OR(CETAK!$J$13="",$H1288=CETAK!$J$13),OR(CETAK!$J$14="",$O1288=CETAK!$J$14)),MAX($X$3:X1287)+1,""))</f>
        <v/>
      </c>
      <c r="Y1288" s="40" t="str">
        <f aca="false">IF($B1288="","",IF(AND(OR(ABSENSI!$H$10="",$E1288=ABSENSI!$H$10),OR(ABSENSI!$H$11="",$F1288=ABSENSI!$H$11),OR(ABSENSI!$H$12="",$K1288=ABSENSI!$H$12)),MAX($Y$3:Y1287)+1,""))</f>
        <v/>
      </c>
      <c r="Z1288" s="40" t="str">
        <f aca="false">IF($B1288="","",IF(AND(OR(KARTU!$K$6="",$E1288=KARTU!$K$6),OR(KARTU!$K$7="",$F1288=KARTU!$K$7),OR(KARTU!$K$8="",$K1288=KARTU!$K$8)),MAX($Z$3:Z1287)+1,""))</f>
        <v/>
      </c>
    </row>
    <row r="1289" customFormat="false" ht="15" hidden="false" customHeight="false" outlineLevel="0" collapsed="false">
      <c r="A1289" s="36" t="str">
        <f aca="false">IF($B1289="","",COUNTA($B$4:$B1289))</f>
        <v/>
      </c>
      <c r="B1289" s="37"/>
      <c r="C1289" s="38"/>
      <c r="D1289" s="39"/>
      <c r="E1289" s="37"/>
      <c r="F1289" s="39"/>
      <c r="G1289" s="40" t="str">
        <f aca="false">IF(OR($E1289="",$F1289=""),"",$E1289&amp;" - RT "&amp;$F1289)</f>
        <v/>
      </c>
      <c r="H1289" s="37"/>
      <c r="I1289" s="38"/>
      <c r="J1289" s="37"/>
      <c r="K1289" s="39"/>
      <c r="L1289" s="41"/>
      <c r="M1289" s="36" t="str">
        <f aca="true">IF(OR($B1289="",$L1289=""),"",DATEDIF($L1289,TODAY(),"Y"))</f>
        <v/>
      </c>
      <c r="N1289" s="40" t="str">
        <f aca="false">IF($M1289="","",INDEX(usia_label,MATCH($M1289,usia_min,1)))</f>
        <v/>
      </c>
      <c r="O1289" s="37"/>
      <c r="P1289" s="41"/>
      <c r="Q1289" s="37"/>
      <c r="R1289" s="37"/>
      <c r="S1289" s="40" t="str">
        <f aca="false">IF($G1289="","",$G1289&amp;"#"&amp;COUNTIF($G$4:$G1289,$G1289))</f>
        <v/>
      </c>
      <c r="T1289" s="40" t="str">
        <f aca="false">IF($B1289="","",IF($C1289="","NIK kosong",IF(LEN($C1289)&lt;&gt;16,"NIK bukan 16 digit",IF(COUNTIF($C$4:$C$2003,$C1289&amp;"*")&gt;1,"NIK ganda",IF($E1289="","Kadus kosong",IF($F1289="","RT kosong",IF($H1289="","Jabatan kosong",IF($I1289="","No. HP kosong",IF($J1289="","Alamat kosong",IF(AND($M1289&lt;&gt;"",$M1289&lt;17),"Usia di bawah 17",""))))))))))</f>
        <v/>
      </c>
      <c r="U1289" s="40" t="str">
        <f aca="false">IF($B1289="","",IF(AND(OR(CARI!$C$5="",ISNUMBER(SEARCH(CARI!$C$5,$B1289&amp;" "&amp;$C1289&amp;" "&amp;$I1289&amp;" "&amp;$J1289&amp;" "&amp;$Q1289))),OR(CARI!$C$6="",$E1289=CARI!$C$6),OR(CARI!$C$7="",$F1289=CARI!$C$7),OR(CARI!$C$8="",$O1289=CARI!$C$8)),MAX($U$3:U1288)+1,""))</f>
        <v/>
      </c>
      <c r="V1289" s="40" t="str">
        <f aca="false">IF($T1289="","",MAX($V$3:V1288)+1)</f>
        <v/>
      </c>
      <c r="W1289" s="40" t="str">
        <f aca="false">IF($E1289="","",$E1289&amp;"#"&amp;COUNTIF($E$4:$E1289,$E1289))</f>
        <v/>
      </c>
      <c r="X1289" s="40" t="str">
        <f aca="false">IF($B1289="","",IF(AND(OR(CETAK!$J$10="",$E1289=CETAK!$J$10),OR(CETAK!$J$11="",$F1289=CETAK!$J$11),OR(CETAK!$J$12="",$K1289=CETAK!$J$12),OR(CETAK!$J$13="",$H1289=CETAK!$J$13),OR(CETAK!$J$14="",$O1289=CETAK!$J$14)),MAX($X$3:X1288)+1,""))</f>
        <v/>
      </c>
      <c r="Y1289" s="40" t="str">
        <f aca="false">IF($B1289="","",IF(AND(OR(ABSENSI!$H$10="",$E1289=ABSENSI!$H$10),OR(ABSENSI!$H$11="",$F1289=ABSENSI!$H$11),OR(ABSENSI!$H$12="",$K1289=ABSENSI!$H$12)),MAX($Y$3:Y1288)+1,""))</f>
        <v/>
      </c>
      <c r="Z1289" s="40" t="str">
        <f aca="false">IF($B1289="","",IF(AND(OR(KARTU!$K$6="",$E1289=KARTU!$K$6),OR(KARTU!$K$7="",$F1289=KARTU!$K$7),OR(KARTU!$K$8="",$K1289=KARTU!$K$8)),MAX($Z$3:Z1288)+1,""))</f>
        <v/>
      </c>
    </row>
    <row r="1290" customFormat="false" ht="15" hidden="false" customHeight="false" outlineLevel="0" collapsed="false">
      <c r="A1290" s="36" t="str">
        <f aca="false">IF($B1290="","",COUNTA($B$4:$B1290))</f>
        <v/>
      </c>
      <c r="B1290" s="37"/>
      <c r="C1290" s="38"/>
      <c r="D1290" s="39"/>
      <c r="E1290" s="37"/>
      <c r="F1290" s="39"/>
      <c r="G1290" s="40" t="str">
        <f aca="false">IF(OR($E1290="",$F1290=""),"",$E1290&amp;" - RT "&amp;$F1290)</f>
        <v/>
      </c>
      <c r="H1290" s="37"/>
      <c r="I1290" s="38"/>
      <c r="J1290" s="37"/>
      <c r="K1290" s="39"/>
      <c r="L1290" s="41"/>
      <c r="M1290" s="36" t="str">
        <f aca="true">IF(OR($B1290="",$L1290=""),"",DATEDIF($L1290,TODAY(),"Y"))</f>
        <v/>
      </c>
      <c r="N1290" s="40" t="str">
        <f aca="false">IF($M1290="","",INDEX(usia_label,MATCH($M1290,usia_min,1)))</f>
        <v/>
      </c>
      <c r="O1290" s="37"/>
      <c r="P1290" s="41"/>
      <c r="Q1290" s="37"/>
      <c r="R1290" s="37"/>
      <c r="S1290" s="40" t="str">
        <f aca="false">IF($G1290="","",$G1290&amp;"#"&amp;COUNTIF($G$4:$G1290,$G1290))</f>
        <v/>
      </c>
      <c r="T1290" s="40" t="str">
        <f aca="false">IF($B1290="","",IF($C1290="","NIK kosong",IF(LEN($C1290)&lt;&gt;16,"NIK bukan 16 digit",IF(COUNTIF($C$4:$C$2003,$C1290&amp;"*")&gt;1,"NIK ganda",IF($E1290="","Kadus kosong",IF($F1290="","RT kosong",IF($H1290="","Jabatan kosong",IF($I1290="","No. HP kosong",IF($J1290="","Alamat kosong",IF(AND($M1290&lt;&gt;"",$M1290&lt;17),"Usia di bawah 17",""))))))))))</f>
        <v/>
      </c>
      <c r="U1290" s="40" t="str">
        <f aca="false">IF($B1290="","",IF(AND(OR(CARI!$C$5="",ISNUMBER(SEARCH(CARI!$C$5,$B1290&amp;" "&amp;$C1290&amp;" "&amp;$I1290&amp;" "&amp;$J1290&amp;" "&amp;$Q1290))),OR(CARI!$C$6="",$E1290=CARI!$C$6),OR(CARI!$C$7="",$F1290=CARI!$C$7),OR(CARI!$C$8="",$O1290=CARI!$C$8)),MAX($U$3:U1289)+1,""))</f>
        <v/>
      </c>
      <c r="V1290" s="40" t="str">
        <f aca="false">IF($T1290="","",MAX($V$3:V1289)+1)</f>
        <v/>
      </c>
      <c r="W1290" s="40" t="str">
        <f aca="false">IF($E1290="","",$E1290&amp;"#"&amp;COUNTIF($E$4:$E1290,$E1290))</f>
        <v/>
      </c>
      <c r="X1290" s="40" t="str">
        <f aca="false">IF($B1290="","",IF(AND(OR(CETAK!$J$10="",$E1290=CETAK!$J$10),OR(CETAK!$J$11="",$F1290=CETAK!$J$11),OR(CETAK!$J$12="",$K1290=CETAK!$J$12),OR(CETAK!$J$13="",$H1290=CETAK!$J$13),OR(CETAK!$J$14="",$O1290=CETAK!$J$14)),MAX($X$3:X1289)+1,""))</f>
        <v/>
      </c>
      <c r="Y1290" s="40" t="str">
        <f aca="false">IF($B1290="","",IF(AND(OR(ABSENSI!$H$10="",$E1290=ABSENSI!$H$10),OR(ABSENSI!$H$11="",$F1290=ABSENSI!$H$11),OR(ABSENSI!$H$12="",$K1290=ABSENSI!$H$12)),MAX($Y$3:Y1289)+1,""))</f>
        <v/>
      </c>
      <c r="Z1290" s="40" t="str">
        <f aca="false">IF($B1290="","",IF(AND(OR(KARTU!$K$6="",$E1290=KARTU!$K$6),OR(KARTU!$K$7="",$F1290=KARTU!$K$7),OR(KARTU!$K$8="",$K1290=KARTU!$K$8)),MAX($Z$3:Z1289)+1,""))</f>
        <v/>
      </c>
    </row>
    <row r="1291" customFormat="false" ht="15" hidden="false" customHeight="false" outlineLevel="0" collapsed="false">
      <c r="A1291" s="36" t="str">
        <f aca="false">IF($B1291="","",COUNTA($B$4:$B1291))</f>
        <v/>
      </c>
      <c r="B1291" s="37"/>
      <c r="C1291" s="38"/>
      <c r="D1291" s="39"/>
      <c r="E1291" s="37"/>
      <c r="F1291" s="39"/>
      <c r="G1291" s="40" t="str">
        <f aca="false">IF(OR($E1291="",$F1291=""),"",$E1291&amp;" - RT "&amp;$F1291)</f>
        <v/>
      </c>
      <c r="H1291" s="37"/>
      <c r="I1291" s="38"/>
      <c r="J1291" s="37"/>
      <c r="K1291" s="39"/>
      <c r="L1291" s="41"/>
      <c r="M1291" s="36" t="str">
        <f aca="true">IF(OR($B1291="",$L1291=""),"",DATEDIF($L1291,TODAY(),"Y"))</f>
        <v/>
      </c>
      <c r="N1291" s="40" t="str">
        <f aca="false">IF($M1291="","",INDEX(usia_label,MATCH($M1291,usia_min,1)))</f>
        <v/>
      </c>
      <c r="O1291" s="37"/>
      <c r="P1291" s="41"/>
      <c r="Q1291" s="37"/>
      <c r="R1291" s="37"/>
      <c r="S1291" s="40" t="str">
        <f aca="false">IF($G1291="","",$G1291&amp;"#"&amp;COUNTIF($G$4:$G1291,$G1291))</f>
        <v/>
      </c>
      <c r="T1291" s="40" t="str">
        <f aca="false">IF($B1291="","",IF($C1291="","NIK kosong",IF(LEN($C1291)&lt;&gt;16,"NIK bukan 16 digit",IF(COUNTIF($C$4:$C$2003,$C1291&amp;"*")&gt;1,"NIK ganda",IF($E1291="","Kadus kosong",IF($F1291="","RT kosong",IF($H1291="","Jabatan kosong",IF($I1291="","No. HP kosong",IF($J1291="","Alamat kosong",IF(AND($M1291&lt;&gt;"",$M1291&lt;17),"Usia di bawah 17",""))))))))))</f>
        <v/>
      </c>
      <c r="U1291" s="40" t="str">
        <f aca="false">IF($B1291="","",IF(AND(OR(CARI!$C$5="",ISNUMBER(SEARCH(CARI!$C$5,$B1291&amp;" "&amp;$C1291&amp;" "&amp;$I1291&amp;" "&amp;$J1291&amp;" "&amp;$Q1291))),OR(CARI!$C$6="",$E1291=CARI!$C$6),OR(CARI!$C$7="",$F1291=CARI!$C$7),OR(CARI!$C$8="",$O1291=CARI!$C$8)),MAX($U$3:U1290)+1,""))</f>
        <v/>
      </c>
      <c r="V1291" s="40" t="str">
        <f aca="false">IF($T1291="","",MAX($V$3:V1290)+1)</f>
        <v/>
      </c>
      <c r="W1291" s="40" t="str">
        <f aca="false">IF($E1291="","",$E1291&amp;"#"&amp;COUNTIF($E$4:$E1291,$E1291))</f>
        <v/>
      </c>
      <c r="X1291" s="40" t="str">
        <f aca="false">IF($B1291="","",IF(AND(OR(CETAK!$J$10="",$E1291=CETAK!$J$10),OR(CETAK!$J$11="",$F1291=CETAK!$J$11),OR(CETAK!$J$12="",$K1291=CETAK!$J$12),OR(CETAK!$J$13="",$H1291=CETAK!$J$13),OR(CETAK!$J$14="",$O1291=CETAK!$J$14)),MAX($X$3:X1290)+1,""))</f>
        <v/>
      </c>
      <c r="Y1291" s="40" t="str">
        <f aca="false">IF($B1291="","",IF(AND(OR(ABSENSI!$H$10="",$E1291=ABSENSI!$H$10),OR(ABSENSI!$H$11="",$F1291=ABSENSI!$H$11),OR(ABSENSI!$H$12="",$K1291=ABSENSI!$H$12)),MAX($Y$3:Y1290)+1,""))</f>
        <v/>
      </c>
      <c r="Z1291" s="40" t="str">
        <f aca="false">IF($B1291="","",IF(AND(OR(KARTU!$K$6="",$E1291=KARTU!$K$6),OR(KARTU!$K$7="",$F1291=KARTU!$K$7),OR(KARTU!$K$8="",$K1291=KARTU!$K$8)),MAX($Z$3:Z1290)+1,""))</f>
        <v/>
      </c>
    </row>
    <row r="1292" customFormat="false" ht="15" hidden="false" customHeight="false" outlineLevel="0" collapsed="false">
      <c r="A1292" s="36" t="str">
        <f aca="false">IF($B1292="","",COUNTA($B$4:$B1292))</f>
        <v/>
      </c>
      <c r="B1292" s="37"/>
      <c r="C1292" s="38"/>
      <c r="D1292" s="39"/>
      <c r="E1292" s="37"/>
      <c r="F1292" s="39"/>
      <c r="G1292" s="40" t="str">
        <f aca="false">IF(OR($E1292="",$F1292=""),"",$E1292&amp;" - RT "&amp;$F1292)</f>
        <v/>
      </c>
      <c r="H1292" s="37"/>
      <c r="I1292" s="38"/>
      <c r="J1292" s="37"/>
      <c r="K1292" s="39"/>
      <c r="L1292" s="41"/>
      <c r="M1292" s="36" t="str">
        <f aca="true">IF(OR($B1292="",$L1292=""),"",DATEDIF($L1292,TODAY(),"Y"))</f>
        <v/>
      </c>
      <c r="N1292" s="40" t="str">
        <f aca="false">IF($M1292="","",INDEX(usia_label,MATCH($M1292,usia_min,1)))</f>
        <v/>
      </c>
      <c r="O1292" s="37"/>
      <c r="P1292" s="41"/>
      <c r="Q1292" s="37"/>
      <c r="R1292" s="37"/>
      <c r="S1292" s="40" t="str">
        <f aca="false">IF($G1292="","",$G1292&amp;"#"&amp;COUNTIF($G$4:$G1292,$G1292))</f>
        <v/>
      </c>
      <c r="T1292" s="40" t="str">
        <f aca="false">IF($B1292="","",IF($C1292="","NIK kosong",IF(LEN($C1292)&lt;&gt;16,"NIK bukan 16 digit",IF(COUNTIF($C$4:$C$2003,$C1292&amp;"*")&gt;1,"NIK ganda",IF($E1292="","Kadus kosong",IF($F1292="","RT kosong",IF($H1292="","Jabatan kosong",IF($I1292="","No. HP kosong",IF($J1292="","Alamat kosong",IF(AND($M1292&lt;&gt;"",$M1292&lt;17),"Usia di bawah 17",""))))))))))</f>
        <v/>
      </c>
      <c r="U1292" s="40" t="str">
        <f aca="false">IF($B1292="","",IF(AND(OR(CARI!$C$5="",ISNUMBER(SEARCH(CARI!$C$5,$B1292&amp;" "&amp;$C1292&amp;" "&amp;$I1292&amp;" "&amp;$J1292&amp;" "&amp;$Q1292))),OR(CARI!$C$6="",$E1292=CARI!$C$6),OR(CARI!$C$7="",$F1292=CARI!$C$7),OR(CARI!$C$8="",$O1292=CARI!$C$8)),MAX($U$3:U1291)+1,""))</f>
        <v/>
      </c>
      <c r="V1292" s="40" t="str">
        <f aca="false">IF($T1292="","",MAX($V$3:V1291)+1)</f>
        <v/>
      </c>
      <c r="W1292" s="40" t="str">
        <f aca="false">IF($E1292="","",$E1292&amp;"#"&amp;COUNTIF($E$4:$E1292,$E1292))</f>
        <v/>
      </c>
      <c r="X1292" s="40" t="str">
        <f aca="false">IF($B1292="","",IF(AND(OR(CETAK!$J$10="",$E1292=CETAK!$J$10),OR(CETAK!$J$11="",$F1292=CETAK!$J$11),OR(CETAK!$J$12="",$K1292=CETAK!$J$12),OR(CETAK!$J$13="",$H1292=CETAK!$J$13),OR(CETAK!$J$14="",$O1292=CETAK!$J$14)),MAX($X$3:X1291)+1,""))</f>
        <v/>
      </c>
      <c r="Y1292" s="40" t="str">
        <f aca="false">IF($B1292="","",IF(AND(OR(ABSENSI!$H$10="",$E1292=ABSENSI!$H$10),OR(ABSENSI!$H$11="",$F1292=ABSENSI!$H$11),OR(ABSENSI!$H$12="",$K1292=ABSENSI!$H$12)),MAX($Y$3:Y1291)+1,""))</f>
        <v/>
      </c>
      <c r="Z1292" s="40" t="str">
        <f aca="false">IF($B1292="","",IF(AND(OR(KARTU!$K$6="",$E1292=KARTU!$K$6),OR(KARTU!$K$7="",$F1292=KARTU!$K$7),OR(KARTU!$K$8="",$K1292=KARTU!$K$8)),MAX($Z$3:Z1291)+1,""))</f>
        <v/>
      </c>
    </row>
    <row r="1293" customFormat="false" ht="15" hidden="false" customHeight="false" outlineLevel="0" collapsed="false">
      <c r="A1293" s="36" t="str">
        <f aca="false">IF($B1293="","",COUNTA($B$4:$B1293))</f>
        <v/>
      </c>
      <c r="B1293" s="37"/>
      <c r="C1293" s="38"/>
      <c r="D1293" s="39"/>
      <c r="E1293" s="37"/>
      <c r="F1293" s="39"/>
      <c r="G1293" s="40" t="str">
        <f aca="false">IF(OR($E1293="",$F1293=""),"",$E1293&amp;" - RT "&amp;$F1293)</f>
        <v/>
      </c>
      <c r="H1293" s="37"/>
      <c r="I1293" s="38"/>
      <c r="J1293" s="37"/>
      <c r="K1293" s="39"/>
      <c r="L1293" s="41"/>
      <c r="M1293" s="36" t="str">
        <f aca="true">IF(OR($B1293="",$L1293=""),"",DATEDIF($L1293,TODAY(),"Y"))</f>
        <v/>
      </c>
      <c r="N1293" s="40" t="str">
        <f aca="false">IF($M1293="","",INDEX(usia_label,MATCH($M1293,usia_min,1)))</f>
        <v/>
      </c>
      <c r="O1293" s="37"/>
      <c r="P1293" s="41"/>
      <c r="Q1293" s="37"/>
      <c r="R1293" s="37"/>
      <c r="S1293" s="40" t="str">
        <f aca="false">IF($G1293="","",$G1293&amp;"#"&amp;COUNTIF($G$4:$G1293,$G1293))</f>
        <v/>
      </c>
      <c r="T1293" s="40" t="str">
        <f aca="false">IF($B1293="","",IF($C1293="","NIK kosong",IF(LEN($C1293)&lt;&gt;16,"NIK bukan 16 digit",IF(COUNTIF($C$4:$C$2003,$C1293&amp;"*")&gt;1,"NIK ganda",IF($E1293="","Kadus kosong",IF($F1293="","RT kosong",IF($H1293="","Jabatan kosong",IF($I1293="","No. HP kosong",IF($J1293="","Alamat kosong",IF(AND($M1293&lt;&gt;"",$M1293&lt;17),"Usia di bawah 17",""))))))))))</f>
        <v/>
      </c>
      <c r="U1293" s="40" t="str">
        <f aca="false">IF($B1293="","",IF(AND(OR(CARI!$C$5="",ISNUMBER(SEARCH(CARI!$C$5,$B1293&amp;" "&amp;$C1293&amp;" "&amp;$I1293&amp;" "&amp;$J1293&amp;" "&amp;$Q1293))),OR(CARI!$C$6="",$E1293=CARI!$C$6),OR(CARI!$C$7="",$F1293=CARI!$C$7),OR(CARI!$C$8="",$O1293=CARI!$C$8)),MAX($U$3:U1292)+1,""))</f>
        <v/>
      </c>
      <c r="V1293" s="40" t="str">
        <f aca="false">IF($T1293="","",MAX($V$3:V1292)+1)</f>
        <v/>
      </c>
      <c r="W1293" s="40" t="str">
        <f aca="false">IF($E1293="","",$E1293&amp;"#"&amp;COUNTIF($E$4:$E1293,$E1293))</f>
        <v/>
      </c>
      <c r="X1293" s="40" t="str">
        <f aca="false">IF($B1293="","",IF(AND(OR(CETAK!$J$10="",$E1293=CETAK!$J$10),OR(CETAK!$J$11="",$F1293=CETAK!$J$11),OR(CETAK!$J$12="",$K1293=CETAK!$J$12),OR(CETAK!$J$13="",$H1293=CETAK!$J$13),OR(CETAK!$J$14="",$O1293=CETAK!$J$14)),MAX($X$3:X1292)+1,""))</f>
        <v/>
      </c>
      <c r="Y1293" s="40" t="str">
        <f aca="false">IF($B1293="","",IF(AND(OR(ABSENSI!$H$10="",$E1293=ABSENSI!$H$10),OR(ABSENSI!$H$11="",$F1293=ABSENSI!$H$11),OR(ABSENSI!$H$12="",$K1293=ABSENSI!$H$12)),MAX($Y$3:Y1292)+1,""))</f>
        <v/>
      </c>
      <c r="Z1293" s="40" t="str">
        <f aca="false">IF($B1293="","",IF(AND(OR(KARTU!$K$6="",$E1293=KARTU!$K$6),OR(KARTU!$K$7="",$F1293=KARTU!$K$7),OR(KARTU!$K$8="",$K1293=KARTU!$K$8)),MAX($Z$3:Z1292)+1,""))</f>
        <v/>
      </c>
    </row>
    <row r="1294" customFormat="false" ht="15" hidden="false" customHeight="false" outlineLevel="0" collapsed="false">
      <c r="A1294" s="36" t="str">
        <f aca="false">IF($B1294="","",COUNTA($B$4:$B1294))</f>
        <v/>
      </c>
      <c r="B1294" s="37"/>
      <c r="C1294" s="38"/>
      <c r="D1294" s="39"/>
      <c r="E1294" s="37"/>
      <c r="F1294" s="39"/>
      <c r="G1294" s="40" t="str">
        <f aca="false">IF(OR($E1294="",$F1294=""),"",$E1294&amp;" - RT "&amp;$F1294)</f>
        <v/>
      </c>
      <c r="H1294" s="37"/>
      <c r="I1294" s="38"/>
      <c r="J1294" s="37"/>
      <c r="K1294" s="39"/>
      <c r="L1294" s="41"/>
      <c r="M1294" s="36" t="str">
        <f aca="true">IF(OR($B1294="",$L1294=""),"",DATEDIF($L1294,TODAY(),"Y"))</f>
        <v/>
      </c>
      <c r="N1294" s="40" t="str">
        <f aca="false">IF($M1294="","",INDEX(usia_label,MATCH($M1294,usia_min,1)))</f>
        <v/>
      </c>
      <c r="O1294" s="37"/>
      <c r="P1294" s="41"/>
      <c r="Q1294" s="37"/>
      <c r="R1294" s="37"/>
      <c r="S1294" s="40" t="str">
        <f aca="false">IF($G1294="","",$G1294&amp;"#"&amp;COUNTIF($G$4:$G1294,$G1294))</f>
        <v/>
      </c>
      <c r="T1294" s="40" t="str">
        <f aca="false">IF($B1294="","",IF($C1294="","NIK kosong",IF(LEN($C1294)&lt;&gt;16,"NIK bukan 16 digit",IF(COUNTIF($C$4:$C$2003,$C1294&amp;"*")&gt;1,"NIK ganda",IF($E1294="","Kadus kosong",IF($F1294="","RT kosong",IF($H1294="","Jabatan kosong",IF($I1294="","No. HP kosong",IF($J1294="","Alamat kosong",IF(AND($M1294&lt;&gt;"",$M1294&lt;17),"Usia di bawah 17",""))))))))))</f>
        <v/>
      </c>
      <c r="U1294" s="40" t="str">
        <f aca="false">IF($B1294="","",IF(AND(OR(CARI!$C$5="",ISNUMBER(SEARCH(CARI!$C$5,$B1294&amp;" "&amp;$C1294&amp;" "&amp;$I1294&amp;" "&amp;$J1294&amp;" "&amp;$Q1294))),OR(CARI!$C$6="",$E1294=CARI!$C$6),OR(CARI!$C$7="",$F1294=CARI!$C$7),OR(CARI!$C$8="",$O1294=CARI!$C$8)),MAX($U$3:U1293)+1,""))</f>
        <v/>
      </c>
      <c r="V1294" s="40" t="str">
        <f aca="false">IF($T1294="","",MAX($V$3:V1293)+1)</f>
        <v/>
      </c>
      <c r="W1294" s="40" t="str">
        <f aca="false">IF($E1294="","",$E1294&amp;"#"&amp;COUNTIF($E$4:$E1294,$E1294))</f>
        <v/>
      </c>
      <c r="X1294" s="40" t="str">
        <f aca="false">IF($B1294="","",IF(AND(OR(CETAK!$J$10="",$E1294=CETAK!$J$10),OR(CETAK!$J$11="",$F1294=CETAK!$J$11),OR(CETAK!$J$12="",$K1294=CETAK!$J$12),OR(CETAK!$J$13="",$H1294=CETAK!$J$13),OR(CETAK!$J$14="",$O1294=CETAK!$J$14)),MAX($X$3:X1293)+1,""))</f>
        <v/>
      </c>
      <c r="Y1294" s="40" t="str">
        <f aca="false">IF($B1294="","",IF(AND(OR(ABSENSI!$H$10="",$E1294=ABSENSI!$H$10),OR(ABSENSI!$H$11="",$F1294=ABSENSI!$H$11),OR(ABSENSI!$H$12="",$K1294=ABSENSI!$H$12)),MAX($Y$3:Y1293)+1,""))</f>
        <v/>
      </c>
      <c r="Z1294" s="40" t="str">
        <f aca="false">IF($B1294="","",IF(AND(OR(KARTU!$K$6="",$E1294=KARTU!$K$6),OR(KARTU!$K$7="",$F1294=KARTU!$K$7),OR(KARTU!$K$8="",$K1294=KARTU!$K$8)),MAX($Z$3:Z1293)+1,""))</f>
        <v/>
      </c>
    </row>
    <row r="1295" customFormat="false" ht="15" hidden="false" customHeight="false" outlineLevel="0" collapsed="false">
      <c r="A1295" s="36" t="str">
        <f aca="false">IF($B1295="","",COUNTA($B$4:$B1295))</f>
        <v/>
      </c>
      <c r="B1295" s="37"/>
      <c r="C1295" s="38"/>
      <c r="D1295" s="39"/>
      <c r="E1295" s="37"/>
      <c r="F1295" s="39"/>
      <c r="G1295" s="40" t="str">
        <f aca="false">IF(OR($E1295="",$F1295=""),"",$E1295&amp;" - RT "&amp;$F1295)</f>
        <v/>
      </c>
      <c r="H1295" s="37"/>
      <c r="I1295" s="38"/>
      <c r="J1295" s="37"/>
      <c r="K1295" s="39"/>
      <c r="L1295" s="41"/>
      <c r="M1295" s="36" t="str">
        <f aca="true">IF(OR($B1295="",$L1295=""),"",DATEDIF($L1295,TODAY(),"Y"))</f>
        <v/>
      </c>
      <c r="N1295" s="40" t="str">
        <f aca="false">IF($M1295="","",INDEX(usia_label,MATCH($M1295,usia_min,1)))</f>
        <v/>
      </c>
      <c r="O1295" s="37"/>
      <c r="P1295" s="41"/>
      <c r="Q1295" s="37"/>
      <c r="R1295" s="37"/>
      <c r="S1295" s="40" t="str">
        <f aca="false">IF($G1295="","",$G1295&amp;"#"&amp;COUNTIF($G$4:$G1295,$G1295))</f>
        <v/>
      </c>
      <c r="T1295" s="40" t="str">
        <f aca="false">IF($B1295="","",IF($C1295="","NIK kosong",IF(LEN($C1295)&lt;&gt;16,"NIK bukan 16 digit",IF(COUNTIF($C$4:$C$2003,$C1295&amp;"*")&gt;1,"NIK ganda",IF($E1295="","Kadus kosong",IF($F1295="","RT kosong",IF($H1295="","Jabatan kosong",IF($I1295="","No. HP kosong",IF($J1295="","Alamat kosong",IF(AND($M1295&lt;&gt;"",$M1295&lt;17),"Usia di bawah 17",""))))))))))</f>
        <v/>
      </c>
      <c r="U1295" s="40" t="str">
        <f aca="false">IF($B1295="","",IF(AND(OR(CARI!$C$5="",ISNUMBER(SEARCH(CARI!$C$5,$B1295&amp;" "&amp;$C1295&amp;" "&amp;$I1295&amp;" "&amp;$J1295&amp;" "&amp;$Q1295))),OR(CARI!$C$6="",$E1295=CARI!$C$6),OR(CARI!$C$7="",$F1295=CARI!$C$7),OR(CARI!$C$8="",$O1295=CARI!$C$8)),MAX($U$3:U1294)+1,""))</f>
        <v/>
      </c>
      <c r="V1295" s="40" t="str">
        <f aca="false">IF($T1295="","",MAX($V$3:V1294)+1)</f>
        <v/>
      </c>
      <c r="W1295" s="40" t="str">
        <f aca="false">IF($E1295="","",$E1295&amp;"#"&amp;COUNTIF($E$4:$E1295,$E1295))</f>
        <v/>
      </c>
      <c r="X1295" s="40" t="str">
        <f aca="false">IF($B1295="","",IF(AND(OR(CETAK!$J$10="",$E1295=CETAK!$J$10),OR(CETAK!$J$11="",$F1295=CETAK!$J$11),OR(CETAK!$J$12="",$K1295=CETAK!$J$12),OR(CETAK!$J$13="",$H1295=CETAK!$J$13),OR(CETAK!$J$14="",$O1295=CETAK!$J$14)),MAX($X$3:X1294)+1,""))</f>
        <v/>
      </c>
      <c r="Y1295" s="40" t="str">
        <f aca="false">IF($B1295="","",IF(AND(OR(ABSENSI!$H$10="",$E1295=ABSENSI!$H$10),OR(ABSENSI!$H$11="",$F1295=ABSENSI!$H$11),OR(ABSENSI!$H$12="",$K1295=ABSENSI!$H$12)),MAX($Y$3:Y1294)+1,""))</f>
        <v/>
      </c>
      <c r="Z1295" s="40" t="str">
        <f aca="false">IF($B1295="","",IF(AND(OR(KARTU!$K$6="",$E1295=KARTU!$K$6),OR(KARTU!$K$7="",$F1295=KARTU!$K$7),OR(KARTU!$K$8="",$K1295=KARTU!$K$8)),MAX($Z$3:Z1294)+1,""))</f>
        <v/>
      </c>
    </row>
    <row r="1296" customFormat="false" ht="15" hidden="false" customHeight="false" outlineLevel="0" collapsed="false">
      <c r="A1296" s="36" t="str">
        <f aca="false">IF($B1296="","",COUNTA($B$4:$B1296))</f>
        <v/>
      </c>
      <c r="B1296" s="37"/>
      <c r="C1296" s="38"/>
      <c r="D1296" s="39"/>
      <c r="E1296" s="37"/>
      <c r="F1296" s="39"/>
      <c r="G1296" s="40" t="str">
        <f aca="false">IF(OR($E1296="",$F1296=""),"",$E1296&amp;" - RT "&amp;$F1296)</f>
        <v/>
      </c>
      <c r="H1296" s="37"/>
      <c r="I1296" s="38"/>
      <c r="J1296" s="37"/>
      <c r="K1296" s="39"/>
      <c r="L1296" s="41"/>
      <c r="M1296" s="36" t="str">
        <f aca="true">IF(OR($B1296="",$L1296=""),"",DATEDIF($L1296,TODAY(),"Y"))</f>
        <v/>
      </c>
      <c r="N1296" s="40" t="str">
        <f aca="false">IF($M1296="","",INDEX(usia_label,MATCH($M1296,usia_min,1)))</f>
        <v/>
      </c>
      <c r="O1296" s="37"/>
      <c r="P1296" s="41"/>
      <c r="Q1296" s="37"/>
      <c r="R1296" s="37"/>
      <c r="S1296" s="40" t="str">
        <f aca="false">IF($G1296="","",$G1296&amp;"#"&amp;COUNTIF($G$4:$G1296,$G1296))</f>
        <v/>
      </c>
      <c r="T1296" s="40" t="str">
        <f aca="false">IF($B1296="","",IF($C1296="","NIK kosong",IF(LEN($C1296)&lt;&gt;16,"NIK bukan 16 digit",IF(COUNTIF($C$4:$C$2003,$C1296&amp;"*")&gt;1,"NIK ganda",IF($E1296="","Kadus kosong",IF($F1296="","RT kosong",IF($H1296="","Jabatan kosong",IF($I1296="","No. HP kosong",IF($J1296="","Alamat kosong",IF(AND($M1296&lt;&gt;"",$M1296&lt;17),"Usia di bawah 17",""))))))))))</f>
        <v/>
      </c>
      <c r="U1296" s="40" t="str">
        <f aca="false">IF($B1296="","",IF(AND(OR(CARI!$C$5="",ISNUMBER(SEARCH(CARI!$C$5,$B1296&amp;" "&amp;$C1296&amp;" "&amp;$I1296&amp;" "&amp;$J1296&amp;" "&amp;$Q1296))),OR(CARI!$C$6="",$E1296=CARI!$C$6),OR(CARI!$C$7="",$F1296=CARI!$C$7),OR(CARI!$C$8="",$O1296=CARI!$C$8)),MAX($U$3:U1295)+1,""))</f>
        <v/>
      </c>
      <c r="V1296" s="40" t="str">
        <f aca="false">IF($T1296="","",MAX($V$3:V1295)+1)</f>
        <v/>
      </c>
      <c r="W1296" s="40" t="str">
        <f aca="false">IF($E1296="","",$E1296&amp;"#"&amp;COUNTIF($E$4:$E1296,$E1296))</f>
        <v/>
      </c>
      <c r="X1296" s="40" t="str">
        <f aca="false">IF($B1296="","",IF(AND(OR(CETAK!$J$10="",$E1296=CETAK!$J$10),OR(CETAK!$J$11="",$F1296=CETAK!$J$11),OR(CETAK!$J$12="",$K1296=CETAK!$J$12),OR(CETAK!$J$13="",$H1296=CETAK!$J$13),OR(CETAK!$J$14="",$O1296=CETAK!$J$14)),MAX($X$3:X1295)+1,""))</f>
        <v/>
      </c>
      <c r="Y1296" s="40" t="str">
        <f aca="false">IF($B1296="","",IF(AND(OR(ABSENSI!$H$10="",$E1296=ABSENSI!$H$10),OR(ABSENSI!$H$11="",$F1296=ABSENSI!$H$11),OR(ABSENSI!$H$12="",$K1296=ABSENSI!$H$12)),MAX($Y$3:Y1295)+1,""))</f>
        <v/>
      </c>
      <c r="Z1296" s="40" t="str">
        <f aca="false">IF($B1296="","",IF(AND(OR(KARTU!$K$6="",$E1296=KARTU!$K$6),OR(KARTU!$K$7="",$F1296=KARTU!$K$7),OR(KARTU!$K$8="",$K1296=KARTU!$K$8)),MAX($Z$3:Z1295)+1,""))</f>
        <v/>
      </c>
    </row>
    <row r="1297" customFormat="false" ht="15" hidden="false" customHeight="false" outlineLevel="0" collapsed="false">
      <c r="A1297" s="36" t="str">
        <f aca="false">IF($B1297="","",COUNTA($B$4:$B1297))</f>
        <v/>
      </c>
      <c r="B1297" s="37"/>
      <c r="C1297" s="38"/>
      <c r="D1297" s="39"/>
      <c r="E1297" s="37"/>
      <c r="F1297" s="39"/>
      <c r="G1297" s="40" t="str">
        <f aca="false">IF(OR($E1297="",$F1297=""),"",$E1297&amp;" - RT "&amp;$F1297)</f>
        <v/>
      </c>
      <c r="H1297" s="37"/>
      <c r="I1297" s="38"/>
      <c r="J1297" s="37"/>
      <c r="K1297" s="39"/>
      <c r="L1297" s="41"/>
      <c r="M1297" s="36" t="str">
        <f aca="true">IF(OR($B1297="",$L1297=""),"",DATEDIF($L1297,TODAY(),"Y"))</f>
        <v/>
      </c>
      <c r="N1297" s="40" t="str">
        <f aca="false">IF($M1297="","",INDEX(usia_label,MATCH($M1297,usia_min,1)))</f>
        <v/>
      </c>
      <c r="O1297" s="37"/>
      <c r="P1297" s="41"/>
      <c r="Q1297" s="37"/>
      <c r="R1297" s="37"/>
      <c r="S1297" s="40" t="str">
        <f aca="false">IF($G1297="","",$G1297&amp;"#"&amp;COUNTIF($G$4:$G1297,$G1297))</f>
        <v/>
      </c>
      <c r="T1297" s="40" t="str">
        <f aca="false">IF($B1297="","",IF($C1297="","NIK kosong",IF(LEN($C1297)&lt;&gt;16,"NIK bukan 16 digit",IF(COUNTIF($C$4:$C$2003,$C1297&amp;"*")&gt;1,"NIK ganda",IF($E1297="","Kadus kosong",IF($F1297="","RT kosong",IF($H1297="","Jabatan kosong",IF($I1297="","No. HP kosong",IF($J1297="","Alamat kosong",IF(AND($M1297&lt;&gt;"",$M1297&lt;17),"Usia di bawah 17",""))))))))))</f>
        <v/>
      </c>
      <c r="U1297" s="40" t="str">
        <f aca="false">IF($B1297="","",IF(AND(OR(CARI!$C$5="",ISNUMBER(SEARCH(CARI!$C$5,$B1297&amp;" "&amp;$C1297&amp;" "&amp;$I1297&amp;" "&amp;$J1297&amp;" "&amp;$Q1297))),OR(CARI!$C$6="",$E1297=CARI!$C$6),OR(CARI!$C$7="",$F1297=CARI!$C$7),OR(CARI!$C$8="",$O1297=CARI!$C$8)),MAX($U$3:U1296)+1,""))</f>
        <v/>
      </c>
      <c r="V1297" s="40" t="str">
        <f aca="false">IF($T1297="","",MAX($V$3:V1296)+1)</f>
        <v/>
      </c>
      <c r="W1297" s="40" t="str">
        <f aca="false">IF($E1297="","",$E1297&amp;"#"&amp;COUNTIF($E$4:$E1297,$E1297))</f>
        <v/>
      </c>
      <c r="X1297" s="40" t="str">
        <f aca="false">IF($B1297="","",IF(AND(OR(CETAK!$J$10="",$E1297=CETAK!$J$10),OR(CETAK!$J$11="",$F1297=CETAK!$J$11),OR(CETAK!$J$12="",$K1297=CETAK!$J$12),OR(CETAK!$J$13="",$H1297=CETAK!$J$13),OR(CETAK!$J$14="",$O1297=CETAK!$J$14)),MAX($X$3:X1296)+1,""))</f>
        <v/>
      </c>
      <c r="Y1297" s="40" t="str">
        <f aca="false">IF($B1297="","",IF(AND(OR(ABSENSI!$H$10="",$E1297=ABSENSI!$H$10),OR(ABSENSI!$H$11="",$F1297=ABSENSI!$H$11),OR(ABSENSI!$H$12="",$K1297=ABSENSI!$H$12)),MAX($Y$3:Y1296)+1,""))</f>
        <v/>
      </c>
      <c r="Z1297" s="40" t="str">
        <f aca="false">IF($B1297="","",IF(AND(OR(KARTU!$K$6="",$E1297=KARTU!$K$6),OR(KARTU!$K$7="",$F1297=KARTU!$K$7),OR(KARTU!$K$8="",$K1297=KARTU!$K$8)),MAX($Z$3:Z1296)+1,""))</f>
        <v/>
      </c>
    </row>
    <row r="1298" customFormat="false" ht="15" hidden="false" customHeight="false" outlineLevel="0" collapsed="false">
      <c r="A1298" s="36" t="str">
        <f aca="false">IF($B1298="","",COUNTA($B$4:$B1298))</f>
        <v/>
      </c>
      <c r="B1298" s="37"/>
      <c r="C1298" s="38"/>
      <c r="D1298" s="39"/>
      <c r="E1298" s="37"/>
      <c r="F1298" s="39"/>
      <c r="G1298" s="40" t="str">
        <f aca="false">IF(OR($E1298="",$F1298=""),"",$E1298&amp;" - RT "&amp;$F1298)</f>
        <v/>
      </c>
      <c r="H1298" s="37"/>
      <c r="I1298" s="38"/>
      <c r="J1298" s="37"/>
      <c r="K1298" s="39"/>
      <c r="L1298" s="41"/>
      <c r="M1298" s="36" t="str">
        <f aca="true">IF(OR($B1298="",$L1298=""),"",DATEDIF($L1298,TODAY(),"Y"))</f>
        <v/>
      </c>
      <c r="N1298" s="40" t="str">
        <f aca="false">IF($M1298="","",INDEX(usia_label,MATCH($M1298,usia_min,1)))</f>
        <v/>
      </c>
      <c r="O1298" s="37"/>
      <c r="P1298" s="41"/>
      <c r="Q1298" s="37"/>
      <c r="R1298" s="37"/>
      <c r="S1298" s="40" t="str">
        <f aca="false">IF($G1298="","",$G1298&amp;"#"&amp;COUNTIF($G$4:$G1298,$G1298))</f>
        <v/>
      </c>
      <c r="T1298" s="40" t="str">
        <f aca="false">IF($B1298="","",IF($C1298="","NIK kosong",IF(LEN($C1298)&lt;&gt;16,"NIK bukan 16 digit",IF(COUNTIF($C$4:$C$2003,$C1298&amp;"*")&gt;1,"NIK ganda",IF($E1298="","Kadus kosong",IF($F1298="","RT kosong",IF($H1298="","Jabatan kosong",IF($I1298="","No. HP kosong",IF($J1298="","Alamat kosong",IF(AND($M1298&lt;&gt;"",$M1298&lt;17),"Usia di bawah 17",""))))))))))</f>
        <v/>
      </c>
      <c r="U1298" s="40" t="str">
        <f aca="false">IF($B1298="","",IF(AND(OR(CARI!$C$5="",ISNUMBER(SEARCH(CARI!$C$5,$B1298&amp;" "&amp;$C1298&amp;" "&amp;$I1298&amp;" "&amp;$J1298&amp;" "&amp;$Q1298))),OR(CARI!$C$6="",$E1298=CARI!$C$6),OR(CARI!$C$7="",$F1298=CARI!$C$7),OR(CARI!$C$8="",$O1298=CARI!$C$8)),MAX($U$3:U1297)+1,""))</f>
        <v/>
      </c>
      <c r="V1298" s="40" t="str">
        <f aca="false">IF($T1298="","",MAX($V$3:V1297)+1)</f>
        <v/>
      </c>
      <c r="W1298" s="40" t="str">
        <f aca="false">IF($E1298="","",$E1298&amp;"#"&amp;COUNTIF($E$4:$E1298,$E1298))</f>
        <v/>
      </c>
      <c r="X1298" s="40" t="str">
        <f aca="false">IF($B1298="","",IF(AND(OR(CETAK!$J$10="",$E1298=CETAK!$J$10),OR(CETAK!$J$11="",$F1298=CETAK!$J$11),OR(CETAK!$J$12="",$K1298=CETAK!$J$12),OR(CETAK!$J$13="",$H1298=CETAK!$J$13),OR(CETAK!$J$14="",$O1298=CETAK!$J$14)),MAX($X$3:X1297)+1,""))</f>
        <v/>
      </c>
      <c r="Y1298" s="40" t="str">
        <f aca="false">IF($B1298="","",IF(AND(OR(ABSENSI!$H$10="",$E1298=ABSENSI!$H$10),OR(ABSENSI!$H$11="",$F1298=ABSENSI!$H$11),OR(ABSENSI!$H$12="",$K1298=ABSENSI!$H$12)),MAX($Y$3:Y1297)+1,""))</f>
        <v/>
      </c>
      <c r="Z1298" s="40" t="str">
        <f aca="false">IF($B1298="","",IF(AND(OR(KARTU!$K$6="",$E1298=KARTU!$K$6),OR(KARTU!$K$7="",$F1298=KARTU!$K$7),OR(KARTU!$K$8="",$K1298=KARTU!$K$8)),MAX($Z$3:Z1297)+1,""))</f>
        <v/>
      </c>
    </row>
    <row r="1299" customFormat="false" ht="15" hidden="false" customHeight="false" outlineLevel="0" collapsed="false">
      <c r="A1299" s="36" t="str">
        <f aca="false">IF($B1299="","",COUNTA($B$4:$B1299))</f>
        <v/>
      </c>
      <c r="B1299" s="37"/>
      <c r="C1299" s="38"/>
      <c r="D1299" s="39"/>
      <c r="E1299" s="37"/>
      <c r="F1299" s="39"/>
      <c r="G1299" s="40" t="str">
        <f aca="false">IF(OR($E1299="",$F1299=""),"",$E1299&amp;" - RT "&amp;$F1299)</f>
        <v/>
      </c>
      <c r="H1299" s="37"/>
      <c r="I1299" s="38"/>
      <c r="J1299" s="37"/>
      <c r="K1299" s="39"/>
      <c r="L1299" s="41"/>
      <c r="M1299" s="36" t="str">
        <f aca="true">IF(OR($B1299="",$L1299=""),"",DATEDIF($L1299,TODAY(),"Y"))</f>
        <v/>
      </c>
      <c r="N1299" s="40" t="str">
        <f aca="false">IF($M1299="","",INDEX(usia_label,MATCH($M1299,usia_min,1)))</f>
        <v/>
      </c>
      <c r="O1299" s="37"/>
      <c r="P1299" s="41"/>
      <c r="Q1299" s="37"/>
      <c r="R1299" s="37"/>
      <c r="S1299" s="40" t="str">
        <f aca="false">IF($G1299="","",$G1299&amp;"#"&amp;COUNTIF($G$4:$G1299,$G1299))</f>
        <v/>
      </c>
      <c r="T1299" s="40" t="str">
        <f aca="false">IF($B1299="","",IF($C1299="","NIK kosong",IF(LEN($C1299)&lt;&gt;16,"NIK bukan 16 digit",IF(COUNTIF($C$4:$C$2003,$C1299&amp;"*")&gt;1,"NIK ganda",IF($E1299="","Kadus kosong",IF($F1299="","RT kosong",IF($H1299="","Jabatan kosong",IF($I1299="","No. HP kosong",IF($J1299="","Alamat kosong",IF(AND($M1299&lt;&gt;"",$M1299&lt;17),"Usia di bawah 17",""))))))))))</f>
        <v/>
      </c>
      <c r="U1299" s="40" t="str">
        <f aca="false">IF($B1299="","",IF(AND(OR(CARI!$C$5="",ISNUMBER(SEARCH(CARI!$C$5,$B1299&amp;" "&amp;$C1299&amp;" "&amp;$I1299&amp;" "&amp;$J1299&amp;" "&amp;$Q1299))),OR(CARI!$C$6="",$E1299=CARI!$C$6),OR(CARI!$C$7="",$F1299=CARI!$C$7),OR(CARI!$C$8="",$O1299=CARI!$C$8)),MAX($U$3:U1298)+1,""))</f>
        <v/>
      </c>
      <c r="V1299" s="40" t="str">
        <f aca="false">IF($T1299="","",MAX($V$3:V1298)+1)</f>
        <v/>
      </c>
      <c r="W1299" s="40" t="str">
        <f aca="false">IF($E1299="","",$E1299&amp;"#"&amp;COUNTIF($E$4:$E1299,$E1299))</f>
        <v/>
      </c>
      <c r="X1299" s="40" t="str">
        <f aca="false">IF($B1299="","",IF(AND(OR(CETAK!$J$10="",$E1299=CETAK!$J$10),OR(CETAK!$J$11="",$F1299=CETAK!$J$11),OR(CETAK!$J$12="",$K1299=CETAK!$J$12),OR(CETAK!$J$13="",$H1299=CETAK!$J$13),OR(CETAK!$J$14="",$O1299=CETAK!$J$14)),MAX($X$3:X1298)+1,""))</f>
        <v/>
      </c>
      <c r="Y1299" s="40" t="str">
        <f aca="false">IF($B1299="","",IF(AND(OR(ABSENSI!$H$10="",$E1299=ABSENSI!$H$10),OR(ABSENSI!$H$11="",$F1299=ABSENSI!$H$11),OR(ABSENSI!$H$12="",$K1299=ABSENSI!$H$12)),MAX($Y$3:Y1298)+1,""))</f>
        <v/>
      </c>
      <c r="Z1299" s="40" t="str">
        <f aca="false">IF($B1299="","",IF(AND(OR(KARTU!$K$6="",$E1299=KARTU!$K$6),OR(KARTU!$K$7="",$F1299=KARTU!$K$7),OR(KARTU!$K$8="",$K1299=KARTU!$K$8)),MAX($Z$3:Z1298)+1,""))</f>
        <v/>
      </c>
    </row>
    <row r="1300" customFormat="false" ht="15" hidden="false" customHeight="false" outlineLevel="0" collapsed="false">
      <c r="A1300" s="36" t="str">
        <f aca="false">IF($B1300="","",COUNTA($B$4:$B1300))</f>
        <v/>
      </c>
      <c r="B1300" s="37"/>
      <c r="C1300" s="38"/>
      <c r="D1300" s="39"/>
      <c r="E1300" s="37"/>
      <c r="F1300" s="39"/>
      <c r="G1300" s="40" t="str">
        <f aca="false">IF(OR($E1300="",$F1300=""),"",$E1300&amp;" - RT "&amp;$F1300)</f>
        <v/>
      </c>
      <c r="H1300" s="37"/>
      <c r="I1300" s="38"/>
      <c r="J1300" s="37"/>
      <c r="K1300" s="39"/>
      <c r="L1300" s="41"/>
      <c r="M1300" s="36" t="str">
        <f aca="true">IF(OR($B1300="",$L1300=""),"",DATEDIF($L1300,TODAY(),"Y"))</f>
        <v/>
      </c>
      <c r="N1300" s="40" t="str">
        <f aca="false">IF($M1300="","",INDEX(usia_label,MATCH($M1300,usia_min,1)))</f>
        <v/>
      </c>
      <c r="O1300" s="37"/>
      <c r="P1300" s="41"/>
      <c r="Q1300" s="37"/>
      <c r="R1300" s="37"/>
      <c r="S1300" s="40" t="str">
        <f aca="false">IF($G1300="","",$G1300&amp;"#"&amp;COUNTIF($G$4:$G1300,$G1300))</f>
        <v/>
      </c>
      <c r="T1300" s="40" t="str">
        <f aca="false">IF($B1300="","",IF($C1300="","NIK kosong",IF(LEN($C1300)&lt;&gt;16,"NIK bukan 16 digit",IF(COUNTIF($C$4:$C$2003,$C1300&amp;"*")&gt;1,"NIK ganda",IF($E1300="","Kadus kosong",IF($F1300="","RT kosong",IF($H1300="","Jabatan kosong",IF($I1300="","No. HP kosong",IF($J1300="","Alamat kosong",IF(AND($M1300&lt;&gt;"",$M1300&lt;17),"Usia di bawah 17",""))))))))))</f>
        <v/>
      </c>
      <c r="U1300" s="40" t="str">
        <f aca="false">IF($B1300="","",IF(AND(OR(CARI!$C$5="",ISNUMBER(SEARCH(CARI!$C$5,$B1300&amp;" "&amp;$C1300&amp;" "&amp;$I1300&amp;" "&amp;$J1300&amp;" "&amp;$Q1300))),OR(CARI!$C$6="",$E1300=CARI!$C$6),OR(CARI!$C$7="",$F1300=CARI!$C$7),OR(CARI!$C$8="",$O1300=CARI!$C$8)),MAX($U$3:U1299)+1,""))</f>
        <v/>
      </c>
      <c r="V1300" s="40" t="str">
        <f aca="false">IF($T1300="","",MAX($V$3:V1299)+1)</f>
        <v/>
      </c>
      <c r="W1300" s="40" t="str">
        <f aca="false">IF($E1300="","",$E1300&amp;"#"&amp;COUNTIF($E$4:$E1300,$E1300))</f>
        <v/>
      </c>
      <c r="X1300" s="40" t="str">
        <f aca="false">IF($B1300="","",IF(AND(OR(CETAK!$J$10="",$E1300=CETAK!$J$10),OR(CETAK!$J$11="",$F1300=CETAK!$J$11),OR(CETAK!$J$12="",$K1300=CETAK!$J$12),OR(CETAK!$J$13="",$H1300=CETAK!$J$13),OR(CETAK!$J$14="",$O1300=CETAK!$J$14)),MAX($X$3:X1299)+1,""))</f>
        <v/>
      </c>
      <c r="Y1300" s="40" t="str">
        <f aca="false">IF($B1300="","",IF(AND(OR(ABSENSI!$H$10="",$E1300=ABSENSI!$H$10),OR(ABSENSI!$H$11="",$F1300=ABSENSI!$H$11),OR(ABSENSI!$H$12="",$K1300=ABSENSI!$H$12)),MAX($Y$3:Y1299)+1,""))</f>
        <v/>
      </c>
      <c r="Z1300" s="40" t="str">
        <f aca="false">IF($B1300="","",IF(AND(OR(KARTU!$K$6="",$E1300=KARTU!$K$6),OR(KARTU!$K$7="",$F1300=KARTU!$K$7),OR(KARTU!$K$8="",$K1300=KARTU!$K$8)),MAX($Z$3:Z1299)+1,""))</f>
        <v/>
      </c>
    </row>
    <row r="1301" customFormat="false" ht="15" hidden="false" customHeight="false" outlineLevel="0" collapsed="false">
      <c r="A1301" s="36" t="str">
        <f aca="false">IF($B1301="","",COUNTA($B$4:$B1301))</f>
        <v/>
      </c>
      <c r="B1301" s="37"/>
      <c r="C1301" s="38"/>
      <c r="D1301" s="39"/>
      <c r="E1301" s="37"/>
      <c r="F1301" s="39"/>
      <c r="G1301" s="40" t="str">
        <f aca="false">IF(OR($E1301="",$F1301=""),"",$E1301&amp;" - RT "&amp;$F1301)</f>
        <v/>
      </c>
      <c r="H1301" s="37"/>
      <c r="I1301" s="38"/>
      <c r="J1301" s="37"/>
      <c r="K1301" s="39"/>
      <c r="L1301" s="41"/>
      <c r="M1301" s="36" t="str">
        <f aca="true">IF(OR($B1301="",$L1301=""),"",DATEDIF($L1301,TODAY(),"Y"))</f>
        <v/>
      </c>
      <c r="N1301" s="40" t="str">
        <f aca="false">IF($M1301="","",INDEX(usia_label,MATCH($M1301,usia_min,1)))</f>
        <v/>
      </c>
      <c r="O1301" s="37"/>
      <c r="P1301" s="41"/>
      <c r="Q1301" s="37"/>
      <c r="R1301" s="37"/>
      <c r="S1301" s="40" t="str">
        <f aca="false">IF($G1301="","",$G1301&amp;"#"&amp;COUNTIF($G$4:$G1301,$G1301))</f>
        <v/>
      </c>
      <c r="T1301" s="40" t="str">
        <f aca="false">IF($B1301="","",IF($C1301="","NIK kosong",IF(LEN($C1301)&lt;&gt;16,"NIK bukan 16 digit",IF(COUNTIF($C$4:$C$2003,$C1301&amp;"*")&gt;1,"NIK ganda",IF($E1301="","Kadus kosong",IF($F1301="","RT kosong",IF($H1301="","Jabatan kosong",IF($I1301="","No. HP kosong",IF($J1301="","Alamat kosong",IF(AND($M1301&lt;&gt;"",$M1301&lt;17),"Usia di bawah 17",""))))))))))</f>
        <v/>
      </c>
      <c r="U1301" s="40" t="str">
        <f aca="false">IF($B1301="","",IF(AND(OR(CARI!$C$5="",ISNUMBER(SEARCH(CARI!$C$5,$B1301&amp;" "&amp;$C1301&amp;" "&amp;$I1301&amp;" "&amp;$J1301&amp;" "&amp;$Q1301))),OR(CARI!$C$6="",$E1301=CARI!$C$6),OR(CARI!$C$7="",$F1301=CARI!$C$7),OR(CARI!$C$8="",$O1301=CARI!$C$8)),MAX($U$3:U1300)+1,""))</f>
        <v/>
      </c>
      <c r="V1301" s="40" t="str">
        <f aca="false">IF($T1301="","",MAX($V$3:V1300)+1)</f>
        <v/>
      </c>
      <c r="W1301" s="40" t="str">
        <f aca="false">IF($E1301="","",$E1301&amp;"#"&amp;COUNTIF($E$4:$E1301,$E1301))</f>
        <v/>
      </c>
      <c r="X1301" s="40" t="str">
        <f aca="false">IF($B1301="","",IF(AND(OR(CETAK!$J$10="",$E1301=CETAK!$J$10),OR(CETAK!$J$11="",$F1301=CETAK!$J$11),OR(CETAK!$J$12="",$K1301=CETAK!$J$12),OR(CETAK!$J$13="",$H1301=CETAK!$J$13),OR(CETAK!$J$14="",$O1301=CETAK!$J$14)),MAX($X$3:X1300)+1,""))</f>
        <v/>
      </c>
      <c r="Y1301" s="40" t="str">
        <f aca="false">IF($B1301="","",IF(AND(OR(ABSENSI!$H$10="",$E1301=ABSENSI!$H$10),OR(ABSENSI!$H$11="",$F1301=ABSENSI!$H$11),OR(ABSENSI!$H$12="",$K1301=ABSENSI!$H$12)),MAX($Y$3:Y1300)+1,""))</f>
        <v/>
      </c>
      <c r="Z1301" s="40" t="str">
        <f aca="false">IF($B1301="","",IF(AND(OR(KARTU!$K$6="",$E1301=KARTU!$K$6),OR(KARTU!$K$7="",$F1301=KARTU!$K$7),OR(KARTU!$K$8="",$K1301=KARTU!$K$8)),MAX($Z$3:Z1300)+1,""))</f>
        <v/>
      </c>
    </row>
    <row r="1302" customFormat="false" ht="15" hidden="false" customHeight="false" outlineLevel="0" collapsed="false">
      <c r="A1302" s="36" t="str">
        <f aca="false">IF($B1302="","",COUNTA($B$4:$B1302))</f>
        <v/>
      </c>
      <c r="B1302" s="37"/>
      <c r="C1302" s="38"/>
      <c r="D1302" s="39"/>
      <c r="E1302" s="37"/>
      <c r="F1302" s="39"/>
      <c r="G1302" s="40" t="str">
        <f aca="false">IF(OR($E1302="",$F1302=""),"",$E1302&amp;" - RT "&amp;$F1302)</f>
        <v/>
      </c>
      <c r="H1302" s="37"/>
      <c r="I1302" s="38"/>
      <c r="J1302" s="37"/>
      <c r="K1302" s="39"/>
      <c r="L1302" s="41"/>
      <c r="M1302" s="36" t="str">
        <f aca="true">IF(OR($B1302="",$L1302=""),"",DATEDIF($L1302,TODAY(),"Y"))</f>
        <v/>
      </c>
      <c r="N1302" s="40" t="str">
        <f aca="false">IF($M1302="","",INDEX(usia_label,MATCH($M1302,usia_min,1)))</f>
        <v/>
      </c>
      <c r="O1302" s="37"/>
      <c r="P1302" s="41"/>
      <c r="Q1302" s="37"/>
      <c r="R1302" s="37"/>
      <c r="S1302" s="40" t="str">
        <f aca="false">IF($G1302="","",$G1302&amp;"#"&amp;COUNTIF($G$4:$G1302,$G1302))</f>
        <v/>
      </c>
      <c r="T1302" s="40" t="str">
        <f aca="false">IF($B1302="","",IF($C1302="","NIK kosong",IF(LEN($C1302)&lt;&gt;16,"NIK bukan 16 digit",IF(COUNTIF($C$4:$C$2003,$C1302&amp;"*")&gt;1,"NIK ganda",IF($E1302="","Kadus kosong",IF($F1302="","RT kosong",IF($H1302="","Jabatan kosong",IF($I1302="","No. HP kosong",IF($J1302="","Alamat kosong",IF(AND($M1302&lt;&gt;"",$M1302&lt;17),"Usia di bawah 17",""))))))))))</f>
        <v/>
      </c>
      <c r="U1302" s="40" t="str">
        <f aca="false">IF($B1302="","",IF(AND(OR(CARI!$C$5="",ISNUMBER(SEARCH(CARI!$C$5,$B1302&amp;" "&amp;$C1302&amp;" "&amp;$I1302&amp;" "&amp;$J1302&amp;" "&amp;$Q1302))),OR(CARI!$C$6="",$E1302=CARI!$C$6),OR(CARI!$C$7="",$F1302=CARI!$C$7),OR(CARI!$C$8="",$O1302=CARI!$C$8)),MAX($U$3:U1301)+1,""))</f>
        <v/>
      </c>
      <c r="V1302" s="40" t="str">
        <f aca="false">IF($T1302="","",MAX($V$3:V1301)+1)</f>
        <v/>
      </c>
      <c r="W1302" s="40" t="str">
        <f aca="false">IF($E1302="","",$E1302&amp;"#"&amp;COUNTIF($E$4:$E1302,$E1302))</f>
        <v/>
      </c>
      <c r="X1302" s="40" t="str">
        <f aca="false">IF($B1302="","",IF(AND(OR(CETAK!$J$10="",$E1302=CETAK!$J$10),OR(CETAK!$J$11="",$F1302=CETAK!$J$11),OR(CETAK!$J$12="",$K1302=CETAK!$J$12),OR(CETAK!$J$13="",$H1302=CETAK!$J$13),OR(CETAK!$J$14="",$O1302=CETAK!$J$14)),MAX($X$3:X1301)+1,""))</f>
        <v/>
      </c>
      <c r="Y1302" s="40" t="str">
        <f aca="false">IF($B1302="","",IF(AND(OR(ABSENSI!$H$10="",$E1302=ABSENSI!$H$10),OR(ABSENSI!$H$11="",$F1302=ABSENSI!$H$11),OR(ABSENSI!$H$12="",$K1302=ABSENSI!$H$12)),MAX($Y$3:Y1301)+1,""))</f>
        <v/>
      </c>
      <c r="Z1302" s="40" t="str">
        <f aca="false">IF($B1302="","",IF(AND(OR(KARTU!$K$6="",$E1302=KARTU!$K$6),OR(KARTU!$K$7="",$F1302=KARTU!$K$7),OR(KARTU!$K$8="",$K1302=KARTU!$K$8)),MAX($Z$3:Z1301)+1,""))</f>
        <v/>
      </c>
    </row>
    <row r="1303" customFormat="false" ht="15" hidden="false" customHeight="false" outlineLevel="0" collapsed="false">
      <c r="A1303" s="36" t="str">
        <f aca="false">IF($B1303="","",COUNTA($B$4:$B1303))</f>
        <v/>
      </c>
      <c r="B1303" s="37"/>
      <c r="C1303" s="38"/>
      <c r="D1303" s="39"/>
      <c r="E1303" s="37"/>
      <c r="F1303" s="39"/>
      <c r="G1303" s="40" t="str">
        <f aca="false">IF(OR($E1303="",$F1303=""),"",$E1303&amp;" - RT "&amp;$F1303)</f>
        <v/>
      </c>
      <c r="H1303" s="37"/>
      <c r="I1303" s="38"/>
      <c r="J1303" s="37"/>
      <c r="K1303" s="39"/>
      <c r="L1303" s="41"/>
      <c r="M1303" s="36" t="str">
        <f aca="true">IF(OR($B1303="",$L1303=""),"",DATEDIF($L1303,TODAY(),"Y"))</f>
        <v/>
      </c>
      <c r="N1303" s="40" t="str">
        <f aca="false">IF($M1303="","",INDEX(usia_label,MATCH($M1303,usia_min,1)))</f>
        <v/>
      </c>
      <c r="O1303" s="37"/>
      <c r="P1303" s="41"/>
      <c r="Q1303" s="37"/>
      <c r="R1303" s="37"/>
      <c r="S1303" s="40" t="str">
        <f aca="false">IF($G1303="","",$G1303&amp;"#"&amp;COUNTIF($G$4:$G1303,$G1303))</f>
        <v/>
      </c>
      <c r="T1303" s="40" t="str">
        <f aca="false">IF($B1303="","",IF($C1303="","NIK kosong",IF(LEN($C1303)&lt;&gt;16,"NIK bukan 16 digit",IF(COUNTIF($C$4:$C$2003,$C1303&amp;"*")&gt;1,"NIK ganda",IF($E1303="","Kadus kosong",IF($F1303="","RT kosong",IF($H1303="","Jabatan kosong",IF($I1303="","No. HP kosong",IF($J1303="","Alamat kosong",IF(AND($M1303&lt;&gt;"",$M1303&lt;17),"Usia di bawah 17",""))))))))))</f>
        <v/>
      </c>
      <c r="U1303" s="40" t="str">
        <f aca="false">IF($B1303="","",IF(AND(OR(CARI!$C$5="",ISNUMBER(SEARCH(CARI!$C$5,$B1303&amp;" "&amp;$C1303&amp;" "&amp;$I1303&amp;" "&amp;$J1303&amp;" "&amp;$Q1303))),OR(CARI!$C$6="",$E1303=CARI!$C$6),OR(CARI!$C$7="",$F1303=CARI!$C$7),OR(CARI!$C$8="",$O1303=CARI!$C$8)),MAX($U$3:U1302)+1,""))</f>
        <v/>
      </c>
      <c r="V1303" s="40" t="str">
        <f aca="false">IF($T1303="","",MAX($V$3:V1302)+1)</f>
        <v/>
      </c>
      <c r="W1303" s="40" t="str">
        <f aca="false">IF($E1303="","",$E1303&amp;"#"&amp;COUNTIF($E$4:$E1303,$E1303))</f>
        <v/>
      </c>
      <c r="X1303" s="40" t="str">
        <f aca="false">IF($B1303="","",IF(AND(OR(CETAK!$J$10="",$E1303=CETAK!$J$10),OR(CETAK!$J$11="",$F1303=CETAK!$J$11),OR(CETAK!$J$12="",$K1303=CETAK!$J$12),OR(CETAK!$J$13="",$H1303=CETAK!$J$13),OR(CETAK!$J$14="",$O1303=CETAK!$J$14)),MAX($X$3:X1302)+1,""))</f>
        <v/>
      </c>
      <c r="Y1303" s="40" t="str">
        <f aca="false">IF($B1303="","",IF(AND(OR(ABSENSI!$H$10="",$E1303=ABSENSI!$H$10),OR(ABSENSI!$H$11="",$F1303=ABSENSI!$H$11),OR(ABSENSI!$H$12="",$K1303=ABSENSI!$H$12)),MAX($Y$3:Y1302)+1,""))</f>
        <v/>
      </c>
      <c r="Z1303" s="40" t="str">
        <f aca="false">IF($B1303="","",IF(AND(OR(KARTU!$K$6="",$E1303=KARTU!$K$6),OR(KARTU!$K$7="",$F1303=KARTU!$K$7),OR(KARTU!$K$8="",$K1303=KARTU!$K$8)),MAX($Z$3:Z1302)+1,""))</f>
        <v/>
      </c>
    </row>
    <row r="1304" customFormat="false" ht="15" hidden="false" customHeight="false" outlineLevel="0" collapsed="false">
      <c r="A1304" s="36" t="str">
        <f aca="false">IF($B1304="","",COUNTA($B$4:$B1304))</f>
        <v/>
      </c>
      <c r="B1304" s="37"/>
      <c r="C1304" s="38"/>
      <c r="D1304" s="39"/>
      <c r="E1304" s="37"/>
      <c r="F1304" s="39"/>
      <c r="G1304" s="40" t="str">
        <f aca="false">IF(OR($E1304="",$F1304=""),"",$E1304&amp;" - RT "&amp;$F1304)</f>
        <v/>
      </c>
      <c r="H1304" s="37"/>
      <c r="I1304" s="38"/>
      <c r="J1304" s="37"/>
      <c r="K1304" s="39"/>
      <c r="L1304" s="41"/>
      <c r="M1304" s="36" t="str">
        <f aca="true">IF(OR($B1304="",$L1304=""),"",DATEDIF($L1304,TODAY(),"Y"))</f>
        <v/>
      </c>
      <c r="N1304" s="40" t="str">
        <f aca="false">IF($M1304="","",INDEX(usia_label,MATCH($M1304,usia_min,1)))</f>
        <v/>
      </c>
      <c r="O1304" s="37"/>
      <c r="P1304" s="41"/>
      <c r="Q1304" s="37"/>
      <c r="R1304" s="37"/>
      <c r="S1304" s="40" t="str">
        <f aca="false">IF($G1304="","",$G1304&amp;"#"&amp;COUNTIF($G$4:$G1304,$G1304))</f>
        <v/>
      </c>
      <c r="T1304" s="40" t="str">
        <f aca="false">IF($B1304="","",IF($C1304="","NIK kosong",IF(LEN($C1304)&lt;&gt;16,"NIK bukan 16 digit",IF(COUNTIF($C$4:$C$2003,$C1304&amp;"*")&gt;1,"NIK ganda",IF($E1304="","Kadus kosong",IF($F1304="","RT kosong",IF($H1304="","Jabatan kosong",IF($I1304="","No. HP kosong",IF($J1304="","Alamat kosong",IF(AND($M1304&lt;&gt;"",$M1304&lt;17),"Usia di bawah 17",""))))))))))</f>
        <v/>
      </c>
      <c r="U1304" s="40" t="str">
        <f aca="false">IF($B1304="","",IF(AND(OR(CARI!$C$5="",ISNUMBER(SEARCH(CARI!$C$5,$B1304&amp;" "&amp;$C1304&amp;" "&amp;$I1304&amp;" "&amp;$J1304&amp;" "&amp;$Q1304))),OR(CARI!$C$6="",$E1304=CARI!$C$6),OR(CARI!$C$7="",$F1304=CARI!$C$7),OR(CARI!$C$8="",$O1304=CARI!$C$8)),MAX($U$3:U1303)+1,""))</f>
        <v/>
      </c>
      <c r="V1304" s="40" t="str">
        <f aca="false">IF($T1304="","",MAX($V$3:V1303)+1)</f>
        <v/>
      </c>
      <c r="W1304" s="40" t="str">
        <f aca="false">IF($E1304="","",$E1304&amp;"#"&amp;COUNTIF($E$4:$E1304,$E1304))</f>
        <v/>
      </c>
      <c r="X1304" s="40" t="str">
        <f aca="false">IF($B1304="","",IF(AND(OR(CETAK!$J$10="",$E1304=CETAK!$J$10),OR(CETAK!$J$11="",$F1304=CETAK!$J$11),OR(CETAK!$J$12="",$K1304=CETAK!$J$12),OR(CETAK!$J$13="",$H1304=CETAK!$J$13),OR(CETAK!$J$14="",$O1304=CETAK!$J$14)),MAX($X$3:X1303)+1,""))</f>
        <v/>
      </c>
      <c r="Y1304" s="40" t="str">
        <f aca="false">IF($B1304="","",IF(AND(OR(ABSENSI!$H$10="",$E1304=ABSENSI!$H$10),OR(ABSENSI!$H$11="",$F1304=ABSENSI!$H$11),OR(ABSENSI!$H$12="",$K1304=ABSENSI!$H$12)),MAX($Y$3:Y1303)+1,""))</f>
        <v/>
      </c>
      <c r="Z1304" s="40" t="str">
        <f aca="false">IF($B1304="","",IF(AND(OR(KARTU!$K$6="",$E1304=KARTU!$K$6),OR(KARTU!$K$7="",$F1304=KARTU!$K$7),OR(KARTU!$K$8="",$K1304=KARTU!$K$8)),MAX($Z$3:Z1303)+1,""))</f>
        <v/>
      </c>
    </row>
    <row r="1305" customFormat="false" ht="15" hidden="false" customHeight="false" outlineLevel="0" collapsed="false">
      <c r="A1305" s="36" t="str">
        <f aca="false">IF($B1305="","",COUNTA($B$4:$B1305))</f>
        <v/>
      </c>
      <c r="B1305" s="37"/>
      <c r="C1305" s="38"/>
      <c r="D1305" s="39"/>
      <c r="E1305" s="37"/>
      <c r="F1305" s="39"/>
      <c r="G1305" s="40" t="str">
        <f aca="false">IF(OR($E1305="",$F1305=""),"",$E1305&amp;" - RT "&amp;$F1305)</f>
        <v/>
      </c>
      <c r="H1305" s="37"/>
      <c r="I1305" s="38"/>
      <c r="J1305" s="37"/>
      <c r="K1305" s="39"/>
      <c r="L1305" s="41"/>
      <c r="M1305" s="36" t="str">
        <f aca="true">IF(OR($B1305="",$L1305=""),"",DATEDIF($L1305,TODAY(),"Y"))</f>
        <v/>
      </c>
      <c r="N1305" s="40" t="str">
        <f aca="false">IF($M1305="","",INDEX(usia_label,MATCH($M1305,usia_min,1)))</f>
        <v/>
      </c>
      <c r="O1305" s="37"/>
      <c r="P1305" s="41"/>
      <c r="Q1305" s="37"/>
      <c r="R1305" s="37"/>
      <c r="S1305" s="40" t="str">
        <f aca="false">IF($G1305="","",$G1305&amp;"#"&amp;COUNTIF($G$4:$G1305,$G1305))</f>
        <v/>
      </c>
      <c r="T1305" s="40" t="str">
        <f aca="false">IF($B1305="","",IF($C1305="","NIK kosong",IF(LEN($C1305)&lt;&gt;16,"NIK bukan 16 digit",IF(COUNTIF($C$4:$C$2003,$C1305&amp;"*")&gt;1,"NIK ganda",IF($E1305="","Kadus kosong",IF($F1305="","RT kosong",IF($H1305="","Jabatan kosong",IF($I1305="","No. HP kosong",IF($J1305="","Alamat kosong",IF(AND($M1305&lt;&gt;"",$M1305&lt;17),"Usia di bawah 17",""))))))))))</f>
        <v/>
      </c>
      <c r="U1305" s="40" t="str">
        <f aca="false">IF($B1305="","",IF(AND(OR(CARI!$C$5="",ISNUMBER(SEARCH(CARI!$C$5,$B1305&amp;" "&amp;$C1305&amp;" "&amp;$I1305&amp;" "&amp;$J1305&amp;" "&amp;$Q1305))),OR(CARI!$C$6="",$E1305=CARI!$C$6),OR(CARI!$C$7="",$F1305=CARI!$C$7),OR(CARI!$C$8="",$O1305=CARI!$C$8)),MAX($U$3:U1304)+1,""))</f>
        <v/>
      </c>
      <c r="V1305" s="40" t="str">
        <f aca="false">IF($T1305="","",MAX($V$3:V1304)+1)</f>
        <v/>
      </c>
      <c r="W1305" s="40" t="str">
        <f aca="false">IF($E1305="","",$E1305&amp;"#"&amp;COUNTIF($E$4:$E1305,$E1305))</f>
        <v/>
      </c>
      <c r="X1305" s="40" t="str">
        <f aca="false">IF($B1305="","",IF(AND(OR(CETAK!$J$10="",$E1305=CETAK!$J$10),OR(CETAK!$J$11="",$F1305=CETAK!$J$11),OR(CETAK!$J$12="",$K1305=CETAK!$J$12),OR(CETAK!$J$13="",$H1305=CETAK!$J$13),OR(CETAK!$J$14="",$O1305=CETAK!$J$14)),MAX($X$3:X1304)+1,""))</f>
        <v/>
      </c>
      <c r="Y1305" s="40" t="str">
        <f aca="false">IF($B1305="","",IF(AND(OR(ABSENSI!$H$10="",$E1305=ABSENSI!$H$10),OR(ABSENSI!$H$11="",$F1305=ABSENSI!$H$11),OR(ABSENSI!$H$12="",$K1305=ABSENSI!$H$12)),MAX($Y$3:Y1304)+1,""))</f>
        <v/>
      </c>
      <c r="Z1305" s="40" t="str">
        <f aca="false">IF($B1305="","",IF(AND(OR(KARTU!$K$6="",$E1305=KARTU!$K$6),OR(KARTU!$K$7="",$F1305=KARTU!$K$7),OR(KARTU!$K$8="",$K1305=KARTU!$K$8)),MAX($Z$3:Z1304)+1,""))</f>
        <v/>
      </c>
    </row>
    <row r="1306" customFormat="false" ht="15" hidden="false" customHeight="false" outlineLevel="0" collapsed="false">
      <c r="A1306" s="36" t="str">
        <f aca="false">IF($B1306="","",COUNTA($B$4:$B1306))</f>
        <v/>
      </c>
      <c r="B1306" s="37"/>
      <c r="C1306" s="38"/>
      <c r="D1306" s="39"/>
      <c r="E1306" s="37"/>
      <c r="F1306" s="39"/>
      <c r="G1306" s="40" t="str">
        <f aca="false">IF(OR($E1306="",$F1306=""),"",$E1306&amp;" - RT "&amp;$F1306)</f>
        <v/>
      </c>
      <c r="H1306" s="37"/>
      <c r="I1306" s="38"/>
      <c r="J1306" s="37"/>
      <c r="K1306" s="39"/>
      <c r="L1306" s="41"/>
      <c r="M1306" s="36" t="str">
        <f aca="true">IF(OR($B1306="",$L1306=""),"",DATEDIF($L1306,TODAY(),"Y"))</f>
        <v/>
      </c>
      <c r="N1306" s="40" t="str">
        <f aca="false">IF($M1306="","",INDEX(usia_label,MATCH($M1306,usia_min,1)))</f>
        <v/>
      </c>
      <c r="O1306" s="37"/>
      <c r="P1306" s="41"/>
      <c r="Q1306" s="37"/>
      <c r="R1306" s="37"/>
      <c r="S1306" s="40" t="str">
        <f aca="false">IF($G1306="","",$G1306&amp;"#"&amp;COUNTIF($G$4:$G1306,$G1306))</f>
        <v/>
      </c>
      <c r="T1306" s="40" t="str">
        <f aca="false">IF($B1306="","",IF($C1306="","NIK kosong",IF(LEN($C1306)&lt;&gt;16,"NIK bukan 16 digit",IF(COUNTIF($C$4:$C$2003,$C1306&amp;"*")&gt;1,"NIK ganda",IF($E1306="","Kadus kosong",IF($F1306="","RT kosong",IF($H1306="","Jabatan kosong",IF($I1306="","No. HP kosong",IF($J1306="","Alamat kosong",IF(AND($M1306&lt;&gt;"",$M1306&lt;17),"Usia di bawah 17",""))))))))))</f>
        <v/>
      </c>
      <c r="U1306" s="40" t="str">
        <f aca="false">IF($B1306="","",IF(AND(OR(CARI!$C$5="",ISNUMBER(SEARCH(CARI!$C$5,$B1306&amp;" "&amp;$C1306&amp;" "&amp;$I1306&amp;" "&amp;$J1306&amp;" "&amp;$Q1306))),OR(CARI!$C$6="",$E1306=CARI!$C$6),OR(CARI!$C$7="",$F1306=CARI!$C$7),OR(CARI!$C$8="",$O1306=CARI!$C$8)),MAX($U$3:U1305)+1,""))</f>
        <v/>
      </c>
      <c r="V1306" s="40" t="str">
        <f aca="false">IF($T1306="","",MAX($V$3:V1305)+1)</f>
        <v/>
      </c>
      <c r="W1306" s="40" t="str">
        <f aca="false">IF($E1306="","",$E1306&amp;"#"&amp;COUNTIF($E$4:$E1306,$E1306))</f>
        <v/>
      </c>
      <c r="X1306" s="40" t="str">
        <f aca="false">IF($B1306="","",IF(AND(OR(CETAK!$J$10="",$E1306=CETAK!$J$10),OR(CETAK!$J$11="",$F1306=CETAK!$J$11),OR(CETAK!$J$12="",$K1306=CETAK!$J$12),OR(CETAK!$J$13="",$H1306=CETAK!$J$13),OR(CETAK!$J$14="",$O1306=CETAK!$J$14)),MAX($X$3:X1305)+1,""))</f>
        <v/>
      </c>
      <c r="Y1306" s="40" t="str">
        <f aca="false">IF($B1306="","",IF(AND(OR(ABSENSI!$H$10="",$E1306=ABSENSI!$H$10),OR(ABSENSI!$H$11="",$F1306=ABSENSI!$H$11),OR(ABSENSI!$H$12="",$K1306=ABSENSI!$H$12)),MAX($Y$3:Y1305)+1,""))</f>
        <v/>
      </c>
      <c r="Z1306" s="40" t="str">
        <f aca="false">IF($B1306="","",IF(AND(OR(KARTU!$K$6="",$E1306=KARTU!$K$6),OR(KARTU!$K$7="",$F1306=KARTU!$K$7),OR(KARTU!$K$8="",$K1306=KARTU!$K$8)),MAX($Z$3:Z1305)+1,""))</f>
        <v/>
      </c>
    </row>
    <row r="1307" customFormat="false" ht="15" hidden="false" customHeight="false" outlineLevel="0" collapsed="false">
      <c r="A1307" s="36" t="str">
        <f aca="false">IF($B1307="","",COUNTA($B$4:$B1307))</f>
        <v/>
      </c>
      <c r="B1307" s="37"/>
      <c r="C1307" s="38"/>
      <c r="D1307" s="39"/>
      <c r="E1307" s="37"/>
      <c r="F1307" s="39"/>
      <c r="G1307" s="40" t="str">
        <f aca="false">IF(OR($E1307="",$F1307=""),"",$E1307&amp;" - RT "&amp;$F1307)</f>
        <v/>
      </c>
      <c r="H1307" s="37"/>
      <c r="I1307" s="38"/>
      <c r="J1307" s="37"/>
      <c r="K1307" s="39"/>
      <c r="L1307" s="41"/>
      <c r="M1307" s="36" t="str">
        <f aca="true">IF(OR($B1307="",$L1307=""),"",DATEDIF($L1307,TODAY(),"Y"))</f>
        <v/>
      </c>
      <c r="N1307" s="40" t="str">
        <f aca="false">IF($M1307="","",INDEX(usia_label,MATCH($M1307,usia_min,1)))</f>
        <v/>
      </c>
      <c r="O1307" s="37"/>
      <c r="P1307" s="41"/>
      <c r="Q1307" s="37"/>
      <c r="R1307" s="37"/>
      <c r="S1307" s="40" t="str">
        <f aca="false">IF($G1307="","",$G1307&amp;"#"&amp;COUNTIF($G$4:$G1307,$G1307))</f>
        <v/>
      </c>
      <c r="T1307" s="40" t="str">
        <f aca="false">IF($B1307="","",IF($C1307="","NIK kosong",IF(LEN($C1307)&lt;&gt;16,"NIK bukan 16 digit",IF(COUNTIF($C$4:$C$2003,$C1307&amp;"*")&gt;1,"NIK ganda",IF($E1307="","Kadus kosong",IF($F1307="","RT kosong",IF($H1307="","Jabatan kosong",IF($I1307="","No. HP kosong",IF($J1307="","Alamat kosong",IF(AND($M1307&lt;&gt;"",$M1307&lt;17),"Usia di bawah 17",""))))))))))</f>
        <v/>
      </c>
      <c r="U1307" s="40" t="str">
        <f aca="false">IF($B1307="","",IF(AND(OR(CARI!$C$5="",ISNUMBER(SEARCH(CARI!$C$5,$B1307&amp;" "&amp;$C1307&amp;" "&amp;$I1307&amp;" "&amp;$J1307&amp;" "&amp;$Q1307))),OR(CARI!$C$6="",$E1307=CARI!$C$6),OR(CARI!$C$7="",$F1307=CARI!$C$7),OR(CARI!$C$8="",$O1307=CARI!$C$8)),MAX($U$3:U1306)+1,""))</f>
        <v/>
      </c>
      <c r="V1307" s="40" t="str">
        <f aca="false">IF($T1307="","",MAX($V$3:V1306)+1)</f>
        <v/>
      </c>
      <c r="W1307" s="40" t="str">
        <f aca="false">IF($E1307="","",$E1307&amp;"#"&amp;COUNTIF($E$4:$E1307,$E1307))</f>
        <v/>
      </c>
      <c r="X1307" s="40" t="str">
        <f aca="false">IF($B1307="","",IF(AND(OR(CETAK!$J$10="",$E1307=CETAK!$J$10),OR(CETAK!$J$11="",$F1307=CETAK!$J$11),OR(CETAK!$J$12="",$K1307=CETAK!$J$12),OR(CETAK!$J$13="",$H1307=CETAK!$J$13),OR(CETAK!$J$14="",$O1307=CETAK!$J$14)),MAX($X$3:X1306)+1,""))</f>
        <v/>
      </c>
      <c r="Y1307" s="40" t="str">
        <f aca="false">IF($B1307="","",IF(AND(OR(ABSENSI!$H$10="",$E1307=ABSENSI!$H$10),OR(ABSENSI!$H$11="",$F1307=ABSENSI!$H$11),OR(ABSENSI!$H$12="",$K1307=ABSENSI!$H$12)),MAX($Y$3:Y1306)+1,""))</f>
        <v/>
      </c>
      <c r="Z1307" s="40" t="str">
        <f aca="false">IF($B1307="","",IF(AND(OR(KARTU!$K$6="",$E1307=KARTU!$K$6),OR(KARTU!$K$7="",$F1307=KARTU!$K$7),OR(KARTU!$K$8="",$K1307=KARTU!$K$8)),MAX($Z$3:Z1306)+1,""))</f>
        <v/>
      </c>
    </row>
    <row r="1308" customFormat="false" ht="15" hidden="false" customHeight="false" outlineLevel="0" collapsed="false">
      <c r="A1308" s="36" t="str">
        <f aca="false">IF($B1308="","",COUNTA($B$4:$B1308))</f>
        <v/>
      </c>
      <c r="B1308" s="37"/>
      <c r="C1308" s="38"/>
      <c r="D1308" s="39"/>
      <c r="E1308" s="37"/>
      <c r="F1308" s="39"/>
      <c r="G1308" s="40" t="str">
        <f aca="false">IF(OR($E1308="",$F1308=""),"",$E1308&amp;" - RT "&amp;$F1308)</f>
        <v/>
      </c>
      <c r="H1308" s="37"/>
      <c r="I1308" s="38"/>
      <c r="J1308" s="37"/>
      <c r="K1308" s="39"/>
      <c r="L1308" s="41"/>
      <c r="M1308" s="36" t="str">
        <f aca="true">IF(OR($B1308="",$L1308=""),"",DATEDIF($L1308,TODAY(),"Y"))</f>
        <v/>
      </c>
      <c r="N1308" s="40" t="str">
        <f aca="false">IF($M1308="","",INDEX(usia_label,MATCH($M1308,usia_min,1)))</f>
        <v/>
      </c>
      <c r="O1308" s="37"/>
      <c r="P1308" s="41"/>
      <c r="Q1308" s="37"/>
      <c r="R1308" s="37"/>
      <c r="S1308" s="40" t="str">
        <f aca="false">IF($G1308="","",$G1308&amp;"#"&amp;COUNTIF($G$4:$G1308,$G1308))</f>
        <v/>
      </c>
      <c r="T1308" s="40" t="str">
        <f aca="false">IF($B1308="","",IF($C1308="","NIK kosong",IF(LEN($C1308)&lt;&gt;16,"NIK bukan 16 digit",IF(COUNTIF($C$4:$C$2003,$C1308&amp;"*")&gt;1,"NIK ganda",IF($E1308="","Kadus kosong",IF($F1308="","RT kosong",IF($H1308="","Jabatan kosong",IF($I1308="","No. HP kosong",IF($J1308="","Alamat kosong",IF(AND($M1308&lt;&gt;"",$M1308&lt;17),"Usia di bawah 17",""))))))))))</f>
        <v/>
      </c>
      <c r="U1308" s="40" t="str">
        <f aca="false">IF($B1308="","",IF(AND(OR(CARI!$C$5="",ISNUMBER(SEARCH(CARI!$C$5,$B1308&amp;" "&amp;$C1308&amp;" "&amp;$I1308&amp;" "&amp;$J1308&amp;" "&amp;$Q1308))),OR(CARI!$C$6="",$E1308=CARI!$C$6),OR(CARI!$C$7="",$F1308=CARI!$C$7),OR(CARI!$C$8="",$O1308=CARI!$C$8)),MAX($U$3:U1307)+1,""))</f>
        <v/>
      </c>
      <c r="V1308" s="40" t="str">
        <f aca="false">IF($T1308="","",MAX($V$3:V1307)+1)</f>
        <v/>
      </c>
      <c r="W1308" s="40" t="str">
        <f aca="false">IF($E1308="","",$E1308&amp;"#"&amp;COUNTIF($E$4:$E1308,$E1308))</f>
        <v/>
      </c>
      <c r="X1308" s="40" t="str">
        <f aca="false">IF($B1308="","",IF(AND(OR(CETAK!$J$10="",$E1308=CETAK!$J$10),OR(CETAK!$J$11="",$F1308=CETAK!$J$11),OR(CETAK!$J$12="",$K1308=CETAK!$J$12),OR(CETAK!$J$13="",$H1308=CETAK!$J$13),OR(CETAK!$J$14="",$O1308=CETAK!$J$14)),MAX($X$3:X1307)+1,""))</f>
        <v/>
      </c>
      <c r="Y1308" s="40" t="str">
        <f aca="false">IF($B1308="","",IF(AND(OR(ABSENSI!$H$10="",$E1308=ABSENSI!$H$10),OR(ABSENSI!$H$11="",$F1308=ABSENSI!$H$11),OR(ABSENSI!$H$12="",$K1308=ABSENSI!$H$12)),MAX($Y$3:Y1307)+1,""))</f>
        <v/>
      </c>
      <c r="Z1308" s="40" t="str">
        <f aca="false">IF($B1308="","",IF(AND(OR(KARTU!$K$6="",$E1308=KARTU!$K$6),OR(KARTU!$K$7="",$F1308=KARTU!$K$7),OR(KARTU!$K$8="",$K1308=KARTU!$K$8)),MAX($Z$3:Z1307)+1,""))</f>
        <v/>
      </c>
    </row>
    <row r="1309" customFormat="false" ht="15" hidden="false" customHeight="false" outlineLevel="0" collapsed="false">
      <c r="A1309" s="36" t="str">
        <f aca="false">IF($B1309="","",COUNTA($B$4:$B1309))</f>
        <v/>
      </c>
      <c r="B1309" s="37"/>
      <c r="C1309" s="38"/>
      <c r="D1309" s="39"/>
      <c r="E1309" s="37"/>
      <c r="F1309" s="39"/>
      <c r="G1309" s="40" t="str">
        <f aca="false">IF(OR($E1309="",$F1309=""),"",$E1309&amp;" - RT "&amp;$F1309)</f>
        <v/>
      </c>
      <c r="H1309" s="37"/>
      <c r="I1309" s="38"/>
      <c r="J1309" s="37"/>
      <c r="K1309" s="39"/>
      <c r="L1309" s="41"/>
      <c r="M1309" s="36" t="str">
        <f aca="true">IF(OR($B1309="",$L1309=""),"",DATEDIF($L1309,TODAY(),"Y"))</f>
        <v/>
      </c>
      <c r="N1309" s="40" t="str">
        <f aca="false">IF($M1309="","",INDEX(usia_label,MATCH($M1309,usia_min,1)))</f>
        <v/>
      </c>
      <c r="O1309" s="37"/>
      <c r="P1309" s="41"/>
      <c r="Q1309" s="37"/>
      <c r="R1309" s="37"/>
      <c r="S1309" s="40" t="str">
        <f aca="false">IF($G1309="","",$G1309&amp;"#"&amp;COUNTIF($G$4:$G1309,$G1309))</f>
        <v/>
      </c>
      <c r="T1309" s="40" t="str">
        <f aca="false">IF($B1309="","",IF($C1309="","NIK kosong",IF(LEN($C1309)&lt;&gt;16,"NIK bukan 16 digit",IF(COUNTIF($C$4:$C$2003,$C1309&amp;"*")&gt;1,"NIK ganda",IF($E1309="","Kadus kosong",IF($F1309="","RT kosong",IF($H1309="","Jabatan kosong",IF($I1309="","No. HP kosong",IF($J1309="","Alamat kosong",IF(AND($M1309&lt;&gt;"",$M1309&lt;17),"Usia di bawah 17",""))))))))))</f>
        <v/>
      </c>
      <c r="U1309" s="40" t="str">
        <f aca="false">IF($B1309="","",IF(AND(OR(CARI!$C$5="",ISNUMBER(SEARCH(CARI!$C$5,$B1309&amp;" "&amp;$C1309&amp;" "&amp;$I1309&amp;" "&amp;$J1309&amp;" "&amp;$Q1309))),OR(CARI!$C$6="",$E1309=CARI!$C$6),OR(CARI!$C$7="",$F1309=CARI!$C$7),OR(CARI!$C$8="",$O1309=CARI!$C$8)),MAX($U$3:U1308)+1,""))</f>
        <v/>
      </c>
      <c r="V1309" s="40" t="str">
        <f aca="false">IF($T1309="","",MAX($V$3:V1308)+1)</f>
        <v/>
      </c>
      <c r="W1309" s="40" t="str">
        <f aca="false">IF($E1309="","",$E1309&amp;"#"&amp;COUNTIF($E$4:$E1309,$E1309))</f>
        <v/>
      </c>
      <c r="X1309" s="40" t="str">
        <f aca="false">IF($B1309="","",IF(AND(OR(CETAK!$J$10="",$E1309=CETAK!$J$10),OR(CETAK!$J$11="",$F1309=CETAK!$J$11),OR(CETAK!$J$12="",$K1309=CETAK!$J$12),OR(CETAK!$J$13="",$H1309=CETAK!$J$13),OR(CETAK!$J$14="",$O1309=CETAK!$J$14)),MAX($X$3:X1308)+1,""))</f>
        <v/>
      </c>
      <c r="Y1309" s="40" t="str">
        <f aca="false">IF($B1309="","",IF(AND(OR(ABSENSI!$H$10="",$E1309=ABSENSI!$H$10),OR(ABSENSI!$H$11="",$F1309=ABSENSI!$H$11),OR(ABSENSI!$H$12="",$K1309=ABSENSI!$H$12)),MAX($Y$3:Y1308)+1,""))</f>
        <v/>
      </c>
      <c r="Z1309" s="40" t="str">
        <f aca="false">IF($B1309="","",IF(AND(OR(KARTU!$K$6="",$E1309=KARTU!$K$6),OR(KARTU!$K$7="",$F1309=KARTU!$K$7),OR(KARTU!$K$8="",$K1309=KARTU!$K$8)),MAX($Z$3:Z1308)+1,""))</f>
        <v/>
      </c>
    </row>
    <row r="1310" customFormat="false" ht="15" hidden="false" customHeight="false" outlineLevel="0" collapsed="false">
      <c r="A1310" s="36" t="str">
        <f aca="false">IF($B1310="","",COUNTA($B$4:$B1310))</f>
        <v/>
      </c>
      <c r="B1310" s="37"/>
      <c r="C1310" s="38"/>
      <c r="D1310" s="39"/>
      <c r="E1310" s="37"/>
      <c r="F1310" s="39"/>
      <c r="G1310" s="40" t="str">
        <f aca="false">IF(OR($E1310="",$F1310=""),"",$E1310&amp;" - RT "&amp;$F1310)</f>
        <v/>
      </c>
      <c r="H1310" s="37"/>
      <c r="I1310" s="38"/>
      <c r="J1310" s="37"/>
      <c r="K1310" s="39"/>
      <c r="L1310" s="41"/>
      <c r="M1310" s="36" t="str">
        <f aca="true">IF(OR($B1310="",$L1310=""),"",DATEDIF($L1310,TODAY(),"Y"))</f>
        <v/>
      </c>
      <c r="N1310" s="40" t="str">
        <f aca="false">IF($M1310="","",INDEX(usia_label,MATCH($M1310,usia_min,1)))</f>
        <v/>
      </c>
      <c r="O1310" s="37"/>
      <c r="P1310" s="41"/>
      <c r="Q1310" s="37"/>
      <c r="R1310" s="37"/>
      <c r="S1310" s="40" t="str">
        <f aca="false">IF($G1310="","",$G1310&amp;"#"&amp;COUNTIF($G$4:$G1310,$G1310))</f>
        <v/>
      </c>
      <c r="T1310" s="40" t="str">
        <f aca="false">IF($B1310="","",IF($C1310="","NIK kosong",IF(LEN($C1310)&lt;&gt;16,"NIK bukan 16 digit",IF(COUNTIF($C$4:$C$2003,$C1310&amp;"*")&gt;1,"NIK ganda",IF($E1310="","Kadus kosong",IF($F1310="","RT kosong",IF($H1310="","Jabatan kosong",IF($I1310="","No. HP kosong",IF($J1310="","Alamat kosong",IF(AND($M1310&lt;&gt;"",$M1310&lt;17),"Usia di bawah 17",""))))))))))</f>
        <v/>
      </c>
      <c r="U1310" s="40" t="str">
        <f aca="false">IF($B1310="","",IF(AND(OR(CARI!$C$5="",ISNUMBER(SEARCH(CARI!$C$5,$B1310&amp;" "&amp;$C1310&amp;" "&amp;$I1310&amp;" "&amp;$J1310&amp;" "&amp;$Q1310))),OR(CARI!$C$6="",$E1310=CARI!$C$6),OR(CARI!$C$7="",$F1310=CARI!$C$7),OR(CARI!$C$8="",$O1310=CARI!$C$8)),MAX($U$3:U1309)+1,""))</f>
        <v/>
      </c>
      <c r="V1310" s="40" t="str">
        <f aca="false">IF($T1310="","",MAX($V$3:V1309)+1)</f>
        <v/>
      </c>
      <c r="W1310" s="40" t="str">
        <f aca="false">IF($E1310="","",$E1310&amp;"#"&amp;COUNTIF($E$4:$E1310,$E1310))</f>
        <v/>
      </c>
      <c r="X1310" s="40" t="str">
        <f aca="false">IF($B1310="","",IF(AND(OR(CETAK!$J$10="",$E1310=CETAK!$J$10),OR(CETAK!$J$11="",$F1310=CETAK!$J$11),OR(CETAK!$J$12="",$K1310=CETAK!$J$12),OR(CETAK!$J$13="",$H1310=CETAK!$J$13),OR(CETAK!$J$14="",$O1310=CETAK!$J$14)),MAX($X$3:X1309)+1,""))</f>
        <v/>
      </c>
      <c r="Y1310" s="40" t="str">
        <f aca="false">IF($B1310="","",IF(AND(OR(ABSENSI!$H$10="",$E1310=ABSENSI!$H$10),OR(ABSENSI!$H$11="",$F1310=ABSENSI!$H$11),OR(ABSENSI!$H$12="",$K1310=ABSENSI!$H$12)),MAX($Y$3:Y1309)+1,""))</f>
        <v/>
      </c>
      <c r="Z1310" s="40" t="str">
        <f aca="false">IF($B1310="","",IF(AND(OR(KARTU!$K$6="",$E1310=KARTU!$K$6),OR(KARTU!$K$7="",$F1310=KARTU!$K$7),OR(KARTU!$K$8="",$K1310=KARTU!$K$8)),MAX($Z$3:Z1309)+1,""))</f>
        <v/>
      </c>
    </row>
    <row r="1311" customFormat="false" ht="15" hidden="false" customHeight="false" outlineLevel="0" collapsed="false">
      <c r="A1311" s="36" t="str">
        <f aca="false">IF($B1311="","",COUNTA($B$4:$B1311))</f>
        <v/>
      </c>
      <c r="B1311" s="37"/>
      <c r="C1311" s="38"/>
      <c r="D1311" s="39"/>
      <c r="E1311" s="37"/>
      <c r="F1311" s="39"/>
      <c r="G1311" s="40" t="str">
        <f aca="false">IF(OR($E1311="",$F1311=""),"",$E1311&amp;" - RT "&amp;$F1311)</f>
        <v/>
      </c>
      <c r="H1311" s="37"/>
      <c r="I1311" s="38"/>
      <c r="J1311" s="37"/>
      <c r="K1311" s="39"/>
      <c r="L1311" s="41"/>
      <c r="M1311" s="36" t="str">
        <f aca="true">IF(OR($B1311="",$L1311=""),"",DATEDIF($L1311,TODAY(),"Y"))</f>
        <v/>
      </c>
      <c r="N1311" s="40" t="str">
        <f aca="false">IF($M1311="","",INDEX(usia_label,MATCH($M1311,usia_min,1)))</f>
        <v/>
      </c>
      <c r="O1311" s="37"/>
      <c r="P1311" s="41"/>
      <c r="Q1311" s="37"/>
      <c r="R1311" s="37"/>
      <c r="S1311" s="40" t="str">
        <f aca="false">IF($G1311="","",$G1311&amp;"#"&amp;COUNTIF($G$4:$G1311,$G1311))</f>
        <v/>
      </c>
      <c r="T1311" s="40" t="str">
        <f aca="false">IF($B1311="","",IF($C1311="","NIK kosong",IF(LEN($C1311)&lt;&gt;16,"NIK bukan 16 digit",IF(COUNTIF($C$4:$C$2003,$C1311&amp;"*")&gt;1,"NIK ganda",IF($E1311="","Kadus kosong",IF($F1311="","RT kosong",IF($H1311="","Jabatan kosong",IF($I1311="","No. HP kosong",IF($J1311="","Alamat kosong",IF(AND($M1311&lt;&gt;"",$M1311&lt;17),"Usia di bawah 17",""))))))))))</f>
        <v/>
      </c>
      <c r="U1311" s="40" t="str">
        <f aca="false">IF($B1311="","",IF(AND(OR(CARI!$C$5="",ISNUMBER(SEARCH(CARI!$C$5,$B1311&amp;" "&amp;$C1311&amp;" "&amp;$I1311&amp;" "&amp;$J1311&amp;" "&amp;$Q1311))),OR(CARI!$C$6="",$E1311=CARI!$C$6),OR(CARI!$C$7="",$F1311=CARI!$C$7),OR(CARI!$C$8="",$O1311=CARI!$C$8)),MAX($U$3:U1310)+1,""))</f>
        <v/>
      </c>
      <c r="V1311" s="40" t="str">
        <f aca="false">IF($T1311="","",MAX($V$3:V1310)+1)</f>
        <v/>
      </c>
      <c r="W1311" s="40" t="str">
        <f aca="false">IF($E1311="","",$E1311&amp;"#"&amp;COUNTIF($E$4:$E1311,$E1311))</f>
        <v/>
      </c>
      <c r="X1311" s="40" t="str">
        <f aca="false">IF($B1311="","",IF(AND(OR(CETAK!$J$10="",$E1311=CETAK!$J$10),OR(CETAK!$J$11="",$F1311=CETAK!$J$11),OR(CETAK!$J$12="",$K1311=CETAK!$J$12),OR(CETAK!$J$13="",$H1311=CETAK!$J$13),OR(CETAK!$J$14="",$O1311=CETAK!$J$14)),MAX($X$3:X1310)+1,""))</f>
        <v/>
      </c>
      <c r="Y1311" s="40" t="str">
        <f aca="false">IF($B1311="","",IF(AND(OR(ABSENSI!$H$10="",$E1311=ABSENSI!$H$10),OR(ABSENSI!$H$11="",$F1311=ABSENSI!$H$11),OR(ABSENSI!$H$12="",$K1311=ABSENSI!$H$12)),MAX($Y$3:Y1310)+1,""))</f>
        <v/>
      </c>
      <c r="Z1311" s="40" t="str">
        <f aca="false">IF($B1311="","",IF(AND(OR(KARTU!$K$6="",$E1311=KARTU!$K$6),OR(KARTU!$K$7="",$F1311=KARTU!$K$7),OR(KARTU!$K$8="",$K1311=KARTU!$K$8)),MAX($Z$3:Z1310)+1,""))</f>
        <v/>
      </c>
    </row>
    <row r="1312" customFormat="false" ht="15" hidden="false" customHeight="false" outlineLevel="0" collapsed="false">
      <c r="A1312" s="36" t="str">
        <f aca="false">IF($B1312="","",COUNTA($B$4:$B1312))</f>
        <v/>
      </c>
      <c r="B1312" s="37"/>
      <c r="C1312" s="38"/>
      <c r="D1312" s="39"/>
      <c r="E1312" s="37"/>
      <c r="F1312" s="39"/>
      <c r="G1312" s="40" t="str">
        <f aca="false">IF(OR($E1312="",$F1312=""),"",$E1312&amp;" - RT "&amp;$F1312)</f>
        <v/>
      </c>
      <c r="H1312" s="37"/>
      <c r="I1312" s="38"/>
      <c r="J1312" s="37"/>
      <c r="K1312" s="39"/>
      <c r="L1312" s="41"/>
      <c r="M1312" s="36" t="str">
        <f aca="true">IF(OR($B1312="",$L1312=""),"",DATEDIF($L1312,TODAY(),"Y"))</f>
        <v/>
      </c>
      <c r="N1312" s="40" t="str">
        <f aca="false">IF($M1312="","",INDEX(usia_label,MATCH($M1312,usia_min,1)))</f>
        <v/>
      </c>
      <c r="O1312" s="37"/>
      <c r="P1312" s="41"/>
      <c r="Q1312" s="37"/>
      <c r="R1312" s="37"/>
      <c r="S1312" s="40" t="str">
        <f aca="false">IF($G1312="","",$G1312&amp;"#"&amp;COUNTIF($G$4:$G1312,$G1312))</f>
        <v/>
      </c>
      <c r="T1312" s="40" t="str">
        <f aca="false">IF($B1312="","",IF($C1312="","NIK kosong",IF(LEN($C1312)&lt;&gt;16,"NIK bukan 16 digit",IF(COUNTIF($C$4:$C$2003,$C1312&amp;"*")&gt;1,"NIK ganda",IF($E1312="","Kadus kosong",IF($F1312="","RT kosong",IF($H1312="","Jabatan kosong",IF($I1312="","No. HP kosong",IF($J1312="","Alamat kosong",IF(AND($M1312&lt;&gt;"",$M1312&lt;17),"Usia di bawah 17",""))))))))))</f>
        <v/>
      </c>
      <c r="U1312" s="40" t="str">
        <f aca="false">IF($B1312="","",IF(AND(OR(CARI!$C$5="",ISNUMBER(SEARCH(CARI!$C$5,$B1312&amp;" "&amp;$C1312&amp;" "&amp;$I1312&amp;" "&amp;$J1312&amp;" "&amp;$Q1312))),OR(CARI!$C$6="",$E1312=CARI!$C$6),OR(CARI!$C$7="",$F1312=CARI!$C$7),OR(CARI!$C$8="",$O1312=CARI!$C$8)),MAX($U$3:U1311)+1,""))</f>
        <v/>
      </c>
      <c r="V1312" s="40" t="str">
        <f aca="false">IF($T1312="","",MAX($V$3:V1311)+1)</f>
        <v/>
      </c>
      <c r="W1312" s="40" t="str">
        <f aca="false">IF($E1312="","",$E1312&amp;"#"&amp;COUNTIF($E$4:$E1312,$E1312))</f>
        <v/>
      </c>
      <c r="X1312" s="40" t="str">
        <f aca="false">IF($B1312="","",IF(AND(OR(CETAK!$J$10="",$E1312=CETAK!$J$10),OR(CETAK!$J$11="",$F1312=CETAK!$J$11),OR(CETAK!$J$12="",$K1312=CETAK!$J$12),OR(CETAK!$J$13="",$H1312=CETAK!$J$13),OR(CETAK!$J$14="",$O1312=CETAK!$J$14)),MAX($X$3:X1311)+1,""))</f>
        <v/>
      </c>
      <c r="Y1312" s="40" t="str">
        <f aca="false">IF($B1312="","",IF(AND(OR(ABSENSI!$H$10="",$E1312=ABSENSI!$H$10),OR(ABSENSI!$H$11="",$F1312=ABSENSI!$H$11),OR(ABSENSI!$H$12="",$K1312=ABSENSI!$H$12)),MAX($Y$3:Y1311)+1,""))</f>
        <v/>
      </c>
      <c r="Z1312" s="40" t="str">
        <f aca="false">IF($B1312="","",IF(AND(OR(KARTU!$K$6="",$E1312=KARTU!$K$6),OR(KARTU!$K$7="",$F1312=KARTU!$K$7),OR(KARTU!$K$8="",$K1312=KARTU!$K$8)),MAX($Z$3:Z1311)+1,""))</f>
        <v/>
      </c>
    </row>
    <row r="1313" customFormat="false" ht="15" hidden="false" customHeight="false" outlineLevel="0" collapsed="false">
      <c r="A1313" s="36" t="str">
        <f aca="false">IF($B1313="","",COUNTA($B$4:$B1313))</f>
        <v/>
      </c>
      <c r="B1313" s="37"/>
      <c r="C1313" s="38"/>
      <c r="D1313" s="39"/>
      <c r="E1313" s="37"/>
      <c r="F1313" s="39"/>
      <c r="G1313" s="40" t="str">
        <f aca="false">IF(OR($E1313="",$F1313=""),"",$E1313&amp;" - RT "&amp;$F1313)</f>
        <v/>
      </c>
      <c r="H1313" s="37"/>
      <c r="I1313" s="38"/>
      <c r="J1313" s="37"/>
      <c r="K1313" s="39"/>
      <c r="L1313" s="41"/>
      <c r="M1313" s="36" t="str">
        <f aca="true">IF(OR($B1313="",$L1313=""),"",DATEDIF($L1313,TODAY(),"Y"))</f>
        <v/>
      </c>
      <c r="N1313" s="40" t="str">
        <f aca="false">IF($M1313="","",INDEX(usia_label,MATCH($M1313,usia_min,1)))</f>
        <v/>
      </c>
      <c r="O1313" s="37"/>
      <c r="P1313" s="41"/>
      <c r="Q1313" s="37"/>
      <c r="R1313" s="37"/>
      <c r="S1313" s="40" t="str">
        <f aca="false">IF($G1313="","",$G1313&amp;"#"&amp;COUNTIF($G$4:$G1313,$G1313))</f>
        <v/>
      </c>
      <c r="T1313" s="40" t="str">
        <f aca="false">IF($B1313="","",IF($C1313="","NIK kosong",IF(LEN($C1313)&lt;&gt;16,"NIK bukan 16 digit",IF(COUNTIF($C$4:$C$2003,$C1313&amp;"*")&gt;1,"NIK ganda",IF($E1313="","Kadus kosong",IF($F1313="","RT kosong",IF($H1313="","Jabatan kosong",IF($I1313="","No. HP kosong",IF($J1313="","Alamat kosong",IF(AND($M1313&lt;&gt;"",$M1313&lt;17),"Usia di bawah 17",""))))))))))</f>
        <v/>
      </c>
      <c r="U1313" s="40" t="str">
        <f aca="false">IF($B1313="","",IF(AND(OR(CARI!$C$5="",ISNUMBER(SEARCH(CARI!$C$5,$B1313&amp;" "&amp;$C1313&amp;" "&amp;$I1313&amp;" "&amp;$J1313&amp;" "&amp;$Q1313))),OR(CARI!$C$6="",$E1313=CARI!$C$6),OR(CARI!$C$7="",$F1313=CARI!$C$7),OR(CARI!$C$8="",$O1313=CARI!$C$8)),MAX($U$3:U1312)+1,""))</f>
        <v/>
      </c>
      <c r="V1313" s="40" t="str">
        <f aca="false">IF($T1313="","",MAX($V$3:V1312)+1)</f>
        <v/>
      </c>
      <c r="W1313" s="40" t="str">
        <f aca="false">IF($E1313="","",$E1313&amp;"#"&amp;COUNTIF($E$4:$E1313,$E1313))</f>
        <v/>
      </c>
      <c r="X1313" s="40" t="str">
        <f aca="false">IF($B1313="","",IF(AND(OR(CETAK!$J$10="",$E1313=CETAK!$J$10),OR(CETAK!$J$11="",$F1313=CETAK!$J$11),OR(CETAK!$J$12="",$K1313=CETAK!$J$12),OR(CETAK!$J$13="",$H1313=CETAK!$J$13),OR(CETAK!$J$14="",$O1313=CETAK!$J$14)),MAX($X$3:X1312)+1,""))</f>
        <v/>
      </c>
      <c r="Y1313" s="40" t="str">
        <f aca="false">IF($B1313="","",IF(AND(OR(ABSENSI!$H$10="",$E1313=ABSENSI!$H$10),OR(ABSENSI!$H$11="",$F1313=ABSENSI!$H$11),OR(ABSENSI!$H$12="",$K1313=ABSENSI!$H$12)),MAX($Y$3:Y1312)+1,""))</f>
        <v/>
      </c>
      <c r="Z1313" s="40" t="str">
        <f aca="false">IF($B1313="","",IF(AND(OR(KARTU!$K$6="",$E1313=KARTU!$K$6),OR(KARTU!$K$7="",$F1313=KARTU!$K$7),OR(KARTU!$K$8="",$K1313=KARTU!$K$8)),MAX($Z$3:Z1312)+1,""))</f>
        <v/>
      </c>
    </row>
    <row r="1314" customFormat="false" ht="15" hidden="false" customHeight="false" outlineLevel="0" collapsed="false">
      <c r="A1314" s="36" t="str">
        <f aca="false">IF($B1314="","",COUNTA($B$4:$B1314))</f>
        <v/>
      </c>
      <c r="B1314" s="37"/>
      <c r="C1314" s="38"/>
      <c r="D1314" s="39"/>
      <c r="E1314" s="37"/>
      <c r="F1314" s="39"/>
      <c r="G1314" s="40" t="str">
        <f aca="false">IF(OR($E1314="",$F1314=""),"",$E1314&amp;" - RT "&amp;$F1314)</f>
        <v/>
      </c>
      <c r="H1314" s="37"/>
      <c r="I1314" s="38"/>
      <c r="J1314" s="37"/>
      <c r="K1314" s="39"/>
      <c r="L1314" s="41"/>
      <c r="M1314" s="36" t="str">
        <f aca="true">IF(OR($B1314="",$L1314=""),"",DATEDIF($L1314,TODAY(),"Y"))</f>
        <v/>
      </c>
      <c r="N1314" s="40" t="str">
        <f aca="false">IF($M1314="","",INDEX(usia_label,MATCH($M1314,usia_min,1)))</f>
        <v/>
      </c>
      <c r="O1314" s="37"/>
      <c r="P1314" s="41"/>
      <c r="Q1314" s="37"/>
      <c r="R1314" s="37"/>
      <c r="S1314" s="40" t="str">
        <f aca="false">IF($G1314="","",$G1314&amp;"#"&amp;COUNTIF($G$4:$G1314,$G1314))</f>
        <v/>
      </c>
      <c r="T1314" s="40" t="str">
        <f aca="false">IF($B1314="","",IF($C1314="","NIK kosong",IF(LEN($C1314)&lt;&gt;16,"NIK bukan 16 digit",IF(COUNTIF($C$4:$C$2003,$C1314&amp;"*")&gt;1,"NIK ganda",IF($E1314="","Kadus kosong",IF($F1314="","RT kosong",IF($H1314="","Jabatan kosong",IF($I1314="","No. HP kosong",IF($J1314="","Alamat kosong",IF(AND($M1314&lt;&gt;"",$M1314&lt;17),"Usia di bawah 17",""))))))))))</f>
        <v/>
      </c>
      <c r="U1314" s="40" t="str">
        <f aca="false">IF($B1314="","",IF(AND(OR(CARI!$C$5="",ISNUMBER(SEARCH(CARI!$C$5,$B1314&amp;" "&amp;$C1314&amp;" "&amp;$I1314&amp;" "&amp;$J1314&amp;" "&amp;$Q1314))),OR(CARI!$C$6="",$E1314=CARI!$C$6),OR(CARI!$C$7="",$F1314=CARI!$C$7),OR(CARI!$C$8="",$O1314=CARI!$C$8)),MAX($U$3:U1313)+1,""))</f>
        <v/>
      </c>
      <c r="V1314" s="40" t="str">
        <f aca="false">IF($T1314="","",MAX($V$3:V1313)+1)</f>
        <v/>
      </c>
      <c r="W1314" s="40" t="str">
        <f aca="false">IF($E1314="","",$E1314&amp;"#"&amp;COUNTIF($E$4:$E1314,$E1314))</f>
        <v/>
      </c>
      <c r="X1314" s="40" t="str">
        <f aca="false">IF($B1314="","",IF(AND(OR(CETAK!$J$10="",$E1314=CETAK!$J$10),OR(CETAK!$J$11="",$F1314=CETAK!$J$11),OR(CETAK!$J$12="",$K1314=CETAK!$J$12),OR(CETAK!$J$13="",$H1314=CETAK!$J$13),OR(CETAK!$J$14="",$O1314=CETAK!$J$14)),MAX($X$3:X1313)+1,""))</f>
        <v/>
      </c>
      <c r="Y1314" s="40" t="str">
        <f aca="false">IF($B1314="","",IF(AND(OR(ABSENSI!$H$10="",$E1314=ABSENSI!$H$10),OR(ABSENSI!$H$11="",$F1314=ABSENSI!$H$11),OR(ABSENSI!$H$12="",$K1314=ABSENSI!$H$12)),MAX($Y$3:Y1313)+1,""))</f>
        <v/>
      </c>
      <c r="Z1314" s="40" t="str">
        <f aca="false">IF($B1314="","",IF(AND(OR(KARTU!$K$6="",$E1314=KARTU!$K$6),OR(KARTU!$K$7="",$F1314=KARTU!$K$7),OR(KARTU!$K$8="",$K1314=KARTU!$K$8)),MAX($Z$3:Z1313)+1,""))</f>
        <v/>
      </c>
    </row>
    <row r="1315" customFormat="false" ht="15" hidden="false" customHeight="false" outlineLevel="0" collapsed="false">
      <c r="A1315" s="36" t="str">
        <f aca="false">IF($B1315="","",COUNTA($B$4:$B1315))</f>
        <v/>
      </c>
      <c r="B1315" s="37"/>
      <c r="C1315" s="38"/>
      <c r="D1315" s="39"/>
      <c r="E1315" s="37"/>
      <c r="F1315" s="39"/>
      <c r="G1315" s="40" t="str">
        <f aca="false">IF(OR($E1315="",$F1315=""),"",$E1315&amp;" - RT "&amp;$F1315)</f>
        <v/>
      </c>
      <c r="H1315" s="37"/>
      <c r="I1315" s="38"/>
      <c r="J1315" s="37"/>
      <c r="K1315" s="39"/>
      <c r="L1315" s="41"/>
      <c r="M1315" s="36" t="str">
        <f aca="true">IF(OR($B1315="",$L1315=""),"",DATEDIF($L1315,TODAY(),"Y"))</f>
        <v/>
      </c>
      <c r="N1315" s="40" t="str">
        <f aca="false">IF($M1315="","",INDEX(usia_label,MATCH($M1315,usia_min,1)))</f>
        <v/>
      </c>
      <c r="O1315" s="37"/>
      <c r="P1315" s="41"/>
      <c r="Q1315" s="37"/>
      <c r="R1315" s="37"/>
      <c r="S1315" s="40" t="str">
        <f aca="false">IF($G1315="","",$G1315&amp;"#"&amp;COUNTIF($G$4:$G1315,$G1315))</f>
        <v/>
      </c>
      <c r="T1315" s="40" t="str">
        <f aca="false">IF($B1315="","",IF($C1315="","NIK kosong",IF(LEN($C1315)&lt;&gt;16,"NIK bukan 16 digit",IF(COUNTIF($C$4:$C$2003,$C1315&amp;"*")&gt;1,"NIK ganda",IF($E1315="","Kadus kosong",IF($F1315="","RT kosong",IF($H1315="","Jabatan kosong",IF($I1315="","No. HP kosong",IF($J1315="","Alamat kosong",IF(AND($M1315&lt;&gt;"",$M1315&lt;17),"Usia di bawah 17",""))))))))))</f>
        <v/>
      </c>
      <c r="U1315" s="40" t="str">
        <f aca="false">IF($B1315="","",IF(AND(OR(CARI!$C$5="",ISNUMBER(SEARCH(CARI!$C$5,$B1315&amp;" "&amp;$C1315&amp;" "&amp;$I1315&amp;" "&amp;$J1315&amp;" "&amp;$Q1315))),OR(CARI!$C$6="",$E1315=CARI!$C$6),OR(CARI!$C$7="",$F1315=CARI!$C$7),OR(CARI!$C$8="",$O1315=CARI!$C$8)),MAX($U$3:U1314)+1,""))</f>
        <v/>
      </c>
      <c r="V1315" s="40" t="str">
        <f aca="false">IF($T1315="","",MAX($V$3:V1314)+1)</f>
        <v/>
      </c>
      <c r="W1315" s="40" t="str">
        <f aca="false">IF($E1315="","",$E1315&amp;"#"&amp;COUNTIF($E$4:$E1315,$E1315))</f>
        <v/>
      </c>
      <c r="X1315" s="40" t="str">
        <f aca="false">IF($B1315="","",IF(AND(OR(CETAK!$J$10="",$E1315=CETAK!$J$10),OR(CETAK!$J$11="",$F1315=CETAK!$J$11),OR(CETAK!$J$12="",$K1315=CETAK!$J$12),OR(CETAK!$J$13="",$H1315=CETAK!$J$13),OR(CETAK!$J$14="",$O1315=CETAK!$J$14)),MAX($X$3:X1314)+1,""))</f>
        <v/>
      </c>
      <c r="Y1315" s="40" t="str">
        <f aca="false">IF($B1315="","",IF(AND(OR(ABSENSI!$H$10="",$E1315=ABSENSI!$H$10),OR(ABSENSI!$H$11="",$F1315=ABSENSI!$H$11),OR(ABSENSI!$H$12="",$K1315=ABSENSI!$H$12)),MAX($Y$3:Y1314)+1,""))</f>
        <v/>
      </c>
      <c r="Z1315" s="40" t="str">
        <f aca="false">IF($B1315="","",IF(AND(OR(KARTU!$K$6="",$E1315=KARTU!$K$6),OR(KARTU!$K$7="",$F1315=KARTU!$K$7),OR(KARTU!$K$8="",$K1315=KARTU!$K$8)),MAX($Z$3:Z1314)+1,""))</f>
        <v/>
      </c>
    </row>
    <row r="1316" customFormat="false" ht="15" hidden="false" customHeight="false" outlineLevel="0" collapsed="false">
      <c r="A1316" s="36" t="str">
        <f aca="false">IF($B1316="","",COUNTA($B$4:$B1316))</f>
        <v/>
      </c>
      <c r="B1316" s="37"/>
      <c r="C1316" s="38"/>
      <c r="D1316" s="39"/>
      <c r="E1316" s="37"/>
      <c r="F1316" s="39"/>
      <c r="G1316" s="40" t="str">
        <f aca="false">IF(OR($E1316="",$F1316=""),"",$E1316&amp;" - RT "&amp;$F1316)</f>
        <v/>
      </c>
      <c r="H1316" s="37"/>
      <c r="I1316" s="38"/>
      <c r="J1316" s="37"/>
      <c r="K1316" s="39"/>
      <c r="L1316" s="41"/>
      <c r="M1316" s="36" t="str">
        <f aca="true">IF(OR($B1316="",$L1316=""),"",DATEDIF($L1316,TODAY(),"Y"))</f>
        <v/>
      </c>
      <c r="N1316" s="40" t="str">
        <f aca="false">IF($M1316="","",INDEX(usia_label,MATCH($M1316,usia_min,1)))</f>
        <v/>
      </c>
      <c r="O1316" s="37"/>
      <c r="P1316" s="41"/>
      <c r="Q1316" s="37"/>
      <c r="R1316" s="37"/>
      <c r="S1316" s="40" t="str">
        <f aca="false">IF($G1316="","",$G1316&amp;"#"&amp;COUNTIF($G$4:$G1316,$G1316))</f>
        <v/>
      </c>
      <c r="T1316" s="40" t="str">
        <f aca="false">IF($B1316="","",IF($C1316="","NIK kosong",IF(LEN($C1316)&lt;&gt;16,"NIK bukan 16 digit",IF(COUNTIF($C$4:$C$2003,$C1316&amp;"*")&gt;1,"NIK ganda",IF($E1316="","Kadus kosong",IF($F1316="","RT kosong",IF($H1316="","Jabatan kosong",IF($I1316="","No. HP kosong",IF($J1316="","Alamat kosong",IF(AND($M1316&lt;&gt;"",$M1316&lt;17),"Usia di bawah 17",""))))))))))</f>
        <v/>
      </c>
      <c r="U1316" s="40" t="str">
        <f aca="false">IF($B1316="","",IF(AND(OR(CARI!$C$5="",ISNUMBER(SEARCH(CARI!$C$5,$B1316&amp;" "&amp;$C1316&amp;" "&amp;$I1316&amp;" "&amp;$J1316&amp;" "&amp;$Q1316))),OR(CARI!$C$6="",$E1316=CARI!$C$6),OR(CARI!$C$7="",$F1316=CARI!$C$7),OR(CARI!$C$8="",$O1316=CARI!$C$8)),MAX($U$3:U1315)+1,""))</f>
        <v/>
      </c>
      <c r="V1316" s="40" t="str">
        <f aca="false">IF($T1316="","",MAX($V$3:V1315)+1)</f>
        <v/>
      </c>
      <c r="W1316" s="40" t="str">
        <f aca="false">IF($E1316="","",$E1316&amp;"#"&amp;COUNTIF($E$4:$E1316,$E1316))</f>
        <v/>
      </c>
      <c r="X1316" s="40" t="str">
        <f aca="false">IF($B1316="","",IF(AND(OR(CETAK!$J$10="",$E1316=CETAK!$J$10),OR(CETAK!$J$11="",$F1316=CETAK!$J$11),OR(CETAK!$J$12="",$K1316=CETAK!$J$12),OR(CETAK!$J$13="",$H1316=CETAK!$J$13),OR(CETAK!$J$14="",$O1316=CETAK!$J$14)),MAX($X$3:X1315)+1,""))</f>
        <v/>
      </c>
      <c r="Y1316" s="40" t="str">
        <f aca="false">IF($B1316="","",IF(AND(OR(ABSENSI!$H$10="",$E1316=ABSENSI!$H$10),OR(ABSENSI!$H$11="",$F1316=ABSENSI!$H$11),OR(ABSENSI!$H$12="",$K1316=ABSENSI!$H$12)),MAX($Y$3:Y1315)+1,""))</f>
        <v/>
      </c>
      <c r="Z1316" s="40" t="str">
        <f aca="false">IF($B1316="","",IF(AND(OR(KARTU!$K$6="",$E1316=KARTU!$K$6),OR(KARTU!$K$7="",$F1316=KARTU!$K$7),OR(KARTU!$K$8="",$K1316=KARTU!$K$8)),MAX($Z$3:Z1315)+1,""))</f>
        <v/>
      </c>
    </row>
    <row r="1317" customFormat="false" ht="15" hidden="false" customHeight="false" outlineLevel="0" collapsed="false">
      <c r="A1317" s="36" t="str">
        <f aca="false">IF($B1317="","",COUNTA($B$4:$B1317))</f>
        <v/>
      </c>
      <c r="B1317" s="37"/>
      <c r="C1317" s="38"/>
      <c r="D1317" s="39"/>
      <c r="E1317" s="37"/>
      <c r="F1317" s="39"/>
      <c r="G1317" s="40" t="str">
        <f aca="false">IF(OR($E1317="",$F1317=""),"",$E1317&amp;" - RT "&amp;$F1317)</f>
        <v/>
      </c>
      <c r="H1317" s="37"/>
      <c r="I1317" s="38"/>
      <c r="J1317" s="37"/>
      <c r="K1317" s="39"/>
      <c r="L1317" s="41"/>
      <c r="M1317" s="36" t="str">
        <f aca="true">IF(OR($B1317="",$L1317=""),"",DATEDIF($L1317,TODAY(),"Y"))</f>
        <v/>
      </c>
      <c r="N1317" s="40" t="str">
        <f aca="false">IF($M1317="","",INDEX(usia_label,MATCH($M1317,usia_min,1)))</f>
        <v/>
      </c>
      <c r="O1317" s="37"/>
      <c r="P1317" s="41"/>
      <c r="Q1317" s="37"/>
      <c r="R1317" s="37"/>
      <c r="S1317" s="40" t="str">
        <f aca="false">IF($G1317="","",$G1317&amp;"#"&amp;COUNTIF($G$4:$G1317,$G1317))</f>
        <v/>
      </c>
      <c r="T1317" s="40" t="str">
        <f aca="false">IF($B1317="","",IF($C1317="","NIK kosong",IF(LEN($C1317)&lt;&gt;16,"NIK bukan 16 digit",IF(COUNTIF($C$4:$C$2003,$C1317&amp;"*")&gt;1,"NIK ganda",IF($E1317="","Kadus kosong",IF($F1317="","RT kosong",IF($H1317="","Jabatan kosong",IF($I1317="","No. HP kosong",IF($J1317="","Alamat kosong",IF(AND($M1317&lt;&gt;"",$M1317&lt;17),"Usia di bawah 17",""))))))))))</f>
        <v/>
      </c>
      <c r="U1317" s="40" t="str">
        <f aca="false">IF($B1317="","",IF(AND(OR(CARI!$C$5="",ISNUMBER(SEARCH(CARI!$C$5,$B1317&amp;" "&amp;$C1317&amp;" "&amp;$I1317&amp;" "&amp;$J1317&amp;" "&amp;$Q1317))),OR(CARI!$C$6="",$E1317=CARI!$C$6),OR(CARI!$C$7="",$F1317=CARI!$C$7),OR(CARI!$C$8="",$O1317=CARI!$C$8)),MAX($U$3:U1316)+1,""))</f>
        <v/>
      </c>
      <c r="V1317" s="40" t="str">
        <f aca="false">IF($T1317="","",MAX($V$3:V1316)+1)</f>
        <v/>
      </c>
      <c r="W1317" s="40" t="str">
        <f aca="false">IF($E1317="","",$E1317&amp;"#"&amp;COUNTIF($E$4:$E1317,$E1317))</f>
        <v/>
      </c>
      <c r="X1317" s="40" t="str">
        <f aca="false">IF($B1317="","",IF(AND(OR(CETAK!$J$10="",$E1317=CETAK!$J$10),OR(CETAK!$J$11="",$F1317=CETAK!$J$11),OR(CETAK!$J$12="",$K1317=CETAK!$J$12),OR(CETAK!$J$13="",$H1317=CETAK!$J$13),OR(CETAK!$J$14="",$O1317=CETAK!$J$14)),MAX($X$3:X1316)+1,""))</f>
        <v/>
      </c>
      <c r="Y1317" s="40" t="str">
        <f aca="false">IF($B1317="","",IF(AND(OR(ABSENSI!$H$10="",$E1317=ABSENSI!$H$10),OR(ABSENSI!$H$11="",$F1317=ABSENSI!$H$11),OR(ABSENSI!$H$12="",$K1317=ABSENSI!$H$12)),MAX($Y$3:Y1316)+1,""))</f>
        <v/>
      </c>
      <c r="Z1317" s="40" t="str">
        <f aca="false">IF($B1317="","",IF(AND(OR(KARTU!$K$6="",$E1317=KARTU!$K$6),OR(KARTU!$K$7="",$F1317=KARTU!$K$7),OR(KARTU!$K$8="",$K1317=KARTU!$K$8)),MAX($Z$3:Z1316)+1,""))</f>
        <v/>
      </c>
    </row>
    <row r="1318" customFormat="false" ht="15" hidden="false" customHeight="false" outlineLevel="0" collapsed="false">
      <c r="A1318" s="36" t="str">
        <f aca="false">IF($B1318="","",COUNTA($B$4:$B1318))</f>
        <v/>
      </c>
      <c r="B1318" s="37"/>
      <c r="C1318" s="38"/>
      <c r="D1318" s="39"/>
      <c r="E1318" s="37"/>
      <c r="F1318" s="39"/>
      <c r="G1318" s="40" t="str">
        <f aca="false">IF(OR($E1318="",$F1318=""),"",$E1318&amp;" - RT "&amp;$F1318)</f>
        <v/>
      </c>
      <c r="H1318" s="37"/>
      <c r="I1318" s="38"/>
      <c r="J1318" s="37"/>
      <c r="K1318" s="39"/>
      <c r="L1318" s="41"/>
      <c r="M1318" s="36" t="str">
        <f aca="true">IF(OR($B1318="",$L1318=""),"",DATEDIF($L1318,TODAY(),"Y"))</f>
        <v/>
      </c>
      <c r="N1318" s="40" t="str">
        <f aca="false">IF($M1318="","",INDEX(usia_label,MATCH($M1318,usia_min,1)))</f>
        <v/>
      </c>
      <c r="O1318" s="37"/>
      <c r="P1318" s="41"/>
      <c r="Q1318" s="37"/>
      <c r="R1318" s="37"/>
      <c r="S1318" s="40" t="str">
        <f aca="false">IF($G1318="","",$G1318&amp;"#"&amp;COUNTIF($G$4:$G1318,$G1318))</f>
        <v/>
      </c>
      <c r="T1318" s="40" t="str">
        <f aca="false">IF($B1318="","",IF($C1318="","NIK kosong",IF(LEN($C1318)&lt;&gt;16,"NIK bukan 16 digit",IF(COUNTIF($C$4:$C$2003,$C1318&amp;"*")&gt;1,"NIK ganda",IF($E1318="","Kadus kosong",IF($F1318="","RT kosong",IF($H1318="","Jabatan kosong",IF($I1318="","No. HP kosong",IF($J1318="","Alamat kosong",IF(AND($M1318&lt;&gt;"",$M1318&lt;17),"Usia di bawah 17",""))))))))))</f>
        <v/>
      </c>
      <c r="U1318" s="40" t="str">
        <f aca="false">IF($B1318="","",IF(AND(OR(CARI!$C$5="",ISNUMBER(SEARCH(CARI!$C$5,$B1318&amp;" "&amp;$C1318&amp;" "&amp;$I1318&amp;" "&amp;$J1318&amp;" "&amp;$Q1318))),OR(CARI!$C$6="",$E1318=CARI!$C$6),OR(CARI!$C$7="",$F1318=CARI!$C$7),OR(CARI!$C$8="",$O1318=CARI!$C$8)),MAX($U$3:U1317)+1,""))</f>
        <v/>
      </c>
      <c r="V1318" s="40" t="str">
        <f aca="false">IF($T1318="","",MAX($V$3:V1317)+1)</f>
        <v/>
      </c>
      <c r="W1318" s="40" t="str">
        <f aca="false">IF($E1318="","",$E1318&amp;"#"&amp;COUNTIF($E$4:$E1318,$E1318))</f>
        <v/>
      </c>
      <c r="X1318" s="40" t="str">
        <f aca="false">IF($B1318="","",IF(AND(OR(CETAK!$J$10="",$E1318=CETAK!$J$10),OR(CETAK!$J$11="",$F1318=CETAK!$J$11),OR(CETAK!$J$12="",$K1318=CETAK!$J$12),OR(CETAK!$J$13="",$H1318=CETAK!$J$13),OR(CETAK!$J$14="",$O1318=CETAK!$J$14)),MAX($X$3:X1317)+1,""))</f>
        <v/>
      </c>
      <c r="Y1318" s="40" t="str">
        <f aca="false">IF($B1318="","",IF(AND(OR(ABSENSI!$H$10="",$E1318=ABSENSI!$H$10),OR(ABSENSI!$H$11="",$F1318=ABSENSI!$H$11),OR(ABSENSI!$H$12="",$K1318=ABSENSI!$H$12)),MAX($Y$3:Y1317)+1,""))</f>
        <v/>
      </c>
      <c r="Z1318" s="40" t="str">
        <f aca="false">IF($B1318="","",IF(AND(OR(KARTU!$K$6="",$E1318=KARTU!$K$6),OR(KARTU!$K$7="",$F1318=KARTU!$K$7),OR(KARTU!$K$8="",$K1318=KARTU!$K$8)),MAX($Z$3:Z1317)+1,""))</f>
        <v/>
      </c>
    </row>
    <row r="1319" customFormat="false" ht="15" hidden="false" customHeight="false" outlineLevel="0" collapsed="false">
      <c r="A1319" s="36" t="str">
        <f aca="false">IF($B1319="","",COUNTA($B$4:$B1319))</f>
        <v/>
      </c>
      <c r="B1319" s="37"/>
      <c r="C1319" s="38"/>
      <c r="D1319" s="39"/>
      <c r="E1319" s="37"/>
      <c r="F1319" s="39"/>
      <c r="G1319" s="40" t="str">
        <f aca="false">IF(OR($E1319="",$F1319=""),"",$E1319&amp;" - RT "&amp;$F1319)</f>
        <v/>
      </c>
      <c r="H1319" s="37"/>
      <c r="I1319" s="38"/>
      <c r="J1319" s="37"/>
      <c r="K1319" s="39"/>
      <c r="L1319" s="41"/>
      <c r="M1319" s="36" t="str">
        <f aca="true">IF(OR($B1319="",$L1319=""),"",DATEDIF($L1319,TODAY(),"Y"))</f>
        <v/>
      </c>
      <c r="N1319" s="40" t="str">
        <f aca="false">IF($M1319="","",INDEX(usia_label,MATCH($M1319,usia_min,1)))</f>
        <v/>
      </c>
      <c r="O1319" s="37"/>
      <c r="P1319" s="41"/>
      <c r="Q1319" s="37"/>
      <c r="R1319" s="37"/>
      <c r="S1319" s="40" t="str">
        <f aca="false">IF($G1319="","",$G1319&amp;"#"&amp;COUNTIF($G$4:$G1319,$G1319))</f>
        <v/>
      </c>
      <c r="T1319" s="40" t="str">
        <f aca="false">IF($B1319="","",IF($C1319="","NIK kosong",IF(LEN($C1319)&lt;&gt;16,"NIK bukan 16 digit",IF(COUNTIF($C$4:$C$2003,$C1319&amp;"*")&gt;1,"NIK ganda",IF($E1319="","Kadus kosong",IF($F1319="","RT kosong",IF($H1319="","Jabatan kosong",IF($I1319="","No. HP kosong",IF($J1319="","Alamat kosong",IF(AND($M1319&lt;&gt;"",$M1319&lt;17),"Usia di bawah 17",""))))))))))</f>
        <v/>
      </c>
      <c r="U1319" s="40" t="str">
        <f aca="false">IF($B1319="","",IF(AND(OR(CARI!$C$5="",ISNUMBER(SEARCH(CARI!$C$5,$B1319&amp;" "&amp;$C1319&amp;" "&amp;$I1319&amp;" "&amp;$J1319&amp;" "&amp;$Q1319))),OR(CARI!$C$6="",$E1319=CARI!$C$6),OR(CARI!$C$7="",$F1319=CARI!$C$7),OR(CARI!$C$8="",$O1319=CARI!$C$8)),MAX($U$3:U1318)+1,""))</f>
        <v/>
      </c>
      <c r="V1319" s="40" t="str">
        <f aca="false">IF($T1319="","",MAX($V$3:V1318)+1)</f>
        <v/>
      </c>
      <c r="W1319" s="40" t="str">
        <f aca="false">IF($E1319="","",$E1319&amp;"#"&amp;COUNTIF($E$4:$E1319,$E1319))</f>
        <v/>
      </c>
      <c r="X1319" s="40" t="str">
        <f aca="false">IF($B1319="","",IF(AND(OR(CETAK!$J$10="",$E1319=CETAK!$J$10),OR(CETAK!$J$11="",$F1319=CETAK!$J$11),OR(CETAK!$J$12="",$K1319=CETAK!$J$12),OR(CETAK!$J$13="",$H1319=CETAK!$J$13),OR(CETAK!$J$14="",$O1319=CETAK!$J$14)),MAX($X$3:X1318)+1,""))</f>
        <v/>
      </c>
      <c r="Y1319" s="40" t="str">
        <f aca="false">IF($B1319="","",IF(AND(OR(ABSENSI!$H$10="",$E1319=ABSENSI!$H$10),OR(ABSENSI!$H$11="",$F1319=ABSENSI!$H$11),OR(ABSENSI!$H$12="",$K1319=ABSENSI!$H$12)),MAX($Y$3:Y1318)+1,""))</f>
        <v/>
      </c>
      <c r="Z1319" s="40" t="str">
        <f aca="false">IF($B1319="","",IF(AND(OR(KARTU!$K$6="",$E1319=KARTU!$K$6),OR(KARTU!$K$7="",$F1319=KARTU!$K$7),OR(KARTU!$K$8="",$K1319=KARTU!$K$8)),MAX($Z$3:Z1318)+1,""))</f>
        <v/>
      </c>
    </row>
    <row r="1320" customFormat="false" ht="15" hidden="false" customHeight="false" outlineLevel="0" collapsed="false">
      <c r="A1320" s="36" t="str">
        <f aca="false">IF($B1320="","",COUNTA($B$4:$B1320))</f>
        <v/>
      </c>
      <c r="B1320" s="37"/>
      <c r="C1320" s="38"/>
      <c r="D1320" s="39"/>
      <c r="E1320" s="37"/>
      <c r="F1320" s="39"/>
      <c r="G1320" s="40" t="str">
        <f aca="false">IF(OR($E1320="",$F1320=""),"",$E1320&amp;" - RT "&amp;$F1320)</f>
        <v/>
      </c>
      <c r="H1320" s="37"/>
      <c r="I1320" s="38"/>
      <c r="J1320" s="37"/>
      <c r="K1320" s="39"/>
      <c r="L1320" s="41"/>
      <c r="M1320" s="36" t="str">
        <f aca="true">IF(OR($B1320="",$L1320=""),"",DATEDIF($L1320,TODAY(),"Y"))</f>
        <v/>
      </c>
      <c r="N1320" s="40" t="str">
        <f aca="false">IF($M1320="","",INDEX(usia_label,MATCH($M1320,usia_min,1)))</f>
        <v/>
      </c>
      <c r="O1320" s="37"/>
      <c r="P1320" s="41"/>
      <c r="Q1320" s="37"/>
      <c r="R1320" s="37"/>
      <c r="S1320" s="40" t="str">
        <f aca="false">IF($G1320="","",$G1320&amp;"#"&amp;COUNTIF($G$4:$G1320,$G1320))</f>
        <v/>
      </c>
      <c r="T1320" s="40" t="str">
        <f aca="false">IF($B1320="","",IF($C1320="","NIK kosong",IF(LEN($C1320)&lt;&gt;16,"NIK bukan 16 digit",IF(COUNTIF($C$4:$C$2003,$C1320&amp;"*")&gt;1,"NIK ganda",IF($E1320="","Kadus kosong",IF($F1320="","RT kosong",IF($H1320="","Jabatan kosong",IF($I1320="","No. HP kosong",IF($J1320="","Alamat kosong",IF(AND($M1320&lt;&gt;"",$M1320&lt;17),"Usia di bawah 17",""))))))))))</f>
        <v/>
      </c>
      <c r="U1320" s="40" t="str">
        <f aca="false">IF($B1320="","",IF(AND(OR(CARI!$C$5="",ISNUMBER(SEARCH(CARI!$C$5,$B1320&amp;" "&amp;$C1320&amp;" "&amp;$I1320&amp;" "&amp;$J1320&amp;" "&amp;$Q1320))),OR(CARI!$C$6="",$E1320=CARI!$C$6),OR(CARI!$C$7="",$F1320=CARI!$C$7),OR(CARI!$C$8="",$O1320=CARI!$C$8)),MAX($U$3:U1319)+1,""))</f>
        <v/>
      </c>
      <c r="V1320" s="40" t="str">
        <f aca="false">IF($T1320="","",MAX($V$3:V1319)+1)</f>
        <v/>
      </c>
      <c r="W1320" s="40" t="str">
        <f aca="false">IF($E1320="","",$E1320&amp;"#"&amp;COUNTIF($E$4:$E1320,$E1320))</f>
        <v/>
      </c>
      <c r="X1320" s="40" t="str">
        <f aca="false">IF($B1320="","",IF(AND(OR(CETAK!$J$10="",$E1320=CETAK!$J$10),OR(CETAK!$J$11="",$F1320=CETAK!$J$11),OR(CETAK!$J$12="",$K1320=CETAK!$J$12),OR(CETAK!$J$13="",$H1320=CETAK!$J$13),OR(CETAK!$J$14="",$O1320=CETAK!$J$14)),MAX($X$3:X1319)+1,""))</f>
        <v/>
      </c>
      <c r="Y1320" s="40" t="str">
        <f aca="false">IF($B1320="","",IF(AND(OR(ABSENSI!$H$10="",$E1320=ABSENSI!$H$10),OR(ABSENSI!$H$11="",$F1320=ABSENSI!$H$11),OR(ABSENSI!$H$12="",$K1320=ABSENSI!$H$12)),MAX($Y$3:Y1319)+1,""))</f>
        <v/>
      </c>
      <c r="Z1320" s="40" t="str">
        <f aca="false">IF($B1320="","",IF(AND(OR(KARTU!$K$6="",$E1320=KARTU!$K$6),OR(KARTU!$K$7="",$F1320=KARTU!$K$7),OR(KARTU!$K$8="",$K1320=KARTU!$K$8)),MAX($Z$3:Z1319)+1,""))</f>
        <v/>
      </c>
    </row>
    <row r="1321" customFormat="false" ht="15" hidden="false" customHeight="false" outlineLevel="0" collapsed="false">
      <c r="A1321" s="36" t="str">
        <f aca="false">IF($B1321="","",COUNTA($B$4:$B1321))</f>
        <v/>
      </c>
      <c r="B1321" s="37"/>
      <c r="C1321" s="38"/>
      <c r="D1321" s="39"/>
      <c r="E1321" s="37"/>
      <c r="F1321" s="39"/>
      <c r="G1321" s="40" t="str">
        <f aca="false">IF(OR($E1321="",$F1321=""),"",$E1321&amp;" - RT "&amp;$F1321)</f>
        <v/>
      </c>
      <c r="H1321" s="37"/>
      <c r="I1321" s="38"/>
      <c r="J1321" s="37"/>
      <c r="K1321" s="39"/>
      <c r="L1321" s="41"/>
      <c r="M1321" s="36" t="str">
        <f aca="true">IF(OR($B1321="",$L1321=""),"",DATEDIF($L1321,TODAY(),"Y"))</f>
        <v/>
      </c>
      <c r="N1321" s="40" t="str">
        <f aca="false">IF($M1321="","",INDEX(usia_label,MATCH($M1321,usia_min,1)))</f>
        <v/>
      </c>
      <c r="O1321" s="37"/>
      <c r="P1321" s="41"/>
      <c r="Q1321" s="37"/>
      <c r="R1321" s="37"/>
      <c r="S1321" s="40" t="str">
        <f aca="false">IF($G1321="","",$G1321&amp;"#"&amp;COUNTIF($G$4:$G1321,$G1321))</f>
        <v/>
      </c>
      <c r="T1321" s="40" t="str">
        <f aca="false">IF($B1321="","",IF($C1321="","NIK kosong",IF(LEN($C1321)&lt;&gt;16,"NIK bukan 16 digit",IF(COUNTIF($C$4:$C$2003,$C1321&amp;"*")&gt;1,"NIK ganda",IF($E1321="","Kadus kosong",IF($F1321="","RT kosong",IF($H1321="","Jabatan kosong",IF($I1321="","No. HP kosong",IF($J1321="","Alamat kosong",IF(AND($M1321&lt;&gt;"",$M1321&lt;17),"Usia di bawah 17",""))))))))))</f>
        <v/>
      </c>
      <c r="U1321" s="40" t="str">
        <f aca="false">IF($B1321="","",IF(AND(OR(CARI!$C$5="",ISNUMBER(SEARCH(CARI!$C$5,$B1321&amp;" "&amp;$C1321&amp;" "&amp;$I1321&amp;" "&amp;$J1321&amp;" "&amp;$Q1321))),OR(CARI!$C$6="",$E1321=CARI!$C$6),OR(CARI!$C$7="",$F1321=CARI!$C$7),OR(CARI!$C$8="",$O1321=CARI!$C$8)),MAX($U$3:U1320)+1,""))</f>
        <v/>
      </c>
      <c r="V1321" s="40" t="str">
        <f aca="false">IF($T1321="","",MAX($V$3:V1320)+1)</f>
        <v/>
      </c>
      <c r="W1321" s="40" t="str">
        <f aca="false">IF($E1321="","",$E1321&amp;"#"&amp;COUNTIF($E$4:$E1321,$E1321))</f>
        <v/>
      </c>
      <c r="X1321" s="40" t="str">
        <f aca="false">IF($B1321="","",IF(AND(OR(CETAK!$J$10="",$E1321=CETAK!$J$10),OR(CETAK!$J$11="",$F1321=CETAK!$J$11),OR(CETAK!$J$12="",$K1321=CETAK!$J$12),OR(CETAK!$J$13="",$H1321=CETAK!$J$13),OR(CETAK!$J$14="",$O1321=CETAK!$J$14)),MAX($X$3:X1320)+1,""))</f>
        <v/>
      </c>
      <c r="Y1321" s="40" t="str">
        <f aca="false">IF($B1321="","",IF(AND(OR(ABSENSI!$H$10="",$E1321=ABSENSI!$H$10),OR(ABSENSI!$H$11="",$F1321=ABSENSI!$H$11),OR(ABSENSI!$H$12="",$K1321=ABSENSI!$H$12)),MAX($Y$3:Y1320)+1,""))</f>
        <v/>
      </c>
      <c r="Z1321" s="40" t="str">
        <f aca="false">IF($B1321="","",IF(AND(OR(KARTU!$K$6="",$E1321=KARTU!$K$6),OR(KARTU!$K$7="",$F1321=KARTU!$K$7),OR(KARTU!$K$8="",$K1321=KARTU!$K$8)),MAX($Z$3:Z1320)+1,""))</f>
        <v/>
      </c>
    </row>
    <row r="1322" customFormat="false" ht="15" hidden="false" customHeight="false" outlineLevel="0" collapsed="false">
      <c r="A1322" s="36" t="str">
        <f aca="false">IF($B1322="","",COUNTA($B$4:$B1322))</f>
        <v/>
      </c>
      <c r="B1322" s="37"/>
      <c r="C1322" s="38"/>
      <c r="D1322" s="39"/>
      <c r="E1322" s="37"/>
      <c r="F1322" s="39"/>
      <c r="G1322" s="40" t="str">
        <f aca="false">IF(OR($E1322="",$F1322=""),"",$E1322&amp;" - RT "&amp;$F1322)</f>
        <v/>
      </c>
      <c r="H1322" s="37"/>
      <c r="I1322" s="38"/>
      <c r="J1322" s="37"/>
      <c r="K1322" s="39"/>
      <c r="L1322" s="41"/>
      <c r="M1322" s="36" t="str">
        <f aca="true">IF(OR($B1322="",$L1322=""),"",DATEDIF($L1322,TODAY(),"Y"))</f>
        <v/>
      </c>
      <c r="N1322" s="40" t="str">
        <f aca="false">IF($M1322="","",INDEX(usia_label,MATCH($M1322,usia_min,1)))</f>
        <v/>
      </c>
      <c r="O1322" s="37"/>
      <c r="P1322" s="41"/>
      <c r="Q1322" s="37"/>
      <c r="R1322" s="37"/>
      <c r="S1322" s="40" t="str">
        <f aca="false">IF($G1322="","",$G1322&amp;"#"&amp;COUNTIF($G$4:$G1322,$G1322))</f>
        <v/>
      </c>
      <c r="T1322" s="40" t="str">
        <f aca="false">IF($B1322="","",IF($C1322="","NIK kosong",IF(LEN($C1322)&lt;&gt;16,"NIK bukan 16 digit",IF(COUNTIF($C$4:$C$2003,$C1322&amp;"*")&gt;1,"NIK ganda",IF($E1322="","Kadus kosong",IF($F1322="","RT kosong",IF($H1322="","Jabatan kosong",IF($I1322="","No. HP kosong",IF($J1322="","Alamat kosong",IF(AND($M1322&lt;&gt;"",$M1322&lt;17),"Usia di bawah 17",""))))))))))</f>
        <v/>
      </c>
      <c r="U1322" s="40" t="str">
        <f aca="false">IF($B1322="","",IF(AND(OR(CARI!$C$5="",ISNUMBER(SEARCH(CARI!$C$5,$B1322&amp;" "&amp;$C1322&amp;" "&amp;$I1322&amp;" "&amp;$J1322&amp;" "&amp;$Q1322))),OR(CARI!$C$6="",$E1322=CARI!$C$6),OR(CARI!$C$7="",$F1322=CARI!$C$7),OR(CARI!$C$8="",$O1322=CARI!$C$8)),MAX($U$3:U1321)+1,""))</f>
        <v/>
      </c>
      <c r="V1322" s="40" t="str">
        <f aca="false">IF($T1322="","",MAX($V$3:V1321)+1)</f>
        <v/>
      </c>
      <c r="W1322" s="40" t="str">
        <f aca="false">IF($E1322="","",$E1322&amp;"#"&amp;COUNTIF($E$4:$E1322,$E1322))</f>
        <v/>
      </c>
      <c r="X1322" s="40" t="str">
        <f aca="false">IF($B1322="","",IF(AND(OR(CETAK!$J$10="",$E1322=CETAK!$J$10),OR(CETAK!$J$11="",$F1322=CETAK!$J$11),OR(CETAK!$J$12="",$K1322=CETAK!$J$12),OR(CETAK!$J$13="",$H1322=CETAK!$J$13),OR(CETAK!$J$14="",$O1322=CETAK!$J$14)),MAX($X$3:X1321)+1,""))</f>
        <v/>
      </c>
      <c r="Y1322" s="40" t="str">
        <f aca="false">IF($B1322="","",IF(AND(OR(ABSENSI!$H$10="",$E1322=ABSENSI!$H$10),OR(ABSENSI!$H$11="",$F1322=ABSENSI!$H$11),OR(ABSENSI!$H$12="",$K1322=ABSENSI!$H$12)),MAX($Y$3:Y1321)+1,""))</f>
        <v/>
      </c>
      <c r="Z1322" s="40" t="str">
        <f aca="false">IF($B1322="","",IF(AND(OR(KARTU!$K$6="",$E1322=KARTU!$K$6),OR(KARTU!$K$7="",$F1322=KARTU!$K$7),OR(KARTU!$K$8="",$K1322=KARTU!$K$8)),MAX($Z$3:Z1321)+1,""))</f>
        <v/>
      </c>
    </row>
    <row r="1323" customFormat="false" ht="15" hidden="false" customHeight="false" outlineLevel="0" collapsed="false">
      <c r="A1323" s="36" t="str">
        <f aca="false">IF($B1323="","",COUNTA($B$4:$B1323))</f>
        <v/>
      </c>
      <c r="B1323" s="37"/>
      <c r="C1323" s="38"/>
      <c r="D1323" s="39"/>
      <c r="E1323" s="37"/>
      <c r="F1323" s="39"/>
      <c r="G1323" s="40" t="str">
        <f aca="false">IF(OR($E1323="",$F1323=""),"",$E1323&amp;" - RT "&amp;$F1323)</f>
        <v/>
      </c>
      <c r="H1323" s="37"/>
      <c r="I1323" s="38"/>
      <c r="J1323" s="37"/>
      <c r="K1323" s="39"/>
      <c r="L1323" s="41"/>
      <c r="M1323" s="36" t="str">
        <f aca="true">IF(OR($B1323="",$L1323=""),"",DATEDIF($L1323,TODAY(),"Y"))</f>
        <v/>
      </c>
      <c r="N1323" s="40" t="str">
        <f aca="false">IF($M1323="","",INDEX(usia_label,MATCH($M1323,usia_min,1)))</f>
        <v/>
      </c>
      <c r="O1323" s="37"/>
      <c r="P1323" s="41"/>
      <c r="Q1323" s="37"/>
      <c r="R1323" s="37"/>
      <c r="S1323" s="40" t="str">
        <f aca="false">IF($G1323="","",$G1323&amp;"#"&amp;COUNTIF($G$4:$G1323,$G1323))</f>
        <v/>
      </c>
      <c r="T1323" s="40" t="str">
        <f aca="false">IF($B1323="","",IF($C1323="","NIK kosong",IF(LEN($C1323)&lt;&gt;16,"NIK bukan 16 digit",IF(COUNTIF($C$4:$C$2003,$C1323&amp;"*")&gt;1,"NIK ganda",IF($E1323="","Kadus kosong",IF($F1323="","RT kosong",IF($H1323="","Jabatan kosong",IF($I1323="","No. HP kosong",IF($J1323="","Alamat kosong",IF(AND($M1323&lt;&gt;"",$M1323&lt;17),"Usia di bawah 17",""))))))))))</f>
        <v/>
      </c>
      <c r="U1323" s="40" t="str">
        <f aca="false">IF($B1323="","",IF(AND(OR(CARI!$C$5="",ISNUMBER(SEARCH(CARI!$C$5,$B1323&amp;" "&amp;$C1323&amp;" "&amp;$I1323&amp;" "&amp;$J1323&amp;" "&amp;$Q1323))),OR(CARI!$C$6="",$E1323=CARI!$C$6),OR(CARI!$C$7="",$F1323=CARI!$C$7),OR(CARI!$C$8="",$O1323=CARI!$C$8)),MAX($U$3:U1322)+1,""))</f>
        <v/>
      </c>
      <c r="V1323" s="40" t="str">
        <f aca="false">IF($T1323="","",MAX($V$3:V1322)+1)</f>
        <v/>
      </c>
      <c r="W1323" s="40" t="str">
        <f aca="false">IF($E1323="","",$E1323&amp;"#"&amp;COUNTIF($E$4:$E1323,$E1323))</f>
        <v/>
      </c>
      <c r="X1323" s="40" t="str">
        <f aca="false">IF($B1323="","",IF(AND(OR(CETAK!$J$10="",$E1323=CETAK!$J$10),OR(CETAK!$J$11="",$F1323=CETAK!$J$11),OR(CETAK!$J$12="",$K1323=CETAK!$J$12),OR(CETAK!$J$13="",$H1323=CETAK!$J$13),OR(CETAK!$J$14="",$O1323=CETAK!$J$14)),MAX($X$3:X1322)+1,""))</f>
        <v/>
      </c>
      <c r="Y1323" s="40" t="str">
        <f aca="false">IF($B1323="","",IF(AND(OR(ABSENSI!$H$10="",$E1323=ABSENSI!$H$10),OR(ABSENSI!$H$11="",$F1323=ABSENSI!$H$11),OR(ABSENSI!$H$12="",$K1323=ABSENSI!$H$12)),MAX($Y$3:Y1322)+1,""))</f>
        <v/>
      </c>
      <c r="Z1323" s="40" t="str">
        <f aca="false">IF($B1323="","",IF(AND(OR(KARTU!$K$6="",$E1323=KARTU!$K$6),OR(KARTU!$K$7="",$F1323=KARTU!$K$7),OR(KARTU!$K$8="",$K1323=KARTU!$K$8)),MAX($Z$3:Z1322)+1,""))</f>
        <v/>
      </c>
    </row>
    <row r="1324" customFormat="false" ht="15" hidden="false" customHeight="false" outlineLevel="0" collapsed="false">
      <c r="A1324" s="36" t="str">
        <f aca="false">IF($B1324="","",COUNTA($B$4:$B1324))</f>
        <v/>
      </c>
      <c r="B1324" s="37"/>
      <c r="C1324" s="38"/>
      <c r="D1324" s="39"/>
      <c r="E1324" s="37"/>
      <c r="F1324" s="39"/>
      <c r="G1324" s="40" t="str">
        <f aca="false">IF(OR($E1324="",$F1324=""),"",$E1324&amp;" - RT "&amp;$F1324)</f>
        <v/>
      </c>
      <c r="H1324" s="37"/>
      <c r="I1324" s="38"/>
      <c r="J1324" s="37"/>
      <c r="K1324" s="39"/>
      <c r="L1324" s="41"/>
      <c r="M1324" s="36" t="str">
        <f aca="true">IF(OR($B1324="",$L1324=""),"",DATEDIF($L1324,TODAY(),"Y"))</f>
        <v/>
      </c>
      <c r="N1324" s="40" t="str">
        <f aca="false">IF($M1324="","",INDEX(usia_label,MATCH($M1324,usia_min,1)))</f>
        <v/>
      </c>
      <c r="O1324" s="37"/>
      <c r="P1324" s="41"/>
      <c r="Q1324" s="37"/>
      <c r="R1324" s="37"/>
      <c r="S1324" s="40" t="str">
        <f aca="false">IF($G1324="","",$G1324&amp;"#"&amp;COUNTIF($G$4:$G1324,$G1324))</f>
        <v/>
      </c>
      <c r="T1324" s="40" t="str">
        <f aca="false">IF($B1324="","",IF($C1324="","NIK kosong",IF(LEN($C1324)&lt;&gt;16,"NIK bukan 16 digit",IF(COUNTIF($C$4:$C$2003,$C1324&amp;"*")&gt;1,"NIK ganda",IF($E1324="","Kadus kosong",IF($F1324="","RT kosong",IF($H1324="","Jabatan kosong",IF($I1324="","No. HP kosong",IF($J1324="","Alamat kosong",IF(AND($M1324&lt;&gt;"",$M1324&lt;17),"Usia di bawah 17",""))))))))))</f>
        <v/>
      </c>
      <c r="U1324" s="40" t="str">
        <f aca="false">IF($B1324="","",IF(AND(OR(CARI!$C$5="",ISNUMBER(SEARCH(CARI!$C$5,$B1324&amp;" "&amp;$C1324&amp;" "&amp;$I1324&amp;" "&amp;$J1324&amp;" "&amp;$Q1324))),OR(CARI!$C$6="",$E1324=CARI!$C$6),OR(CARI!$C$7="",$F1324=CARI!$C$7),OR(CARI!$C$8="",$O1324=CARI!$C$8)),MAX($U$3:U1323)+1,""))</f>
        <v/>
      </c>
      <c r="V1324" s="40" t="str">
        <f aca="false">IF($T1324="","",MAX($V$3:V1323)+1)</f>
        <v/>
      </c>
      <c r="W1324" s="40" t="str">
        <f aca="false">IF($E1324="","",$E1324&amp;"#"&amp;COUNTIF($E$4:$E1324,$E1324))</f>
        <v/>
      </c>
      <c r="X1324" s="40" t="str">
        <f aca="false">IF($B1324="","",IF(AND(OR(CETAK!$J$10="",$E1324=CETAK!$J$10),OR(CETAK!$J$11="",$F1324=CETAK!$J$11),OR(CETAK!$J$12="",$K1324=CETAK!$J$12),OR(CETAK!$J$13="",$H1324=CETAK!$J$13),OR(CETAK!$J$14="",$O1324=CETAK!$J$14)),MAX($X$3:X1323)+1,""))</f>
        <v/>
      </c>
      <c r="Y1324" s="40" t="str">
        <f aca="false">IF($B1324="","",IF(AND(OR(ABSENSI!$H$10="",$E1324=ABSENSI!$H$10),OR(ABSENSI!$H$11="",$F1324=ABSENSI!$H$11),OR(ABSENSI!$H$12="",$K1324=ABSENSI!$H$12)),MAX($Y$3:Y1323)+1,""))</f>
        <v/>
      </c>
      <c r="Z1324" s="40" t="str">
        <f aca="false">IF($B1324="","",IF(AND(OR(KARTU!$K$6="",$E1324=KARTU!$K$6),OR(KARTU!$K$7="",$F1324=KARTU!$K$7),OR(KARTU!$K$8="",$K1324=KARTU!$K$8)),MAX($Z$3:Z1323)+1,""))</f>
        <v/>
      </c>
    </row>
    <row r="1325" customFormat="false" ht="15" hidden="false" customHeight="false" outlineLevel="0" collapsed="false">
      <c r="A1325" s="36" t="str">
        <f aca="false">IF($B1325="","",COUNTA($B$4:$B1325))</f>
        <v/>
      </c>
      <c r="B1325" s="37"/>
      <c r="C1325" s="38"/>
      <c r="D1325" s="39"/>
      <c r="E1325" s="37"/>
      <c r="F1325" s="39"/>
      <c r="G1325" s="40" t="str">
        <f aca="false">IF(OR($E1325="",$F1325=""),"",$E1325&amp;" - RT "&amp;$F1325)</f>
        <v/>
      </c>
      <c r="H1325" s="37"/>
      <c r="I1325" s="38"/>
      <c r="J1325" s="37"/>
      <c r="K1325" s="39"/>
      <c r="L1325" s="41"/>
      <c r="M1325" s="36" t="str">
        <f aca="true">IF(OR($B1325="",$L1325=""),"",DATEDIF($L1325,TODAY(),"Y"))</f>
        <v/>
      </c>
      <c r="N1325" s="40" t="str">
        <f aca="false">IF($M1325="","",INDEX(usia_label,MATCH($M1325,usia_min,1)))</f>
        <v/>
      </c>
      <c r="O1325" s="37"/>
      <c r="P1325" s="41"/>
      <c r="Q1325" s="37"/>
      <c r="R1325" s="37"/>
      <c r="S1325" s="40" t="str">
        <f aca="false">IF($G1325="","",$G1325&amp;"#"&amp;COUNTIF($G$4:$G1325,$G1325))</f>
        <v/>
      </c>
      <c r="T1325" s="40" t="str">
        <f aca="false">IF($B1325="","",IF($C1325="","NIK kosong",IF(LEN($C1325)&lt;&gt;16,"NIK bukan 16 digit",IF(COUNTIF($C$4:$C$2003,$C1325&amp;"*")&gt;1,"NIK ganda",IF($E1325="","Kadus kosong",IF($F1325="","RT kosong",IF($H1325="","Jabatan kosong",IF($I1325="","No. HP kosong",IF($J1325="","Alamat kosong",IF(AND($M1325&lt;&gt;"",$M1325&lt;17),"Usia di bawah 17",""))))))))))</f>
        <v/>
      </c>
      <c r="U1325" s="40" t="str">
        <f aca="false">IF($B1325="","",IF(AND(OR(CARI!$C$5="",ISNUMBER(SEARCH(CARI!$C$5,$B1325&amp;" "&amp;$C1325&amp;" "&amp;$I1325&amp;" "&amp;$J1325&amp;" "&amp;$Q1325))),OR(CARI!$C$6="",$E1325=CARI!$C$6),OR(CARI!$C$7="",$F1325=CARI!$C$7),OR(CARI!$C$8="",$O1325=CARI!$C$8)),MAX($U$3:U1324)+1,""))</f>
        <v/>
      </c>
      <c r="V1325" s="40" t="str">
        <f aca="false">IF($T1325="","",MAX($V$3:V1324)+1)</f>
        <v/>
      </c>
      <c r="W1325" s="40" t="str">
        <f aca="false">IF($E1325="","",$E1325&amp;"#"&amp;COUNTIF($E$4:$E1325,$E1325))</f>
        <v/>
      </c>
      <c r="X1325" s="40" t="str">
        <f aca="false">IF($B1325="","",IF(AND(OR(CETAK!$J$10="",$E1325=CETAK!$J$10),OR(CETAK!$J$11="",$F1325=CETAK!$J$11),OR(CETAK!$J$12="",$K1325=CETAK!$J$12),OR(CETAK!$J$13="",$H1325=CETAK!$J$13),OR(CETAK!$J$14="",$O1325=CETAK!$J$14)),MAX($X$3:X1324)+1,""))</f>
        <v/>
      </c>
      <c r="Y1325" s="40" t="str">
        <f aca="false">IF($B1325="","",IF(AND(OR(ABSENSI!$H$10="",$E1325=ABSENSI!$H$10),OR(ABSENSI!$H$11="",$F1325=ABSENSI!$H$11),OR(ABSENSI!$H$12="",$K1325=ABSENSI!$H$12)),MAX($Y$3:Y1324)+1,""))</f>
        <v/>
      </c>
      <c r="Z1325" s="40" t="str">
        <f aca="false">IF($B1325="","",IF(AND(OR(KARTU!$K$6="",$E1325=KARTU!$K$6),OR(KARTU!$K$7="",$F1325=KARTU!$K$7),OR(KARTU!$K$8="",$K1325=KARTU!$K$8)),MAX($Z$3:Z1324)+1,""))</f>
        <v/>
      </c>
    </row>
    <row r="1326" customFormat="false" ht="15" hidden="false" customHeight="false" outlineLevel="0" collapsed="false">
      <c r="A1326" s="36" t="str">
        <f aca="false">IF($B1326="","",COUNTA($B$4:$B1326))</f>
        <v/>
      </c>
      <c r="B1326" s="37"/>
      <c r="C1326" s="38"/>
      <c r="D1326" s="39"/>
      <c r="E1326" s="37"/>
      <c r="F1326" s="39"/>
      <c r="G1326" s="40" t="str">
        <f aca="false">IF(OR($E1326="",$F1326=""),"",$E1326&amp;" - RT "&amp;$F1326)</f>
        <v/>
      </c>
      <c r="H1326" s="37"/>
      <c r="I1326" s="38"/>
      <c r="J1326" s="37"/>
      <c r="K1326" s="39"/>
      <c r="L1326" s="41"/>
      <c r="M1326" s="36" t="str">
        <f aca="true">IF(OR($B1326="",$L1326=""),"",DATEDIF($L1326,TODAY(),"Y"))</f>
        <v/>
      </c>
      <c r="N1326" s="40" t="str">
        <f aca="false">IF($M1326="","",INDEX(usia_label,MATCH($M1326,usia_min,1)))</f>
        <v/>
      </c>
      <c r="O1326" s="37"/>
      <c r="P1326" s="41"/>
      <c r="Q1326" s="37"/>
      <c r="R1326" s="37"/>
      <c r="S1326" s="40" t="str">
        <f aca="false">IF($G1326="","",$G1326&amp;"#"&amp;COUNTIF($G$4:$G1326,$G1326))</f>
        <v/>
      </c>
      <c r="T1326" s="40" t="str">
        <f aca="false">IF($B1326="","",IF($C1326="","NIK kosong",IF(LEN($C1326)&lt;&gt;16,"NIK bukan 16 digit",IF(COUNTIF($C$4:$C$2003,$C1326&amp;"*")&gt;1,"NIK ganda",IF($E1326="","Kadus kosong",IF($F1326="","RT kosong",IF($H1326="","Jabatan kosong",IF($I1326="","No. HP kosong",IF($J1326="","Alamat kosong",IF(AND($M1326&lt;&gt;"",$M1326&lt;17),"Usia di bawah 17",""))))))))))</f>
        <v/>
      </c>
      <c r="U1326" s="40" t="str">
        <f aca="false">IF($B1326="","",IF(AND(OR(CARI!$C$5="",ISNUMBER(SEARCH(CARI!$C$5,$B1326&amp;" "&amp;$C1326&amp;" "&amp;$I1326&amp;" "&amp;$J1326&amp;" "&amp;$Q1326))),OR(CARI!$C$6="",$E1326=CARI!$C$6),OR(CARI!$C$7="",$F1326=CARI!$C$7),OR(CARI!$C$8="",$O1326=CARI!$C$8)),MAX($U$3:U1325)+1,""))</f>
        <v/>
      </c>
      <c r="V1326" s="40" t="str">
        <f aca="false">IF($T1326="","",MAX($V$3:V1325)+1)</f>
        <v/>
      </c>
      <c r="W1326" s="40" t="str">
        <f aca="false">IF($E1326="","",$E1326&amp;"#"&amp;COUNTIF($E$4:$E1326,$E1326))</f>
        <v/>
      </c>
      <c r="X1326" s="40" t="str">
        <f aca="false">IF($B1326="","",IF(AND(OR(CETAK!$J$10="",$E1326=CETAK!$J$10),OR(CETAK!$J$11="",$F1326=CETAK!$J$11),OR(CETAK!$J$12="",$K1326=CETAK!$J$12),OR(CETAK!$J$13="",$H1326=CETAK!$J$13),OR(CETAK!$J$14="",$O1326=CETAK!$J$14)),MAX($X$3:X1325)+1,""))</f>
        <v/>
      </c>
      <c r="Y1326" s="40" t="str">
        <f aca="false">IF($B1326="","",IF(AND(OR(ABSENSI!$H$10="",$E1326=ABSENSI!$H$10),OR(ABSENSI!$H$11="",$F1326=ABSENSI!$H$11),OR(ABSENSI!$H$12="",$K1326=ABSENSI!$H$12)),MAX($Y$3:Y1325)+1,""))</f>
        <v/>
      </c>
      <c r="Z1326" s="40" t="str">
        <f aca="false">IF($B1326="","",IF(AND(OR(KARTU!$K$6="",$E1326=KARTU!$K$6),OR(KARTU!$K$7="",$F1326=KARTU!$K$7),OR(KARTU!$K$8="",$K1326=KARTU!$K$8)),MAX($Z$3:Z1325)+1,""))</f>
        <v/>
      </c>
    </row>
    <row r="1327" customFormat="false" ht="15" hidden="false" customHeight="false" outlineLevel="0" collapsed="false">
      <c r="A1327" s="36" t="str">
        <f aca="false">IF($B1327="","",COUNTA($B$4:$B1327))</f>
        <v/>
      </c>
      <c r="B1327" s="37"/>
      <c r="C1327" s="38"/>
      <c r="D1327" s="39"/>
      <c r="E1327" s="37"/>
      <c r="F1327" s="39"/>
      <c r="G1327" s="40" t="str">
        <f aca="false">IF(OR($E1327="",$F1327=""),"",$E1327&amp;" - RT "&amp;$F1327)</f>
        <v/>
      </c>
      <c r="H1327" s="37"/>
      <c r="I1327" s="38"/>
      <c r="J1327" s="37"/>
      <c r="K1327" s="39"/>
      <c r="L1327" s="41"/>
      <c r="M1327" s="36" t="str">
        <f aca="true">IF(OR($B1327="",$L1327=""),"",DATEDIF($L1327,TODAY(),"Y"))</f>
        <v/>
      </c>
      <c r="N1327" s="40" t="str">
        <f aca="false">IF($M1327="","",INDEX(usia_label,MATCH($M1327,usia_min,1)))</f>
        <v/>
      </c>
      <c r="O1327" s="37"/>
      <c r="P1327" s="41"/>
      <c r="Q1327" s="37"/>
      <c r="R1327" s="37"/>
      <c r="S1327" s="40" t="str">
        <f aca="false">IF($G1327="","",$G1327&amp;"#"&amp;COUNTIF($G$4:$G1327,$G1327))</f>
        <v/>
      </c>
      <c r="T1327" s="40" t="str">
        <f aca="false">IF($B1327="","",IF($C1327="","NIK kosong",IF(LEN($C1327)&lt;&gt;16,"NIK bukan 16 digit",IF(COUNTIF($C$4:$C$2003,$C1327&amp;"*")&gt;1,"NIK ganda",IF($E1327="","Kadus kosong",IF($F1327="","RT kosong",IF($H1327="","Jabatan kosong",IF($I1327="","No. HP kosong",IF($J1327="","Alamat kosong",IF(AND($M1327&lt;&gt;"",$M1327&lt;17),"Usia di bawah 17",""))))))))))</f>
        <v/>
      </c>
      <c r="U1327" s="40" t="str">
        <f aca="false">IF($B1327="","",IF(AND(OR(CARI!$C$5="",ISNUMBER(SEARCH(CARI!$C$5,$B1327&amp;" "&amp;$C1327&amp;" "&amp;$I1327&amp;" "&amp;$J1327&amp;" "&amp;$Q1327))),OR(CARI!$C$6="",$E1327=CARI!$C$6),OR(CARI!$C$7="",$F1327=CARI!$C$7),OR(CARI!$C$8="",$O1327=CARI!$C$8)),MAX($U$3:U1326)+1,""))</f>
        <v/>
      </c>
      <c r="V1327" s="40" t="str">
        <f aca="false">IF($T1327="","",MAX($V$3:V1326)+1)</f>
        <v/>
      </c>
      <c r="W1327" s="40" t="str">
        <f aca="false">IF($E1327="","",$E1327&amp;"#"&amp;COUNTIF($E$4:$E1327,$E1327))</f>
        <v/>
      </c>
      <c r="X1327" s="40" t="str">
        <f aca="false">IF($B1327="","",IF(AND(OR(CETAK!$J$10="",$E1327=CETAK!$J$10),OR(CETAK!$J$11="",$F1327=CETAK!$J$11),OR(CETAK!$J$12="",$K1327=CETAK!$J$12),OR(CETAK!$J$13="",$H1327=CETAK!$J$13),OR(CETAK!$J$14="",$O1327=CETAK!$J$14)),MAX($X$3:X1326)+1,""))</f>
        <v/>
      </c>
      <c r="Y1327" s="40" t="str">
        <f aca="false">IF($B1327="","",IF(AND(OR(ABSENSI!$H$10="",$E1327=ABSENSI!$H$10),OR(ABSENSI!$H$11="",$F1327=ABSENSI!$H$11),OR(ABSENSI!$H$12="",$K1327=ABSENSI!$H$12)),MAX($Y$3:Y1326)+1,""))</f>
        <v/>
      </c>
      <c r="Z1327" s="40" t="str">
        <f aca="false">IF($B1327="","",IF(AND(OR(KARTU!$K$6="",$E1327=KARTU!$K$6),OR(KARTU!$K$7="",$F1327=KARTU!$K$7),OR(KARTU!$K$8="",$K1327=KARTU!$K$8)),MAX($Z$3:Z1326)+1,""))</f>
        <v/>
      </c>
    </row>
    <row r="1328" customFormat="false" ht="15" hidden="false" customHeight="false" outlineLevel="0" collapsed="false">
      <c r="A1328" s="36" t="str">
        <f aca="false">IF($B1328="","",COUNTA($B$4:$B1328))</f>
        <v/>
      </c>
      <c r="B1328" s="37"/>
      <c r="C1328" s="38"/>
      <c r="D1328" s="39"/>
      <c r="E1328" s="37"/>
      <c r="F1328" s="39"/>
      <c r="G1328" s="40" t="str">
        <f aca="false">IF(OR($E1328="",$F1328=""),"",$E1328&amp;" - RT "&amp;$F1328)</f>
        <v/>
      </c>
      <c r="H1328" s="37"/>
      <c r="I1328" s="38"/>
      <c r="J1328" s="37"/>
      <c r="K1328" s="39"/>
      <c r="L1328" s="41"/>
      <c r="M1328" s="36" t="str">
        <f aca="true">IF(OR($B1328="",$L1328=""),"",DATEDIF($L1328,TODAY(),"Y"))</f>
        <v/>
      </c>
      <c r="N1328" s="40" t="str">
        <f aca="false">IF($M1328="","",INDEX(usia_label,MATCH($M1328,usia_min,1)))</f>
        <v/>
      </c>
      <c r="O1328" s="37"/>
      <c r="P1328" s="41"/>
      <c r="Q1328" s="37"/>
      <c r="R1328" s="37"/>
      <c r="S1328" s="40" t="str">
        <f aca="false">IF($G1328="","",$G1328&amp;"#"&amp;COUNTIF($G$4:$G1328,$G1328))</f>
        <v/>
      </c>
      <c r="T1328" s="40" t="str">
        <f aca="false">IF($B1328="","",IF($C1328="","NIK kosong",IF(LEN($C1328)&lt;&gt;16,"NIK bukan 16 digit",IF(COUNTIF($C$4:$C$2003,$C1328&amp;"*")&gt;1,"NIK ganda",IF($E1328="","Kadus kosong",IF($F1328="","RT kosong",IF($H1328="","Jabatan kosong",IF($I1328="","No. HP kosong",IF($J1328="","Alamat kosong",IF(AND($M1328&lt;&gt;"",$M1328&lt;17),"Usia di bawah 17",""))))))))))</f>
        <v/>
      </c>
      <c r="U1328" s="40" t="str">
        <f aca="false">IF($B1328="","",IF(AND(OR(CARI!$C$5="",ISNUMBER(SEARCH(CARI!$C$5,$B1328&amp;" "&amp;$C1328&amp;" "&amp;$I1328&amp;" "&amp;$J1328&amp;" "&amp;$Q1328))),OR(CARI!$C$6="",$E1328=CARI!$C$6),OR(CARI!$C$7="",$F1328=CARI!$C$7),OR(CARI!$C$8="",$O1328=CARI!$C$8)),MAX($U$3:U1327)+1,""))</f>
        <v/>
      </c>
      <c r="V1328" s="40" t="str">
        <f aca="false">IF($T1328="","",MAX($V$3:V1327)+1)</f>
        <v/>
      </c>
      <c r="W1328" s="40" t="str">
        <f aca="false">IF($E1328="","",$E1328&amp;"#"&amp;COUNTIF($E$4:$E1328,$E1328))</f>
        <v/>
      </c>
      <c r="X1328" s="40" t="str">
        <f aca="false">IF($B1328="","",IF(AND(OR(CETAK!$J$10="",$E1328=CETAK!$J$10),OR(CETAK!$J$11="",$F1328=CETAK!$J$11),OR(CETAK!$J$12="",$K1328=CETAK!$J$12),OR(CETAK!$J$13="",$H1328=CETAK!$J$13),OR(CETAK!$J$14="",$O1328=CETAK!$J$14)),MAX($X$3:X1327)+1,""))</f>
        <v/>
      </c>
      <c r="Y1328" s="40" t="str">
        <f aca="false">IF($B1328="","",IF(AND(OR(ABSENSI!$H$10="",$E1328=ABSENSI!$H$10),OR(ABSENSI!$H$11="",$F1328=ABSENSI!$H$11),OR(ABSENSI!$H$12="",$K1328=ABSENSI!$H$12)),MAX($Y$3:Y1327)+1,""))</f>
        <v/>
      </c>
      <c r="Z1328" s="40" t="str">
        <f aca="false">IF($B1328="","",IF(AND(OR(KARTU!$K$6="",$E1328=KARTU!$K$6),OR(KARTU!$K$7="",$F1328=KARTU!$K$7),OR(KARTU!$K$8="",$K1328=KARTU!$K$8)),MAX($Z$3:Z1327)+1,""))</f>
        <v/>
      </c>
    </row>
    <row r="1329" customFormat="false" ht="15" hidden="false" customHeight="false" outlineLevel="0" collapsed="false">
      <c r="A1329" s="36" t="str">
        <f aca="false">IF($B1329="","",COUNTA($B$4:$B1329))</f>
        <v/>
      </c>
      <c r="B1329" s="37"/>
      <c r="C1329" s="38"/>
      <c r="D1329" s="39"/>
      <c r="E1329" s="37"/>
      <c r="F1329" s="39"/>
      <c r="G1329" s="40" t="str">
        <f aca="false">IF(OR($E1329="",$F1329=""),"",$E1329&amp;" - RT "&amp;$F1329)</f>
        <v/>
      </c>
      <c r="H1329" s="37"/>
      <c r="I1329" s="38"/>
      <c r="J1329" s="37"/>
      <c r="K1329" s="39"/>
      <c r="L1329" s="41"/>
      <c r="M1329" s="36" t="str">
        <f aca="true">IF(OR($B1329="",$L1329=""),"",DATEDIF($L1329,TODAY(),"Y"))</f>
        <v/>
      </c>
      <c r="N1329" s="40" t="str">
        <f aca="false">IF($M1329="","",INDEX(usia_label,MATCH($M1329,usia_min,1)))</f>
        <v/>
      </c>
      <c r="O1329" s="37"/>
      <c r="P1329" s="41"/>
      <c r="Q1329" s="37"/>
      <c r="R1329" s="37"/>
      <c r="S1329" s="40" t="str">
        <f aca="false">IF($G1329="","",$G1329&amp;"#"&amp;COUNTIF($G$4:$G1329,$G1329))</f>
        <v/>
      </c>
      <c r="T1329" s="40" t="str">
        <f aca="false">IF($B1329="","",IF($C1329="","NIK kosong",IF(LEN($C1329)&lt;&gt;16,"NIK bukan 16 digit",IF(COUNTIF($C$4:$C$2003,$C1329&amp;"*")&gt;1,"NIK ganda",IF($E1329="","Kadus kosong",IF($F1329="","RT kosong",IF($H1329="","Jabatan kosong",IF($I1329="","No. HP kosong",IF($J1329="","Alamat kosong",IF(AND($M1329&lt;&gt;"",$M1329&lt;17),"Usia di bawah 17",""))))))))))</f>
        <v/>
      </c>
      <c r="U1329" s="40" t="str">
        <f aca="false">IF($B1329="","",IF(AND(OR(CARI!$C$5="",ISNUMBER(SEARCH(CARI!$C$5,$B1329&amp;" "&amp;$C1329&amp;" "&amp;$I1329&amp;" "&amp;$J1329&amp;" "&amp;$Q1329))),OR(CARI!$C$6="",$E1329=CARI!$C$6),OR(CARI!$C$7="",$F1329=CARI!$C$7),OR(CARI!$C$8="",$O1329=CARI!$C$8)),MAX($U$3:U1328)+1,""))</f>
        <v/>
      </c>
      <c r="V1329" s="40" t="str">
        <f aca="false">IF($T1329="","",MAX($V$3:V1328)+1)</f>
        <v/>
      </c>
      <c r="W1329" s="40" t="str">
        <f aca="false">IF($E1329="","",$E1329&amp;"#"&amp;COUNTIF($E$4:$E1329,$E1329))</f>
        <v/>
      </c>
      <c r="X1329" s="40" t="str">
        <f aca="false">IF($B1329="","",IF(AND(OR(CETAK!$J$10="",$E1329=CETAK!$J$10),OR(CETAK!$J$11="",$F1329=CETAK!$J$11),OR(CETAK!$J$12="",$K1329=CETAK!$J$12),OR(CETAK!$J$13="",$H1329=CETAK!$J$13),OR(CETAK!$J$14="",$O1329=CETAK!$J$14)),MAX($X$3:X1328)+1,""))</f>
        <v/>
      </c>
      <c r="Y1329" s="40" t="str">
        <f aca="false">IF($B1329="","",IF(AND(OR(ABSENSI!$H$10="",$E1329=ABSENSI!$H$10),OR(ABSENSI!$H$11="",$F1329=ABSENSI!$H$11),OR(ABSENSI!$H$12="",$K1329=ABSENSI!$H$12)),MAX($Y$3:Y1328)+1,""))</f>
        <v/>
      </c>
      <c r="Z1329" s="40" t="str">
        <f aca="false">IF($B1329="","",IF(AND(OR(KARTU!$K$6="",$E1329=KARTU!$K$6),OR(KARTU!$K$7="",$F1329=KARTU!$K$7),OR(KARTU!$K$8="",$K1329=KARTU!$K$8)),MAX($Z$3:Z1328)+1,""))</f>
        <v/>
      </c>
    </row>
    <row r="1330" customFormat="false" ht="15" hidden="false" customHeight="false" outlineLevel="0" collapsed="false">
      <c r="A1330" s="36" t="str">
        <f aca="false">IF($B1330="","",COUNTA($B$4:$B1330))</f>
        <v/>
      </c>
      <c r="B1330" s="37"/>
      <c r="C1330" s="38"/>
      <c r="D1330" s="39"/>
      <c r="E1330" s="37"/>
      <c r="F1330" s="39"/>
      <c r="G1330" s="40" t="str">
        <f aca="false">IF(OR($E1330="",$F1330=""),"",$E1330&amp;" - RT "&amp;$F1330)</f>
        <v/>
      </c>
      <c r="H1330" s="37"/>
      <c r="I1330" s="38"/>
      <c r="J1330" s="37"/>
      <c r="K1330" s="39"/>
      <c r="L1330" s="41"/>
      <c r="M1330" s="36" t="str">
        <f aca="true">IF(OR($B1330="",$L1330=""),"",DATEDIF($L1330,TODAY(),"Y"))</f>
        <v/>
      </c>
      <c r="N1330" s="40" t="str">
        <f aca="false">IF($M1330="","",INDEX(usia_label,MATCH($M1330,usia_min,1)))</f>
        <v/>
      </c>
      <c r="O1330" s="37"/>
      <c r="P1330" s="41"/>
      <c r="Q1330" s="37"/>
      <c r="R1330" s="37"/>
      <c r="S1330" s="40" t="str">
        <f aca="false">IF($G1330="","",$G1330&amp;"#"&amp;COUNTIF($G$4:$G1330,$G1330))</f>
        <v/>
      </c>
      <c r="T1330" s="40" t="str">
        <f aca="false">IF($B1330="","",IF($C1330="","NIK kosong",IF(LEN($C1330)&lt;&gt;16,"NIK bukan 16 digit",IF(COUNTIF($C$4:$C$2003,$C1330&amp;"*")&gt;1,"NIK ganda",IF($E1330="","Kadus kosong",IF($F1330="","RT kosong",IF($H1330="","Jabatan kosong",IF($I1330="","No. HP kosong",IF($J1330="","Alamat kosong",IF(AND($M1330&lt;&gt;"",$M1330&lt;17),"Usia di bawah 17",""))))))))))</f>
        <v/>
      </c>
      <c r="U1330" s="40" t="str">
        <f aca="false">IF($B1330="","",IF(AND(OR(CARI!$C$5="",ISNUMBER(SEARCH(CARI!$C$5,$B1330&amp;" "&amp;$C1330&amp;" "&amp;$I1330&amp;" "&amp;$J1330&amp;" "&amp;$Q1330))),OR(CARI!$C$6="",$E1330=CARI!$C$6),OR(CARI!$C$7="",$F1330=CARI!$C$7),OR(CARI!$C$8="",$O1330=CARI!$C$8)),MAX($U$3:U1329)+1,""))</f>
        <v/>
      </c>
      <c r="V1330" s="40" t="str">
        <f aca="false">IF($T1330="","",MAX($V$3:V1329)+1)</f>
        <v/>
      </c>
      <c r="W1330" s="40" t="str">
        <f aca="false">IF($E1330="","",$E1330&amp;"#"&amp;COUNTIF($E$4:$E1330,$E1330))</f>
        <v/>
      </c>
      <c r="X1330" s="40" t="str">
        <f aca="false">IF($B1330="","",IF(AND(OR(CETAK!$J$10="",$E1330=CETAK!$J$10),OR(CETAK!$J$11="",$F1330=CETAK!$J$11),OR(CETAK!$J$12="",$K1330=CETAK!$J$12),OR(CETAK!$J$13="",$H1330=CETAK!$J$13),OR(CETAK!$J$14="",$O1330=CETAK!$J$14)),MAX($X$3:X1329)+1,""))</f>
        <v/>
      </c>
      <c r="Y1330" s="40" t="str">
        <f aca="false">IF($B1330="","",IF(AND(OR(ABSENSI!$H$10="",$E1330=ABSENSI!$H$10),OR(ABSENSI!$H$11="",$F1330=ABSENSI!$H$11),OR(ABSENSI!$H$12="",$K1330=ABSENSI!$H$12)),MAX($Y$3:Y1329)+1,""))</f>
        <v/>
      </c>
      <c r="Z1330" s="40" t="str">
        <f aca="false">IF($B1330="","",IF(AND(OR(KARTU!$K$6="",$E1330=KARTU!$K$6),OR(KARTU!$K$7="",$F1330=KARTU!$K$7),OR(KARTU!$K$8="",$K1330=KARTU!$K$8)),MAX($Z$3:Z1329)+1,""))</f>
        <v/>
      </c>
    </row>
    <row r="1331" customFormat="false" ht="15" hidden="false" customHeight="false" outlineLevel="0" collapsed="false">
      <c r="A1331" s="36" t="str">
        <f aca="false">IF($B1331="","",COUNTA($B$4:$B1331))</f>
        <v/>
      </c>
      <c r="B1331" s="37"/>
      <c r="C1331" s="38"/>
      <c r="D1331" s="39"/>
      <c r="E1331" s="37"/>
      <c r="F1331" s="39"/>
      <c r="G1331" s="40" t="str">
        <f aca="false">IF(OR($E1331="",$F1331=""),"",$E1331&amp;" - RT "&amp;$F1331)</f>
        <v/>
      </c>
      <c r="H1331" s="37"/>
      <c r="I1331" s="38"/>
      <c r="J1331" s="37"/>
      <c r="K1331" s="39"/>
      <c r="L1331" s="41"/>
      <c r="M1331" s="36" t="str">
        <f aca="true">IF(OR($B1331="",$L1331=""),"",DATEDIF($L1331,TODAY(),"Y"))</f>
        <v/>
      </c>
      <c r="N1331" s="40" t="str">
        <f aca="false">IF($M1331="","",INDEX(usia_label,MATCH($M1331,usia_min,1)))</f>
        <v/>
      </c>
      <c r="O1331" s="37"/>
      <c r="P1331" s="41"/>
      <c r="Q1331" s="37"/>
      <c r="R1331" s="37"/>
      <c r="S1331" s="40" t="str">
        <f aca="false">IF($G1331="","",$G1331&amp;"#"&amp;COUNTIF($G$4:$G1331,$G1331))</f>
        <v/>
      </c>
      <c r="T1331" s="40" t="str">
        <f aca="false">IF($B1331="","",IF($C1331="","NIK kosong",IF(LEN($C1331)&lt;&gt;16,"NIK bukan 16 digit",IF(COUNTIF($C$4:$C$2003,$C1331&amp;"*")&gt;1,"NIK ganda",IF($E1331="","Kadus kosong",IF($F1331="","RT kosong",IF($H1331="","Jabatan kosong",IF($I1331="","No. HP kosong",IF($J1331="","Alamat kosong",IF(AND($M1331&lt;&gt;"",$M1331&lt;17),"Usia di bawah 17",""))))))))))</f>
        <v/>
      </c>
      <c r="U1331" s="40" t="str">
        <f aca="false">IF($B1331="","",IF(AND(OR(CARI!$C$5="",ISNUMBER(SEARCH(CARI!$C$5,$B1331&amp;" "&amp;$C1331&amp;" "&amp;$I1331&amp;" "&amp;$J1331&amp;" "&amp;$Q1331))),OR(CARI!$C$6="",$E1331=CARI!$C$6),OR(CARI!$C$7="",$F1331=CARI!$C$7),OR(CARI!$C$8="",$O1331=CARI!$C$8)),MAX($U$3:U1330)+1,""))</f>
        <v/>
      </c>
      <c r="V1331" s="40" t="str">
        <f aca="false">IF($T1331="","",MAX($V$3:V1330)+1)</f>
        <v/>
      </c>
      <c r="W1331" s="40" t="str">
        <f aca="false">IF($E1331="","",$E1331&amp;"#"&amp;COUNTIF($E$4:$E1331,$E1331))</f>
        <v/>
      </c>
      <c r="X1331" s="40" t="str">
        <f aca="false">IF($B1331="","",IF(AND(OR(CETAK!$J$10="",$E1331=CETAK!$J$10),OR(CETAK!$J$11="",$F1331=CETAK!$J$11),OR(CETAK!$J$12="",$K1331=CETAK!$J$12),OR(CETAK!$J$13="",$H1331=CETAK!$J$13),OR(CETAK!$J$14="",$O1331=CETAK!$J$14)),MAX($X$3:X1330)+1,""))</f>
        <v/>
      </c>
      <c r="Y1331" s="40" t="str">
        <f aca="false">IF($B1331="","",IF(AND(OR(ABSENSI!$H$10="",$E1331=ABSENSI!$H$10),OR(ABSENSI!$H$11="",$F1331=ABSENSI!$H$11),OR(ABSENSI!$H$12="",$K1331=ABSENSI!$H$12)),MAX($Y$3:Y1330)+1,""))</f>
        <v/>
      </c>
      <c r="Z1331" s="40" t="str">
        <f aca="false">IF($B1331="","",IF(AND(OR(KARTU!$K$6="",$E1331=KARTU!$K$6),OR(KARTU!$K$7="",$F1331=KARTU!$K$7),OR(KARTU!$K$8="",$K1331=KARTU!$K$8)),MAX($Z$3:Z1330)+1,""))</f>
        <v/>
      </c>
    </row>
    <row r="1332" customFormat="false" ht="15" hidden="false" customHeight="false" outlineLevel="0" collapsed="false">
      <c r="A1332" s="36" t="str">
        <f aca="false">IF($B1332="","",COUNTA($B$4:$B1332))</f>
        <v/>
      </c>
      <c r="B1332" s="37"/>
      <c r="C1332" s="38"/>
      <c r="D1332" s="39"/>
      <c r="E1332" s="37"/>
      <c r="F1332" s="39"/>
      <c r="G1332" s="40" t="str">
        <f aca="false">IF(OR($E1332="",$F1332=""),"",$E1332&amp;" - RT "&amp;$F1332)</f>
        <v/>
      </c>
      <c r="H1332" s="37"/>
      <c r="I1332" s="38"/>
      <c r="J1332" s="37"/>
      <c r="K1332" s="39"/>
      <c r="L1332" s="41"/>
      <c r="M1332" s="36" t="str">
        <f aca="true">IF(OR($B1332="",$L1332=""),"",DATEDIF($L1332,TODAY(),"Y"))</f>
        <v/>
      </c>
      <c r="N1332" s="40" t="str">
        <f aca="false">IF($M1332="","",INDEX(usia_label,MATCH($M1332,usia_min,1)))</f>
        <v/>
      </c>
      <c r="O1332" s="37"/>
      <c r="P1332" s="41"/>
      <c r="Q1332" s="37"/>
      <c r="R1332" s="37"/>
      <c r="S1332" s="40" t="str">
        <f aca="false">IF($G1332="","",$G1332&amp;"#"&amp;COUNTIF($G$4:$G1332,$G1332))</f>
        <v/>
      </c>
      <c r="T1332" s="40" t="str">
        <f aca="false">IF($B1332="","",IF($C1332="","NIK kosong",IF(LEN($C1332)&lt;&gt;16,"NIK bukan 16 digit",IF(COUNTIF($C$4:$C$2003,$C1332&amp;"*")&gt;1,"NIK ganda",IF($E1332="","Kadus kosong",IF($F1332="","RT kosong",IF($H1332="","Jabatan kosong",IF($I1332="","No. HP kosong",IF($J1332="","Alamat kosong",IF(AND($M1332&lt;&gt;"",$M1332&lt;17),"Usia di bawah 17",""))))))))))</f>
        <v/>
      </c>
      <c r="U1332" s="40" t="str">
        <f aca="false">IF($B1332="","",IF(AND(OR(CARI!$C$5="",ISNUMBER(SEARCH(CARI!$C$5,$B1332&amp;" "&amp;$C1332&amp;" "&amp;$I1332&amp;" "&amp;$J1332&amp;" "&amp;$Q1332))),OR(CARI!$C$6="",$E1332=CARI!$C$6),OR(CARI!$C$7="",$F1332=CARI!$C$7),OR(CARI!$C$8="",$O1332=CARI!$C$8)),MAX($U$3:U1331)+1,""))</f>
        <v/>
      </c>
      <c r="V1332" s="40" t="str">
        <f aca="false">IF($T1332="","",MAX($V$3:V1331)+1)</f>
        <v/>
      </c>
      <c r="W1332" s="40" t="str">
        <f aca="false">IF($E1332="","",$E1332&amp;"#"&amp;COUNTIF($E$4:$E1332,$E1332))</f>
        <v/>
      </c>
      <c r="X1332" s="40" t="str">
        <f aca="false">IF($B1332="","",IF(AND(OR(CETAK!$J$10="",$E1332=CETAK!$J$10),OR(CETAK!$J$11="",$F1332=CETAK!$J$11),OR(CETAK!$J$12="",$K1332=CETAK!$J$12),OR(CETAK!$J$13="",$H1332=CETAK!$J$13),OR(CETAK!$J$14="",$O1332=CETAK!$J$14)),MAX($X$3:X1331)+1,""))</f>
        <v/>
      </c>
      <c r="Y1332" s="40" t="str">
        <f aca="false">IF($B1332="","",IF(AND(OR(ABSENSI!$H$10="",$E1332=ABSENSI!$H$10),OR(ABSENSI!$H$11="",$F1332=ABSENSI!$H$11),OR(ABSENSI!$H$12="",$K1332=ABSENSI!$H$12)),MAX($Y$3:Y1331)+1,""))</f>
        <v/>
      </c>
      <c r="Z1332" s="40" t="str">
        <f aca="false">IF($B1332="","",IF(AND(OR(KARTU!$K$6="",$E1332=KARTU!$K$6),OR(KARTU!$K$7="",$F1332=KARTU!$K$7),OR(KARTU!$K$8="",$K1332=KARTU!$K$8)),MAX($Z$3:Z1331)+1,""))</f>
        <v/>
      </c>
    </row>
    <row r="1333" customFormat="false" ht="15" hidden="false" customHeight="false" outlineLevel="0" collapsed="false">
      <c r="A1333" s="36" t="str">
        <f aca="false">IF($B1333="","",COUNTA($B$4:$B1333))</f>
        <v/>
      </c>
      <c r="B1333" s="37"/>
      <c r="C1333" s="38"/>
      <c r="D1333" s="39"/>
      <c r="E1333" s="37"/>
      <c r="F1333" s="39"/>
      <c r="G1333" s="40" t="str">
        <f aca="false">IF(OR($E1333="",$F1333=""),"",$E1333&amp;" - RT "&amp;$F1333)</f>
        <v/>
      </c>
      <c r="H1333" s="37"/>
      <c r="I1333" s="38"/>
      <c r="J1333" s="37"/>
      <c r="K1333" s="39"/>
      <c r="L1333" s="41"/>
      <c r="M1333" s="36" t="str">
        <f aca="true">IF(OR($B1333="",$L1333=""),"",DATEDIF($L1333,TODAY(),"Y"))</f>
        <v/>
      </c>
      <c r="N1333" s="40" t="str">
        <f aca="false">IF($M1333="","",INDEX(usia_label,MATCH($M1333,usia_min,1)))</f>
        <v/>
      </c>
      <c r="O1333" s="37"/>
      <c r="P1333" s="41"/>
      <c r="Q1333" s="37"/>
      <c r="R1333" s="37"/>
      <c r="S1333" s="40" t="str">
        <f aca="false">IF($G1333="","",$G1333&amp;"#"&amp;COUNTIF($G$4:$G1333,$G1333))</f>
        <v/>
      </c>
      <c r="T1333" s="40" t="str">
        <f aca="false">IF($B1333="","",IF($C1333="","NIK kosong",IF(LEN($C1333)&lt;&gt;16,"NIK bukan 16 digit",IF(COUNTIF($C$4:$C$2003,$C1333&amp;"*")&gt;1,"NIK ganda",IF($E1333="","Kadus kosong",IF($F1333="","RT kosong",IF($H1333="","Jabatan kosong",IF($I1333="","No. HP kosong",IF($J1333="","Alamat kosong",IF(AND($M1333&lt;&gt;"",$M1333&lt;17),"Usia di bawah 17",""))))))))))</f>
        <v/>
      </c>
      <c r="U1333" s="40" t="str">
        <f aca="false">IF($B1333="","",IF(AND(OR(CARI!$C$5="",ISNUMBER(SEARCH(CARI!$C$5,$B1333&amp;" "&amp;$C1333&amp;" "&amp;$I1333&amp;" "&amp;$J1333&amp;" "&amp;$Q1333))),OR(CARI!$C$6="",$E1333=CARI!$C$6),OR(CARI!$C$7="",$F1333=CARI!$C$7),OR(CARI!$C$8="",$O1333=CARI!$C$8)),MAX($U$3:U1332)+1,""))</f>
        <v/>
      </c>
      <c r="V1333" s="40" t="str">
        <f aca="false">IF($T1333="","",MAX($V$3:V1332)+1)</f>
        <v/>
      </c>
      <c r="W1333" s="40" t="str">
        <f aca="false">IF($E1333="","",$E1333&amp;"#"&amp;COUNTIF($E$4:$E1333,$E1333))</f>
        <v/>
      </c>
      <c r="X1333" s="40" t="str">
        <f aca="false">IF($B1333="","",IF(AND(OR(CETAK!$J$10="",$E1333=CETAK!$J$10),OR(CETAK!$J$11="",$F1333=CETAK!$J$11),OR(CETAK!$J$12="",$K1333=CETAK!$J$12),OR(CETAK!$J$13="",$H1333=CETAK!$J$13),OR(CETAK!$J$14="",$O1333=CETAK!$J$14)),MAX($X$3:X1332)+1,""))</f>
        <v/>
      </c>
      <c r="Y1333" s="40" t="str">
        <f aca="false">IF($B1333="","",IF(AND(OR(ABSENSI!$H$10="",$E1333=ABSENSI!$H$10),OR(ABSENSI!$H$11="",$F1333=ABSENSI!$H$11),OR(ABSENSI!$H$12="",$K1333=ABSENSI!$H$12)),MAX($Y$3:Y1332)+1,""))</f>
        <v/>
      </c>
      <c r="Z1333" s="40" t="str">
        <f aca="false">IF($B1333="","",IF(AND(OR(KARTU!$K$6="",$E1333=KARTU!$K$6),OR(KARTU!$K$7="",$F1333=KARTU!$K$7),OR(KARTU!$K$8="",$K1333=KARTU!$K$8)),MAX($Z$3:Z1332)+1,""))</f>
        <v/>
      </c>
    </row>
    <row r="1334" customFormat="false" ht="15" hidden="false" customHeight="false" outlineLevel="0" collapsed="false">
      <c r="A1334" s="36" t="str">
        <f aca="false">IF($B1334="","",COUNTA($B$4:$B1334))</f>
        <v/>
      </c>
      <c r="B1334" s="37"/>
      <c r="C1334" s="38"/>
      <c r="D1334" s="39"/>
      <c r="E1334" s="37"/>
      <c r="F1334" s="39"/>
      <c r="G1334" s="40" t="str">
        <f aca="false">IF(OR($E1334="",$F1334=""),"",$E1334&amp;" - RT "&amp;$F1334)</f>
        <v/>
      </c>
      <c r="H1334" s="37"/>
      <c r="I1334" s="38"/>
      <c r="J1334" s="37"/>
      <c r="K1334" s="39"/>
      <c r="L1334" s="41"/>
      <c r="M1334" s="36" t="str">
        <f aca="true">IF(OR($B1334="",$L1334=""),"",DATEDIF($L1334,TODAY(),"Y"))</f>
        <v/>
      </c>
      <c r="N1334" s="40" t="str">
        <f aca="false">IF($M1334="","",INDEX(usia_label,MATCH($M1334,usia_min,1)))</f>
        <v/>
      </c>
      <c r="O1334" s="37"/>
      <c r="P1334" s="41"/>
      <c r="Q1334" s="37"/>
      <c r="R1334" s="37"/>
      <c r="S1334" s="40" t="str">
        <f aca="false">IF($G1334="","",$G1334&amp;"#"&amp;COUNTIF($G$4:$G1334,$G1334))</f>
        <v/>
      </c>
      <c r="T1334" s="40" t="str">
        <f aca="false">IF($B1334="","",IF($C1334="","NIK kosong",IF(LEN($C1334)&lt;&gt;16,"NIK bukan 16 digit",IF(COUNTIF($C$4:$C$2003,$C1334&amp;"*")&gt;1,"NIK ganda",IF($E1334="","Kadus kosong",IF($F1334="","RT kosong",IF($H1334="","Jabatan kosong",IF($I1334="","No. HP kosong",IF($J1334="","Alamat kosong",IF(AND($M1334&lt;&gt;"",$M1334&lt;17),"Usia di bawah 17",""))))))))))</f>
        <v/>
      </c>
      <c r="U1334" s="40" t="str">
        <f aca="false">IF($B1334="","",IF(AND(OR(CARI!$C$5="",ISNUMBER(SEARCH(CARI!$C$5,$B1334&amp;" "&amp;$C1334&amp;" "&amp;$I1334&amp;" "&amp;$J1334&amp;" "&amp;$Q1334))),OR(CARI!$C$6="",$E1334=CARI!$C$6),OR(CARI!$C$7="",$F1334=CARI!$C$7),OR(CARI!$C$8="",$O1334=CARI!$C$8)),MAX($U$3:U1333)+1,""))</f>
        <v/>
      </c>
      <c r="V1334" s="40" t="str">
        <f aca="false">IF($T1334="","",MAX($V$3:V1333)+1)</f>
        <v/>
      </c>
      <c r="W1334" s="40" t="str">
        <f aca="false">IF($E1334="","",$E1334&amp;"#"&amp;COUNTIF($E$4:$E1334,$E1334))</f>
        <v/>
      </c>
      <c r="X1334" s="40" t="str">
        <f aca="false">IF($B1334="","",IF(AND(OR(CETAK!$J$10="",$E1334=CETAK!$J$10),OR(CETAK!$J$11="",$F1334=CETAK!$J$11),OR(CETAK!$J$12="",$K1334=CETAK!$J$12),OR(CETAK!$J$13="",$H1334=CETAK!$J$13),OR(CETAK!$J$14="",$O1334=CETAK!$J$14)),MAX($X$3:X1333)+1,""))</f>
        <v/>
      </c>
      <c r="Y1334" s="40" t="str">
        <f aca="false">IF($B1334="","",IF(AND(OR(ABSENSI!$H$10="",$E1334=ABSENSI!$H$10),OR(ABSENSI!$H$11="",$F1334=ABSENSI!$H$11),OR(ABSENSI!$H$12="",$K1334=ABSENSI!$H$12)),MAX($Y$3:Y1333)+1,""))</f>
        <v/>
      </c>
      <c r="Z1334" s="40" t="str">
        <f aca="false">IF($B1334="","",IF(AND(OR(KARTU!$K$6="",$E1334=KARTU!$K$6),OR(KARTU!$K$7="",$F1334=KARTU!$K$7),OR(KARTU!$K$8="",$K1334=KARTU!$K$8)),MAX($Z$3:Z1333)+1,""))</f>
        <v/>
      </c>
    </row>
    <row r="1335" customFormat="false" ht="15" hidden="false" customHeight="false" outlineLevel="0" collapsed="false">
      <c r="A1335" s="36" t="str">
        <f aca="false">IF($B1335="","",COUNTA($B$4:$B1335))</f>
        <v/>
      </c>
      <c r="B1335" s="37"/>
      <c r="C1335" s="38"/>
      <c r="D1335" s="39"/>
      <c r="E1335" s="37"/>
      <c r="F1335" s="39"/>
      <c r="G1335" s="40" t="str">
        <f aca="false">IF(OR($E1335="",$F1335=""),"",$E1335&amp;" - RT "&amp;$F1335)</f>
        <v/>
      </c>
      <c r="H1335" s="37"/>
      <c r="I1335" s="38"/>
      <c r="J1335" s="37"/>
      <c r="K1335" s="39"/>
      <c r="L1335" s="41"/>
      <c r="M1335" s="36" t="str">
        <f aca="true">IF(OR($B1335="",$L1335=""),"",DATEDIF($L1335,TODAY(),"Y"))</f>
        <v/>
      </c>
      <c r="N1335" s="40" t="str">
        <f aca="false">IF($M1335="","",INDEX(usia_label,MATCH($M1335,usia_min,1)))</f>
        <v/>
      </c>
      <c r="O1335" s="37"/>
      <c r="P1335" s="41"/>
      <c r="Q1335" s="37"/>
      <c r="R1335" s="37"/>
      <c r="S1335" s="40" t="str">
        <f aca="false">IF($G1335="","",$G1335&amp;"#"&amp;COUNTIF($G$4:$G1335,$G1335))</f>
        <v/>
      </c>
      <c r="T1335" s="40" t="str">
        <f aca="false">IF($B1335="","",IF($C1335="","NIK kosong",IF(LEN($C1335)&lt;&gt;16,"NIK bukan 16 digit",IF(COUNTIF($C$4:$C$2003,$C1335&amp;"*")&gt;1,"NIK ganda",IF($E1335="","Kadus kosong",IF($F1335="","RT kosong",IF($H1335="","Jabatan kosong",IF($I1335="","No. HP kosong",IF($J1335="","Alamat kosong",IF(AND($M1335&lt;&gt;"",$M1335&lt;17),"Usia di bawah 17",""))))))))))</f>
        <v/>
      </c>
      <c r="U1335" s="40" t="str">
        <f aca="false">IF($B1335="","",IF(AND(OR(CARI!$C$5="",ISNUMBER(SEARCH(CARI!$C$5,$B1335&amp;" "&amp;$C1335&amp;" "&amp;$I1335&amp;" "&amp;$J1335&amp;" "&amp;$Q1335))),OR(CARI!$C$6="",$E1335=CARI!$C$6),OR(CARI!$C$7="",$F1335=CARI!$C$7),OR(CARI!$C$8="",$O1335=CARI!$C$8)),MAX($U$3:U1334)+1,""))</f>
        <v/>
      </c>
      <c r="V1335" s="40" t="str">
        <f aca="false">IF($T1335="","",MAX($V$3:V1334)+1)</f>
        <v/>
      </c>
      <c r="W1335" s="40" t="str">
        <f aca="false">IF($E1335="","",$E1335&amp;"#"&amp;COUNTIF($E$4:$E1335,$E1335))</f>
        <v/>
      </c>
      <c r="X1335" s="40" t="str">
        <f aca="false">IF($B1335="","",IF(AND(OR(CETAK!$J$10="",$E1335=CETAK!$J$10),OR(CETAK!$J$11="",$F1335=CETAK!$J$11),OR(CETAK!$J$12="",$K1335=CETAK!$J$12),OR(CETAK!$J$13="",$H1335=CETAK!$J$13),OR(CETAK!$J$14="",$O1335=CETAK!$J$14)),MAX($X$3:X1334)+1,""))</f>
        <v/>
      </c>
      <c r="Y1335" s="40" t="str">
        <f aca="false">IF($B1335="","",IF(AND(OR(ABSENSI!$H$10="",$E1335=ABSENSI!$H$10),OR(ABSENSI!$H$11="",$F1335=ABSENSI!$H$11),OR(ABSENSI!$H$12="",$K1335=ABSENSI!$H$12)),MAX($Y$3:Y1334)+1,""))</f>
        <v/>
      </c>
      <c r="Z1335" s="40" t="str">
        <f aca="false">IF($B1335="","",IF(AND(OR(KARTU!$K$6="",$E1335=KARTU!$K$6),OR(KARTU!$K$7="",$F1335=KARTU!$K$7),OR(KARTU!$K$8="",$K1335=KARTU!$K$8)),MAX($Z$3:Z1334)+1,""))</f>
        <v/>
      </c>
    </row>
    <row r="1336" customFormat="false" ht="15" hidden="false" customHeight="false" outlineLevel="0" collapsed="false">
      <c r="A1336" s="36" t="str">
        <f aca="false">IF($B1336="","",COUNTA($B$4:$B1336))</f>
        <v/>
      </c>
      <c r="B1336" s="37"/>
      <c r="C1336" s="38"/>
      <c r="D1336" s="39"/>
      <c r="E1336" s="37"/>
      <c r="F1336" s="39"/>
      <c r="G1336" s="40" t="str">
        <f aca="false">IF(OR($E1336="",$F1336=""),"",$E1336&amp;" - RT "&amp;$F1336)</f>
        <v/>
      </c>
      <c r="H1336" s="37"/>
      <c r="I1336" s="38"/>
      <c r="J1336" s="37"/>
      <c r="K1336" s="39"/>
      <c r="L1336" s="41"/>
      <c r="M1336" s="36" t="str">
        <f aca="true">IF(OR($B1336="",$L1336=""),"",DATEDIF($L1336,TODAY(),"Y"))</f>
        <v/>
      </c>
      <c r="N1336" s="40" t="str">
        <f aca="false">IF($M1336="","",INDEX(usia_label,MATCH($M1336,usia_min,1)))</f>
        <v/>
      </c>
      <c r="O1336" s="37"/>
      <c r="P1336" s="41"/>
      <c r="Q1336" s="37"/>
      <c r="R1336" s="37"/>
      <c r="S1336" s="40" t="str">
        <f aca="false">IF($G1336="","",$G1336&amp;"#"&amp;COUNTIF($G$4:$G1336,$G1336))</f>
        <v/>
      </c>
      <c r="T1336" s="40" t="str">
        <f aca="false">IF($B1336="","",IF($C1336="","NIK kosong",IF(LEN($C1336)&lt;&gt;16,"NIK bukan 16 digit",IF(COUNTIF($C$4:$C$2003,$C1336&amp;"*")&gt;1,"NIK ganda",IF($E1336="","Kadus kosong",IF($F1336="","RT kosong",IF($H1336="","Jabatan kosong",IF($I1336="","No. HP kosong",IF($J1336="","Alamat kosong",IF(AND($M1336&lt;&gt;"",$M1336&lt;17),"Usia di bawah 17",""))))))))))</f>
        <v/>
      </c>
      <c r="U1336" s="40" t="str">
        <f aca="false">IF($B1336="","",IF(AND(OR(CARI!$C$5="",ISNUMBER(SEARCH(CARI!$C$5,$B1336&amp;" "&amp;$C1336&amp;" "&amp;$I1336&amp;" "&amp;$J1336&amp;" "&amp;$Q1336))),OR(CARI!$C$6="",$E1336=CARI!$C$6),OR(CARI!$C$7="",$F1336=CARI!$C$7),OR(CARI!$C$8="",$O1336=CARI!$C$8)),MAX($U$3:U1335)+1,""))</f>
        <v/>
      </c>
      <c r="V1336" s="40" t="str">
        <f aca="false">IF($T1336="","",MAX($V$3:V1335)+1)</f>
        <v/>
      </c>
      <c r="W1336" s="40" t="str">
        <f aca="false">IF($E1336="","",$E1336&amp;"#"&amp;COUNTIF($E$4:$E1336,$E1336))</f>
        <v/>
      </c>
      <c r="X1336" s="40" t="str">
        <f aca="false">IF($B1336="","",IF(AND(OR(CETAK!$J$10="",$E1336=CETAK!$J$10),OR(CETAK!$J$11="",$F1336=CETAK!$J$11),OR(CETAK!$J$12="",$K1336=CETAK!$J$12),OR(CETAK!$J$13="",$H1336=CETAK!$J$13),OR(CETAK!$J$14="",$O1336=CETAK!$J$14)),MAX($X$3:X1335)+1,""))</f>
        <v/>
      </c>
      <c r="Y1336" s="40" t="str">
        <f aca="false">IF($B1336="","",IF(AND(OR(ABSENSI!$H$10="",$E1336=ABSENSI!$H$10),OR(ABSENSI!$H$11="",$F1336=ABSENSI!$H$11),OR(ABSENSI!$H$12="",$K1336=ABSENSI!$H$12)),MAX($Y$3:Y1335)+1,""))</f>
        <v/>
      </c>
      <c r="Z1336" s="40" t="str">
        <f aca="false">IF($B1336="","",IF(AND(OR(KARTU!$K$6="",$E1336=KARTU!$K$6),OR(KARTU!$K$7="",$F1336=KARTU!$K$7),OR(KARTU!$K$8="",$K1336=KARTU!$K$8)),MAX($Z$3:Z1335)+1,""))</f>
        <v/>
      </c>
    </row>
    <row r="1337" customFormat="false" ht="15" hidden="false" customHeight="false" outlineLevel="0" collapsed="false">
      <c r="A1337" s="36" t="str">
        <f aca="false">IF($B1337="","",COUNTA($B$4:$B1337))</f>
        <v/>
      </c>
      <c r="B1337" s="37"/>
      <c r="C1337" s="38"/>
      <c r="D1337" s="39"/>
      <c r="E1337" s="37"/>
      <c r="F1337" s="39"/>
      <c r="G1337" s="40" t="str">
        <f aca="false">IF(OR($E1337="",$F1337=""),"",$E1337&amp;" - RT "&amp;$F1337)</f>
        <v/>
      </c>
      <c r="H1337" s="37"/>
      <c r="I1337" s="38"/>
      <c r="J1337" s="37"/>
      <c r="K1337" s="39"/>
      <c r="L1337" s="41"/>
      <c r="M1337" s="36" t="str">
        <f aca="true">IF(OR($B1337="",$L1337=""),"",DATEDIF($L1337,TODAY(),"Y"))</f>
        <v/>
      </c>
      <c r="N1337" s="40" t="str">
        <f aca="false">IF($M1337="","",INDEX(usia_label,MATCH($M1337,usia_min,1)))</f>
        <v/>
      </c>
      <c r="O1337" s="37"/>
      <c r="P1337" s="41"/>
      <c r="Q1337" s="37"/>
      <c r="R1337" s="37"/>
      <c r="S1337" s="40" t="str">
        <f aca="false">IF($G1337="","",$G1337&amp;"#"&amp;COUNTIF($G$4:$G1337,$G1337))</f>
        <v/>
      </c>
      <c r="T1337" s="40" t="str">
        <f aca="false">IF($B1337="","",IF($C1337="","NIK kosong",IF(LEN($C1337)&lt;&gt;16,"NIK bukan 16 digit",IF(COUNTIF($C$4:$C$2003,$C1337&amp;"*")&gt;1,"NIK ganda",IF($E1337="","Kadus kosong",IF($F1337="","RT kosong",IF($H1337="","Jabatan kosong",IF($I1337="","No. HP kosong",IF($J1337="","Alamat kosong",IF(AND($M1337&lt;&gt;"",$M1337&lt;17),"Usia di bawah 17",""))))))))))</f>
        <v/>
      </c>
      <c r="U1337" s="40" t="str">
        <f aca="false">IF($B1337="","",IF(AND(OR(CARI!$C$5="",ISNUMBER(SEARCH(CARI!$C$5,$B1337&amp;" "&amp;$C1337&amp;" "&amp;$I1337&amp;" "&amp;$J1337&amp;" "&amp;$Q1337))),OR(CARI!$C$6="",$E1337=CARI!$C$6),OR(CARI!$C$7="",$F1337=CARI!$C$7),OR(CARI!$C$8="",$O1337=CARI!$C$8)),MAX($U$3:U1336)+1,""))</f>
        <v/>
      </c>
      <c r="V1337" s="40" t="str">
        <f aca="false">IF($T1337="","",MAX($V$3:V1336)+1)</f>
        <v/>
      </c>
      <c r="W1337" s="40" t="str">
        <f aca="false">IF($E1337="","",$E1337&amp;"#"&amp;COUNTIF($E$4:$E1337,$E1337))</f>
        <v/>
      </c>
      <c r="X1337" s="40" t="str">
        <f aca="false">IF($B1337="","",IF(AND(OR(CETAK!$J$10="",$E1337=CETAK!$J$10),OR(CETAK!$J$11="",$F1337=CETAK!$J$11),OR(CETAK!$J$12="",$K1337=CETAK!$J$12),OR(CETAK!$J$13="",$H1337=CETAK!$J$13),OR(CETAK!$J$14="",$O1337=CETAK!$J$14)),MAX($X$3:X1336)+1,""))</f>
        <v/>
      </c>
      <c r="Y1337" s="40" t="str">
        <f aca="false">IF($B1337="","",IF(AND(OR(ABSENSI!$H$10="",$E1337=ABSENSI!$H$10),OR(ABSENSI!$H$11="",$F1337=ABSENSI!$H$11),OR(ABSENSI!$H$12="",$K1337=ABSENSI!$H$12)),MAX($Y$3:Y1336)+1,""))</f>
        <v/>
      </c>
      <c r="Z1337" s="40" t="str">
        <f aca="false">IF($B1337="","",IF(AND(OR(KARTU!$K$6="",$E1337=KARTU!$K$6),OR(KARTU!$K$7="",$F1337=KARTU!$K$7),OR(KARTU!$K$8="",$K1337=KARTU!$K$8)),MAX($Z$3:Z1336)+1,""))</f>
        <v/>
      </c>
    </row>
    <row r="1338" customFormat="false" ht="15" hidden="false" customHeight="false" outlineLevel="0" collapsed="false">
      <c r="A1338" s="36" t="str">
        <f aca="false">IF($B1338="","",COUNTA($B$4:$B1338))</f>
        <v/>
      </c>
      <c r="B1338" s="37"/>
      <c r="C1338" s="38"/>
      <c r="D1338" s="39"/>
      <c r="E1338" s="37"/>
      <c r="F1338" s="39"/>
      <c r="G1338" s="40" t="str">
        <f aca="false">IF(OR($E1338="",$F1338=""),"",$E1338&amp;" - RT "&amp;$F1338)</f>
        <v/>
      </c>
      <c r="H1338" s="37"/>
      <c r="I1338" s="38"/>
      <c r="J1338" s="37"/>
      <c r="K1338" s="39"/>
      <c r="L1338" s="41"/>
      <c r="M1338" s="36" t="str">
        <f aca="true">IF(OR($B1338="",$L1338=""),"",DATEDIF($L1338,TODAY(),"Y"))</f>
        <v/>
      </c>
      <c r="N1338" s="40" t="str">
        <f aca="false">IF($M1338="","",INDEX(usia_label,MATCH($M1338,usia_min,1)))</f>
        <v/>
      </c>
      <c r="O1338" s="37"/>
      <c r="P1338" s="41"/>
      <c r="Q1338" s="37"/>
      <c r="R1338" s="37"/>
      <c r="S1338" s="40" t="str">
        <f aca="false">IF($G1338="","",$G1338&amp;"#"&amp;COUNTIF($G$4:$G1338,$G1338))</f>
        <v/>
      </c>
      <c r="T1338" s="40" t="str">
        <f aca="false">IF($B1338="","",IF($C1338="","NIK kosong",IF(LEN($C1338)&lt;&gt;16,"NIK bukan 16 digit",IF(COUNTIF($C$4:$C$2003,$C1338&amp;"*")&gt;1,"NIK ganda",IF($E1338="","Kadus kosong",IF($F1338="","RT kosong",IF($H1338="","Jabatan kosong",IF($I1338="","No. HP kosong",IF($J1338="","Alamat kosong",IF(AND($M1338&lt;&gt;"",$M1338&lt;17),"Usia di bawah 17",""))))))))))</f>
        <v/>
      </c>
      <c r="U1338" s="40" t="str">
        <f aca="false">IF($B1338="","",IF(AND(OR(CARI!$C$5="",ISNUMBER(SEARCH(CARI!$C$5,$B1338&amp;" "&amp;$C1338&amp;" "&amp;$I1338&amp;" "&amp;$J1338&amp;" "&amp;$Q1338))),OR(CARI!$C$6="",$E1338=CARI!$C$6),OR(CARI!$C$7="",$F1338=CARI!$C$7),OR(CARI!$C$8="",$O1338=CARI!$C$8)),MAX($U$3:U1337)+1,""))</f>
        <v/>
      </c>
      <c r="V1338" s="40" t="str">
        <f aca="false">IF($T1338="","",MAX($V$3:V1337)+1)</f>
        <v/>
      </c>
      <c r="W1338" s="40" t="str">
        <f aca="false">IF($E1338="","",$E1338&amp;"#"&amp;COUNTIF($E$4:$E1338,$E1338))</f>
        <v/>
      </c>
      <c r="X1338" s="40" t="str">
        <f aca="false">IF($B1338="","",IF(AND(OR(CETAK!$J$10="",$E1338=CETAK!$J$10),OR(CETAK!$J$11="",$F1338=CETAK!$J$11),OR(CETAK!$J$12="",$K1338=CETAK!$J$12),OR(CETAK!$J$13="",$H1338=CETAK!$J$13),OR(CETAK!$J$14="",$O1338=CETAK!$J$14)),MAX($X$3:X1337)+1,""))</f>
        <v/>
      </c>
      <c r="Y1338" s="40" t="str">
        <f aca="false">IF($B1338="","",IF(AND(OR(ABSENSI!$H$10="",$E1338=ABSENSI!$H$10),OR(ABSENSI!$H$11="",$F1338=ABSENSI!$H$11),OR(ABSENSI!$H$12="",$K1338=ABSENSI!$H$12)),MAX($Y$3:Y1337)+1,""))</f>
        <v/>
      </c>
      <c r="Z1338" s="40" t="str">
        <f aca="false">IF($B1338="","",IF(AND(OR(KARTU!$K$6="",$E1338=KARTU!$K$6),OR(KARTU!$K$7="",$F1338=KARTU!$K$7),OR(KARTU!$K$8="",$K1338=KARTU!$K$8)),MAX($Z$3:Z1337)+1,""))</f>
        <v/>
      </c>
    </row>
    <row r="1339" customFormat="false" ht="15" hidden="false" customHeight="false" outlineLevel="0" collapsed="false">
      <c r="A1339" s="36" t="str">
        <f aca="false">IF($B1339="","",COUNTA($B$4:$B1339))</f>
        <v/>
      </c>
      <c r="B1339" s="37"/>
      <c r="C1339" s="38"/>
      <c r="D1339" s="39"/>
      <c r="E1339" s="37"/>
      <c r="F1339" s="39"/>
      <c r="G1339" s="40" t="str">
        <f aca="false">IF(OR($E1339="",$F1339=""),"",$E1339&amp;" - RT "&amp;$F1339)</f>
        <v/>
      </c>
      <c r="H1339" s="37"/>
      <c r="I1339" s="38"/>
      <c r="J1339" s="37"/>
      <c r="K1339" s="39"/>
      <c r="L1339" s="41"/>
      <c r="M1339" s="36" t="str">
        <f aca="true">IF(OR($B1339="",$L1339=""),"",DATEDIF($L1339,TODAY(),"Y"))</f>
        <v/>
      </c>
      <c r="N1339" s="40" t="str">
        <f aca="false">IF($M1339="","",INDEX(usia_label,MATCH($M1339,usia_min,1)))</f>
        <v/>
      </c>
      <c r="O1339" s="37"/>
      <c r="P1339" s="41"/>
      <c r="Q1339" s="37"/>
      <c r="R1339" s="37"/>
      <c r="S1339" s="40" t="str">
        <f aca="false">IF($G1339="","",$G1339&amp;"#"&amp;COUNTIF($G$4:$G1339,$G1339))</f>
        <v/>
      </c>
      <c r="T1339" s="40" t="str">
        <f aca="false">IF($B1339="","",IF($C1339="","NIK kosong",IF(LEN($C1339)&lt;&gt;16,"NIK bukan 16 digit",IF(COUNTIF($C$4:$C$2003,$C1339&amp;"*")&gt;1,"NIK ganda",IF($E1339="","Kadus kosong",IF($F1339="","RT kosong",IF($H1339="","Jabatan kosong",IF($I1339="","No. HP kosong",IF($J1339="","Alamat kosong",IF(AND($M1339&lt;&gt;"",$M1339&lt;17),"Usia di bawah 17",""))))))))))</f>
        <v/>
      </c>
      <c r="U1339" s="40" t="str">
        <f aca="false">IF($B1339="","",IF(AND(OR(CARI!$C$5="",ISNUMBER(SEARCH(CARI!$C$5,$B1339&amp;" "&amp;$C1339&amp;" "&amp;$I1339&amp;" "&amp;$J1339&amp;" "&amp;$Q1339))),OR(CARI!$C$6="",$E1339=CARI!$C$6),OR(CARI!$C$7="",$F1339=CARI!$C$7),OR(CARI!$C$8="",$O1339=CARI!$C$8)),MAX($U$3:U1338)+1,""))</f>
        <v/>
      </c>
      <c r="V1339" s="40" t="str">
        <f aca="false">IF($T1339="","",MAX($V$3:V1338)+1)</f>
        <v/>
      </c>
      <c r="W1339" s="40" t="str">
        <f aca="false">IF($E1339="","",$E1339&amp;"#"&amp;COUNTIF($E$4:$E1339,$E1339))</f>
        <v/>
      </c>
      <c r="X1339" s="40" t="str">
        <f aca="false">IF($B1339="","",IF(AND(OR(CETAK!$J$10="",$E1339=CETAK!$J$10),OR(CETAK!$J$11="",$F1339=CETAK!$J$11),OR(CETAK!$J$12="",$K1339=CETAK!$J$12),OR(CETAK!$J$13="",$H1339=CETAK!$J$13),OR(CETAK!$J$14="",$O1339=CETAK!$J$14)),MAX($X$3:X1338)+1,""))</f>
        <v/>
      </c>
      <c r="Y1339" s="40" t="str">
        <f aca="false">IF($B1339="","",IF(AND(OR(ABSENSI!$H$10="",$E1339=ABSENSI!$H$10),OR(ABSENSI!$H$11="",$F1339=ABSENSI!$H$11),OR(ABSENSI!$H$12="",$K1339=ABSENSI!$H$12)),MAX($Y$3:Y1338)+1,""))</f>
        <v/>
      </c>
      <c r="Z1339" s="40" t="str">
        <f aca="false">IF($B1339="","",IF(AND(OR(KARTU!$K$6="",$E1339=KARTU!$K$6),OR(KARTU!$K$7="",$F1339=KARTU!$K$7),OR(KARTU!$K$8="",$K1339=KARTU!$K$8)),MAX($Z$3:Z1338)+1,""))</f>
        <v/>
      </c>
    </row>
    <row r="1340" customFormat="false" ht="15" hidden="false" customHeight="false" outlineLevel="0" collapsed="false">
      <c r="A1340" s="36" t="str">
        <f aca="false">IF($B1340="","",COUNTA($B$4:$B1340))</f>
        <v/>
      </c>
      <c r="B1340" s="37"/>
      <c r="C1340" s="38"/>
      <c r="D1340" s="39"/>
      <c r="E1340" s="37"/>
      <c r="F1340" s="39"/>
      <c r="G1340" s="40" t="str">
        <f aca="false">IF(OR($E1340="",$F1340=""),"",$E1340&amp;" - RT "&amp;$F1340)</f>
        <v/>
      </c>
      <c r="H1340" s="37"/>
      <c r="I1340" s="38"/>
      <c r="J1340" s="37"/>
      <c r="K1340" s="39"/>
      <c r="L1340" s="41"/>
      <c r="M1340" s="36" t="str">
        <f aca="true">IF(OR($B1340="",$L1340=""),"",DATEDIF($L1340,TODAY(),"Y"))</f>
        <v/>
      </c>
      <c r="N1340" s="40" t="str">
        <f aca="false">IF($M1340="","",INDEX(usia_label,MATCH($M1340,usia_min,1)))</f>
        <v/>
      </c>
      <c r="O1340" s="37"/>
      <c r="P1340" s="41"/>
      <c r="Q1340" s="37"/>
      <c r="R1340" s="37"/>
      <c r="S1340" s="40" t="str">
        <f aca="false">IF($G1340="","",$G1340&amp;"#"&amp;COUNTIF($G$4:$G1340,$G1340))</f>
        <v/>
      </c>
      <c r="T1340" s="40" t="str">
        <f aca="false">IF($B1340="","",IF($C1340="","NIK kosong",IF(LEN($C1340)&lt;&gt;16,"NIK bukan 16 digit",IF(COUNTIF($C$4:$C$2003,$C1340&amp;"*")&gt;1,"NIK ganda",IF($E1340="","Kadus kosong",IF($F1340="","RT kosong",IF($H1340="","Jabatan kosong",IF($I1340="","No. HP kosong",IF($J1340="","Alamat kosong",IF(AND($M1340&lt;&gt;"",$M1340&lt;17),"Usia di bawah 17",""))))))))))</f>
        <v/>
      </c>
      <c r="U1340" s="40" t="str">
        <f aca="false">IF($B1340="","",IF(AND(OR(CARI!$C$5="",ISNUMBER(SEARCH(CARI!$C$5,$B1340&amp;" "&amp;$C1340&amp;" "&amp;$I1340&amp;" "&amp;$J1340&amp;" "&amp;$Q1340))),OR(CARI!$C$6="",$E1340=CARI!$C$6),OR(CARI!$C$7="",$F1340=CARI!$C$7),OR(CARI!$C$8="",$O1340=CARI!$C$8)),MAX($U$3:U1339)+1,""))</f>
        <v/>
      </c>
      <c r="V1340" s="40" t="str">
        <f aca="false">IF($T1340="","",MAX($V$3:V1339)+1)</f>
        <v/>
      </c>
      <c r="W1340" s="40" t="str">
        <f aca="false">IF($E1340="","",$E1340&amp;"#"&amp;COUNTIF($E$4:$E1340,$E1340))</f>
        <v/>
      </c>
      <c r="X1340" s="40" t="str">
        <f aca="false">IF($B1340="","",IF(AND(OR(CETAK!$J$10="",$E1340=CETAK!$J$10),OR(CETAK!$J$11="",$F1340=CETAK!$J$11),OR(CETAK!$J$12="",$K1340=CETAK!$J$12),OR(CETAK!$J$13="",$H1340=CETAK!$J$13),OR(CETAK!$J$14="",$O1340=CETAK!$J$14)),MAX($X$3:X1339)+1,""))</f>
        <v/>
      </c>
      <c r="Y1340" s="40" t="str">
        <f aca="false">IF($B1340="","",IF(AND(OR(ABSENSI!$H$10="",$E1340=ABSENSI!$H$10),OR(ABSENSI!$H$11="",$F1340=ABSENSI!$H$11),OR(ABSENSI!$H$12="",$K1340=ABSENSI!$H$12)),MAX($Y$3:Y1339)+1,""))</f>
        <v/>
      </c>
      <c r="Z1340" s="40" t="str">
        <f aca="false">IF($B1340="","",IF(AND(OR(KARTU!$K$6="",$E1340=KARTU!$K$6),OR(KARTU!$K$7="",$F1340=KARTU!$K$7),OR(KARTU!$K$8="",$K1340=KARTU!$K$8)),MAX($Z$3:Z1339)+1,""))</f>
        <v/>
      </c>
    </row>
    <row r="1341" customFormat="false" ht="15" hidden="false" customHeight="false" outlineLevel="0" collapsed="false">
      <c r="A1341" s="36" t="str">
        <f aca="false">IF($B1341="","",COUNTA($B$4:$B1341))</f>
        <v/>
      </c>
      <c r="B1341" s="37"/>
      <c r="C1341" s="38"/>
      <c r="D1341" s="39"/>
      <c r="E1341" s="37"/>
      <c r="F1341" s="39"/>
      <c r="G1341" s="40" t="str">
        <f aca="false">IF(OR($E1341="",$F1341=""),"",$E1341&amp;" - RT "&amp;$F1341)</f>
        <v/>
      </c>
      <c r="H1341" s="37"/>
      <c r="I1341" s="38"/>
      <c r="J1341" s="37"/>
      <c r="K1341" s="39"/>
      <c r="L1341" s="41"/>
      <c r="M1341" s="36" t="str">
        <f aca="true">IF(OR($B1341="",$L1341=""),"",DATEDIF($L1341,TODAY(),"Y"))</f>
        <v/>
      </c>
      <c r="N1341" s="40" t="str">
        <f aca="false">IF($M1341="","",INDEX(usia_label,MATCH($M1341,usia_min,1)))</f>
        <v/>
      </c>
      <c r="O1341" s="37"/>
      <c r="P1341" s="41"/>
      <c r="Q1341" s="37"/>
      <c r="R1341" s="37"/>
      <c r="S1341" s="40" t="str">
        <f aca="false">IF($G1341="","",$G1341&amp;"#"&amp;COUNTIF($G$4:$G1341,$G1341))</f>
        <v/>
      </c>
      <c r="T1341" s="40" t="str">
        <f aca="false">IF($B1341="","",IF($C1341="","NIK kosong",IF(LEN($C1341)&lt;&gt;16,"NIK bukan 16 digit",IF(COUNTIF($C$4:$C$2003,$C1341&amp;"*")&gt;1,"NIK ganda",IF($E1341="","Kadus kosong",IF($F1341="","RT kosong",IF($H1341="","Jabatan kosong",IF($I1341="","No. HP kosong",IF($J1341="","Alamat kosong",IF(AND($M1341&lt;&gt;"",$M1341&lt;17),"Usia di bawah 17",""))))))))))</f>
        <v/>
      </c>
      <c r="U1341" s="40" t="str">
        <f aca="false">IF($B1341="","",IF(AND(OR(CARI!$C$5="",ISNUMBER(SEARCH(CARI!$C$5,$B1341&amp;" "&amp;$C1341&amp;" "&amp;$I1341&amp;" "&amp;$J1341&amp;" "&amp;$Q1341))),OR(CARI!$C$6="",$E1341=CARI!$C$6),OR(CARI!$C$7="",$F1341=CARI!$C$7),OR(CARI!$C$8="",$O1341=CARI!$C$8)),MAX($U$3:U1340)+1,""))</f>
        <v/>
      </c>
      <c r="V1341" s="40" t="str">
        <f aca="false">IF($T1341="","",MAX($V$3:V1340)+1)</f>
        <v/>
      </c>
      <c r="W1341" s="40" t="str">
        <f aca="false">IF($E1341="","",$E1341&amp;"#"&amp;COUNTIF($E$4:$E1341,$E1341))</f>
        <v/>
      </c>
      <c r="X1341" s="40" t="str">
        <f aca="false">IF($B1341="","",IF(AND(OR(CETAK!$J$10="",$E1341=CETAK!$J$10),OR(CETAK!$J$11="",$F1341=CETAK!$J$11),OR(CETAK!$J$12="",$K1341=CETAK!$J$12),OR(CETAK!$J$13="",$H1341=CETAK!$J$13),OR(CETAK!$J$14="",$O1341=CETAK!$J$14)),MAX($X$3:X1340)+1,""))</f>
        <v/>
      </c>
      <c r="Y1341" s="40" t="str">
        <f aca="false">IF($B1341="","",IF(AND(OR(ABSENSI!$H$10="",$E1341=ABSENSI!$H$10),OR(ABSENSI!$H$11="",$F1341=ABSENSI!$H$11),OR(ABSENSI!$H$12="",$K1341=ABSENSI!$H$12)),MAX($Y$3:Y1340)+1,""))</f>
        <v/>
      </c>
      <c r="Z1341" s="40" t="str">
        <f aca="false">IF($B1341="","",IF(AND(OR(KARTU!$K$6="",$E1341=KARTU!$K$6),OR(KARTU!$K$7="",$F1341=KARTU!$K$7),OR(KARTU!$K$8="",$K1341=KARTU!$K$8)),MAX($Z$3:Z1340)+1,""))</f>
        <v/>
      </c>
    </row>
    <row r="1342" customFormat="false" ht="15" hidden="false" customHeight="false" outlineLevel="0" collapsed="false">
      <c r="A1342" s="36" t="str">
        <f aca="false">IF($B1342="","",COUNTA($B$4:$B1342))</f>
        <v/>
      </c>
      <c r="B1342" s="37"/>
      <c r="C1342" s="38"/>
      <c r="D1342" s="39"/>
      <c r="E1342" s="37"/>
      <c r="F1342" s="39"/>
      <c r="G1342" s="40" t="str">
        <f aca="false">IF(OR($E1342="",$F1342=""),"",$E1342&amp;" - RT "&amp;$F1342)</f>
        <v/>
      </c>
      <c r="H1342" s="37"/>
      <c r="I1342" s="38"/>
      <c r="J1342" s="37"/>
      <c r="K1342" s="39"/>
      <c r="L1342" s="41"/>
      <c r="M1342" s="36" t="str">
        <f aca="true">IF(OR($B1342="",$L1342=""),"",DATEDIF($L1342,TODAY(),"Y"))</f>
        <v/>
      </c>
      <c r="N1342" s="40" t="str">
        <f aca="false">IF($M1342="","",INDEX(usia_label,MATCH($M1342,usia_min,1)))</f>
        <v/>
      </c>
      <c r="O1342" s="37"/>
      <c r="P1342" s="41"/>
      <c r="Q1342" s="37"/>
      <c r="R1342" s="37"/>
      <c r="S1342" s="40" t="str">
        <f aca="false">IF($G1342="","",$G1342&amp;"#"&amp;COUNTIF($G$4:$G1342,$G1342))</f>
        <v/>
      </c>
      <c r="T1342" s="40" t="str">
        <f aca="false">IF($B1342="","",IF($C1342="","NIK kosong",IF(LEN($C1342)&lt;&gt;16,"NIK bukan 16 digit",IF(COUNTIF($C$4:$C$2003,$C1342&amp;"*")&gt;1,"NIK ganda",IF($E1342="","Kadus kosong",IF($F1342="","RT kosong",IF($H1342="","Jabatan kosong",IF($I1342="","No. HP kosong",IF($J1342="","Alamat kosong",IF(AND($M1342&lt;&gt;"",$M1342&lt;17),"Usia di bawah 17",""))))))))))</f>
        <v/>
      </c>
      <c r="U1342" s="40" t="str">
        <f aca="false">IF($B1342="","",IF(AND(OR(CARI!$C$5="",ISNUMBER(SEARCH(CARI!$C$5,$B1342&amp;" "&amp;$C1342&amp;" "&amp;$I1342&amp;" "&amp;$J1342&amp;" "&amp;$Q1342))),OR(CARI!$C$6="",$E1342=CARI!$C$6),OR(CARI!$C$7="",$F1342=CARI!$C$7),OR(CARI!$C$8="",$O1342=CARI!$C$8)),MAX($U$3:U1341)+1,""))</f>
        <v/>
      </c>
      <c r="V1342" s="40" t="str">
        <f aca="false">IF($T1342="","",MAX($V$3:V1341)+1)</f>
        <v/>
      </c>
      <c r="W1342" s="40" t="str">
        <f aca="false">IF($E1342="","",$E1342&amp;"#"&amp;COUNTIF($E$4:$E1342,$E1342))</f>
        <v/>
      </c>
      <c r="X1342" s="40" t="str">
        <f aca="false">IF($B1342="","",IF(AND(OR(CETAK!$J$10="",$E1342=CETAK!$J$10),OR(CETAK!$J$11="",$F1342=CETAK!$J$11),OR(CETAK!$J$12="",$K1342=CETAK!$J$12),OR(CETAK!$J$13="",$H1342=CETAK!$J$13),OR(CETAK!$J$14="",$O1342=CETAK!$J$14)),MAX($X$3:X1341)+1,""))</f>
        <v/>
      </c>
      <c r="Y1342" s="40" t="str">
        <f aca="false">IF($B1342="","",IF(AND(OR(ABSENSI!$H$10="",$E1342=ABSENSI!$H$10),OR(ABSENSI!$H$11="",$F1342=ABSENSI!$H$11),OR(ABSENSI!$H$12="",$K1342=ABSENSI!$H$12)),MAX($Y$3:Y1341)+1,""))</f>
        <v/>
      </c>
      <c r="Z1342" s="40" t="str">
        <f aca="false">IF($B1342="","",IF(AND(OR(KARTU!$K$6="",$E1342=KARTU!$K$6),OR(KARTU!$K$7="",$F1342=KARTU!$K$7),OR(KARTU!$K$8="",$K1342=KARTU!$K$8)),MAX($Z$3:Z1341)+1,""))</f>
        <v/>
      </c>
    </row>
    <row r="1343" customFormat="false" ht="15" hidden="false" customHeight="false" outlineLevel="0" collapsed="false">
      <c r="A1343" s="36" t="str">
        <f aca="false">IF($B1343="","",COUNTA($B$4:$B1343))</f>
        <v/>
      </c>
      <c r="B1343" s="37"/>
      <c r="C1343" s="38"/>
      <c r="D1343" s="39"/>
      <c r="E1343" s="37"/>
      <c r="F1343" s="39"/>
      <c r="G1343" s="40" t="str">
        <f aca="false">IF(OR($E1343="",$F1343=""),"",$E1343&amp;" - RT "&amp;$F1343)</f>
        <v/>
      </c>
      <c r="H1343" s="37"/>
      <c r="I1343" s="38"/>
      <c r="J1343" s="37"/>
      <c r="K1343" s="39"/>
      <c r="L1343" s="41"/>
      <c r="M1343" s="36" t="str">
        <f aca="true">IF(OR($B1343="",$L1343=""),"",DATEDIF($L1343,TODAY(),"Y"))</f>
        <v/>
      </c>
      <c r="N1343" s="40" t="str">
        <f aca="false">IF($M1343="","",INDEX(usia_label,MATCH($M1343,usia_min,1)))</f>
        <v/>
      </c>
      <c r="O1343" s="37"/>
      <c r="P1343" s="41"/>
      <c r="Q1343" s="37"/>
      <c r="R1343" s="37"/>
      <c r="S1343" s="40" t="str">
        <f aca="false">IF($G1343="","",$G1343&amp;"#"&amp;COUNTIF($G$4:$G1343,$G1343))</f>
        <v/>
      </c>
      <c r="T1343" s="40" t="str">
        <f aca="false">IF($B1343="","",IF($C1343="","NIK kosong",IF(LEN($C1343)&lt;&gt;16,"NIK bukan 16 digit",IF(COUNTIF($C$4:$C$2003,$C1343&amp;"*")&gt;1,"NIK ganda",IF($E1343="","Kadus kosong",IF($F1343="","RT kosong",IF($H1343="","Jabatan kosong",IF($I1343="","No. HP kosong",IF($J1343="","Alamat kosong",IF(AND($M1343&lt;&gt;"",$M1343&lt;17),"Usia di bawah 17",""))))))))))</f>
        <v/>
      </c>
      <c r="U1343" s="40" t="str">
        <f aca="false">IF($B1343="","",IF(AND(OR(CARI!$C$5="",ISNUMBER(SEARCH(CARI!$C$5,$B1343&amp;" "&amp;$C1343&amp;" "&amp;$I1343&amp;" "&amp;$J1343&amp;" "&amp;$Q1343))),OR(CARI!$C$6="",$E1343=CARI!$C$6),OR(CARI!$C$7="",$F1343=CARI!$C$7),OR(CARI!$C$8="",$O1343=CARI!$C$8)),MAX($U$3:U1342)+1,""))</f>
        <v/>
      </c>
      <c r="V1343" s="40" t="str">
        <f aca="false">IF($T1343="","",MAX($V$3:V1342)+1)</f>
        <v/>
      </c>
      <c r="W1343" s="40" t="str">
        <f aca="false">IF($E1343="","",$E1343&amp;"#"&amp;COUNTIF($E$4:$E1343,$E1343))</f>
        <v/>
      </c>
      <c r="X1343" s="40" t="str">
        <f aca="false">IF($B1343="","",IF(AND(OR(CETAK!$J$10="",$E1343=CETAK!$J$10),OR(CETAK!$J$11="",$F1343=CETAK!$J$11),OR(CETAK!$J$12="",$K1343=CETAK!$J$12),OR(CETAK!$J$13="",$H1343=CETAK!$J$13),OR(CETAK!$J$14="",$O1343=CETAK!$J$14)),MAX($X$3:X1342)+1,""))</f>
        <v/>
      </c>
      <c r="Y1343" s="40" t="str">
        <f aca="false">IF($B1343="","",IF(AND(OR(ABSENSI!$H$10="",$E1343=ABSENSI!$H$10),OR(ABSENSI!$H$11="",$F1343=ABSENSI!$H$11),OR(ABSENSI!$H$12="",$K1343=ABSENSI!$H$12)),MAX($Y$3:Y1342)+1,""))</f>
        <v/>
      </c>
      <c r="Z1343" s="40" t="str">
        <f aca="false">IF($B1343="","",IF(AND(OR(KARTU!$K$6="",$E1343=KARTU!$K$6),OR(KARTU!$K$7="",$F1343=KARTU!$K$7),OR(KARTU!$K$8="",$K1343=KARTU!$K$8)),MAX($Z$3:Z1342)+1,""))</f>
        <v/>
      </c>
    </row>
    <row r="1344" customFormat="false" ht="15" hidden="false" customHeight="false" outlineLevel="0" collapsed="false">
      <c r="A1344" s="36" t="str">
        <f aca="false">IF($B1344="","",COUNTA($B$4:$B1344))</f>
        <v/>
      </c>
      <c r="B1344" s="37"/>
      <c r="C1344" s="38"/>
      <c r="D1344" s="39"/>
      <c r="E1344" s="37"/>
      <c r="F1344" s="39"/>
      <c r="G1344" s="40" t="str">
        <f aca="false">IF(OR($E1344="",$F1344=""),"",$E1344&amp;" - RT "&amp;$F1344)</f>
        <v/>
      </c>
      <c r="H1344" s="37"/>
      <c r="I1344" s="38"/>
      <c r="J1344" s="37"/>
      <c r="K1344" s="39"/>
      <c r="L1344" s="41"/>
      <c r="M1344" s="36" t="str">
        <f aca="true">IF(OR($B1344="",$L1344=""),"",DATEDIF($L1344,TODAY(),"Y"))</f>
        <v/>
      </c>
      <c r="N1344" s="40" t="str">
        <f aca="false">IF($M1344="","",INDEX(usia_label,MATCH($M1344,usia_min,1)))</f>
        <v/>
      </c>
      <c r="O1344" s="37"/>
      <c r="P1344" s="41"/>
      <c r="Q1344" s="37"/>
      <c r="R1344" s="37"/>
      <c r="S1344" s="40" t="str">
        <f aca="false">IF($G1344="","",$G1344&amp;"#"&amp;COUNTIF($G$4:$G1344,$G1344))</f>
        <v/>
      </c>
      <c r="T1344" s="40" t="str">
        <f aca="false">IF($B1344="","",IF($C1344="","NIK kosong",IF(LEN($C1344)&lt;&gt;16,"NIK bukan 16 digit",IF(COUNTIF($C$4:$C$2003,$C1344&amp;"*")&gt;1,"NIK ganda",IF($E1344="","Kadus kosong",IF($F1344="","RT kosong",IF($H1344="","Jabatan kosong",IF($I1344="","No. HP kosong",IF($J1344="","Alamat kosong",IF(AND($M1344&lt;&gt;"",$M1344&lt;17),"Usia di bawah 17",""))))))))))</f>
        <v/>
      </c>
      <c r="U1344" s="40" t="str">
        <f aca="false">IF($B1344="","",IF(AND(OR(CARI!$C$5="",ISNUMBER(SEARCH(CARI!$C$5,$B1344&amp;" "&amp;$C1344&amp;" "&amp;$I1344&amp;" "&amp;$J1344&amp;" "&amp;$Q1344))),OR(CARI!$C$6="",$E1344=CARI!$C$6),OR(CARI!$C$7="",$F1344=CARI!$C$7),OR(CARI!$C$8="",$O1344=CARI!$C$8)),MAX($U$3:U1343)+1,""))</f>
        <v/>
      </c>
      <c r="V1344" s="40" t="str">
        <f aca="false">IF($T1344="","",MAX($V$3:V1343)+1)</f>
        <v/>
      </c>
      <c r="W1344" s="40" t="str">
        <f aca="false">IF($E1344="","",$E1344&amp;"#"&amp;COUNTIF($E$4:$E1344,$E1344))</f>
        <v/>
      </c>
      <c r="X1344" s="40" t="str">
        <f aca="false">IF($B1344="","",IF(AND(OR(CETAK!$J$10="",$E1344=CETAK!$J$10),OR(CETAK!$J$11="",$F1344=CETAK!$J$11),OR(CETAK!$J$12="",$K1344=CETAK!$J$12),OR(CETAK!$J$13="",$H1344=CETAK!$J$13),OR(CETAK!$J$14="",$O1344=CETAK!$J$14)),MAX($X$3:X1343)+1,""))</f>
        <v/>
      </c>
      <c r="Y1344" s="40" t="str">
        <f aca="false">IF($B1344="","",IF(AND(OR(ABSENSI!$H$10="",$E1344=ABSENSI!$H$10),OR(ABSENSI!$H$11="",$F1344=ABSENSI!$H$11),OR(ABSENSI!$H$12="",$K1344=ABSENSI!$H$12)),MAX($Y$3:Y1343)+1,""))</f>
        <v/>
      </c>
      <c r="Z1344" s="40" t="str">
        <f aca="false">IF($B1344="","",IF(AND(OR(KARTU!$K$6="",$E1344=KARTU!$K$6),OR(KARTU!$K$7="",$F1344=KARTU!$K$7),OR(KARTU!$K$8="",$K1344=KARTU!$K$8)),MAX($Z$3:Z1343)+1,""))</f>
        <v/>
      </c>
    </row>
    <row r="1345" customFormat="false" ht="15" hidden="false" customHeight="false" outlineLevel="0" collapsed="false">
      <c r="A1345" s="36" t="str">
        <f aca="false">IF($B1345="","",COUNTA($B$4:$B1345))</f>
        <v/>
      </c>
      <c r="B1345" s="37"/>
      <c r="C1345" s="38"/>
      <c r="D1345" s="39"/>
      <c r="E1345" s="37"/>
      <c r="F1345" s="39"/>
      <c r="G1345" s="40" t="str">
        <f aca="false">IF(OR($E1345="",$F1345=""),"",$E1345&amp;" - RT "&amp;$F1345)</f>
        <v/>
      </c>
      <c r="H1345" s="37"/>
      <c r="I1345" s="38"/>
      <c r="J1345" s="37"/>
      <c r="K1345" s="39"/>
      <c r="L1345" s="41"/>
      <c r="M1345" s="36" t="str">
        <f aca="true">IF(OR($B1345="",$L1345=""),"",DATEDIF($L1345,TODAY(),"Y"))</f>
        <v/>
      </c>
      <c r="N1345" s="40" t="str">
        <f aca="false">IF($M1345="","",INDEX(usia_label,MATCH($M1345,usia_min,1)))</f>
        <v/>
      </c>
      <c r="O1345" s="37"/>
      <c r="P1345" s="41"/>
      <c r="Q1345" s="37"/>
      <c r="R1345" s="37"/>
      <c r="S1345" s="40" t="str">
        <f aca="false">IF($G1345="","",$G1345&amp;"#"&amp;COUNTIF($G$4:$G1345,$G1345))</f>
        <v/>
      </c>
      <c r="T1345" s="40" t="str">
        <f aca="false">IF($B1345="","",IF($C1345="","NIK kosong",IF(LEN($C1345)&lt;&gt;16,"NIK bukan 16 digit",IF(COUNTIF($C$4:$C$2003,$C1345&amp;"*")&gt;1,"NIK ganda",IF($E1345="","Kadus kosong",IF($F1345="","RT kosong",IF($H1345="","Jabatan kosong",IF($I1345="","No. HP kosong",IF($J1345="","Alamat kosong",IF(AND($M1345&lt;&gt;"",$M1345&lt;17),"Usia di bawah 17",""))))))))))</f>
        <v/>
      </c>
      <c r="U1345" s="40" t="str">
        <f aca="false">IF($B1345="","",IF(AND(OR(CARI!$C$5="",ISNUMBER(SEARCH(CARI!$C$5,$B1345&amp;" "&amp;$C1345&amp;" "&amp;$I1345&amp;" "&amp;$J1345&amp;" "&amp;$Q1345))),OR(CARI!$C$6="",$E1345=CARI!$C$6),OR(CARI!$C$7="",$F1345=CARI!$C$7),OR(CARI!$C$8="",$O1345=CARI!$C$8)),MAX($U$3:U1344)+1,""))</f>
        <v/>
      </c>
      <c r="V1345" s="40" t="str">
        <f aca="false">IF($T1345="","",MAX($V$3:V1344)+1)</f>
        <v/>
      </c>
      <c r="W1345" s="40" t="str">
        <f aca="false">IF($E1345="","",$E1345&amp;"#"&amp;COUNTIF($E$4:$E1345,$E1345))</f>
        <v/>
      </c>
      <c r="X1345" s="40" t="str">
        <f aca="false">IF($B1345="","",IF(AND(OR(CETAK!$J$10="",$E1345=CETAK!$J$10),OR(CETAK!$J$11="",$F1345=CETAK!$J$11),OR(CETAK!$J$12="",$K1345=CETAK!$J$12),OR(CETAK!$J$13="",$H1345=CETAK!$J$13),OR(CETAK!$J$14="",$O1345=CETAK!$J$14)),MAX($X$3:X1344)+1,""))</f>
        <v/>
      </c>
      <c r="Y1345" s="40" t="str">
        <f aca="false">IF($B1345="","",IF(AND(OR(ABSENSI!$H$10="",$E1345=ABSENSI!$H$10),OR(ABSENSI!$H$11="",$F1345=ABSENSI!$H$11),OR(ABSENSI!$H$12="",$K1345=ABSENSI!$H$12)),MAX($Y$3:Y1344)+1,""))</f>
        <v/>
      </c>
      <c r="Z1345" s="40" t="str">
        <f aca="false">IF($B1345="","",IF(AND(OR(KARTU!$K$6="",$E1345=KARTU!$K$6),OR(KARTU!$K$7="",$F1345=KARTU!$K$7),OR(KARTU!$K$8="",$K1345=KARTU!$K$8)),MAX($Z$3:Z1344)+1,""))</f>
        <v/>
      </c>
    </row>
    <row r="1346" customFormat="false" ht="15" hidden="false" customHeight="false" outlineLevel="0" collapsed="false">
      <c r="A1346" s="36" t="str">
        <f aca="false">IF($B1346="","",COUNTA($B$4:$B1346))</f>
        <v/>
      </c>
      <c r="B1346" s="37"/>
      <c r="C1346" s="38"/>
      <c r="D1346" s="39"/>
      <c r="E1346" s="37"/>
      <c r="F1346" s="39"/>
      <c r="G1346" s="40" t="str">
        <f aca="false">IF(OR($E1346="",$F1346=""),"",$E1346&amp;" - RT "&amp;$F1346)</f>
        <v/>
      </c>
      <c r="H1346" s="37"/>
      <c r="I1346" s="38"/>
      <c r="J1346" s="37"/>
      <c r="K1346" s="39"/>
      <c r="L1346" s="41"/>
      <c r="M1346" s="36" t="str">
        <f aca="true">IF(OR($B1346="",$L1346=""),"",DATEDIF($L1346,TODAY(),"Y"))</f>
        <v/>
      </c>
      <c r="N1346" s="40" t="str">
        <f aca="false">IF($M1346="","",INDEX(usia_label,MATCH($M1346,usia_min,1)))</f>
        <v/>
      </c>
      <c r="O1346" s="37"/>
      <c r="P1346" s="41"/>
      <c r="Q1346" s="37"/>
      <c r="R1346" s="37"/>
      <c r="S1346" s="40" t="str">
        <f aca="false">IF($G1346="","",$G1346&amp;"#"&amp;COUNTIF($G$4:$G1346,$G1346))</f>
        <v/>
      </c>
      <c r="T1346" s="40" t="str">
        <f aca="false">IF($B1346="","",IF($C1346="","NIK kosong",IF(LEN($C1346)&lt;&gt;16,"NIK bukan 16 digit",IF(COUNTIF($C$4:$C$2003,$C1346&amp;"*")&gt;1,"NIK ganda",IF($E1346="","Kadus kosong",IF($F1346="","RT kosong",IF($H1346="","Jabatan kosong",IF($I1346="","No. HP kosong",IF($J1346="","Alamat kosong",IF(AND($M1346&lt;&gt;"",$M1346&lt;17),"Usia di bawah 17",""))))))))))</f>
        <v/>
      </c>
      <c r="U1346" s="40" t="str">
        <f aca="false">IF($B1346="","",IF(AND(OR(CARI!$C$5="",ISNUMBER(SEARCH(CARI!$C$5,$B1346&amp;" "&amp;$C1346&amp;" "&amp;$I1346&amp;" "&amp;$J1346&amp;" "&amp;$Q1346))),OR(CARI!$C$6="",$E1346=CARI!$C$6),OR(CARI!$C$7="",$F1346=CARI!$C$7),OR(CARI!$C$8="",$O1346=CARI!$C$8)),MAX($U$3:U1345)+1,""))</f>
        <v/>
      </c>
      <c r="V1346" s="40" t="str">
        <f aca="false">IF($T1346="","",MAX($V$3:V1345)+1)</f>
        <v/>
      </c>
      <c r="W1346" s="40" t="str">
        <f aca="false">IF($E1346="","",$E1346&amp;"#"&amp;COUNTIF($E$4:$E1346,$E1346))</f>
        <v/>
      </c>
      <c r="X1346" s="40" t="str">
        <f aca="false">IF($B1346="","",IF(AND(OR(CETAK!$J$10="",$E1346=CETAK!$J$10),OR(CETAK!$J$11="",$F1346=CETAK!$J$11),OR(CETAK!$J$12="",$K1346=CETAK!$J$12),OR(CETAK!$J$13="",$H1346=CETAK!$J$13),OR(CETAK!$J$14="",$O1346=CETAK!$J$14)),MAX($X$3:X1345)+1,""))</f>
        <v/>
      </c>
      <c r="Y1346" s="40" t="str">
        <f aca="false">IF($B1346="","",IF(AND(OR(ABSENSI!$H$10="",$E1346=ABSENSI!$H$10),OR(ABSENSI!$H$11="",$F1346=ABSENSI!$H$11),OR(ABSENSI!$H$12="",$K1346=ABSENSI!$H$12)),MAX($Y$3:Y1345)+1,""))</f>
        <v/>
      </c>
      <c r="Z1346" s="40" t="str">
        <f aca="false">IF($B1346="","",IF(AND(OR(KARTU!$K$6="",$E1346=KARTU!$K$6),OR(KARTU!$K$7="",$F1346=KARTU!$K$7),OR(KARTU!$K$8="",$K1346=KARTU!$K$8)),MAX($Z$3:Z1345)+1,""))</f>
        <v/>
      </c>
    </row>
    <row r="1347" customFormat="false" ht="15" hidden="false" customHeight="false" outlineLevel="0" collapsed="false">
      <c r="A1347" s="36" t="str">
        <f aca="false">IF($B1347="","",COUNTA($B$4:$B1347))</f>
        <v/>
      </c>
      <c r="B1347" s="37"/>
      <c r="C1347" s="38"/>
      <c r="D1347" s="39"/>
      <c r="E1347" s="37"/>
      <c r="F1347" s="39"/>
      <c r="G1347" s="40" t="str">
        <f aca="false">IF(OR($E1347="",$F1347=""),"",$E1347&amp;" - RT "&amp;$F1347)</f>
        <v/>
      </c>
      <c r="H1347" s="37"/>
      <c r="I1347" s="38"/>
      <c r="J1347" s="37"/>
      <c r="K1347" s="39"/>
      <c r="L1347" s="41"/>
      <c r="M1347" s="36" t="str">
        <f aca="true">IF(OR($B1347="",$L1347=""),"",DATEDIF($L1347,TODAY(),"Y"))</f>
        <v/>
      </c>
      <c r="N1347" s="40" t="str">
        <f aca="false">IF($M1347="","",INDEX(usia_label,MATCH($M1347,usia_min,1)))</f>
        <v/>
      </c>
      <c r="O1347" s="37"/>
      <c r="P1347" s="41"/>
      <c r="Q1347" s="37"/>
      <c r="R1347" s="37"/>
      <c r="S1347" s="40" t="str">
        <f aca="false">IF($G1347="","",$G1347&amp;"#"&amp;COUNTIF($G$4:$G1347,$G1347))</f>
        <v/>
      </c>
      <c r="T1347" s="40" t="str">
        <f aca="false">IF($B1347="","",IF($C1347="","NIK kosong",IF(LEN($C1347)&lt;&gt;16,"NIK bukan 16 digit",IF(COUNTIF($C$4:$C$2003,$C1347&amp;"*")&gt;1,"NIK ganda",IF($E1347="","Kadus kosong",IF($F1347="","RT kosong",IF($H1347="","Jabatan kosong",IF($I1347="","No. HP kosong",IF($J1347="","Alamat kosong",IF(AND($M1347&lt;&gt;"",$M1347&lt;17),"Usia di bawah 17",""))))))))))</f>
        <v/>
      </c>
      <c r="U1347" s="40" t="str">
        <f aca="false">IF($B1347="","",IF(AND(OR(CARI!$C$5="",ISNUMBER(SEARCH(CARI!$C$5,$B1347&amp;" "&amp;$C1347&amp;" "&amp;$I1347&amp;" "&amp;$J1347&amp;" "&amp;$Q1347))),OR(CARI!$C$6="",$E1347=CARI!$C$6),OR(CARI!$C$7="",$F1347=CARI!$C$7),OR(CARI!$C$8="",$O1347=CARI!$C$8)),MAX($U$3:U1346)+1,""))</f>
        <v/>
      </c>
      <c r="V1347" s="40" t="str">
        <f aca="false">IF($T1347="","",MAX($V$3:V1346)+1)</f>
        <v/>
      </c>
      <c r="W1347" s="40" t="str">
        <f aca="false">IF($E1347="","",$E1347&amp;"#"&amp;COUNTIF($E$4:$E1347,$E1347))</f>
        <v/>
      </c>
      <c r="X1347" s="40" t="str">
        <f aca="false">IF($B1347="","",IF(AND(OR(CETAK!$J$10="",$E1347=CETAK!$J$10),OR(CETAK!$J$11="",$F1347=CETAK!$J$11),OR(CETAK!$J$12="",$K1347=CETAK!$J$12),OR(CETAK!$J$13="",$H1347=CETAK!$J$13),OR(CETAK!$J$14="",$O1347=CETAK!$J$14)),MAX($X$3:X1346)+1,""))</f>
        <v/>
      </c>
      <c r="Y1347" s="40" t="str">
        <f aca="false">IF($B1347="","",IF(AND(OR(ABSENSI!$H$10="",$E1347=ABSENSI!$H$10),OR(ABSENSI!$H$11="",$F1347=ABSENSI!$H$11),OR(ABSENSI!$H$12="",$K1347=ABSENSI!$H$12)),MAX($Y$3:Y1346)+1,""))</f>
        <v/>
      </c>
      <c r="Z1347" s="40" t="str">
        <f aca="false">IF($B1347="","",IF(AND(OR(KARTU!$K$6="",$E1347=KARTU!$K$6),OR(KARTU!$K$7="",$F1347=KARTU!$K$7),OR(KARTU!$K$8="",$K1347=KARTU!$K$8)),MAX($Z$3:Z1346)+1,""))</f>
        <v/>
      </c>
    </row>
    <row r="1348" customFormat="false" ht="15" hidden="false" customHeight="false" outlineLevel="0" collapsed="false">
      <c r="A1348" s="36" t="str">
        <f aca="false">IF($B1348="","",COUNTA($B$4:$B1348))</f>
        <v/>
      </c>
      <c r="B1348" s="37"/>
      <c r="C1348" s="38"/>
      <c r="D1348" s="39"/>
      <c r="E1348" s="37"/>
      <c r="F1348" s="39"/>
      <c r="G1348" s="40" t="str">
        <f aca="false">IF(OR($E1348="",$F1348=""),"",$E1348&amp;" - RT "&amp;$F1348)</f>
        <v/>
      </c>
      <c r="H1348" s="37"/>
      <c r="I1348" s="38"/>
      <c r="J1348" s="37"/>
      <c r="K1348" s="39"/>
      <c r="L1348" s="41"/>
      <c r="M1348" s="36" t="str">
        <f aca="true">IF(OR($B1348="",$L1348=""),"",DATEDIF($L1348,TODAY(),"Y"))</f>
        <v/>
      </c>
      <c r="N1348" s="40" t="str">
        <f aca="false">IF($M1348="","",INDEX(usia_label,MATCH($M1348,usia_min,1)))</f>
        <v/>
      </c>
      <c r="O1348" s="37"/>
      <c r="P1348" s="41"/>
      <c r="Q1348" s="37"/>
      <c r="R1348" s="37"/>
      <c r="S1348" s="40" t="str">
        <f aca="false">IF($G1348="","",$G1348&amp;"#"&amp;COUNTIF($G$4:$G1348,$G1348))</f>
        <v/>
      </c>
      <c r="T1348" s="40" t="str">
        <f aca="false">IF($B1348="","",IF($C1348="","NIK kosong",IF(LEN($C1348)&lt;&gt;16,"NIK bukan 16 digit",IF(COUNTIF($C$4:$C$2003,$C1348&amp;"*")&gt;1,"NIK ganda",IF($E1348="","Kadus kosong",IF($F1348="","RT kosong",IF($H1348="","Jabatan kosong",IF($I1348="","No. HP kosong",IF($J1348="","Alamat kosong",IF(AND($M1348&lt;&gt;"",$M1348&lt;17),"Usia di bawah 17",""))))))))))</f>
        <v/>
      </c>
      <c r="U1348" s="40" t="str">
        <f aca="false">IF($B1348="","",IF(AND(OR(CARI!$C$5="",ISNUMBER(SEARCH(CARI!$C$5,$B1348&amp;" "&amp;$C1348&amp;" "&amp;$I1348&amp;" "&amp;$J1348&amp;" "&amp;$Q1348))),OR(CARI!$C$6="",$E1348=CARI!$C$6),OR(CARI!$C$7="",$F1348=CARI!$C$7),OR(CARI!$C$8="",$O1348=CARI!$C$8)),MAX($U$3:U1347)+1,""))</f>
        <v/>
      </c>
      <c r="V1348" s="40" t="str">
        <f aca="false">IF($T1348="","",MAX($V$3:V1347)+1)</f>
        <v/>
      </c>
      <c r="W1348" s="40" t="str">
        <f aca="false">IF($E1348="","",$E1348&amp;"#"&amp;COUNTIF($E$4:$E1348,$E1348))</f>
        <v/>
      </c>
      <c r="X1348" s="40" t="str">
        <f aca="false">IF($B1348="","",IF(AND(OR(CETAK!$J$10="",$E1348=CETAK!$J$10),OR(CETAK!$J$11="",$F1348=CETAK!$J$11),OR(CETAK!$J$12="",$K1348=CETAK!$J$12),OR(CETAK!$J$13="",$H1348=CETAK!$J$13),OR(CETAK!$J$14="",$O1348=CETAK!$J$14)),MAX($X$3:X1347)+1,""))</f>
        <v/>
      </c>
      <c r="Y1348" s="40" t="str">
        <f aca="false">IF($B1348="","",IF(AND(OR(ABSENSI!$H$10="",$E1348=ABSENSI!$H$10),OR(ABSENSI!$H$11="",$F1348=ABSENSI!$H$11),OR(ABSENSI!$H$12="",$K1348=ABSENSI!$H$12)),MAX($Y$3:Y1347)+1,""))</f>
        <v/>
      </c>
      <c r="Z1348" s="40" t="str">
        <f aca="false">IF($B1348="","",IF(AND(OR(KARTU!$K$6="",$E1348=KARTU!$K$6),OR(KARTU!$K$7="",$F1348=KARTU!$K$7),OR(KARTU!$K$8="",$K1348=KARTU!$K$8)),MAX($Z$3:Z1347)+1,""))</f>
        <v/>
      </c>
    </row>
    <row r="1349" customFormat="false" ht="15" hidden="false" customHeight="false" outlineLevel="0" collapsed="false">
      <c r="A1349" s="36" t="str">
        <f aca="false">IF($B1349="","",COUNTA($B$4:$B1349))</f>
        <v/>
      </c>
      <c r="B1349" s="37"/>
      <c r="C1349" s="38"/>
      <c r="D1349" s="39"/>
      <c r="E1349" s="37"/>
      <c r="F1349" s="39"/>
      <c r="G1349" s="40" t="str">
        <f aca="false">IF(OR($E1349="",$F1349=""),"",$E1349&amp;" - RT "&amp;$F1349)</f>
        <v/>
      </c>
      <c r="H1349" s="37"/>
      <c r="I1349" s="38"/>
      <c r="J1349" s="37"/>
      <c r="K1349" s="39"/>
      <c r="L1349" s="41"/>
      <c r="M1349" s="36" t="str">
        <f aca="true">IF(OR($B1349="",$L1349=""),"",DATEDIF($L1349,TODAY(),"Y"))</f>
        <v/>
      </c>
      <c r="N1349" s="40" t="str">
        <f aca="false">IF($M1349="","",INDEX(usia_label,MATCH($M1349,usia_min,1)))</f>
        <v/>
      </c>
      <c r="O1349" s="37"/>
      <c r="P1349" s="41"/>
      <c r="Q1349" s="37"/>
      <c r="R1349" s="37"/>
      <c r="S1349" s="40" t="str">
        <f aca="false">IF($G1349="","",$G1349&amp;"#"&amp;COUNTIF($G$4:$G1349,$G1349))</f>
        <v/>
      </c>
      <c r="T1349" s="40" t="str">
        <f aca="false">IF($B1349="","",IF($C1349="","NIK kosong",IF(LEN($C1349)&lt;&gt;16,"NIK bukan 16 digit",IF(COUNTIF($C$4:$C$2003,$C1349&amp;"*")&gt;1,"NIK ganda",IF($E1349="","Kadus kosong",IF($F1349="","RT kosong",IF($H1349="","Jabatan kosong",IF($I1349="","No. HP kosong",IF($J1349="","Alamat kosong",IF(AND($M1349&lt;&gt;"",$M1349&lt;17),"Usia di bawah 17",""))))))))))</f>
        <v/>
      </c>
      <c r="U1349" s="40" t="str">
        <f aca="false">IF($B1349="","",IF(AND(OR(CARI!$C$5="",ISNUMBER(SEARCH(CARI!$C$5,$B1349&amp;" "&amp;$C1349&amp;" "&amp;$I1349&amp;" "&amp;$J1349&amp;" "&amp;$Q1349))),OR(CARI!$C$6="",$E1349=CARI!$C$6),OR(CARI!$C$7="",$F1349=CARI!$C$7),OR(CARI!$C$8="",$O1349=CARI!$C$8)),MAX($U$3:U1348)+1,""))</f>
        <v/>
      </c>
      <c r="V1349" s="40" t="str">
        <f aca="false">IF($T1349="","",MAX($V$3:V1348)+1)</f>
        <v/>
      </c>
      <c r="W1349" s="40" t="str">
        <f aca="false">IF($E1349="","",$E1349&amp;"#"&amp;COUNTIF($E$4:$E1349,$E1349))</f>
        <v/>
      </c>
      <c r="X1349" s="40" t="str">
        <f aca="false">IF($B1349="","",IF(AND(OR(CETAK!$J$10="",$E1349=CETAK!$J$10),OR(CETAK!$J$11="",$F1349=CETAK!$J$11),OR(CETAK!$J$12="",$K1349=CETAK!$J$12),OR(CETAK!$J$13="",$H1349=CETAK!$J$13),OR(CETAK!$J$14="",$O1349=CETAK!$J$14)),MAX($X$3:X1348)+1,""))</f>
        <v/>
      </c>
      <c r="Y1349" s="40" t="str">
        <f aca="false">IF($B1349="","",IF(AND(OR(ABSENSI!$H$10="",$E1349=ABSENSI!$H$10),OR(ABSENSI!$H$11="",$F1349=ABSENSI!$H$11),OR(ABSENSI!$H$12="",$K1349=ABSENSI!$H$12)),MAX($Y$3:Y1348)+1,""))</f>
        <v/>
      </c>
      <c r="Z1349" s="40" t="str">
        <f aca="false">IF($B1349="","",IF(AND(OR(KARTU!$K$6="",$E1349=KARTU!$K$6),OR(KARTU!$K$7="",$F1349=KARTU!$K$7),OR(KARTU!$K$8="",$K1349=KARTU!$K$8)),MAX($Z$3:Z1348)+1,""))</f>
        <v/>
      </c>
    </row>
    <row r="1350" customFormat="false" ht="15" hidden="false" customHeight="false" outlineLevel="0" collapsed="false">
      <c r="A1350" s="36" t="str">
        <f aca="false">IF($B1350="","",COUNTA($B$4:$B1350))</f>
        <v/>
      </c>
      <c r="B1350" s="37"/>
      <c r="C1350" s="38"/>
      <c r="D1350" s="39"/>
      <c r="E1350" s="37"/>
      <c r="F1350" s="39"/>
      <c r="G1350" s="40" t="str">
        <f aca="false">IF(OR($E1350="",$F1350=""),"",$E1350&amp;" - RT "&amp;$F1350)</f>
        <v/>
      </c>
      <c r="H1350" s="37"/>
      <c r="I1350" s="38"/>
      <c r="J1350" s="37"/>
      <c r="K1350" s="39"/>
      <c r="L1350" s="41"/>
      <c r="M1350" s="36" t="str">
        <f aca="true">IF(OR($B1350="",$L1350=""),"",DATEDIF($L1350,TODAY(),"Y"))</f>
        <v/>
      </c>
      <c r="N1350" s="40" t="str">
        <f aca="false">IF($M1350="","",INDEX(usia_label,MATCH($M1350,usia_min,1)))</f>
        <v/>
      </c>
      <c r="O1350" s="37"/>
      <c r="P1350" s="41"/>
      <c r="Q1350" s="37"/>
      <c r="R1350" s="37"/>
      <c r="S1350" s="40" t="str">
        <f aca="false">IF($G1350="","",$G1350&amp;"#"&amp;COUNTIF($G$4:$G1350,$G1350))</f>
        <v/>
      </c>
      <c r="T1350" s="40" t="str">
        <f aca="false">IF($B1350="","",IF($C1350="","NIK kosong",IF(LEN($C1350)&lt;&gt;16,"NIK bukan 16 digit",IF(COUNTIF($C$4:$C$2003,$C1350&amp;"*")&gt;1,"NIK ganda",IF($E1350="","Kadus kosong",IF($F1350="","RT kosong",IF($H1350="","Jabatan kosong",IF($I1350="","No. HP kosong",IF($J1350="","Alamat kosong",IF(AND($M1350&lt;&gt;"",$M1350&lt;17),"Usia di bawah 17",""))))))))))</f>
        <v/>
      </c>
      <c r="U1350" s="40" t="str">
        <f aca="false">IF($B1350="","",IF(AND(OR(CARI!$C$5="",ISNUMBER(SEARCH(CARI!$C$5,$B1350&amp;" "&amp;$C1350&amp;" "&amp;$I1350&amp;" "&amp;$J1350&amp;" "&amp;$Q1350))),OR(CARI!$C$6="",$E1350=CARI!$C$6),OR(CARI!$C$7="",$F1350=CARI!$C$7),OR(CARI!$C$8="",$O1350=CARI!$C$8)),MAX($U$3:U1349)+1,""))</f>
        <v/>
      </c>
      <c r="V1350" s="40" t="str">
        <f aca="false">IF($T1350="","",MAX($V$3:V1349)+1)</f>
        <v/>
      </c>
      <c r="W1350" s="40" t="str">
        <f aca="false">IF($E1350="","",$E1350&amp;"#"&amp;COUNTIF($E$4:$E1350,$E1350))</f>
        <v/>
      </c>
      <c r="X1350" s="40" t="str">
        <f aca="false">IF($B1350="","",IF(AND(OR(CETAK!$J$10="",$E1350=CETAK!$J$10),OR(CETAK!$J$11="",$F1350=CETAK!$J$11),OR(CETAK!$J$12="",$K1350=CETAK!$J$12),OR(CETAK!$J$13="",$H1350=CETAK!$J$13),OR(CETAK!$J$14="",$O1350=CETAK!$J$14)),MAX($X$3:X1349)+1,""))</f>
        <v/>
      </c>
      <c r="Y1350" s="40" t="str">
        <f aca="false">IF($B1350="","",IF(AND(OR(ABSENSI!$H$10="",$E1350=ABSENSI!$H$10),OR(ABSENSI!$H$11="",$F1350=ABSENSI!$H$11),OR(ABSENSI!$H$12="",$K1350=ABSENSI!$H$12)),MAX($Y$3:Y1349)+1,""))</f>
        <v/>
      </c>
      <c r="Z1350" s="40" t="str">
        <f aca="false">IF($B1350="","",IF(AND(OR(KARTU!$K$6="",$E1350=KARTU!$K$6),OR(KARTU!$K$7="",$F1350=KARTU!$K$7),OR(KARTU!$K$8="",$K1350=KARTU!$K$8)),MAX($Z$3:Z1349)+1,""))</f>
        <v/>
      </c>
    </row>
    <row r="1351" customFormat="false" ht="15" hidden="false" customHeight="false" outlineLevel="0" collapsed="false">
      <c r="A1351" s="36" t="str">
        <f aca="false">IF($B1351="","",COUNTA($B$4:$B1351))</f>
        <v/>
      </c>
      <c r="B1351" s="37"/>
      <c r="C1351" s="38"/>
      <c r="D1351" s="39"/>
      <c r="E1351" s="37"/>
      <c r="F1351" s="39"/>
      <c r="G1351" s="40" t="str">
        <f aca="false">IF(OR($E1351="",$F1351=""),"",$E1351&amp;" - RT "&amp;$F1351)</f>
        <v/>
      </c>
      <c r="H1351" s="37"/>
      <c r="I1351" s="38"/>
      <c r="J1351" s="37"/>
      <c r="K1351" s="39"/>
      <c r="L1351" s="41"/>
      <c r="M1351" s="36" t="str">
        <f aca="true">IF(OR($B1351="",$L1351=""),"",DATEDIF($L1351,TODAY(),"Y"))</f>
        <v/>
      </c>
      <c r="N1351" s="40" t="str">
        <f aca="false">IF($M1351="","",INDEX(usia_label,MATCH($M1351,usia_min,1)))</f>
        <v/>
      </c>
      <c r="O1351" s="37"/>
      <c r="P1351" s="41"/>
      <c r="Q1351" s="37"/>
      <c r="R1351" s="37"/>
      <c r="S1351" s="40" t="str">
        <f aca="false">IF($G1351="","",$G1351&amp;"#"&amp;COUNTIF($G$4:$G1351,$G1351))</f>
        <v/>
      </c>
      <c r="T1351" s="40" t="str">
        <f aca="false">IF($B1351="","",IF($C1351="","NIK kosong",IF(LEN($C1351)&lt;&gt;16,"NIK bukan 16 digit",IF(COUNTIF($C$4:$C$2003,$C1351&amp;"*")&gt;1,"NIK ganda",IF($E1351="","Kadus kosong",IF($F1351="","RT kosong",IF($H1351="","Jabatan kosong",IF($I1351="","No. HP kosong",IF($J1351="","Alamat kosong",IF(AND($M1351&lt;&gt;"",$M1351&lt;17),"Usia di bawah 17",""))))))))))</f>
        <v/>
      </c>
      <c r="U1351" s="40" t="str">
        <f aca="false">IF($B1351="","",IF(AND(OR(CARI!$C$5="",ISNUMBER(SEARCH(CARI!$C$5,$B1351&amp;" "&amp;$C1351&amp;" "&amp;$I1351&amp;" "&amp;$J1351&amp;" "&amp;$Q1351))),OR(CARI!$C$6="",$E1351=CARI!$C$6),OR(CARI!$C$7="",$F1351=CARI!$C$7),OR(CARI!$C$8="",$O1351=CARI!$C$8)),MAX($U$3:U1350)+1,""))</f>
        <v/>
      </c>
      <c r="V1351" s="40" t="str">
        <f aca="false">IF($T1351="","",MAX($V$3:V1350)+1)</f>
        <v/>
      </c>
      <c r="W1351" s="40" t="str">
        <f aca="false">IF($E1351="","",$E1351&amp;"#"&amp;COUNTIF($E$4:$E1351,$E1351))</f>
        <v/>
      </c>
      <c r="X1351" s="40" t="str">
        <f aca="false">IF($B1351="","",IF(AND(OR(CETAK!$J$10="",$E1351=CETAK!$J$10),OR(CETAK!$J$11="",$F1351=CETAK!$J$11),OR(CETAK!$J$12="",$K1351=CETAK!$J$12),OR(CETAK!$J$13="",$H1351=CETAK!$J$13),OR(CETAK!$J$14="",$O1351=CETAK!$J$14)),MAX($X$3:X1350)+1,""))</f>
        <v/>
      </c>
      <c r="Y1351" s="40" t="str">
        <f aca="false">IF($B1351="","",IF(AND(OR(ABSENSI!$H$10="",$E1351=ABSENSI!$H$10),OR(ABSENSI!$H$11="",$F1351=ABSENSI!$H$11),OR(ABSENSI!$H$12="",$K1351=ABSENSI!$H$12)),MAX($Y$3:Y1350)+1,""))</f>
        <v/>
      </c>
      <c r="Z1351" s="40" t="str">
        <f aca="false">IF($B1351="","",IF(AND(OR(KARTU!$K$6="",$E1351=KARTU!$K$6),OR(KARTU!$K$7="",$F1351=KARTU!$K$7),OR(KARTU!$K$8="",$K1351=KARTU!$K$8)),MAX($Z$3:Z1350)+1,""))</f>
        <v/>
      </c>
    </row>
    <row r="1352" customFormat="false" ht="15" hidden="false" customHeight="false" outlineLevel="0" collapsed="false">
      <c r="A1352" s="36" t="str">
        <f aca="false">IF($B1352="","",COUNTA($B$4:$B1352))</f>
        <v/>
      </c>
      <c r="B1352" s="37"/>
      <c r="C1352" s="38"/>
      <c r="D1352" s="39"/>
      <c r="E1352" s="37"/>
      <c r="F1352" s="39"/>
      <c r="G1352" s="40" t="str">
        <f aca="false">IF(OR($E1352="",$F1352=""),"",$E1352&amp;" - RT "&amp;$F1352)</f>
        <v/>
      </c>
      <c r="H1352" s="37"/>
      <c r="I1352" s="38"/>
      <c r="J1352" s="37"/>
      <c r="K1352" s="39"/>
      <c r="L1352" s="41"/>
      <c r="M1352" s="36" t="str">
        <f aca="true">IF(OR($B1352="",$L1352=""),"",DATEDIF($L1352,TODAY(),"Y"))</f>
        <v/>
      </c>
      <c r="N1352" s="40" t="str">
        <f aca="false">IF($M1352="","",INDEX(usia_label,MATCH($M1352,usia_min,1)))</f>
        <v/>
      </c>
      <c r="O1352" s="37"/>
      <c r="P1352" s="41"/>
      <c r="Q1352" s="37"/>
      <c r="R1352" s="37"/>
      <c r="S1352" s="40" t="str">
        <f aca="false">IF($G1352="","",$G1352&amp;"#"&amp;COUNTIF($G$4:$G1352,$G1352))</f>
        <v/>
      </c>
      <c r="T1352" s="40" t="str">
        <f aca="false">IF($B1352="","",IF($C1352="","NIK kosong",IF(LEN($C1352)&lt;&gt;16,"NIK bukan 16 digit",IF(COUNTIF($C$4:$C$2003,$C1352&amp;"*")&gt;1,"NIK ganda",IF($E1352="","Kadus kosong",IF($F1352="","RT kosong",IF($H1352="","Jabatan kosong",IF($I1352="","No. HP kosong",IF($J1352="","Alamat kosong",IF(AND($M1352&lt;&gt;"",$M1352&lt;17),"Usia di bawah 17",""))))))))))</f>
        <v/>
      </c>
      <c r="U1352" s="40" t="str">
        <f aca="false">IF($B1352="","",IF(AND(OR(CARI!$C$5="",ISNUMBER(SEARCH(CARI!$C$5,$B1352&amp;" "&amp;$C1352&amp;" "&amp;$I1352&amp;" "&amp;$J1352&amp;" "&amp;$Q1352))),OR(CARI!$C$6="",$E1352=CARI!$C$6),OR(CARI!$C$7="",$F1352=CARI!$C$7),OR(CARI!$C$8="",$O1352=CARI!$C$8)),MAX($U$3:U1351)+1,""))</f>
        <v/>
      </c>
      <c r="V1352" s="40" t="str">
        <f aca="false">IF($T1352="","",MAX($V$3:V1351)+1)</f>
        <v/>
      </c>
      <c r="W1352" s="40" t="str">
        <f aca="false">IF($E1352="","",$E1352&amp;"#"&amp;COUNTIF($E$4:$E1352,$E1352))</f>
        <v/>
      </c>
      <c r="X1352" s="40" t="str">
        <f aca="false">IF($B1352="","",IF(AND(OR(CETAK!$J$10="",$E1352=CETAK!$J$10),OR(CETAK!$J$11="",$F1352=CETAK!$J$11),OR(CETAK!$J$12="",$K1352=CETAK!$J$12),OR(CETAK!$J$13="",$H1352=CETAK!$J$13),OR(CETAK!$J$14="",$O1352=CETAK!$J$14)),MAX($X$3:X1351)+1,""))</f>
        <v/>
      </c>
      <c r="Y1352" s="40" t="str">
        <f aca="false">IF($B1352="","",IF(AND(OR(ABSENSI!$H$10="",$E1352=ABSENSI!$H$10),OR(ABSENSI!$H$11="",$F1352=ABSENSI!$H$11),OR(ABSENSI!$H$12="",$K1352=ABSENSI!$H$12)),MAX($Y$3:Y1351)+1,""))</f>
        <v/>
      </c>
      <c r="Z1352" s="40" t="str">
        <f aca="false">IF($B1352="","",IF(AND(OR(KARTU!$K$6="",$E1352=KARTU!$K$6),OR(KARTU!$K$7="",$F1352=KARTU!$K$7),OR(KARTU!$K$8="",$K1352=KARTU!$K$8)),MAX($Z$3:Z1351)+1,""))</f>
        <v/>
      </c>
    </row>
    <row r="1353" customFormat="false" ht="15" hidden="false" customHeight="false" outlineLevel="0" collapsed="false">
      <c r="A1353" s="36" t="str">
        <f aca="false">IF($B1353="","",COUNTA($B$4:$B1353))</f>
        <v/>
      </c>
      <c r="B1353" s="37"/>
      <c r="C1353" s="38"/>
      <c r="D1353" s="39"/>
      <c r="E1353" s="37"/>
      <c r="F1353" s="39"/>
      <c r="G1353" s="40" t="str">
        <f aca="false">IF(OR($E1353="",$F1353=""),"",$E1353&amp;" - RT "&amp;$F1353)</f>
        <v/>
      </c>
      <c r="H1353" s="37"/>
      <c r="I1353" s="38"/>
      <c r="J1353" s="37"/>
      <c r="K1353" s="39"/>
      <c r="L1353" s="41"/>
      <c r="M1353" s="36" t="str">
        <f aca="true">IF(OR($B1353="",$L1353=""),"",DATEDIF($L1353,TODAY(),"Y"))</f>
        <v/>
      </c>
      <c r="N1353" s="40" t="str">
        <f aca="false">IF($M1353="","",INDEX(usia_label,MATCH($M1353,usia_min,1)))</f>
        <v/>
      </c>
      <c r="O1353" s="37"/>
      <c r="P1353" s="41"/>
      <c r="Q1353" s="37"/>
      <c r="R1353" s="37"/>
      <c r="S1353" s="40" t="str">
        <f aca="false">IF($G1353="","",$G1353&amp;"#"&amp;COUNTIF($G$4:$G1353,$G1353))</f>
        <v/>
      </c>
      <c r="T1353" s="40" t="str">
        <f aca="false">IF($B1353="","",IF($C1353="","NIK kosong",IF(LEN($C1353)&lt;&gt;16,"NIK bukan 16 digit",IF(COUNTIF($C$4:$C$2003,$C1353&amp;"*")&gt;1,"NIK ganda",IF($E1353="","Kadus kosong",IF($F1353="","RT kosong",IF($H1353="","Jabatan kosong",IF($I1353="","No. HP kosong",IF($J1353="","Alamat kosong",IF(AND($M1353&lt;&gt;"",$M1353&lt;17),"Usia di bawah 17",""))))))))))</f>
        <v/>
      </c>
      <c r="U1353" s="40" t="str">
        <f aca="false">IF($B1353="","",IF(AND(OR(CARI!$C$5="",ISNUMBER(SEARCH(CARI!$C$5,$B1353&amp;" "&amp;$C1353&amp;" "&amp;$I1353&amp;" "&amp;$J1353&amp;" "&amp;$Q1353))),OR(CARI!$C$6="",$E1353=CARI!$C$6),OR(CARI!$C$7="",$F1353=CARI!$C$7),OR(CARI!$C$8="",$O1353=CARI!$C$8)),MAX($U$3:U1352)+1,""))</f>
        <v/>
      </c>
      <c r="V1353" s="40" t="str">
        <f aca="false">IF($T1353="","",MAX($V$3:V1352)+1)</f>
        <v/>
      </c>
      <c r="W1353" s="40" t="str">
        <f aca="false">IF($E1353="","",$E1353&amp;"#"&amp;COUNTIF($E$4:$E1353,$E1353))</f>
        <v/>
      </c>
      <c r="X1353" s="40" t="str">
        <f aca="false">IF($B1353="","",IF(AND(OR(CETAK!$J$10="",$E1353=CETAK!$J$10),OR(CETAK!$J$11="",$F1353=CETAK!$J$11),OR(CETAK!$J$12="",$K1353=CETAK!$J$12),OR(CETAK!$J$13="",$H1353=CETAK!$J$13),OR(CETAK!$J$14="",$O1353=CETAK!$J$14)),MAX($X$3:X1352)+1,""))</f>
        <v/>
      </c>
      <c r="Y1353" s="40" t="str">
        <f aca="false">IF($B1353="","",IF(AND(OR(ABSENSI!$H$10="",$E1353=ABSENSI!$H$10),OR(ABSENSI!$H$11="",$F1353=ABSENSI!$H$11),OR(ABSENSI!$H$12="",$K1353=ABSENSI!$H$12)),MAX($Y$3:Y1352)+1,""))</f>
        <v/>
      </c>
      <c r="Z1353" s="40" t="str">
        <f aca="false">IF($B1353="","",IF(AND(OR(KARTU!$K$6="",$E1353=KARTU!$K$6),OR(KARTU!$K$7="",$F1353=KARTU!$K$7),OR(KARTU!$K$8="",$K1353=KARTU!$K$8)),MAX($Z$3:Z1352)+1,""))</f>
        <v/>
      </c>
    </row>
    <row r="1354" customFormat="false" ht="15" hidden="false" customHeight="false" outlineLevel="0" collapsed="false">
      <c r="A1354" s="36" t="str">
        <f aca="false">IF($B1354="","",COUNTA($B$4:$B1354))</f>
        <v/>
      </c>
      <c r="B1354" s="37"/>
      <c r="C1354" s="38"/>
      <c r="D1354" s="39"/>
      <c r="E1354" s="37"/>
      <c r="F1354" s="39"/>
      <c r="G1354" s="40" t="str">
        <f aca="false">IF(OR($E1354="",$F1354=""),"",$E1354&amp;" - RT "&amp;$F1354)</f>
        <v/>
      </c>
      <c r="H1354" s="37"/>
      <c r="I1354" s="38"/>
      <c r="J1354" s="37"/>
      <c r="K1354" s="39"/>
      <c r="L1354" s="41"/>
      <c r="M1354" s="36" t="str">
        <f aca="true">IF(OR($B1354="",$L1354=""),"",DATEDIF($L1354,TODAY(),"Y"))</f>
        <v/>
      </c>
      <c r="N1354" s="40" t="str">
        <f aca="false">IF($M1354="","",INDEX(usia_label,MATCH($M1354,usia_min,1)))</f>
        <v/>
      </c>
      <c r="O1354" s="37"/>
      <c r="P1354" s="41"/>
      <c r="Q1354" s="37"/>
      <c r="R1354" s="37"/>
      <c r="S1354" s="40" t="str">
        <f aca="false">IF($G1354="","",$G1354&amp;"#"&amp;COUNTIF($G$4:$G1354,$G1354))</f>
        <v/>
      </c>
      <c r="T1354" s="40" t="str">
        <f aca="false">IF($B1354="","",IF($C1354="","NIK kosong",IF(LEN($C1354)&lt;&gt;16,"NIK bukan 16 digit",IF(COUNTIF($C$4:$C$2003,$C1354&amp;"*")&gt;1,"NIK ganda",IF($E1354="","Kadus kosong",IF($F1354="","RT kosong",IF($H1354="","Jabatan kosong",IF($I1354="","No. HP kosong",IF($J1354="","Alamat kosong",IF(AND($M1354&lt;&gt;"",$M1354&lt;17),"Usia di bawah 17",""))))))))))</f>
        <v/>
      </c>
      <c r="U1354" s="40" t="str">
        <f aca="false">IF($B1354="","",IF(AND(OR(CARI!$C$5="",ISNUMBER(SEARCH(CARI!$C$5,$B1354&amp;" "&amp;$C1354&amp;" "&amp;$I1354&amp;" "&amp;$J1354&amp;" "&amp;$Q1354))),OR(CARI!$C$6="",$E1354=CARI!$C$6),OR(CARI!$C$7="",$F1354=CARI!$C$7),OR(CARI!$C$8="",$O1354=CARI!$C$8)),MAX($U$3:U1353)+1,""))</f>
        <v/>
      </c>
      <c r="V1354" s="40" t="str">
        <f aca="false">IF($T1354="","",MAX($V$3:V1353)+1)</f>
        <v/>
      </c>
      <c r="W1354" s="40" t="str">
        <f aca="false">IF($E1354="","",$E1354&amp;"#"&amp;COUNTIF($E$4:$E1354,$E1354))</f>
        <v/>
      </c>
      <c r="X1354" s="40" t="str">
        <f aca="false">IF($B1354="","",IF(AND(OR(CETAK!$J$10="",$E1354=CETAK!$J$10),OR(CETAK!$J$11="",$F1354=CETAK!$J$11),OR(CETAK!$J$12="",$K1354=CETAK!$J$12),OR(CETAK!$J$13="",$H1354=CETAK!$J$13),OR(CETAK!$J$14="",$O1354=CETAK!$J$14)),MAX($X$3:X1353)+1,""))</f>
        <v/>
      </c>
      <c r="Y1354" s="40" t="str">
        <f aca="false">IF($B1354="","",IF(AND(OR(ABSENSI!$H$10="",$E1354=ABSENSI!$H$10),OR(ABSENSI!$H$11="",$F1354=ABSENSI!$H$11),OR(ABSENSI!$H$12="",$K1354=ABSENSI!$H$12)),MAX($Y$3:Y1353)+1,""))</f>
        <v/>
      </c>
      <c r="Z1354" s="40" t="str">
        <f aca="false">IF($B1354="","",IF(AND(OR(KARTU!$K$6="",$E1354=KARTU!$K$6),OR(KARTU!$K$7="",$F1354=KARTU!$K$7),OR(KARTU!$K$8="",$K1354=KARTU!$K$8)),MAX($Z$3:Z1353)+1,""))</f>
        <v/>
      </c>
    </row>
    <row r="1355" customFormat="false" ht="15" hidden="false" customHeight="false" outlineLevel="0" collapsed="false">
      <c r="A1355" s="36" t="str">
        <f aca="false">IF($B1355="","",COUNTA($B$4:$B1355))</f>
        <v/>
      </c>
      <c r="B1355" s="37"/>
      <c r="C1355" s="38"/>
      <c r="D1355" s="39"/>
      <c r="E1355" s="37"/>
      <c r="F1355" s="39"/>
      <c r="G1355" s="40" t="str">
        <f aca="false">IF(OR($E1355="",$F1355=""),"",$E1355&amp;" - RT "&amp;$F1355)</f>
        <v/>
      </c>
      <c r="H1355" s="37"/>
      <c r="I1355" s="38"/>
      <c r="J1355" s="37"/>
      <c r="K1355" s="39"/>
      <c r="L1355" s="41"/>
      <c r="M1355" s="36" t="str">
        <f aca="true">IF(OR($B1355="",$L1355=""),"",DATEDIF($L1355,TODAY(),"Y"))</f>
        <v/>
      </c>
      <c r="N1355" s="40" t="str">
        <f aca="false">IF($M1355="","",INDEX(usia_label,MATCH($M1355,usia_min,1)))</f>
        <v/>
      </c>
      <c r="O1355" s="37"/>
      <c r="P1355" s="41"/>
      <c r="Q1355" s="37"/>
      <c r="R1355" s="37"/>
      <c r="S1355" s="40" t="str">
        <f aca="false">IF($G1355="","",$G1355&amp;"#"&amp;COUNTIF($G$4:$G1355,$G1355))</f>
        <v/>
      </c>
      <c r="T1355" s="40" t="str">
        <f aca="false">IF($B1355="","",IF($C1355="","NIK kosong",IF(LEN($C1355)&lt;&gt;16,"NIK bukan 16 digit",IF(COUNTIF($C$4:$C$2003,$C1355&amp;"*")&gt;1,"NIK ganda",IF($E1355="","Kadus kosong",IF($F1355="","RT kosong",IF($H1355="","Jabatan kosong",IF($I1355="","No. HP kosong",IF($J1355="","Alamat kosong",IF(AND($M1355&lt;&gt;"",$M1355&lt;17),"Usia di bawah 17",""))))))))))</f>
        <v/>
      </c>
      <c r="U1355" s="40" t="str">
        <f aca="false">IF($B1355="","",IF(AND(OR(CARI!$C$5="",ISNUMBER(SEARCH(CARI!$C$5,$B1355&amp;" "&amp;$C1355&amp;" "&amp;$I1355&amp;" "&amp;$J1355&amp;" "&amp;$Q1355))),OR(CARI!$C$6="",$E1355=CARI!$C$6),OR(CARI!$C$7="",$F1355=CARI!$C$7),OR(CARI!$C$8="",$O1355=CARI!$C$8)),MAX($U$3:U1354)+1,""))</f>
        <v/>
      </c>
      <c r="V1355" s="40" t="str">
        <f aca="false">IF($T1355="","",MAX($V$3:V1354)+1)</f>
        <v/>
      </c>
      <c r="W1355" s="40" t="str">
        <f aca="false">IF($E1355="","",$E1355&amp;"#"&amp;COUNTIF($E$4:$E1355,$E1355))</f>
        <v/>
      </c>
      <c r="X1355" s="40" t="str">
        <f aca="false">IF($B1355="","",IF(AND(OR(CETAK!$J$10="",$E1355=CETAK!$J$10),OR(CETAK!$J$11="",$F1355=CETAK!$J$11),OR(CETAK!$J$12="",$K1355=CETAK!$J$12),OR(CETAK!$J$13="",$H1355=CETAK!$J$13),OR(CETAK!$J$14="",$O1355=CETAK!$J$14)),MAX($X$3:X1354)+1,""))</f>
        <v/>
      </c>
      <c r="Y1355" s="40" t="str">
        <f aca="false">IF($B1355="","",IF(AND(OR(ABSENSI!$H$10="",$E1355=ABSENSI!$H$10),OR(ABSENSI!$H$11="",$F1355=ABSENSI!$H$11),OR(ABSENSI!$H$12="",$K1355=ABSENSI!$H$12)),MAX($Y$3:Y1354)+1,""))</f>
        <v/>
      </c>
      <c r="Z1355" s="40" t="str">
        <f aca="false">IF($B1355="","",IF(AND(OR(KARTU!$K$6="",$E1355=KARTU!$K$6),OR(KARTU!$K$7="",$F1355=KARTU!$K$7),OR(KARTU!$K$8="",$K1355=KARTU!$K$8)),MAX($Z$3:Z1354)+1,""))</f>
        <v/>
      </c>
    </row>
    <row r="1356" customFormat="false" ht="15" hidden="false" customHeight="false" outlineLevel="0" collapsed="false">
      <c r="A1356" s="36" t="str">
        <f aca="false">IF($B1356="","",COUNTA($B$4:$B1356))</f>
        <v/>
      </c>
      <c r="B1356" s="37"/>
      <c r="C1356" s="38"/>
      <c r="D1356" s="39"/>
      <c r="E1356" s="37"/>
      <c r="F1356" s="39"/>
      <c r="G1356" s="40" t="str">
        <f aca="false">IF(OR($E1356="",$F1356=""),"",$E1356&amp;" - RT "&amp;$F1356)</f>
        <v/>
      </c>
      <c r="H1356" s="37"/>
      <c r="I1356" s="38"/>
      <c r="J1356" s="37"/>
      <c r="K1356" s="39"/>
      <c r="L1356" s="41"/>
      <c r="M1356" s="36" t="str">
        <f aca="true">IF(OR($B1356="",$L1356=""),"",DATEDIF($L1356,TODAY(),"Y"))</f>
        <v/>
      </c>
      <c r="N1356" s="40" t="str">
        <f aca="false">IF($M1356="","",INDEX(usia_label,MATCH($M1356,usia_min,1)))</f>
        <v/>
      </c>
      <c r="O1356" s="37"/>
      <c r="P1356" s="41"/>
      <c r="Q1356" s="37"/>
      <c r="R1356" s="37"/>
      <c r="S1356" s="40" t="str">
        <f aca="false">IF($G1356="","",$G1356&amp;"#"&amp;COUNTIF($G$4:$G1356,$G1356))</f>
        <v/>
      </c>
      <c r="T1356" s="40" t="str">
        <f aca="false">IF($B1356="","",IF($C1356="","NIK kosong",IF(LEN($C1356)&lt;&gt;16,"NIK bukan 16 digit",IF(COUNTIF($C$4:$C$2003,$C1356&amp;"*")&gt;1,"NIK ganda",IF($E1356="","Kadus kosong",IF($F1356="","RT kosong",IF($H1356="","Jabatan kosong",IF($I1356="","No. HP kosong",IF($J1356="","Alamat kosong",IF(AND($M1356&lt;&gt;"",$M1356&lt;17),"Usia di bawah 17",""))))))))))</f>
        <v/>
      </c>
      <c r="U1356" s="40" t="str">
        <f aca="false">IF($B1356="","",IF(AND(OR(CARI!$C$5="",ISNUMBER(SEARCH(CARI!$C$5,$B1356&amp;" "&amp;$C1356&amp;" "&amp;$I1356&amp;" "&amp;$J1356&amp;" "&amp;$Q1356))),OR(CARI!$C$6="",$E1356=CARI!$C$6),OR(CARI!$C$7="",$F1356=CARI!$C$7),OR(CARI!$C$8="",$O1356=CARI!$C$8)),MAX($U$3:U1355)+1,""))</f>
        <v/>
      </c>
      <c r="V1356" s="40" t="str">
        <f aca="false">IF($T1356="","",MAX($V$3:V1355)+1)</f>
        <v/>
      </c>
      <c r="W1356" s="40" t="str">
        <f aca="false">IF($E1356="","",$E1356&amp;"#"&amp;COUNTIF($E$4:$E1356,$E1356))</f>
        <v/>
      </c>
      <c r="X1356" s="40" t="str">
        <f aca="false">IF($B1356="","",IF(AND(OR(CETAK!$J$10="",$E1356=CETAK!$J$10),OR(CETAK!$J$11="",$F1356=CETAK!$J$11),OR(CETAK!$J$12="",$K1356=CETAK!$J$12),OR(CETAK!$J$13="",$H1356=CETAK!$J$13),OR(CETAK!$J$14="",$O1356=CETAK!$J$14)),MAX($X$3:X1355)+1,""))</f>
        <v/>
      </c>
      <c r="Y1356" s="40" t="str">
        <f aca="false">IF($B1356="","",IF(AND(OR(ABSENSI!$H$10="",$E1356=ABSENSI!$H$10),OR(ABSENSI!$H$11="",$F1356=ABSENSI!$H$11),OR(ABSENSI!$H$12="",$K1356=ABSENSI!$H$12)),MAX($Y$3:Y1355)+1,""))</f>
        <v/>
      </c>
      <c r="Z1356" s="40" t="str">
        <f aca="false">IF($B1356="","",IF(AND(OR(KARTU!$K$6="",$E1356=KARTU!$K$6),OR(KARTU!$K$7="",$F1356=KARTU!$K$7),OR(KARTU!$K$8="",$K1356=KARTU!$K$8)),MAX($Z$3:Z1355)+1,""))</f>
        <v/>
      </c>
    </row>
    <row r="1357" customFormat="false" ht="15" hidden="false" customHeight="false" outlineLevel="0" collapsed="false">
      <c r="A1357" s="36" t="str">
        <f aca="false">IF($B1357="","",COUNTA($B$4:$B1357))</f>
        <v/>
      </c>
      <c r="B1357" s="37"/>
      <c r="C1357" s="38"/>
      <c r="D1357" s="39"/>
      <c r="E1357" s="37"/>
      <c r="F1357" s="39"/>
      <c r="G1357" s="40" t="str">
        <f aca="false">IF(OR($E1357="",$F1357=""),"",$E1357&amp;" - RT "&amp;$F1357)</f>
        <v/>
      </c>
      <c r="H1357" s="37"/>
      <c r="I1357" s="38"/>
      <c r="J1357" s="37"/>
      <c r="K1357" s="39"/>
      <c r="L1357" s="41"/>
      <c r="M1357" s="36" t="str">
        <f aca="true">IF(OR($B1357="",$L1357=""),"",DATEDIF($L1357,TODAY(),"Y"))</f>
        <v/>
      </c>
      <c r="N1357" s="40" t="str">
        <f aca="false">IF($M1357="","",INDEX(usia_label,MATCH($M1357,usia_min,1)))</f>
        <v/>
      </c>
      <c r="O1357" s="37"/>
      <c r="P1357" s="41"/>
      <c r="Q1357" s="37"/>
      <c r="R1357" s="37"/>
      <c r="S1357" s="40" t="str">
        <f aca="false">IF($G1357="","",$G1357&amp;"#"&amp;COUNTIF($G$4:$G1357,$G1357))</f>
        <v/>
      </c>
      <c r="T1357" s="40" t="str">
        <f aca="false">IF($B1357="","",IF($C1357="","NIK kosong",IF(LEN($C1357)&lt;&gt;16,"NIK bukan 16 digit",IF(COUNTIF($C$4:$C$2003,$C1357&amp;"*")&gt;1,"NIK ganda",IF($E1357="","Kadus kosong",IF($F1357="","RT kosong",IF($H1357="","Jabatan kosong",IF($I1357="","No. HP kosong",IF($J1357="","Alamat kosong",IF(AND($M1357&lt;&gt;"",$M1357&lt;17),"Usia di bawah 17",""))))))))))</f>
        <v/>
      </c>
      <c r="U1357" s="40" t="str">
        <f aca="false">IF($B1357="","",IF(AND(OR(CARI!$C$5="",ISNUMBER(SEARCH(CARI!$C$5,$B1357&amp;" "&amp;$C1357&amp;" "&amp;$I1357&amp;" "&amp;$J1357&amp;" "&amp;$Q1357))),OR(CARI!$C$6="",$E1357=CARI!$C$6),OR(CARI!$C$7="",$F1357=CARI!$C$7),OR(CARI!$C$8="",$O1357=CARI!$C$8)),MAX($U$3:U1356)+1,""))</f>
        <v/>
      </c>
      <c r="V1357" s="40" t="str">
        <f aca="false">IF($T1357="","",MAX($V$3:V1356)+1)</f>
        <v/>
      </c>
      <c r="W1357" s="40" t="str">
        <f aca="false">IF($E1357="","",$E1357&amp;"#"&amp;COUNTIF($E$4:$E1357,$E1357))</f>
        <v/>
      </c>
      <c r="X1357" s="40" t="str">
        <f aca="false">IF($B1357="","",IF(AND(OR(CETAK!$J$10="",$E1357=CETAK!$J$10),OR(CETAK!$J$11="",$F1357=CETAK!$J$11),OR(CETAK!$J$12="",$K1357=CETAK!$J$12),OR(CETAK!$J$13="",$H1357=CETAK!$J$13),OR(CETAK!$J$14="",$O1357=CETAK!$J$14)),MAX($X$3:X1356)+1,""))</f>
        <v/>
      </c>
      <c r="Y1357" s="40" t="str">
        <f aca="false">IF($B1357="","",IF(AND(OR(ABSENSI!$H$10="",$E1357=ABSENSI!$H$10),OR(ABSENSI!$H$11="",$F1357=ABSENSI!$H$11),OR(ABSENSI!$H$12="",$K1357=ABSENSI!$H$12)),MAX($Y$3:Y1356)+1,""))</f>
        <v/>
      </c>
      <c r="Z1357" s="40" t="str">
        <f aca="false">IF($B1357="","",IF(AND(OR(KARTU!$K$6="",$E1357=KARTU!$K$6),OR(KARTU!$K$7="",$F1357=KARTU!$K$7),OR(KARTU!$K$8="",$K1357=KARTU!$K$8)),MAX($Z$3:Z1356)+1,""))</f>
        <v/>
      </c>
    </row>
    <row r="1358" customFormat="false" ht="15" hidden="false" customHeight="false" outlineLevel="0" collapsed="false">
      <c r="A1358" s="36" t="str">
        <f aca="false">IF($B1358="","",COUNTA($B$4:$B1358))</f>
        <v/>
      </c>
      <c r="B1358" s="37"/>
      <c r="C1358" s="38"/>
      <c r="D1358" s="39"/>
      <c r="E1358" s="37"/>
      <c r="F1358" s="39"/>
      <c r="G1358" s="40" t="str">
        <f aca="false">IF(OR($E1358="",$F1358=""),"",$E1358&amp;" - RT "&amp;$F1358)</f>
        <v/>
      </c>
      <c r="H1358" s="37"/>
      <c r="I1358" s="38"/>
      <c r="J1358" s="37"/>
      <c r="K1358" s="39"/>
      <c r="L1358" s="41"/>
      <c r="M1358" s="36" t="str">
        <f aca="true">IF(OR($B1358="",$L1358=""),"",DATEDIF($L1358,TODAY(),"Y"))</f>
        <v/>
      </c>
      <c r="N1358" s="40" t="str">
        <f aca="false">IF($M1358="","",INDEX(usia_label,MATCH($M1358,usia_min,1)))</f>
        <v/>
      </c>
      <c r="O1358" s="37"/>
      <c r="P1358" s="41"/>
      <c r="Q1358" s="37"/>
      <c r="R1358" s="37"/>
      <c r="S1358" s="40" t="str">
        <f aca="false">IF($G1358="","",$G1358&amp;"#"&amp;COUNTIF($G$4:$G1358,$G1358))</f>
        <v/>
      </c>
      <c r="T1358" s="40" t="str">
        <f aca="false">IF($B1358="","",IF($C1358="","NIK kosong",IF(LEN($C1358)&lt;&gt;16,"NIK bukan 16 digit",IF(COUNTIF($C$4:$C$2003,$C1358&amp;"*")&gt;1,"NIK ganda",IF($E1358="","Kadus kosong",IF($F1358="","RT kosong",IF($H1358="","Jabatan kosong",IF($I1358="","No. HP kosong",IF($J1358="","Alamat kosong",IF(AND($M1358&lt;&gt;"",$M1358&lt;17),"Usia di bawah 17",""))))))))))</f>
        <v/>
      </c>
      <c r="U1358" s="40" t="str">
        <f aca="false">IF($B1358="","",IF(AND(OR(CARI!$C$5="",ISNUMBER(SEARCH(CARI!$C$5,$B1358&amp;" "&amp;$C1358&amp;" "&amp;$I1358&amp;" "&amp;$J1358&amp;" "&amp;$Q1358))),OR(CARI!$C$6="",$E1358=CARI!$C$6),OR(CARI!$C$7="",$F1358=CARI!$C$7),OR(CARI!$C$8="",$O1358=CARI!$C$8)),MAX($U$3:U1357)+1,""))</f>
        <v/>
      </c>
      <c r="V1358" s="40" t="str">
        <f aca="false">IF($T1358="","",MAX($V$3:V1357)+1)</f>
        <v/>
      </c>
      <c r="W1358" s="40" t="str">
        <f aca="false">IF($E1358="","",$E1358&amp;"#"&amp;COUNTIF($E$4:$E1358,$E1358))</f>
        <v/>
      </c>
      <c r="X1358" s="40" t="str">
        <f aca="false">IF($B1358="","",IF(AND(OR(CETAK!$J$10="",$E1358=CETAK!$J$10),OR(CETAK!$J$11="",$F1358=CETAK!$J$11),OR(CETAK!$J$12="",$K1358=CETAK!$J$12),OR(CETAK!$J$13="",$H1358=CETAK!$J$13),OR(CETAK!$J$14="",$O1358=CETAK!$J$14)),MAX($X$3:X1357)+1,""))</f>
        <v/>
      </c>
      <c r="Y1358" s="40" t="str">
        <f aca="false">IF($B1358="","",IF(AND(OR(ABSENSI!$H$10="",$E1358=ABSENSI!$H$10),OR(ABSENSI!$H$11="",$F1358=ABSENSI!$H$11),OR(ABSENSI!$H$12="",$K1358=ABSENSI!$H$12)),MAX($Y$3:Y1357)+1,""))</f>
        <v/>
      </c>
      <c r="Z1358" s="40" t="str">
        <f aca="false">IF($B1358="","",IF(AND(OR(KARTU!$K$6="",$E1358=KARTU!$K$6),OR(KARTU!$K$7="",$F1358=KARTU!$K$7),OR(KARTU!$K$8="",$K1358=KARTU!$K$8)),MAX($Z$3:Z1357)+1,""))</f>
        <v/>
      </c>
    </row>
    <row r="1359" customFormat="false" ht="15" hidden="false" customHeight="false" outlineLevel="0" collapsed="false">
      <c r="A1359" s="36" t="str">
        <f aca="false">IF($B1359="","",COUNTA($B$4:$B1359))</f>
        <v/>
      </c>
      <c r="B1359" s="37"/>
      <c r="C1359" s="38"/>
      <c r="D1359" s="39"/>
      <c r="E1359" s="37"/>
      <c r="F1359" s="39"/>
      <c r="G1359" s="40" t="str">
        <f aca="false">IF(OR($E1359="",$F1359=""),"",$E1359&amp;" - RT "&amp;$F1359)</f>
        <v/>
      </c>
      <c r="H1359" s="37"/>
      <c r="I1359" s="38"/>
      <c r="J1359" s="37"/>
      <c r="K1359" s="39"/>
      <c r="L1359" s="41"/>
      <c r="M1359" s="36" t="str">
        <f aca="true">IF(OR($B1359="",$L1359=""),"",DATEDIF($L1359,TODAY(),"Y"))</f>
        <v/>
      </c>
      <c r="N1359" s="40" t="str">
        <f aca="false">IF($M1359="","",INDEX(usia_label,MATCH($M1359,usia_min,1)))</f>
        <v/>
      </c>
      <c r="O1359" s="37"/>
      <c r="P1359" s="41"/>
      <c r="Q1359" s="37"/>
      <c r="R1359" s="37"/>
      <c r="S1359" s="40" t="str">
        <f aca="false">IF($G1359="","",$G1359&amp;"#"&amp;COUNTIF($G$4:$G1359,$G1359))</f>
        <v/>
      </c>
      <c r="T1359" s="40" t="str">
        <f aca="false">IF($B1359="","",IF($C1359="","NIK kosong",IF(LEN($C1359)&lt;&gt;16,"NIK bukan 16 digit",IF(COUNTIF($C$4:$C$2003,$C1359&amp;"*")&gt;1,"NIK ganda",IF($E1359="","Kadus kosong",IF($F1359="","RT kosong",IF($H1359="","Jabatan kosong",IF($I1359="","No. HP kosong",IF($J1359="","Alamat kosong",IF(AND($M1359&lt;&gt;"",$M1359&lt;17),"Usia di bawah 17",""))))))))))</f>
        <v/>
      </c>
      <c r="U1359" s="40" t="str">
        <f aca="false">IF($B1359="","",IF(AND(OR(CARI!$C$5="",ISNUMBER(SEARCH(CARI!$C$5,$B1359&amp;" "&amp;$C1359&amp;" "&amp;$I1359&amp;" "&amp;$J1359&amp;" "&amp;$Q1359))),OR(CARI!$C$6="",$E1359=CARI!$C$6),OR(CARI!$C$7="",$F1359=CARI!$C$7),OR(CARI!$C$8="",$O1359=CARI!$C$8)),MAX($U$3:U1358)+1,""))</f>
        <v/>
      </c>
      <c r="V1359" s="40" t="str">
        <f aca="false">IF($T1359="","",MAX($V$3:V1358)+1)</f>
        <v/>
      </c>
      <c r="W1359" s="40" t="str">
        <f aca="false">IF($E1359="","",$E1359&amp;"#"&amp;COUNTIF($E$4:$E1359,$E1359))</f>
        <v/>
      </c>
      <c r="X1359" s="40" t="str">
        <f aca="false">IF($B1359="","",IF(AND(OR(CETAK!$J$10="",$E1359=CETAK!$J$10),OR(CETAK!$J$11="",$F1359=CETAK!$J$11),OR(CETAK!$J$12="",$K1359=CETAK!$J$12),OR(CETAK!$J$13="",$H1359=CETAK!$J$13),OR(CETAK!$J$14="",$O1359=CETAK!$J$14)),MAX($X$3:X1358)+1,""))</f>
        <v/>
      </c>
      <c r="Y1359" s="40" t="str">
        <f aca="false">IF($B1359="","",IF(AND(OR(ABSENSI!$H$10="",$E1359=ABSENSI!$H$10),OR(ABSENSI!$H$11="",$F1359=ABSENSI!$H$11),OR(ABSENSI!$H$12="",$K1359=ABSENSI!$H$12)),MAX($Y$3:Y1358)+1,""))</f>
        <v/>
      </c>
      <c r="Z1359" s="40" t="str">
        <f aca="false">IF($B1359="","",IF(AND(OR(KARTU!$K$6="",$E1359=KARTU!$K$6),OR(KARTU!$K$7="",$F1359=KARTU!$K$7),OR(KARTU!$K$8="",$K1359=KARTU!$K$8)),MAX($Z$3:Z1358)+1,""))</f>
        <v/>
      </c>
    </row>
    <row r="1360" customFormat="false" ht="15" hidden="false" customHeight="false" outlineLevel="0" collapsed="false">
      <c r="A1360" s="36" t="str">
        <f aca="false">IF($B1360="","",COUNTA($B$4:$B1360))</f>
        <v/>
      </c>
      <c r="B1360" s="37"/>
      <c r="C1360" s="38"/>
      <c r="D1360" s="39"/>
      <c r="E1360" s="37"/>
      <c r="F1360" s="39"/>
      <c r="G1360" s="40" t="str">
        <f aca="false">IF(OR($E1360="",$F1360=""),"",$E1360&amp;" - RT "&amp;$F1360)</f>
        <v/>
      </c>
      <c r="H1360" s="37"/>
      <c r="I1360" s="38"/>
      <c r="J1360" s="37"/>
      <c r="K1360" s="39"/>
      <c r="L1360" s="41"/>
      <c r="M1360" s="36" t="str">
        <f aca="true">IF(OR($B1360="",$L1360=""),"",DATEDIF($L1360,TODAY(),"Y"))</f>
        <v/>
      </c>
      <c r="N1360" s="40" t="str">
        <f aca="false">IF($M1360="","",INDEX(usia_label,MATCH($M1360,usia_min,1)))</f>
        <v/>
      </c>
      <c r="O1360" s="37"/>
      <c r="P1360" s="41"/>
      <c r="Q1360" s="37"/>
      <c r="R1360" s="37"/>
      <c r="S1360" s="40" t="str">
        <f aca="false">IF($G1360="","",$G1360&amp;"#"&amp;COUNTIF($G$4:$G1360,$G1360))</f>
        <v/>
      </c>
      <c r="T1360" s="40" t="str">
        <f aca="false">IF($B1360="","",IF($C1360="","NIK kosong",IF(LEN($C1360)&lt;&gt;16,"NIK bukan 16 digit",IF(COUNTIF($C$4:$C$2003,$C1360&amp;"*")&gt;1,"NIK ganda",IF($E1360="","Kadus kosong",IF($F1360="","RT kosong",IF($H1360="","Jabatan kosong",IF($I1360="","No. HP kosong",IF($J1360="","Alamat kosong",IF(AND($M1360&lt;&gt;"",$M1360&lt;17),"Usia di bawah 17",""))))))))))</f>
        <v/>
      </c>
      <c r="U1360" s="40" t="str">
        <f aca="false">IF($B1360="","",IF(AND(OR(CARI!$C$5="",ISNUMBER(SEARCH(CARI!$C$5,$B1360&amp;" "&amp;$C1360&amp;" "&amp;$I1360&amp;" "&amp;$J1360&amp;" "&amp;$Q1360))),OR(CARI!$C$6="",$E1360=CARI!$C$6),OR(CARI!$C$7="",$F1360=CARI!$C$7),OR(CARI!$C$8="",$O1360=CARI!$C$8)),MAX($U$3:U1359)+1,""))</f>
        <v/>
      </c>
      <c r="V1360" s="40" t="str">
        <f aca="false">IF($T1360="","",MAX($V$3:V1359)+1)</f>
        <v/>
      </c>
      <c r="W1360" s="40" t="str">
        <f aca="false">IF($E1360="","",$E1360&amp;"#"&amp;COUNTIF($E$4:$E1360,$E1360))</f>
        <v/>
      </c>
      <c r="X1360" s="40" t="str">
        <f aca="false">IF($B1360="","",IF(AND(OR(CETAK!$J$10="",$E1360=CETAK!$J$10),OR(CETAK!$J$11="",$F1360=CETAK!$J$11),OR(CETAK!$J$12="",$K1360=CETAK!$J$12),OR(CETAK!$J$13="",$H1360=CETAK!$J$13),OR(CETAK!$J$14="",$O1360=CETAK!$J$14)),MAX($X$3:X1359)+1,""))</f>
        <v/>
      </c>
      <c r="Y1360" s="40" t="str">
        <f aca="false">IF($B1360="","",IF(AND(OR(ABSENSI!$H$10="",$E1360=ABSENSI!$H$10),OR(ABSENSI!$H$11="",$F1360=ABSENSI!$H$11),OR(ABSENSI!$H$12="",$K1360=ABSENSI!$H$12)),MAX($Y$3:Y1359)+1,""))</f>
        <v/>
      </c>
      <c r="Z1360" s="40" t="str">
        <f aca="false">IF($B1360="","",IF(AND(OR(KARTU!$K$6="",$E1360=KARTU!$K$6),OR(KARTU!$K$7="",$F1360=KARTU!$K$7),OR(KARTU!$K$8="",$K1360=KARTU!$K$8)),MAX($Z$3:Z1359)+1,""))</f>
        <v/>
      </c>
    </row>
    <row r="1361" customFormat="false" ht="15" hidden="false" customHeight="false" outlineLevel="0" collapsed="false">
      <c r="A1361" s="36" t="str">
        <f aca="false">IF($B1361="","",COUNTA($B$4:$B1361))</f>
        <v/>
      </c>
      <c r="B1361" s="37"/>
      <c r="C1361" s="38"/>
      <c r="D1361" s="39"/>
      <c r="E1361" s="37"/>
      <c r="F1361" s="39"/>
      <c r="G1361" s="40" t="str">
        <f aca="false">IF(OR($E1361="",$F1361=""),"",$E1361&amp;" - RT "&amp;$F1361)</f>
        <v/>
      </c>
      <c r="H1361" s="37"/>
      <c r="I1361" s="38"/>
      <c r="J1361" s="37"/>
      <c r="K1361" s="39"/>
      <c r="L1361" s="41"/>
      <c r="M1361" s="36" t="str">
        <f aca="true">IF(OR($B1361="",$L1361=""),"",DATEDIF($L1361,TODAY(),"Y"))</f>
        <v/>
      </c>
      <c r="N1361" s="40" t="str">
        <f aca="false">IF($M1361="","",INDEX(usia_label,MATCH($M1361,usia_min,1)))</f>
        <v/>
      </c>
      <c r="O1361" s="37"/>
      <c r="P1361" s="41"/>
      <c r="Q1361" s="37"/>
      <c r="R1361" s="37"/>
      <c r="S1361" s="40" t="str">
        <f aca="false">IF($G1361="","",$G1361&amp;"#"&amp;COUNTIF($G$4:$G1361,$G1361))</f>
        <v/>
      </c>
      <c r="T1361" s="40" t="str">
        <f aca="false">IF($B1361="","",IF($C1361="","NIK kosong",IF(LEN($C1361)&lt;&gt;16,"NIK bukan 16 digit",IF(COUNTIF($C$4:$C$2003,$C1361&amp;"*")&gt;1,"NIK ganda",IF($E1361="","Kadus kosong",IF($F1361="","RT kosong",IF($H1361="","Jabatan kosong",IF($I1361="","No. HP kosong",IF($J1361="","Alamat kosong",IF(AND($M1361&lt;&gt;"",$M1361&lt;17),"Usia di bawah 17",""))))))))))</f>
        <v/>
      </c>
      <c r="U1361" s="40" t="str">
        <f aca="false">IF($B1361="","",IF(AND(OR(CARI!$C$5="",ISNUMBER(SEARCH(CARI!$C$5,$B1361&amp;" "&amp;$C1361&amp;" "&amp;$I1361&amp;" "&amp;$J1361&amp;" "&amp;$Q1361))),OR(CARI!$C$6="",$E1361=CARI!$C$6),OR(CARI!$C$7="",$F1361=CARI!$C$7),OR(CARI!$C$8="",$O1361=CARI!$C$8)),MAX($U$3:U1360)+1,""))</f>
        <v/>
      </c>
      <c r="V1361" s="40" t="str">
        <f aca="false">IF($T1361="","",MAX($V$3:V1360)+1)</f>
        <v/>
      </c>
      <c r="W1361" s="40" t="str">
        <f aca="false">IF($E1361="","",$E1361&amp;"#"&amp;COUNTIF($E$4:$E1361,$E1361))</f>
        <v/>
      </c>
      <c r="X1361" s="40" t="str">
        <f aca="false">IF($B1361="","",IF(AND(OR(CETAK!$J$10="",$E1361=CETAK!$J$10),OR(CETAK!$J$11="",$F1361=CETAK!$J$11),OR(CETAK!$J$12="",$K1361=CETAK!$J$12),OR(CETAK!$J$13="",$H1361=CETAK!$J$13),OR(CETAK!$J$14="",$O1361=CETAK!$J$14)),MAX($X$3:X1360)+1,""))</f>
        <v/>
      </c>
      <c r="Y1361" s="40" t="str">
        <f aca="false">IF($B1361="","",IF(AND(OR(ABSENSI!$H$10="",$E1361=ABSENSI!$H$10),OR(ABSENSI!$H$11="",$F1361=ABSENSI!$H$11),OR(ABSENSI!$H$12="",$K1361=ABSENSI!$H$12)),MAX($Y$3:Y1360)+1,""))</f>
        <v/>
      </c>
      <c r="Z1361" s="40" t="str">
        <f aca="false">IF($B1361="","",IF(AND(OR(KARTU!$K$6="",$E1361=KARTU!$K$6),OR(KARTU!$K$7="",$F1361=KARTU!$K$7),OR(KARTU!$K$8="",$K1361=KARTU!$K$8)),MAX($Z$3:Z1360)+1,""))</f>
        <v/>
      </c>
    </row>
    <row r="1362" customFormat="false" ht="15" hidden="false" customHeight="false" outlineLevel="0" collapsed="false">
      <c r="A1362" s="36" t="str">
        <f aca="false">IF($B1362="","",COUNTA($B$4:$B1362))</f>
        <v/>
      </c>
      <c r="B1362" s="37"/>
      <c r="C1362" s="38"/>
      <c r="D1362" s="39"/>
      <c r="E1362" s="37"/>
      <c r="F1362" s="39"/>
      <c r="G1362" s="40" t="str">
        <f aca="false">IF(OR($E1362="",$F1362=""),"",$E1362&amp;" - RT "&amp;$F1362)</f>
        <v/>
      </c>
      <c r="H1362" s="37"/>
      <c r="I1362" s="38"/>
      <c r="J1362" s="37"/>
      <c r="K1362" s="39"/>
      <c r="L1362" s="41"/>
      <c r="M1362" s="36" t="str">
        <f aca="true">IF(OR($B1362="",$L1362=""),"",DATEDIF($L1362,TODAY(),"Y"))</f>
        <v/>
      </c>
      <c r="N1362" s="40" t="str">
        <f aca="false">IF($M1362="","",INDEX(usia_label,MATCH($M1362,usia_min,1)))</f>
        <v/>
      </c>
      <c r="O1362" s="37"/>
      <c r="P1362" s="41"/>
      <c r="Q1362" s="37"/>
      <c r="R1362" s="37"/>
      <c r="S1362" s="40" t="str">
        <f aca="false">IF($G1362="","",$G1362&amp;"#"&amp;COUNTIF($G$4:$G1362,$G1362))</f>
        <v/>
      </c>
      <c r="T1362" s="40" t="str">
        <f aca="false">IF($B1362="","",IF($C1362="","NIK kosong",IF(LEN($C1362)&lt;&gt;16,"NIK bukan 16 digit",IF(COUNTIF($C$4:$C$2003,$C1362&amp;"*")&gt;1,"NIK ganda",IF($E1362="","Kadus kosong",IF($F1362="","RT kosong",IF($H1362="","Jabatan kosong",IF($I1362="","No. HP kosong",IF($J1362="","Alamat kosong",IF(AND($M1362&lt;&gt;"",$M1362&lt;17),"Usia di bawah 17",""))))))))))</f>
        <v/>
      </c>
      <c r="U1362" s="40" t="str">
        <f aca="false">IF($B1362="","",IF(AND(OR(CARI!$C$5="",ISNUMBER(SEARCH(CARI!$C$5,$B1362&amp;" "&amp;$C1362&amp;" "&amp;$I1362&amp;" "&amp;$J1362&amp;" "&amp;$Q1362))),OR(CARI!$C$6="",$E1362=CARI!$C$6),OR(CARI!$C$7="",$F1362=CARI!$C$7),OR(CARI!$C$8="",$O1362=CARI!$C$8)),MAX($U$3:U1361)+1,""))</f>
        <v/>
      </c>
      <c r="V1362" s="40" t="str">
        <f aca="false">IF($T1362="","",MAX($V$3:V1361)+1)</f>
        <v/>
      </c>
      <c r="W1362" s="40" t="str">
        <f aca="false">IF($E1362="","",$E1362&amp;"#"&amp;COUNTIF($E$4:$E1362,$E1362))</f>
        <v/>
      </c>
      <c r="X1362" s="40" t="str">
        <f aca="false">IF($B1362="","",IF(AND(OR(CETAK!$J$10="",$E1362=CETAK!$J$10),OR(CETAK!$J$11="",$F1362=CETAK!$J$11),OR(CETAK!$J$12="",$K1362=CETAK!$J$12),OR(CETAK!$J$13="",$H1362=CETAK!$J$13),OR(CETAK!$J$14="",$O1362=CETAK!$J$14)),MAX($X$3:X1361)+1,""))</f>
        <v/>
      </c>
      <c r="Y1362" s="40" t="str">
        <f aca="false">IF($B1362="","",IF(AND(OR(ABSENSI!$H$10="",$E1362=ABSENSI!$H$10),OR(ABSENSI!$H$11="",$F1362=ABSENSI!$H$11),OR(ABSENSI!$H$12="",$K1362=ABSENSI!$H$12)),MAX($Y$3:Y1361)+1,""))</f>
        <v/>
      </c>
      <c r="Z1362" s="40" t="str">
        <f aca="false">IF($B1362="","",IF(AND(OR(KARTU!$K$6="",$E1362=KARTU!$K$6),OR(KARTU!$K$7="",$F1362=KARTU!$K$7),OR(KARTU!$K$8="",$K1362=KARTU!$K$8)),MAX($Z$3:Z1361)+1,""))</f>
        <v/>
      </c>
    </row>
    <row r="1363" customFormat="false" ht="15" hidden="false" customHeight="false" outlineLevel="0" collapsed="false">
      <c r="A1363" s="36" t="str">
        <f aca="false">IF($B1363="","",COUNTA($B$4:$B1363))</f>
        <v/>
      </c>
      <c r="B1363" s="37"/>
      <c r="C1363" s="38"/>
      <c r="D1363" s="39"/>
      <c r="E1363" s="37"/>
      <c r="F1363" s="39"/>
      <c r="G1363" s="40" t="str">
        <f aca="false">IF(OR($E1363="",$F1363=""),"",$E1363&amp;" - RT "&amp;$F1363)</f>
        <v/>
      </c>
      <c r="H1363" s="37"/>
      <c r="I1363" s="38"/>
      <c r="J1363" s="37"/>
      <c r="K1363" s="39"/>
      <c r="L1363" s="41"/>
      <c r="M1363" s="36" t="str">
        <f aca="true">IF(OR($B1363="",$L1363=""),"",DATEDIF($L1363,TODAY(),"Y"))</f>
        <v/>
      </c>
      <c r="N1363" s="40" t="str">
        <f aca="false">IF($M1363="","",INDEX(usia_label,MATCH($M1363,usia_min,1)))</f>
        <v/>
      </c>
      <c r="O1363" s="37"/>
      <c r="P1363" s="41"/>
      <c r="Q1363" s="37"/>
      <c r="R1363" s="37"/>
      <c r="S1363" s="40" t="str">
        <f aca="false">IF($G1363="","",$G1363&amp;"#"&amp;COUNTIF($G$4:$G1363,$G1363))</f>
        <v/>
      </c>
      <c r="T1363" s="40" t="str">
        <f aca="false">IF($B1363="","",IF($C1363="","NIK kosong",IF(LEN($C1363)&lt;&gt;16,"NIK bukan 16 digit",IF(COUNTIF($C$4:$C$2003,$C1363&amp;"*")&gt;1,"NIK ganda",IF($E1363="","Kadus kosong",IF($F1363="","RT kosong",IF($H1363="","Jabatan kosong",IF($I1363="","No. HP kosong",IF($J1363="","Alamat kosong",IF(AND($M1363&lt;&gt;"",$M1363&lt;17),"Usia di bawah 17",""))))))))))</f>
        <v/>
      </c>
      <c r="U1363" s="40" t="str">
        <f aca="false">IF($B1363="","",IF(AND(OR(CARI!$C$5="",ISNUMBER(SEARCH(CARI!$C$5,$B1363&amp;" "&amp;$C1363&amp;" "&amp;$I1363&amp;" "&amp;$J1363&amp;" "&amp;$Q1363))),OR(CARI!$C$6="",$E1363=CARI!$C$6),OR(CARI!$C$7="",$F1363=CARI!$C$7),OR(CARI!$C$8="",$O1363=CARI!$C$8)),MAX($U$3:U1362)+1,""))</f>
        <v/>
      </c>
      <c r="V1363" s="40" t="str">
        <f aca="false">IF($T1363="","",MAX($V$3:V1362)+1)</f>
        <v/>
      </c>
      <c r="W1363" s="40" t="str">
        <f aca="false">IF($E1363="","",$E1363&amp;"#"&amp;COUNTIF($E$4:$E1363,$E1363))</f>
        <v/>
      </c>
      <c r="X1363" s="40" t="str">
        <f aca="false">IF($B1363="","",IF(AND(OR(CETAK!$J$10="",$E1363=CETAK!$J$10),OR(CETAK!$J$11="",$F1363=CETAK!$J$11),OR(CETAK!$J$12="",$K1363=CETAK!$J$12),OR(CETAK!$J$13="",$H1363=CETAK!$J$13),OR(CETAK!$J$14="",$O1363=CETAK!$J$14)),MAX($X$3:X1362)+1,""))</f>
        <v/>
      </c>
      <c r="Y1363" s="40" t="str">
        <f aca="false">IF($B1363="","",IF(AND(OR(ABSENSI!$H$10="",$E1363=ABSENSI!$H$10),OR(ABSENSI!$H$11="",$F1363=ABSENSI!$H$11),OR(ABSENSI!$H$12="",$K1363=ABSENSI!$H$12)),MAX($Y$3:Y1362)+1,""))</f>
        <v/>
      </c>
      <c r="Z1363" s="40" t="str">
        <f aca="false">IF($B1363="","",IF(AND(OR(KARTU!$K$6="",$E1363=KARTU!$K$6),OR(KARTU!$K$7="",$F1363=KARTU!$K$7),OR(KARTU!$K$8="",$K1363=KARTU!$K$8)),MAX($Z$3:Z1362)+1,""))</f>
        <v/>
      </c>
    </row>
    <row r="1364" customFormat="false" ht="15" hidden="false" customHeight="false" outlineLevel="0" collapsed="false">
      <c r="A1364" s="36" t="str">
        <f aca="false">IF($B1364="","",COUNTA($B$4:$B1364))</f>
        <v/>
      </c>
      <c r="B1364" s="37"/>
      <c r="C1364" s="38"/>
      <c r="D1364" s="39"/>
      <c r="E1364" s="37"/>
      <c r="F1364" s="39"/>
      <c r="G1364" s="40" t="str">
        <f aca="false">IF(OR($E1364="",$F1364=""),"",$E1364&amp;" - RT "&amp;$F1364)</f>
        <v/>
      </c>
      <c r="H1364" s="37"/>
      <c r="I1364" s="38"/>
      <c r="J1364" s="37"/>
      <c r="K1364" s="39"/>
      <c r="L1364" s="41"/>
      <c r="M1364" s="36" t="str">
        <f aca="true">IF(OR($B1364="",$L1364=""),"",DATEDIF($L1364,TODAY(),"Y"))</f>
        <v/>
      </c>
      <c r="N1364" s="40" t="str">
        <f aca="false">IF($M1364="","",INDEX(usia_label,MATCH($M1364,usia_min,1)))</f>
        <v/>
      </c>
      <c r="O1364" s="37"/>
      <c r="P1364" s="41"/>
      <c r="Q1364" s="37"/>
      <c r="R1364" s="37"/>
      <c r="S1364" s="40" t="str">
        <f aca="false">IF($G1364="","",$G1364&amp;"#"&amp;COUNTIF($G$4:$G1364,$G1364))</f>
        <v/>
      </c>
      <c r="T1364" s="40" t="str">
        <f aca="false">IF($B1364="","",IF($C1364="","NIK kosong",IF(LEN($C1364)&lt;&gt;16,"NIK bukan 16 digit",IF(COUNTIF($C$4:$C$2003,$C1364&amp;"*")&gt;1,"NIK ganda",IF($E1364="","Kadus kosong",IF($F1364="","RT kosong",IF($H1364="","Jabatan kosong",IF($I1364="","No. HP kosong",IF($J1364="","Alamat kosong",IF(AND($M1364&lt;&gt;"",$M1364&lt;17),"Usia di bawah 17",""))))))))))</f>
        <v/>
      </c>
      <c r="U1364" s="40" t="str">
        <f aca="false">IF($B1364="","",IF(AND(OR(CARI!$C$5="",ISNUMBER(SEARCH(CARI!$C$5,$B1364&amp;" "&amp;$C1364&amp;" "&amp;$I1364&amp;" "&amp;$J1364&amp;" "&amp;$Q1364))),OR(CARI!$C$6="",$E1364=CARI!$C$6),OR(CARI!$C$7="",$F1364=CARI!$C$7),OR(CARI!$C$8="",$O1364=CARI!$C$8)),MAX($U$3:U1363)+1,""))</f>
        <v/>
      </c>
      <c r="V1364" s="40" t="str">
        <f aca="false">IF($T1364="","",MAX($V$3:V1363)+1)</f>
        <v/>
      </c>
      <c r="W1364" s="40" t="str">
        <f aca="false">IF($E1364="","",$E1364&amp;"#"&amp;COUNTIF($E$4:$E1364,$E1364))</f>
        <v/>
      </c>
      <c r="X1364" s="40" t="str">
        <f aca="false">IF($B1364="","",IF(AND(OR(CETAK!$J$10="",$E1364=CETAK!$J$10),OR(CETAK!$J$11="",$F1364=CETAK!$J$11),OR(CETAK!$J$12="",$K1364=CETAK!$J$12),OR(CETAK!$J$13="",$H1364=CETAK!$J$13),OR(CETAK!$J$14="",$O1364=CETAK!$J$14)),MAX($X$3:X1363)+1,""))</f>
        <v/>
      </c>
      <c r="Y1364" s="40" t="str">
        <f aca="false">IF($B1364="","",IF(AND(OR(ABSENSI!$H$10="",$E1364=ABSENSI!$H$10),OR(ABSENSI!$H$11="",$F1364=ABSENSI!$H$11),OR(ABSENSI!$H$12="",$K1364=ABSENSI!$H$12)),MAX($Y$3:Y1363)+1,""))</f>
        <v/>
      </c>
      <c r="Z1364" s="40" t="str">
        <f aca="false">IF($B1364="","",IF(AND(OR(KARTU!$K$6="",$E1364=KARTU!$K$6),OR(KARTU!$K$7="",$F1364=KARTU!$K$7),OR(KARTU!$K$8="",$K1364=KARTU!$K$8)),MAX($Z$3:Z1363)+1,""))</f>
        <v/>
      </c>
    </row>
    <row r="1365" customFormat="false" ht="15" hidden="false" customHeight="false" outlineLevel="0" collapsed="false">
      <c r="A1365" s="36" t="str">
        <f aca="false">IF($B1365="","",COUNTA($B$4:$B1365))</f>
        <v/>
      </c>
      <c r="B1365" s="37"/>
      <c r="C1365" s="38"/>
      <c r="D1365" s="39"/>
      <c r="E1365" s="37"/>
      <c r="F1365" s="39"/>
      <c r="G1365" s="40" t="str">
        <f aca="false">IF(OR($E1365="",$F1365=""),"",$E1365&amp;" - RT "&amp;$F1365)</f>
        <v/>
      </c>
      <c r="H1365" s="37"/>
      <c r="I1365" s="38"/>
      <c r="J1365" s="37"/>
      <c r="K1365" s="39"/>
      <c r="L1365" s="41"/>
      <c r="M1365" s="36" t="str">
        <f aca="true">IF(OR($B1365="",$L1365=""),"",DATEDIF($L1365,TODAY(),"Y"))</f>
        <v/>
      </c>
      <c r="N1365" s="40" t="str">
        <f aca="false">IF($M1365="","",INDEX(usia_label,MATCH($M1365,usia_min,1)))</f>
        <v/>
      </c>
      <c r="O1365" s="37"/>
      <c r="P1365" s="41"/>
      <c r="Q1365" s="37"/>
      <c r="R1365" s="37"/>
      <c r="S1365" s="40" t="str">
        <f aca="false">IF($G1365="","",$G1365&amp;"#"&amp;COUNTIF($G$4:$G1365,$G1365))</f>
        <v/>
      </c>
      <c r="T1365" s="40" t="str">
        <f aca="false">IF($B1365="","",IF($C1365="","NIK kosong",IF(LEN($C1365)&lt;&gt;16,"NIK bukan 16 digit",IF(COUNTIF($C$4:$C$2003,$C1365&amp;"*")&gt;1,"NIK ganda",IF($E1365="","Kadus kosong",IF($F1365="","RT kosong",IF($H1365="","Jabatan kosong",IF($I1365="","No. HP kosong",IF($J1365="","Alamat kosong",IF(AND($M1365&lt;&gt;"",$M1365&lt;17),"Usia di bawah 17",""))))))))))</f>
        <v/>
      </c>
      <c r="U1365" s="40" t="str">
        <f aca="false">IF($B1365="","",IF(AND(OR(CARI!$C$5="",ISNUMBER(SEARCH(CARI!$C$5,$B1365&amp;" "&amp;$C1365&amp;" "&amp;$I1365&amp;" "&amp;$J1365&amp;" "&amp;$Q1365))),OR(CARI!$C$6="",$E1365=CARI!$C$6),OR(CARI!$C$7="",$F1365=CARI!$C$7),OR(CARI!$C$8="",$O1365=CARI!$C$8)),MAX($U$3:U1364)+1,""))</f>
        <v/>
      </c>
      <c r="V1365" s="40" t="str">
        <f aca="false">IF($T1365="","",MAX($V$3:V1364)+1)</f>
        <v/>
      </c>
      <c r="W1365" s="40" t="str">
        <f aca="false">IF($E1365="","",$E1365&amp;"#"&amp;COUNTIF($E$4:$E1365,$E1365))</f>
        <v/>
      </c>
      <c r="X1365" s="40" t="str">
        <f aca="false">IF($B1365="","",IF(AND(OR(CETAK!$J$10="",$E1365=CETAK!$J$10),OR(CETAK!$J$11="",$F1365=CETAK!$J$11),OR(CETAK!$J$12="",$K1365=CETAK!$J$12),OR(CETAK!$J$13="",$H1365=CETAK!$J$13),OR(CETAK!$J$14="",$O1365=CETAK!$J$14)),MAX($X$3:X1364)+1,""))</f>
        <v/>
      </c>
      <c r="Y1365" s="40" t="str">
        <f aca="false">IF($B1365="","",IF(AND(OR(ABSENSI!$H$10="",$E1365=ABSENSI!$H$10),OR(ABSENSI!$H$11="",$F1365=ABSENSI!$H$11),OR(ABSENSI!$H$12="",$K1365=ABSENSI!$H$12)),MAX($Y$3:Y1364)+1,""))</f>
        <v/>
      </c>
      <c r="Z1365" s="40" t="str">
        <f aca="false">IF($B1365="","",IF(AND(OR(KARTU!$K$6="",$E1365=KARTU!$K$6),OR(KARTU!$K$7="",$F1365=KARTU!$K$7),OR(KARTU!$K$8="",$K1365=KARTU!$K$8)),MAX($Z$3:Z1364)+1,""))</f>
        <v/>
      </c>
    </row>
    <row r="1366" customFormat="false" ht="15" hidden="false" customHeight="false" outlineLevel="0" collapsed="false">
      <c r="A1366" s="36" t="str">
        <f aca="false">IF($B1366="","",COUNTA($B$4:$B1366))</f>
        <v/>
      </c>
      <c r="B1366" s="37"/>
      <c r="C1366" s="38"/>
      <c r="D1366" s="39"/>
      <c r="E1366" s="37"/>
      <c r="F1366" s="39"/>
      <c r="G1366" s="40" t="str">
        <f aca="false">IF(OR($E1366="",$F1366=""),"",$E1366&amp;" - RT "&amp;$F1366)</f>
        <v/>
      </c>
      <c r="H1366" s="37"/>
      <c r="I1366" s="38"/>
      <c r="J1366" s="37"/>
      <c r="K1366" s="39"/>
      <c r="L1366" s="41"/>
      <c r="M1366" s="36" t="str">
        <f aca="true">IF(OR($B1366="",$L1366=""),"",DATEDIF($L1366,TODAY(),"Y"))</f>
        <v/>
      </c>
      <c r="N1366" s="40" t="str">
        <f aca="false">IF($M1366="","",INDEX(usia_label,MATCH($M1366,usia_min,1)))</f>
        <v/>
      </c>
      <c r="O1366" s="37"/>
      <c r="P1366" s="41"/>
      <c r="Q1366" s="37"/>
      <c r="R1366" s="37"/>
      <c r="S1366" s="40" t="str">
        <f aca="false">IF($G1366="","",$G1366&amp;"#"&amp;COUNTIF($G$4:$G1366,$G1366))</f>
        <v/>
      </c>
      <c r="T1366" s="40" t="str">
        <f aca="false">IF($B1366="","",IF($C1366="","NIK kosong",IF(LEN($C1366)&lt;&gt;16,"NIK bukan 16 digit",IF(COUNTIF($C$4:$C$2003,$C1366&amp;"*")&gt;1,"NIK ganda",IF($E1366="","Kadus kosong",IF($F1366="","RT kosong",IF($H1366="","Jabatan kosong",IF($I1366="","No. HP kosong",IF($J1366="","Alamat kosong",IF(AND($M1366&lt;&gt;"",$M1366&lt;17),"Usia di bawah 17",""))))))))))</f>
        <v/>
      </c>
      <c r="U1366" s="40" t="str">
        <f aca="false">IF($B1366="","",IF(AND(OR(CARI!$C$5="",ISNUMBER(SEARCH(CARI!$C$5,$B1366&amp;" "&amp;$C1366&amp;" "&amp;$I1366&amp;" "&amp;$J1366&amp;" "&amp;$Q1366))),OR(CARI!$C$6="",$E1366=CARI!$C$6),OR(CARI!$C$7="",$F1366=CARI!$C$7),OR(CARI!$C$8="",$O1366=CARI!$C$8)),MAX($U$3:U1365)+1,""))</f>
        <v/>
      </c>
      <c r="V1366" s="40" t="str">
        <f aca="false">IF($T1366="","",MAX($V$3:V1365)+1)</f>
        <v/>
      </c>
      <c r="W1366" s="40" t="str">
        <f aca="false">IF($E1366="","",$E1366&amp;"#"&amp;COUNTIF($E$4:$E1366,$E1366))</f>
        <v/>
      </c>
      <c r="X1366" s="40" t="str">
        <f aca="false">IF($B1366="","",IF(AND(OR(CETAK!$J$10="",$E1366=CETAK!$J$10),OR(CETAK!$J$11="",$F1366=CETAK!$J$11),OR(CETAK!$J$12="",$K1366=CETAK!$J$12),OR(CETAK!$J$13="",$H1366=CETAK!$J$13),OR(CETAK!$J$14="",$O1366=CETAK!$J$14)),MAX($X$3:X1365)+1,""))</f>
        <v/>
      </c>
      <c r="Y1366" s="40" t="str">
        <f aca="false">IF($B1366="","",IF(AND(OR(ABSENSI!$H$10="",$E1366=ABSENSI!$H$10),OR(ABSENSI!$H$11="",$F1366=ABSENSI!$H$11),OR(ABSENSI!$H$12="",$K1366=ABSENSI!$H$12)),MAX($Y$3:Y1365)+1,""))</f>
        <v/>
      </c>
      <c r="Z1366" s="40" t="str">
        <f aca="false">IF($B1366="","",IF(AND(OR(KARTU!$K$6="",$E1366=KARTU!$K$6),OR(KARTU!$K$7="",$F1366=KARTU!$K$7),OR(KARTU!$K$8="",$K1366=KARTU!$K$8)),MAX($Z$3:Z1365)+1,""))</f>
        <v/>
      </c>
    </row>
    <row r="1367" customFormat="false" ht="15" hidden="false" customHeight="false" outlineLevel="0" collapsed="false">
      <c r="A1367" s="36" t="str">
        <f aca="false">IF($B1367="","",COUNTA($B$4:$B1367))</f>
        <v/>
      </c>
      <c r="B1367" s="37"/>
      <c r="C1367" s="38"/>
      <c r="D1367" s="39"/>
      <c r="E1367" s="37"/>
      <c r="F1367" s="39"/>
      <c r="G1367" s="40" t="str">
        <f aca="false">IF(OR($E1367="",$F1367=""),"",$E1367&amp;" - RT "&amp;$F1367)</f>
        <v/>
      </c>
      <c r="H1367" s="37"/>
      <c r="I1367" s="38"/>
      <c r="J1367" s="37"/>
      <c r="K1367" s="39"/>
      <c r="L1367" s="41"/>
      <c r="M1367" s="36" t="str">
        <f aca="true">IF(OR($B1367="",$L1367=""),"",DATEDIF($L1367,TODAY(),"Y"))</f>
        <v/>
      </c>
      <c r="N1367" s="40" t="str">
        <f aca="false">IF($M1367="","",INDEX(usia_label,MATCH($M1367,usia_min,1)))</f>
        <v/>
      </c>
      <c r="O1367" s="37"/>
      <c r="P1367" s="41"/>
      <c r="Q1367" s="37"/>
      <c r="R1367" s="37"/>
      <c r="S1367" s="40" t="str">
        <f aca="false">IF($G1367="","",$G1367&amp;"#"&amp;COUNTIF($G$4:$G1367,$G1367))</f>
        <v/>
      </c>
      <c r="T1367" s="40" t="str">
        <f aca="false">IF($B1367="","",IF($C1367="","NIK kosong",IF(LEN($C1367)&lt;&gt;16,"NIK bukan 16 digit",IF(COUNTIF($C$4:$C$2003,$C1367&amp;"*")&gt;1,"NIK ganda",IF($E1367="","Kadus kosong",IF($F1367="","RT kosong",IF($H1367="","Jabatan kosong",IF($I1367="","No. HP kosong",IF($J1367="","Alamat kosong",IF(AND($M1367&lt;&gt;"",$M1367&lt;17),"Usia di bawah 17",""))))))))))</f>
        <v/>
      </c>
      <c r="U1367" s="40" t="str">
        <f aca="false">IF($B1367="","",IF(AND(OR(CARI!$C$5="",ISNUMBER(SEARCH(CARI!$C$5,$B1367&amp;" "&amp;$C1367&amp;" "&amp;$I1367&amp;" "&amp;$J1367&amp;" "&amp;$Q1367))),OR(CARI!$C$6="",$E1367=CARI!$C$6),OR(CARI!$C$7="",$F1367=CARI!$C$7),OR(CARI!$C$8="",$O1367=CARI!$C$8)),MAX($U$3:U1366)+1,""))</f>
        <v/>
      </c>
      <c r="V1367" s="40" t="str">
        <f aca="false">IF($T1367="","",MAX($V$3:V1366)+1)</f>
        <v/>
      </c>
      <c r="W1367" s="40" t="str">
        <f aca="false">IF($E1367="","",$E1367&amp;"#"&amp;COUNTIF($E$4:$E1367,$E1367))</f>
        <v/>
      </c>
      <c r="X1367" s="40" t="str">
        <f aca="false">IF($B1367="","",IF(AND(OR(CETAK!$J$10="",$E1367=CETAK!$J$10),OR(CETAK!$J$11="",$F1367=CETAK!$J$11),OR(CETAK!$J$12="",$K1367=CETAK!$J$12),OR(CETAK!$J$13="",$H1367=CETAK!$J$13),OR(CETAK!$J$14="",$O1367=CETAK!$J$14)),MAX($X$3:X1366)+1,""))</f>
        <v/>
      </c>
      <c r="Y1367" s="40" t="str">
        <f aca="false">IF($B1367="","",IF(AND(OR(ABSENSI!$H$10="",$E1367=ABSENSI!$H$10),OR(ABSENSI!$H$11="",$F1367=ABSENSI!$H$11),OR(ABSENSI!$H$12="",$K1367=ABSENSI!$H$12)),MAX($Y$3:Y1366)+1,""))</f>
        <v/>
      </c>
      <c r="Z1367" s="40" t="str">
        <f aca="false">IF($B1367="","",IF(AND(OR(KARTU!$K$6="",$E1367=KARTU!$K$6),OR(KARTU!$K$7="",$F1367=KARTU!$K$7),OR(KARTU!$K$8="",$K1367=KARTU!$K$8)),MAX($Z$3:Z1366)+1,""))</f>
        <v/>
      </c>
    </row>
    <row r="1368" customFormat="false" ht="15" hidden="false" customHeight="false" outlineLevel="0" collapsed="false">
      <c r="A1368" s="36" t="str">
        <f aca="false">IF($B1368="","",COUNTA($B$4:$B1368))</f>
        <v/>
      </c>
      <c r="B1368" s="37"/>
      <c r="C1368" s="38"/>
      <c r="D1368" s="39"/>
      <c r="E1368" s="37"/>
      <c r="F1368" s="39"/>
      <c r="G1368" s="40" t="str">
        <f aca="false">IF(OR($E1368="",$F1368=""),"",$E1368&amp;" - RT "&amp;$F1368)</f>
        <v/>
      </c>
      <c r="H1368" s="37"/>
      <c r="I1368" s="38"/>
      <c r="J1368" s="37"/>
      <c r="K1368" s="39"/>
      <c r="L1368" s="41"/>
      <c r="M1368" s="36" t="str">
        <f aca="true">IF(OR($B1368="",$L1368=""),"",DATEDIF($L1368,TODAY(),"Y"))</f>
        <v/>
      </c>
      <c r="N1368" s="40" t="str">
        <f aca="false">IF($M1368="","",INDEX(usia_label,MATCH($M1368,usia_min,1)))</f>
        <v/>
      </c>
      <c r="O1368" s="37"/>
      <c r="P1368" s="41"/>
      <c r="Q1368" s="37"/>
      <c r="R1368" s="37"/>
      <c r="S1368" s="40" t="str">
        <f aca="false">IF($G1368="","",$G1368&amp;"#"&amp;COUNTIF($G$4:$G1368,$G1368))</f>
        <v/>
      </c>
      <c r="T1368" s="40" t="str">
        <f aca="false">IF($B1368="","",IF($C1368="","NIK kosong",IF(LEN($C1368)&lt;&gt;16,"NIK bukan 16 digit",IF(COUNTIF($C$4:$C$2003,$C1368&amp;"*")&gt;1,"NIK ganda",IF($E1368="","Kadus kosong",IF($F1368="","RT kosong",IF($H1368="","Jabatan kosong",IF($I1368="","No. HP kosong",IF($J1368="","Alamat kosong",IF(AND($M1368&lt;&gt;"",$M1368&lt;17),"Usia di bawah 17",""))))))))))</f>
        <v/>
      </c>
      <c r="U1368" s="40" t="str">
        <f aca="false">IF($B1368="","",IF(AND(OR(CARI!$C$5="",ISNUMBER(SEARCH(CARI!$C$5,$B1368&amp;" "&amp;$C1368&amp;" "&amp;$I1368&amp;" "&amp;$J1368&amp;" "&amp;$Q1368))),OR(CARI!$C$6="",$E1368=CARI!$C$6),OR(CARI!$C$7="",$F1368=CARI!$C$7),OR(CARI!$C$8="",$O1368=CARI!$C$8)),MAX($U$3:U1367)+1,""))</f>
        <v/>
      </c>
      <c r="V1368" s="40" t="str">
        <f aca="false">IF($T1368="","",MAX($V$3:V1367)+1)</f>
        <v/>
      </c>
      <c r="W1368" s="40" t="str">
        <f aca="false">IF($E1368="","",$E1368&amp;"#"&amp;COUNTIF($E$4:$E1368,$E1368))</f>
        <v/>
      </c>
      <c r="X1368" s="40" t="str">
        <f aca="false">IF($B1368="","",IF(AND(OR(CETAK!$J$10="",$E1368=CETAK!$J$10),OR(CETAK!$J$11="",$F1368=CETAK!$J$11),OR(CETAK!$J$12="",$K1368=CETAK!$J$12),OR(CETAK!$J$13="",$H1368=CETAK!$J$13),OR(CETAK!$J$14="",$O1368=CETAK!$J$14)),MAX($X$3:X1367)+1,""))</f>
        <v/>
      </c>
      <c r="Y1368" s="40" t="str">
        <f aca="false">IF($B1368="","",IF(AND(OR(ABSENSI!$H$10="",$E1368=ABSENSI!$H$10),OR(ABSENSI!$H$11="",$F1368=ABSENSI!$H$11),OR(ABSENSI!$H$12="",$K1368=ABSENSI!$H$12)),MAX($Y$3:Y1367)+1,""))</f>
        <v/>
      </c>
      <c r="Z1368" s="40" t="str">
        <f aca="false">IF($B1368="","",IF(AND(OR(KARTU!$K$6="",$E1368=KARTU!$K$6),OR(KARTU!$K$7="",$F1368=KARTU!$K$7),OR(KARTU!$K$8="",$K1368=KARTU!$K$8)),MAX($Z$3:Z1367)+1,""))</f>
        <v/>
      </c>
    </row>
    <row r="1369" customFormat="false" ht="15" hidden="false" customHeight="false" outlineLevel="0" collapsed="false">
      <c r="A1369" s="36" t="str">
        <f aca="false">IF($B1369="","",COUNTA($B$4:$B1369))</f>
        <v/>
      </c>
      <c r="B1369" s="37"/>
      <c r="C1369" s="38"/>
      <c r="D1369" s="39"/>
      <c r="E1369" s="37"/>
      <c r="F1369" s="39"/>
      <c r="G1369" s="40" t="str">
        <f aca="false">IF(OR($E1369="",$F1369=""),"",$E1369&amp;" - RT "&amp;$F1369)</f>
        <v/>
      </c>
      <c r="H1369" s="37"/>
      <c r="I1369" s="38"/>
      <c r="J1369" s="37"/>
      <c r="K1369" s="39"/>
      <c r="L1369" s="41"/>
      <c r="M1369" s="36" t="str">
        <f aca="true">IF(OR($B1369="",$L1369=""),"",DATEDIF($L1369,TODAY(),"Y"))</f>
        <v/>
      </c>
      <c r="N1369" s="40" t="str">
        <f aca="false">IF($M1369="","",INDEX(usia_label,MATCH($M1369,usia_min,1)))</f>
        <v/>
      </c>
      <c r="O1369" s="37"/>
      <c r="P1369" s="41"/>
      <c r="Q1369" s="37"/>
      <c r="R1369" s="37"/>
      <c r="S1369" s="40" t="str">
        <f aca="false">IF($G1369="","",$G1369&amp;"#"&amp;COUNTIF($G$4:$G1369,$G1369))</f>
        <v/>
      </c>
      <c r="T1369" s="40" t="str">
        <f aca="false">IF($B1369="","",IF($C1369="","NIK kosong",IF(LEN($C1369)&lt;&gt;16,"NIK bukan 16 digit",IF(COUNTIF($C$4:$C$2003,$C1369&amp;"*")&gt;1,"NIK ganda",IF($E1369="","Kadus kosong",IF($F1369="","RT kosong",IF($H1369="","Jabatan kosong",IF($I1369="","No. HP kosong",IF($J1369="","Alamat kosong",IF(AND($M1369&lt;&gt;"",$M1369&lt;17),"Usia di bawah 17",""))))))))))</f>
        <v/>
      </c>
      <c r="U1369" s="40" t="str">
        <f aca="false">IF($B1369="","",IF(AND(OR(CARI!$C$5="",ISNUMBER(SEARCH(CARI!$C$5,$B1369&amp;" "&amp;$C1369&amp;" "&amp;$I1369&amp;" "&amp;$J1369&amp;" "&amp;$Q1369))),OR(CARI!$C$6="",$E1369=CARI!$C$6),OR(CARI!$C$7="",$F1369=CARI!$C$7),OR(CARI!$C$8="",$O1369=CARI!$C$8)),MAX($U$3:U1368)+1,""))</f>
        <v/>
      </c>
      <c r="V1369" s="40" t="str">
        <f aca="false">IF($T1369="","",MAX($V$3:V1368)+1)</f>
        <v/>
      </c>
      <c r="W1369" s="40" t="str">
        <f aca="false">IF($E1369="","",$E1369&amp;"#"&amp;COUNTIF($E$4:$E1369,$E1369))</f>
        <v/>
      </c>
      <c r="X1369" s="40" t="str">
        <f aca="false">IF($B1369="","",IF(AND(OR(CETAK!$J$10="",$E1369=CETAK!$J$10),OR(CETAK!$J$11="",$F1369=CETAK!$J$11),OR(CETAK!$J$12="",$K1369=CETAK!$J$12),OR(CETAK!$J$13="",$H1369=CETAK!$J$13),OR(CETAK!$J$14="",$O1369=CETAK!$J$14)),MAX($X$3:X1368)+1,""))</f>
        <v/>
      </c>
      <c r="Y1369" s="40" t="str">
        <f aca="false">IF($B1369="","",IF(AND(OR(ABSENSI!$H$10="",$E1369=ABSENSI!$H$10),OR(ABSENSI!$H$11="",$F1369=ABSENSI!$H$11),OR(ABSENSI!$H$12="",$K1369=ABSENSI!$H$12)),MAX($Y$3:Y1368)+1,""))</f>
        <v/>
      </c>
      <c r="Z1369" s="40" t="str">
        <f aca="false">IF($B1369="","",IF(AND(OR(KARTU!$K$6="",$E1369=KARTU!$K$6),OR(KARTU!$K$7="",$F1369=KARTU!$K$7),OR(KARTU!$K$8="",$K1369=KARTU!$K$8)),MAX($Z$3:Z1368)+1,""))</f>
        <v/>
      </c>
    </row>
    <row r="1370" customFormat="false" ht="15" hidden="false" customHeight="false" outlineLevel="0" collapsed="false">
      <c r="A1370" s="36" t="str">
        <f aca="false">IF($B1370="","",COUNTA($B$4:$B1370))</f>
        <v/>
      </c>
      <c r="B1370" s="37"/>
      <c r="C1370" s="38"/>
      <c r="D1370" s="39"/>
      <c r="E1370" s="37"/>
      <c r="F1370" s="39"/>
      <c r="G1370" s="40" t="str">
        <f aca="false">IF(OR($E1370="",$F1370=""),"",$E1370&amp;" - RT "&amp;$F1370)</f>
        <v/>
      </c>
      <c r="H1370" s="37"/>
      <c r="I1370" s="38"/>
      <c r="J1370" s="37"/>
      <c r="K1370" s="39"/>
      <c r="L1370" s="41"/>
      <c r="M1370" s="36" t="str">
        <f aca="true">IF(OR($B1370="",$L1370=""),"",DATEDIF($L1370,TODAY(),"Y"))</f>
        <v/>
      </c>
      <c r="N1370" s="40" t="str">
        <f aca="false">IF($M1370="","",INDEX(usia_label,MATCH($M1370,usia_min,1)))</f>
        <v/>
      </c>
      <c r="O1370" s="37"/>
      <c r="P1370" s="41"/>
      <c r="Q1370" s="37"/>
      <c r="R1370" s="37"/>
      <c r="S1370" s="40" t="str">
        <f aca="false">IF($G1370="","",$G1370&amp;"#"&amp;COUNTIF($G$4:$G1370,$G1370))</f>
        <v/>
      </c>
      <c r="T1370" s="40" t="str">
        <f aca="false">IF($B1370="","",IF($C1370="","NIK kosong",IF(LEN($C1370)&lt;&gt;16,"NIK bukan 16 digit",IF(COUNTIF($C$4:$C$2003,$C1370&amp;"*")&gt;1,"NIK ganda",IF($E1370="","Kadus kosong",IF($F1370="","RT kosong",IF($H1370="","Jabatan kosong",IF($I1370="","No. HP kosong",IF($J1370="","Alamat kosong",IF(AND($M1370&lt;&gt;"",$M1370&lt;17),"Usia di bawah 17",""))))))))))</f>
        <v/>
      </c>
      <c r="U1370" s="40" t="str">
        <f aca="false">IF($B1370="","",IF(AND(OR(CARI!$C$5="",ISNUMBER(SEARCH(CARI!$C$5,$B1370&amp;" "&amp;$C1370&amp;" "&amp;$I1370&amp;" "&amp;$J1370&amp;" "&amp;$Q1370))),OR(CARI!$C$6="",$E1370=CARI!$C$6),OR(CARI!$C$7="",$F1370=CARI!$C$7),OR(CARI!$C$8="",$O1370=CARI!$C$8)),MAX($U$3:U1369)+1,""))</f>
        <v/>
      </c>
      <c r="V1370" s="40" t="str">
        <f aca="false">IF($T1370="","",MAX($V$3:V1369)+1)</f>
        <v/>
      </c>
      <c r="W1370" s="40" t="str">
        <f aca="false">IF($E1370="","",$E1370&amp;"#"&amp;COUNTIF($E$4:$E1370,$E1370))</f>
        <v/>
      </c>
      <c r="X1370" s="40" t="str">
        <f aca="false">IF($B1370="","",IF(AND(OR(CETAK!$J$10="",$E1370=CETAK!$J$10),OR(CETAK!$J$11="",$F1370=CETAK!$J$11),OR(CETAK!$J$12="",$K1370=CETAK!$J$12),OR(CETAK!$J$13="",$H1370=CETAK!$J$13),OR(CETAK!$J$14="",$O1370=CETAK!$J$14)),MAX($X$3:X1369)+1,""))</f>
        <v/>
      </c>
      <c r="Y1370" s="40" t="str">
        <f aca="false">IF($B1370="","",IF(AND(OR(ABSENSI!$H$10="",$E1370=ABSENSI!$H$10),OR(ABSENSI!$H$11="",$F1370=ABSENSI!$H$11),OR(ABSENSI!$H$12="",$K1370=ABSENSI!$H$12)),MAX($Y$3:Y1369)+1,""))</f>
        <v/>
      </c>
      <c r="Z1370" s="40" t="str">
        <f aca="false">IF($B1370="","",IF(AND(OR(KARTU!$K$6="",$E1370=KARTU!$K$6),OR(KARTU!$K$7="",$F1370=KARTU!$K$7),OR(KARTU!$K$8="",$K1370=KARTU!$K$8)),MAX($Z$3:Z1369)+1,""))</f>
        <v/>
      </c>
    </row>
    <row r="1371" customFormat="false" ht="15" hidden="false" customHeight="false" outlineLevel="0" collapsed="false">
      <c r="A1371" s="36" t="str">
        <f aca="false">IF($B1371="","",COUNTA($B$4:$B1371))</f>
        <v/>
      </c>
      <c r="B1371" s="37"/>
      <c r="C1371" s="38"/>
      <c r="D1371" s="39"/>
      <c r="E1371" s="37"/>
      <c r="F1371" s="39"/>
      <c r="G1371" s="40" t="str">
        <f aca="false">IF(OR($E1371="",$F1371=""),"",$E1371&amp;" - RT "&amp;$F1371)</f>
        <v/>
      </c>
      <c r="H1371" s="37"/>
      <c r="I1371" s="38"/>
      <c r="J1371" s="37"/>
      <c r="K1371" s="39"/>
      <c r="L1371" s="41"/>
      <c r="M1371" s="36" t="str">
        <f aca="true">IF(OR($B1371="",$L1371=""),"",DATEDIF($L1371,TODAY(),"Y"))</f>
        <v/>
      </c>
      <c r="N1371" s="40" t="str">
        <f aca="false">IF($M1371="","",INDEX(usia_label,MATCH($M1371,usia_min,1)))</f>
        <v/>
      </c>
      <c r="O1371" s="37"/>
      <c r="P1371" s="41"/>
      <c r="Q1371" s="37"/>
      <c r="R1371" s="37"/>
      <c r="S1371" s="40" t="str">
        <f aca="false">IF($G1371="","",$G1371&amp;"#"&amp;COUNTIF($G$4:$G1371,$G1371))</f>
        <v/>
      </c>
      <c r="T1371" s="40" t="str">
        <f aca="false">IF($B1371="","",IF($C1371="","NIK kosong",IF(LEN($C1371)&lt;&gt;16,"NIK bukan 16 digit",IF(COUNTIF($C$4:$C$2003,$C1371&amp;"*")&gt;1,"NIK ganda",IF($E1371="","Kadus kosong",IF($F1371="","RT kosong",IF($H1371="","Jabatan kosong",IF($I1371="","No. HP kosong",IF($J1371="","Alamat kosong",IF(AND($M1371&lt;&gt;"",$M1371&lt;17),"Usia di bawah 17",""))))))))))</f>
        <v/>
      </c>
      <c r="U1371" s="40" t="str">
        <f aca="false">IF($B1371="","",IF(AND(OR(CARI!$C$5="",ISNUMBER(SEARCH(CARI!$C$5,$B1371&amp;" "&amp;$C1371&amp;" "&amp;$I1371&amp;" "&amp;$J1371&amp;" "&amp;$Q1371))),OR(CARI!$C$6="",$E1371=CARI!$C$6),OR(CARI!$C$7="",$F1371=CARI!$C$7),OR(CARI!$C$8="",$O1371=CARI!$C$8)),MAX($U$3:U1370)+1,""))</f>
        <v/>
      </c>
      <c r="V1371" s="40" t="str">
        <f aca="false">IF($T1371="","",MAX($V$3:V1370)+1)</f>
        <v/>
      </c>
      <c r="W1371" s="40" t="str">
        <f aca="false">IF($E1371="","",$E1371&amp;"#"&amp;COUNTIF($E$4:$E1371,$E1371))</f>
        <v/>
      </c>
      <c r="X1371" s="40" t="str">
        <f aca="false">IF($B1371="","",IF(AND(OR(CETAK!$J$10="",$E1371=CETAK!$J$10),OR(CETAK!$J$11="",$F1371=CETAK!$J$11),OR(CETAK!$J$12="",$K1371=CETAK!$J$12),OR(CETAK!$J$13="",$H1371=CETAK!$J$13),OR(CETAK!$J$14="",$O1371=CETAK!$J$14)),MAX($X$3:X1370)+1,""))</f>
        <v/>
      </c>
      <c r="Y1371" s="40" t="str">
        <f aca="false">IF($B1371="","",IF(AND(OR(ABSENSI!$H$10="",$E1371=ABSENSI!$H$10),OR(ABSENSI!$H$11="",$F1371=ABSENSI!$H$11),OR(ABSENSI!$H$12="",$K1371=ABSENSI!$H$12)),MAX($Y$3:Y1370)+1,""))</f>
        <v/>
      </c>
      <c r="Z1371" s="40" t="str">
        <f aca="false">IF($B1371="","",IF(AND(OR(KARTU!$K$6="",$E1371=KARTU!$K$6),OR(KARTU!$K$7="",$F1371=KARTU!$K$7),OR(KARTU!$K$8="",$K1371=KARTU!$K$8)),MAX($Z$3:Z1370)+1,""))</f>
        <v/>
      </c>
    </row>
    <row r="1372" customFormat="false" ht="15" hidden="false" customHeight="false" outlineLevel="0" collapsed="false">
      <c r="A1372" s="36" t="str">
        <f aca="false">IF($B1372="","",COUNTA($B$4:$B1372))</f>
        <v/>
      </c>
      <c r="B1372" s="37"/>
      <c r="C1372" s="38"/>
      <c r="D1372" s="39"/>
      <c r="E1372" s="37"/>
      <c r="F1372" s="39"/>
      <c r="G1372" s="40" t="str">
        <f aca="false">IF(OR($E1372="",$F1372=""),"",$E1372&amp;" - RT "&amp;$F1372)</f>
        <v/>
      </c>
      <c r="H1372" s="37"/>
      <c r="I1372" s="38"/>
      <c r="J1372" s="37"/>
      <c r="K1372" s="39"/>
      <c r="L1372" s="41"/>
      <c r="M1372" s="36" t="str">
        <f aca="true">IF(OR($B1372="",$L1372=""),"",DATEDIF($L1372,TODAY(),"Y"))</f>
        <v/>
      </c>
      <c r="N1372" s="40" t="str">
        <f aca="false">IF($M1372="","",INDEX(usia_label,MATCH($M1372,usia_min,1)))</f>
        <v/>
      </c>
      <c r="O1372" s="37"/>
      <c r="P1372" s="41"/>
      <c r="Q1372" s="37"/>
      <c r="R1372" s="37"/>
      <c r="S1372" s="40" t="str">
        <f aca="false">IF($G1372="","",$G1372&amp;"#"&amp;COUNTIF($G$4:$G1372,$G1372))</f>
        <v/>
      </c>
      <c r="T1372" s="40" t="str">
        <f aca="false">IF($B1372="","",IF($C1372="","NIK kosong",IF(LEN($C1372)&lt;&gt;16,"NIK bukan 16 digit",IF(COUNTIF($C$4:$C$2003,$C1372&amp;"*")&gt;1,"NIK ganda",IF($E1372="","Kadus kosong",IF($F1372="","RT kosong",IF($H1372="","Jabatan kosong",IF($I1372="","No. HP kosong",IF($J1372="","Alamat kosong",IF(AND($M1372&lt;&gt;"",$M1372&lt;17),"Usia di bawah 17",""))))))))))</f>
        <v/>
      </c>
      <c r="U1372" s="40" t="str">
        <f aca="false">IF($B1372="","",IF(AND(OR(CARI!$C$5="",ISNUMBER(SEARCH(CARI!$C$5,$B1372&amp;" "&amp;$C1372&amp;" "&amp;$I1372&amp;" "&amp;$J1372&amp;" "&amp;$Q1372))),OR(CARI!$C$6="",$E1372=CARI!$C$6),OR(CARI!$C$7="",$F1372=CARI!$C$7),OR(CARI!$C$8="",$O1372=CARI!$C$8)),MAX($U$3:U1371)+1,""))</f>
        <v/>
      </c>
      <c r="V1372" s="40" t="str">
        <f aca="false">IF($T1372="","",MAX($V$3:V1371)+1)</f>
        <v/>
      </c>
      <c r="W1372" s="40" t="str">
        <f aca="false">IF($E1372="","",$E1372&amp;"#"&amp;COUNTIF($E$4:$E1372,$E1372))</f>
        <v/>
      </c>
      <c r="X1372" s="40" t="str">
        <f aca="false">IF($B1372="","",IF(AND(OR(CETAK!$J$10="",$E1372=CETAK!$J$10),OR(CETAK!$J$11="",$F1372=CETAK!$J$11),OR(CETAK!$J$12="",$K1372=CETAK!$J$12),OR(CETAK!$J$13="",$H1372=CETAK!$J$13),OR(CETAK!$J$14="",$O1372=CETAK!$J$14)),MAX($X$3:X1371)+1,""))</f>
        <v/>
      </c>
      <c r="Y1372" s="40" t="str">
        <f aca="false">IF($B1372="","",IF(AND(OR(ABSENSI!$H$10="",$E1372=ABSENSI!$H$10),OR(ABSENSI!$H$11="",$F1372=ABSENSI!$H$11),OR(ABSENSI!$H$12="",$K1372=ABSENSI!$H$12)),MAX($Y$3:Y1371)+1,""))</f>
        <v/>
      </c>
      <c r="Z1372" s="40" t="str">
        <f aca="false">IF($B1372="","",IF(AND(OR(KARTU!$K$6="",$E1372=KARTU!$K$6),OR(KARTU!$K$7="",$F1372=KARTU!$K$7),OR(KARTU!$K$8="",$K1372=KARTU!$K$8)),MAX($Z$3:Z1371)+1,""))</f>
        <v/>
      </c>
    </row>
    <row r="1373" customFormat="false" ht="15" hidden="false" customHeight="false" outlineLevel="0" collapsed="false">
      <c r="A1373" s="36" t="str">
        <f aca="false">IF($B1373="","",COUNTA($B$4:$B1373))</f>
        <v/>
      </c>
      <c r="B1373" s="37"/>
      <c r="C1373" s="38"/>
      <c r="D1373" s="39"/>
      <c r="E1373" s="37"/>
      <c r="F1373" s="39"/>
      <c r="G1373" s="40" t="str">
        <f aca="false">IF(OR($E1373="",$F1373=""),"",$E1373&amp;" - RT "&amp;$F1373)</f>
        <v/>
      </c>
      <c r="H1373" s="37"/>
      <c r="I1373" s="38"/>
      <c r="J1373" s="37"/>
      <c r="K1373" s="39"/>
      <c r="L1373" s="41"/>
      <c r="M1373" s="36" t="str">
        <f aca="true">IF(OR($B1373="",$L1373=""),"",DATEDIF($L1373,TODAY(),"Y"))</f>
        <v/>
      </c>
      <c r="N1373" s="40" t="str">
        <f aca="false">IF($M1373="","",INDEX(usia_label,MATCH($M1373,usia_min,1)))</f>
        <v/>
      </c>
      <c r="O1373" s="37"/>
      <c r="P1373" s="41"/>
      <c r="Q1373" s="37"/>
      <c r="R1373" s="37"/>
      <c r="S1373" s="40" t="str">
        <f aca="false">IF($G1373="","",$G1373&amp;"#"&amp;COUNTIF($G$4:$G1373,$G1373))</f>
        <v/>
      </c>
      <c r="T1373" s="40" t="str">
        <f aca="false">IF($B1373="","",IF($C1373="","NIK kosong",IF(LEN($C1373)&lt;&gt;16,"NIK bukan 16 digit",IF(COUNTIF($C$4:$C$2003,$C1373&amp;"*")&gt;1,"NIK ganda",IF($E1373="","Kadus kosong",IF($F1373="","RT kosong",IF($H1373="","Jabatan kosong",IF($I1373="","No. HP kosong",IF($J1373="","Alamat kosong",IF(AND($M1373&lt;&gt;"",$M1373&lt;17),"Usia di bawah 17",""))))))))))</f>
        <v/>
      </c>
      <c r="U1373" s="40" t="str">
        <f aca="false">IF($B1373="","",IF(AND(OR(CARI!$C$5="",ISNUMBER(SEARCH(CARI!$C$5,$B1373&amp;" "&amp;$C1373&amp;" "&amp;$I1373&amp;" "&amp;$J1373&amp;" "&amp;$Q1373))),OR(CARI!$C$6="",$E1373=CARI!$C$6),OR(CARI!$C$7="",$F1373=CARI!$C$7),OR(CARI!$C$8="",$O1373=CARI!$C$8)),MAX($U$3:U1372)+1,""))</f>
        <v/>
      </c>
      <c r="V1373" s="40" t="str">
        <f aca="false">IF($T1373="","",MAX($V$3:V1372)+1)</f>
        <v/>
      </c>
      <c r="W1373" s="40" t="str">
        <f aca="false">IF($E1373="","",$E1373&amp;"#"&amp;COUNTIF($E$4:$E1373,$E1373))</f>
        <v/>
      </c>
      <c r="X1373" s="40" t="str">
        <f aca="false">IF($B1373="","",IF(AND(OR(CETAK!$J$10="",$E1373=CETAK!$J$10),OR(CETAK!$J$11="",$F1373=CETAK!$J$11),OR(CETAK!$J$12="",$K1373=CETAK!$J$12),OR(CETAK!$J$13="",$H1373=CETAK!$J$13),OR(CETAK!$J$14="",$O1373=CETAK!$J$14)),MAX($X$3:X1372)+1,""))</f>
        <v/>
      </c>
      <c r="Y1373" s="40" t="str">
        <f aca="false">IF($B1373="","",IF(AND(OR(ABSENSI!$H$10="",$E1373=ABSENSI!$H$10),OR(ABSENSI!$H$11="",$F1373=ABSENSI!$H$11),OR(ABSENSI!$H$12="",$K1373=ABSENSI!$H$12)),MAX($Y$3:Y1372)+1,""))</f>
        <v/>
      </c>
      <c r="Z1373" s="40" t="str">
        <f aca="false">IF($B1373="","",IF(AND(OR(KARTU!$K$6="",$E1373=KARTU!$K$6),OR(KARTU!$K$7="",$F1373=KARTU!$K$7),OR(KARTU!$K$8="",$K1373=KARTU!$K$8)),MAX($Z$3:Z1372)+1,""))</f>
        <v/>
      </c>
    </row>
    <row r="1374" customFormat="false" ht="15" hidden="false" customHeight="false" outlineLevel="0" collapsed="false">
      <c r="A1374" s="36" t="str">
        <f aca="false">IF($B1374="","",COUNTA($B$4:$B1374))</f>
        <v/>
      </c>
      <c r="B1374" s="37"/>
      <c r="C1374" s="38"/>
      <c r="D1374" s="39"/>
      <c r="E1374" s="37"/>
      <c r="F1374" s="39"/>
      <c r="G1374" s="40" t="str">
        <f aca="false">IF(OR($E1374="",$F1374=""),"",$E1374&amp;" - RT "&amp;$F1374)</f>
        <v/>
      </c>
      <c r="H1374" s="37"/>
      <c r="I1374" s="38"/>
      <c r="J1374" s="37"/>
      <c r="K1374" s="39"/>
      <c r="L1374" s="41"/>
      <c r="M1374" s="36" t="str">
        <f aca="true">IF(OR($B1374="",$L1374=""),"",DATEDIF($L1374,TODAY(),"Y"))</f>
        <v/>
      </c>
      <c r="N1374" s="40" t="str">
        <f aca="false">IF($M1374="","",INDEX(usia_label,MATCH($M1374,usia_min,1)))</f>
        <v/>
      </c>
      <c r="O1374" s="37"/>
      <c r="P1374" s="41"/>
      <c r="Q1374" s="37"/>
      <c r="R1374" s="37"/>
      <c r="S1374" s="40" t="str">
        <f aca="false">IF($G1374="","",$G1374&amp;"#"&amp;COUNTIF($G$4:$G1374,$G1374))</f>
        <v/>
      </c>
      <c r="T1374" s="40" t="str">
        <f aca="false">IF($B1374="","",IF($C1374="","NIK kosong",IF(LEN($C1374)&lt;&gt;16,"NIK bukan 16 digit",IF(COUNTIF($C$4:$C$2003,$C1374&amp;"*")&gt;1,"NIK ganda",IF($E1374="","Kadus kosong",IF($F1374="","RT kosong",IF($H1374="","Jabatan kosong",IF($I1374="","No. HP kosong",IF($J1374="","Alamat kosong",IF(AND($M1374&lt;&gt;"",$M1374&lt;17),"Usia di bawah 17",""))))))))))</f>
        <v/>
      </c>
      <c r="U1374" s="40" t="str">
        <f aca="false">IF($B1374="","",IF(AND(OR(CARI!$C$5="",ISNUMBER(SEARCH(CARI!$C$5,$B1374&amp;" "&amp;$C1374&amp;" "&amp;$I1374&amp;" "&amp;$J1374&amp;" "&amp;$Q1374))),OR(CARI!$C$6="",$E1374=CARI!$C$6),OR(CARI!$C$7="",$F1374=CARI!$C$7),OR(CARI!$C$8="",$O1374=CARI!$C$8)),MAX($U$3:U1373)+1,""))</f>
        <v/>
      </c>
      <c r="V1374" s="40" t="str">
        <f aca="false">IF($T1374="","",MAX($V$3:V1373)+1)</f>
        <v/>
      </c>
      <c r="W1374" s="40" t="str">
        <f aca="false">IF($E1374="","",$E1374&amp;"#"&amp;COUNTIF($E$4:$E1374,$E1374))</f>
        <v/>
      </c>
      <c r="X1374" s="40" t="str">
        <f aca="false">IF($B1374="","",IF(AND(OR(CETAK!$J$10="",$E1374=CETAK!$J$10),OR(CETAK!$J$11="",$F1374=CETAK!$J$11),OR(CETAK!$J$12="",$K1374=CETAK!$J$12),OR(CETAK!$J$13="",$H1374=CETAK!$J$13),OR(CETAK!$J$14="",$O1374=CETAK!$J$14)),MAX($X$3:X1373)+1,""))</f>
        <v/>
      </c>
      <c r="Y1374" s="40" t="str">
        <f aca="false">IF($B1374="","",IF(AND(OR(ABSENSI!$H$10="",$E1374=ABSENSI!$H$10),OR(ABSENSI!$H$11="",$F1374=ABSENSI!$H$11),OR(ABSENSI!$H$12="",$K1374=ABSENSI!$H$12)),MAX($Y$3:Y1373)+1,""))</f>
        <v/>
      </c>
      <c r="Z1374" s="40" t="str">
        <f aca="false">IF($B1374="","",IF(AND(OR(KARTU!$K$6="",$E1374=KARTU!$K$6),OR(KARTU!$K$7="",$F1374=KARTU!$K$7),OR(KARTU!$K$8="",$K1374=KARTU!$K$8)),MAX($Z$3:Z1373)+1,""))</f>
        <v/>
      </c>
    </row>
    <row r="1375" customFormat="false" ht="15" hidden="false" customHeight="false" outlineLevel="0" collapsed="false">
      <c r="A1375" s="36" t="str">
        <f aca="false">IF($B1375="","",COUNTA($B$4:$B1375))</f>
        <v/>
      </c>
      <c r="B1375" s="37"/>
      <c r="C1375" s="38"/>
      <c r="D1375" s="39"/>
      <c r="E1375" s="37"/>
      <c r="F1375" s="39"/>
      <c r="G1375" s="40" t="str">
        <f aca="false">IF(OR($E1375="",$F1375=""),"",$E1375&amp;" - RT "&amp;$F1375)</f>
        <v/>
      </c>
      <c r="H1375" s="37"/>
      <c r="I1375" s="38"/>
      <c r="J1375" s="37"/>
      <c r="K1375" s="39"/>
      <c r="L1375" s="41"/>
      <c r="M1375" s="36" t="str">
        <f aca="true">IF(OR($B1375="",$L1375=""),"",DATEDIF($L1375,TODAY(),"Y"))</f>
        <v/>
      </c>
      <c r="N1375" s="40" t="str">
        <f aca="false">IF($M1375="","",INDEX(usia_label,MATCH($M1375,usia_min,1)))</f>
        <v/>
      </c>
      <c r="O1375" s="37"/>
      <c r="P1375" s="41"/>
      <c r="Q1375" s="37"/>
      <c r="R1375" s="37"/>
      <c r="S1375" s="40" t="str">
        <f aca="false">IF($G1375="","",$G1375&amp;"#"&amp;COUNTIF($G$4:$G1375,$G1375))</f>
        <v/>
      </c>
      <c r="T1375" s="40" t="str">
        <f aca="false">IF($B1375="","",IF($C1375="","NIK kosong",IF(LEN($C1375)&lt;&gt;16,"NIK bukan 16 digit",IF(COUNTIF($C$4:$C$2003,$C1375&amp;"*")&gt;1,"NIK ganda",IF($E1375="","Kadus kosong",IF($F1375="","RT kosong",IF($H1375="","Jabatan kosong",IF($I1375="","No. HP kosong",IF($J1375="","Alamat kosong",IF(AND($M1375&lt;&gt;"",$M1375&lt;17),"Usia di bawah 17",""))))))))))</f>
        <v/>
      </c>
      <c r="U1375" s="40" t="str">
        <f aca="false">IF($B1375="","",IF(AND(OR(CARI!$C$5="",ISNUMBER(SEARCH(CARI!$C$5,$B1375&amp;" "&amp;$C1375&amp;" "&amp;$I1375&amp;" "&amp;$J1375&amp;" "&amp;$Q1375))),OR(CARI!$C$6="",$E1375=CARI!$C$6),OR(CARI!$C$7="",$F1375=CARI!$C$7),OR(CARI!$C$8="",$O1375=CARI!$C$8)),MAX($U$3:U1374)+1,""))</f>
        <v/>
      </c>
      <c r="V1375" s="40" t="str">
        <f aca="false">IF($T1375="","",MAX($V$3:V1374)+1)</f>
        <v/>
      </c>
      <c r="W1375" s="40" t="str">
        <f aca="false">IF($E1375="","",$E1375&amp;"#"&amp;COUNTIF($E$4:$E1375,$E1375))</f>
        <v/>
      </c>
      <c r="X1375" s="40" t="str">
        <f aca="false">IF($B1375="","",IF(AND(OR(CETAK!$J$10="",$E1375=CETAK!$J$10),OR(CETAK!$J$11="",$F1375=CETAK!$J$11),OR(CETAK!$J$12="",$K1375=CETAK!$J$12),OR(CETAK!$J$13="",$H1375=CETAK!$J$13),OR(CETAK!$J$14="",$O1375=CETAK!$J$14)),MAX($X$3:X1374)+1,""))</f>
        <v/>
      </c>
      <c r="Y1375" s="40" t="str">
        <f aca="false">IF($B1375="","",IF(AND(OR(ABSENSI!$H$10="",$E1375=ABSENSI!$H$10),OR(ABSENSI!$H$11="",$F1375=ABSENSI!$H$11),OR(ABSENSI!$H$12="",$K1375=ABSENSI!$H$12)),MAX($Y$3:Y1374)+1,""))</f>
        <v/>
      </c>
      <c r="Z1375" s="40" t="str">
        <f aca="false">IF($B1375="","",IF(AND(OR(KARTU!$K$6="",$E1375=KARTU!$K$6),OR(KARTU!$K$7="",$F1375=KARTU!$K$7),OR(KARTU!$K$8="",$K1375=KARTU!$K$8)),MAX($Z$3:Z1374)+1,""))</f>
        <v/>
      </c>
    </row>
    <row r="1376" customFormat="false" ht="15" hidden="false" customHeight="false" outlineLevel="0" collapsed="false">
      <c r="A1376" s="36" t="str">
        <f aca="false">IF($B1376="","",COUNTA($B$4:$B1376))</f>
        <v/>
      </c>
      <c r="B1376" s="37"/>
      <c r="C1376" s="38"/>
      <c r="D1376" s="39"/>
      <c r="E1376" s="37"/>
      <c r="F1376" s="39"/>
      <c r="G1376" s="40" t="str">
        <f aca="false">IF(OR($E1376="",$F1376=""),"",$E1376&amp;" - RT "&amp;$F1376)</f>
        <v/>
      </c>
      <c r="H1376" s="37"/>
      <c r="I1376" s="38"/>
      <c r="J1376" s="37"/>
      <c r="K1376" s="39"/>
      <c r="L1376" s="41"/>
      <c r="M1376" s="36" t="str">
        <f aca="true">IF(OR($B1376="",$L1376=""),"",DATEDIF($L1376,TODAY(),"Y"))</f>
        <v/>
      </c>
      <c r="N1376" s="40" t="str">
        <f aca="false">IF($M1376="","",INDEX(usia_label,MATCH($M1376,usia_min,1)))</f>
        <v/>
      </c>
      <c r="O1376" s="37"/>
      <c r="P1376" s="41"/>
      <c r="Q1376" s="37"/>
      <c r="R1376" s="37"/>
      <c r="S1376" s="40" t="str">
        <f aca="false">IF($G1376="","",$G1376&amp;"#"&amp;COUNTIF($G$4:$G1376,$G1376))</f>
        <v/>
      </c>
      <c r="T1376" s="40" t="str">
        <f aca="false">IF($B1376="","",IF($C1376="","NIK kosong",IF(LEN($C1376)&lt;&gt;16,"NIK bukan 16 digit",IF(COUNTIF($C$4:$C$2003,$C1376&amp;"*")&gt;1,"NIK ganda",IF($E1376="","Kadus kosong",IF($F1376="","RT kosong",IF($H1376="","Jabatan kosong",IF($I1376="","No. HP kosong",IF($J1376="","Alamat kosong",IF(AND($M1376&lt;&gt;"",$M1376&lt;17),"Usia di bawah 17",""))))))))))</f>
        <v/>
      </c>
      <c r="U1376" s="40" t="str">
        <f aca="false">IF($B1376="","",IF(AND(OR(CARI!$C$5="",ISNUMBER(SEARCH(CARI!$C$5,$B1376&amp;" "&amp;$C1376&amp;" "&amp;$I1376&amp;" "&amp;$J1376&amp;" "&amp;$Q1376))),OR(CARI!$C$6="",$E1376=CARI!$C$6),OR(CARI!$C$7="",$F1376=CARI!$C$7),OR(CARI!$C$8="",$O1376=CARI!$C$8)),MAX($U$3:U1375)+1,""))</f>
        <v/>
      </c>
      <c r="V1376" s="40" t="str">
        <f aca="false">IF($T1376="","",MAX($V$3:V1375)+1)</f>
        <v/>
      </c>
      <c r="W1376" s="40" t="str">
        <f aca="false">IF($E1376="","",$E1376&amp;"#"&amp;COUNTIF($E$4:$E1376,$E1376))</f>
        <v/>
      </c>
      <c r="X1376" s="40" t="str">
        <f aca="false">IF($B1376="","",IF(AND(OR(CETAK!$J$10="",$E1376=CETAK!$J$10),OR(CETAK!$J$11="",$F1376=CETAK!$J$11),OR(CETAK!$J$12="",$K1376=CETAK!$J$12),OR(CETAK!$J$13="",$H1376=CETAK!$J$13),OR(CETAK!$J$14="",$O1376=CETAK!$J$14)),MAX($X$3:X1375)+1,""))</f>
        <v/>
      </c>
      <c r="Y1376" s="40" t="str">
        <f aca="false">IF($B1376="","",IF(AND(OR(ABSENSI!$H$10="",$E1376=ABSENSI!$H$10),OR(ABSENSI!$H$11="",$F1376=ABSENSI!$H$11),OR(ABSENSI!$H$12="",$K1376=ABSENSI!$H$12)),MAX($Y$3:Y1375)+1,""))</f>
        <v/>
      </c>
      <c r="Z1376" s="40" t="str">
        <f aca="false">IF($B1376="","",IF(AND(OR(KARTU!$K$6="",$E1376=KARTU!$K$6),OR(KARTU!$K$7="",$F1376=KARTU!$K$7),OR(KARTU!$K$8="",$K1376=KARTU!$K$8)),MAX($Z$3:Z1375)+1,""))</f>
        <v/>
      </c>
    </row>
    <row r="1377" customFormat="false" ht="15" hidden="false" customHeight="false" outlineLevel="0" collapsed="false">
      <c r="A1377" s="36" t="str">
        <f aca="false">IF($B1377="","",COUNTA($B$4:$B1377))</f>
        <v/>
      </c>
      <c r="B1377" s="37"/>
      <c r="C1377" s="38"/>
      <c r="D1377" s="39"/>
      <c r="E1377" s="37"/>
      <c r="F1377" s="39"/>
      <c r="G1377" s="40" t="str">
        <f aca="false">IF(OR($E1377="",$F1377=""),"",$E1377&amp;" - RT "&amp;$F1377)</f>
        <v/>
      </c>
      <c r="H1377" s="37"/>
      <c r="I1377" s="38"/>
      <c r="J1377" s="37"/>
      <c r="K1377" s="39"/>
      <c r="L1377" s="41"/>
      <c r="M1377" s="36" t="str">
        <f aca="true">IF(OR($B1377="",$L1377=""),"",DATEDIF($L1377,TODAY(),"Y"))</f>
        <v/>
      </c>
      <c r="N1377" s="40" t="str">
        <f aca="false">IF($M1377="","",INDEX(usia_label,MATCH($M1377,usia_min,1)))</f>
        <v/>
      </c>
      <c r="O1377" s="37"/>
      <c r="P1377" s="41"/>
      <c r="Q1377" s="37"/>
      <c r="R1377" s="37"/>
      <c r="S1377" s="40" t="str">
        <f aca="false">IF($G1377="","",$G1377&amp;"#"&amp;COUNTIF($G$4:$G1377,$G1377))</f>
        <v/>
      </c>
      <c r="T1377" s="40" t="str">
        <f aca="false">IF($B1377="","",IF($C1377="","NIK kosong",IF(LEN($C1377)&lt;&gt;16,"NIK bukan 16 digit",IF(COUNTIF($C$4:$C$2003,$C1377&amp;"*")&gt;1,"NIK ganda",IF($E1377="","Kadus kosong",IF($F1377="","RT kosong",IF($H1377="","Jabatan kosong",IF($I1377="","No. HP kosong",IF($J1377="","Alamat kosong",IF(AND($M1377&lt;&gt;"",$M1377&lt;17),"Usia di bawah 17",""))))))))))</f>
        <v/>
      </c>
      <c r="U1377" s="40" t="str">
        <f aca="false">IF($B1377="","",IF(AND(OR(CARI!$C$5="",ISNUMBER(SEARCH(CARI!$C$5,$B1377&amp;" "&amp;$C1377&amp;" "&amp;$I1377&amp;" "&amp;$J1377&amp;" "&amp;$Q1377))),OR(CARI!$C$6="",$E1377=CARI!$C$6),OR(CARI!$C$7="",$F1377=CARI!$C$7),OR(CARI!$C$8="",$O1377=CARI!$C$8)),MAX($U$3:U1376)+1,""))</f>
        <v/>
      </c>
      <c r="V1377" s="40" t="str">
        <f aca="false">IF($T1377="","",MAX($V$3:V1376)+1)</f>
        <v/>
      </c>
      <c r="W1377" s="40" t="str">
        <f aca="false">IF($E1377="","",$E1377&amp;"#"&amp;COUNTIF($E$4:$E1377,$E1377))</f>
        <v/>
      </c>
      <c r="X1377" s="40" t="str">
        <f aca="false">IF($B1377="","",IF(AND(OR(CETAK!$J$10="",$E1377=CETAK!$J$10),OR(CETAK!$J$11="",$F1377=CETAK!$J$11),OR(CETAK!$J$12="",$K1377=CETAK!$J$12),OR(CETAK!$J$13="",$H1377=CETAK!$J$13),OR(CETAK!$J$14="",$O1377=CETAK!$J$14)),MAX($X$3:X1376)+1,""))</f>
        <v/>
      </c>
      <c r="Y1377" s="40" t="str">
        <f aca="false">IF($B1377="","",IF(AND(OR(ABSENSI!$H$10="",$E1377=ABSENSI!$H$10),OR(ABSENSI!$H$11="",$F1377=ABSENSI!$H$11),OR(ABSENSI!$H$12="",$K1377=ABSENSI!$H$12)),MAX($Y$3:Y1376)+1,""))</f>
        <v/>
      </c>
      <c r="Z1377" s="40" t="str">
        <f aca="false">IF($B1377="","",IF(AND(OR(KARTU!$K$6="",$E1377=KARTU!$K$6),OR(KARTU!$K$7="",$F1377=KARTU!$K$7),OR(KARTU!$K$8="",$K1377=KARTU!$K$8)),MAX($Z$3:Z1376)+1,""))</f>
        <v/>
      </c>
    </row>
    <row r="1378" customFormat="false" ht="15" hidden="false" customHeight="false" outlineLevel="0" collapsed="false">
      <c r="A1378" s="36" t="str">
        <f aca="false">IF($B1378="","",COUNTA($B$4:$B1378))</f>
        <v/>
      </c>
      <c r="B1378" s="37"/>
      <c r="C1378" s="38"/>
      <c r="D1378" s="39"/>
      <c r="E1378" s="37"/>
      <c r="F1378" s="39"/>
      <c r="G1378" s="40" t="str">
        <f aca="false">IF(OR($E1378="",$F1378=""),"",$E1378&amp;" - RT "&amp;$F1378)</f>
        <v/>
      </c>
      <c r="H1378" s="37"/>
      <c r="I1378" s="38"/>
      <c r="J1378" s="37"/>
      <c r="K1378" s="39"/>
      <c r="L1378" s="41"/>
      <c r="M1378" s="36" t="str">
        <f aca="true">IF(OR($B1378="",$L1378=""),"",DATEDIF($L1378,TODAY(),"Y"))</f>
        <v/>
      </c>
      <c r="N1378" s="40" t="str">
        <f aca="false">IF($M1378="","",INDEX(usia_label,MATCH($M1378,usia_min,1)))</f>
        <v/>
      </c>
      <c r="O1378" s="37"/>
      <c r="P1378" s="41"/>
      <c r="Q1378" s="37"/>
      <c r="R1378" s="37"/>
      <c r="S1378" s="40" t="str">
        <f aca="false">IF($G1378="","",$G1378&amp;"#"&amp;COUNTIF($G$4:$G1378,$G1378))</f>
        <v/>
      </c>
      <c r="T1378" s="40" t="str">
        <f aca="false">IF($B1378="","",IF($C1378="","NIK kosong",IF(LEN($C1378)&lt;&gt;16,"NIK bukan 16 digit",IF(COUNTIF($C$4:$C$2003,$C1378&amp;"*")&gt;1,"NIK ganda",IF($E1378="","Kadus kosong",IF($F1378="","RT kosong",IF($H1378="","Jabatan kosong",IF($I1378="","No. HP kosong",IF($J1378="","Alamat kosong",IF(AND($M1378&lt;&gt;"",$M1378&lt;17),"Usia di bawah 17",""))))))))))</f>
        <v/>
      </c>
      <c r="U1378" s="40" t="str">
        <f aca="false">IF($B1378="","",IF(AND(OR(CARI!$C$5="",ISNUMBER(SEARCH(CARI!$C$5,$B1378&amp;" "&amp;$C1378&amp;" "&amp;$I1378&amp;" "&amp;$J1378&amp;" "&amp;$Q1378))),OR(CARI!$C$6="",$E1378=CARI!$C$6),OR(CARI!$C$7="",$F1378=CARI!$C$7),OR(CARI!$C$8="",$O1378=CARI!$C$8)),MAX($U$3:U1377)+1,""))</f>
        <v/>
      </c>
      <c r="V1378" s="40" t="str">
        <f aca="false">IF($T1378="","",MAX($V$3:V1377)+1)</f>
        <v/>
      </c>
      <c r="W1378" s="40" t="str">
        <f aca="false">IF($E1378="","",$E1378&amp;"#"&amp;COUNTIF($E$4:$E1378,$E1378))</f>
        <v/>
      </c>
      <c r="X1378" s="40" t="str">
        <f aca="false">IF($B1378="","",IF(AND(OR(CETAK!$J$10="",$E1378=CETAK!$J$10),OR(CETAK!$J$11="",$F1378=CETAK!$J$11),OR(CETAK!$J$12="",$K1378=CETAK!$J$12),OR(CETAK!$J$13="",$H1378=CETAK!$J$13),OR(CETAK!$J$14="",$O1378=CETAK!$J$14)),MAX($X$3:X1377)+1,""))</f>
        <v/>
      </c>
      <c r="Y1378" s="40" t="str">
        <f aca="false">IF($B1378="","",IF(AND(OR(ABSENSI!$H$10="",$E1378=ABSENSI!$H$10),OR(ABSENSI!$H$11="",$F1378=ABSENSI!$H$11),OR(ABSENSI!$H$12="",$K1378=ABSENSI!$H$12)),MAX($Y$3:Y1377)+1,""))</f>
        <v/>
      </c>
      <c r="Z1378" s="40" t="str">
        <f aca="false">IF($B1378="","",IF(AND(OR(KARTU!$K$6="",$E1378=KARTU!$K$6),OR(KARTU!$K$7="",$F1378=KARTU!$K$7),OR(KARTU!$K$8="",$K1378=KARTU!$K$8)),MAX($Z$3:Z1377)+1,""))</f>
        <v/>
      </c>
    </row>
    <row r="1379" customFormat="false" ht="15" hidden="false" customHeight="false" outlineLevel="0" collapsed="false">
      <c r="A1379" s="36" t="str">
        <f aca="false">IF($B1379="","",COUNTA($B$4:$B1379))</f>
        <v/>
      </c>
      <c r="B1379" s="37"/>
      <c r="C1379" s="38"/>
      <c r="D1379" s="39"/>
      <c r="E1379" s="37"/>
      <c r="F1379" s="39"/>
      <c r="G1379" s="40" t="str">
        <f aca="false">IF(OR($E1379="",$F1379=""),"",$E1379&amp;" - RT "&amp;$F1379)</f>
        <v/>
      </c>
      <c r="H1379" s="37"/>
      <c r="I1379" s="38"/>
      <c r="J1379" s="37"/>
      <c r="K1379" s="39"/>
      <c r="L1379" s="41"/>
      <c r="M1379" s="36" t="str">
        <f aca="true">IF(OR($B1379="",$L1379=""),"",DATEDIF($L1379,TODAY(),"Y"))</f>
        <v/>
      </c>
      <c r="N1379" s="40" t="str">
        <f aca="false">IF($M1379="","",INDEX(usia_label,MATCH($M1379,usia_min,1)))</f>
        <v/>
      </c>
      <c r="O1379" s="37"/>
      <c r="P1379" s="41"/>
      <c r="Q1379" s="37"/>
      <c r="R1379" s="37"/>
      <c r="S1379" s="40" t="str">
        <f aca="false">IF($G1379="","",$G1379&amp;"#"&amp;COUNTIF($G$4:$G1379,$G1379))</f>
        <v/>
      </c>
      <c r="T1379" s="40" t="str">
        <f aca="false">IF($B1379="","",IF($C1379="","NIK kosong",IF(LEN($C1379)&lt;&gt;16,"NIK bukan 16 digit",IF(COUNTIF($C$4:$C$2003,$C1379&amp;"*")&gt;1,"NIK ganda",IF($E1379="","Kadus kosong",IF($F1379="","RT kosong",IF($H1379="","Jabatan kosong",IF($I1379="","No. HP kosong",IF($J1379="","Alamat kosong",IF(AND($M1379&lt;&gt;"",$M1379&lt;17),"Usia di bawah 17",""))))))))))</f>
        <v/>
      </c>
      <c r="U1379" s="40" t="str">
        <f aca="false">IF($B1379="","",IF(AND(OR(CARI!$C$5="",ISNUMBER(SEARCH(CARI!$C$5,$B1379&amp;" "&amp;$C1379&amp;" "&amp;$I1379&amp;" "&amp;$J1379&amp;" "&amp;$Q1379))),OR(CARI!$C$6="",$E1379=CARI!$C$6),OR(CARI!$C$7="",$F1379=CARI!$C$7),OR(CARI!$C$8="",$O1379=CARI!$C$8)),MAX($U$3:U1378)+1,""))</f>
        <v/>
      </c>
      <c r="V1379" s="40" t="str">
        <f aca="false">IF($T1379="","",MAX($V$3:V1378)+1)</f>
        <v/>
      </c>
      <c r="W1379" s="40" t="str">
        <f aca="false">IF($E1379="","",$E1379&amp;"#"&amp;COUNTIF($E$4:$E1379,$E1379))</f>
        <v/>
      </c>
      <c r="X1379" s="40" t="str">
        <f aca="false">IF($B1379="","",IF(AND(OR(CETAK!$J$10="",$E1379=CETAK!$J$10),OR(CETAK!$J$11="",$F1379=CETAK!$J$11),OR(CETAK!$J$12="",$K1379=CETAK!$J$12),OR(CETAK!$J$13="",$H1379=CETAK!$J$13),OR(CETAK!$J$14="",$O1379=CETAK!$J$14)),MAX($X$3:X1378)+1,""))</f>
        <v/>
      </c>
      <c r="Y1379" s="40" t="str">
        <f aca="false">IF($B1379="","",IF(AND(OR(ABSENSI!$H$10="",$E1379=ABSENSI!$H$10),OR(ABSENSI!$H$11="",$F1379=ABSENSI!$H$11),OR(ABSENSI!$H$12="",$K1379=ABSENSI!$H$12)),MAX($Y$3:Y1378)+1,""))</f>
        <v/>
      </c>
      <c r="Z1379" s="40" t="str">
        <f aca="false">IF($B1379="","",IF(AND(OR(KARTU!$K$6="",$E1379=KARTU!$K$6),OR(KARTU!$K$7="",$F1379=KARTU!$K$7),OR(KARTU!$K$8="",$K1379=KARTU!$K$8)),MAX($Z$3:Z1378)+1,""))</f>
        <v/>
      </c>
    </row>
    <row r="1380" customFormat="false" ht="15" hidden="false" customHeight="false" outlineLevel="0" collapsed="false">
      <c r="A1380" s="36" t="str">
        <f aca="false">IF($B1380="","",COUNTA($B$4:$B1380))</f>
        <v/>
      </c>
      <c r="B1380" s="37"/>
      <c r="C1380" s="38"/>
      <c r="D1380" s="39"/>
      <c r="E1380" s="37"/>
      <c r="F1380" s="39"/>
      <c r="G1380" s="40" t="str">
        <f aca="false">IF(OR($E1380="",$F1380=""),"",$E1380&amp;" - RT "&amp;$F1380)</f>
        <v/>
      </c>
      <c r="H1380" s="37"/>
      <c r="I1380" s="38"/>
      <c r="J1380" s="37"/>
      <c r="K1380" s="39"/>
      <c r="L1380" s="41"/>
      <c r="M1380" s="36" t="str">
        <f aca="true">IF(OR($B1380="",$L1380=""),"",DATEDIF($L1380,TODAY(),"Y"))</f>
        <v/>
      </c>
      <c r="N1380" s="40" t="str">
        <f aca="false">IF($M1380="","",INDEX(usia_label,MATCH($M1380,usia_min,1)))</f>
        <v/>
      </c>
      <c r="O1380" s="37"/>
      <c r="P1380" s="41"/>
      <c r="Q1380" s="37"/>
      <c r="R1380" s="37"/>
      <c r="S1380" s="40" t="str">
        <f aca="false">IF($G1380="","",$G1380&amp;"#"&amp;COUNTIF($G$4:$G1380,$G1380))</f>
        <v/>
      </c>
      <c r="T1380" s="40" t="str">
        <f aca="false">IF($B1380="","",IF($C1380="","NIK kosong",IF(LEN($C1380)&lt;&gt;16,"NIK bukan 16 digit",IF(COUNTIF($C$4:$C$2003,$C1380&amp;"*")&gt;1,"NIK ganda",IF($E1380="","Kadus kosong",IF($F1380="","RT kosong",IF($H1380="","Jabatan kosong",IF($I1380="","No. HP kosong",IF($J1380="","Alamat kosong",IF(AND($M1380&lt;&gt;"",$M1380&lt;17),"Usia di bawah 17",""))))))))))</f>
        <v/>
      </c>
      <c r="U1380" s="40" t="str">
        <f aca="false">IF($B1380="","",IF(AND(OR(CARI!$C$5="",ISNUMBER(SEARCH(CARI!$C$5,$B1380&amp;" "&amp;$C1380&amp;" "&amp;$I1380&amp;" "&amp;$J1380&amp;" "&amp;$Q1380))),OR(CARI!$C$6="",$E1380=CARI!$C$6),OR(CARI!$C$7="",$F1380=CARI!$C$7),OR(CARI!$C$8="",$O1380=CARI!$C$8)),MAX($U$3:U1379)+1,""))</f>
        <v/>
      </c>
      <c r="V1380" s="40" t="str">
        <f aca="false">IF($T1380="","",MAX($V$3:V1379)+1)</f>
        <v/>
      </c>
      <c r="W1380" s="40" t="str">
        <f aca="false">IF($E1380="","",$E1380&amp;"#"&amp;COUNTIF($E$4:$E1380,$E1380))</f>
        <v/>
      </c>
      <c r="X1380" s="40" t="str">
        <f aca="false">IF($B1380="","",IF(AND(OR(CETAK!$J$10="",$E1380=CETAK!$J$10),OR(CETAK!$J$11="",$F1380=CETAK!$J$11),OR(CETAK!$J$12="",$K1380=CETAK!$J$12),OR(CETAK!$J$13="",$H1380=CETAK!$J$13),OR(CETAK!$J$14="",$O1380=CETAK!$J$14)),MAX($X$3:X1379)+1,""))</f>
        <v/>
      </c>
      <c r="Y1380" s="40" t="str">
        <f aca="false">IF($B1380="","",IF(AND(OR(ABSENSI!$H$10="",$E1380=ABSENSI!$H$10),OR(ABSENSI!$H$11="",$F1380=ABSENSI!$H$11),OR(ABSENSI!$H$12="",$K1380=ABSENSI!$H$12)),MAX($Y$3:Y1379)+1,""))</f>
        <v/>
      </c>
      <c r="Z1380" s="40" t="str">
        <f aca="false">IF($B1380="","",IF(AND(OR(KARTU!$K$6="",$E1380=KARTU!$K$6),OR(KARTU!$K$7="",$F1380=KARTU!$K$7),OR(KARTU!$K$8="",$K1380=KARTU!$K$8)),MAX($Z$3:Z1379)+1,""))</f>
        <v/>
      </c>
    </row>
    <row r="1381" customFormat="false" ht="15" hidden="false" customHeight="false" outlineLevel="0" collapsed="false">
      <c r="A1381" s="36" t="str">
        <f aca="false">IF($B1381="","",COUNTA($B$4:$B1381))</f>
        <v/>
      </c>
      <c r="B1381" s="37"/>
      <c r="C1381" s="38"/>
      <c r="D1381" s="39"/>
      <c r="E1381" s="37"/>
      <c r="F1381" s="39"/>
      <c r="G1381" s="40" t="str">
        <f aca="false">IF(OR($E1381="",$F1381=""),"",$E1381&amp;" - RT "&amp;$F1381)</f>
        <v/>
      </c>
      <c r="H1381" s="37"/>
      <c r="I1381" s="38"/>
      <c r="J1381" s="37"/>
      <c r="K1381" s="39"/>
      <c r="L1381" s="41"/>
      <c r="M1381" s="36" t="str">
        <f aca="true">IF(OR($B1381="",$L1381=""),"",DATEDIF($L1381,TODAY(),"Y"))</f>
        <v/>
      </c>
      <c r="N1381" s="40" t="str">
        <f aca="false">IF($M1381="","",INDEX(usia_label,MATCH($M1381,usia_min,1)))</f>
        <v/>
      </c>
      <c r="O1381" s="37"/>
      <c r="P1381" s="41"/>
      <c r="Q1381" s="37"/>
      <c r="R1381" s="37"/>
      <c r="S1381" s="40" t="str">
        <f aca="false">IF($G1381="","",$G1381&amp;"#"&amp;COUNTIF($G$4:$G1381,$G1381))</f>
        <v/>
      </c>
      <c r="T1381" s="40" t="str">
        <f aca="false">IF($B1381="","",IF($C1381="","NIK kosong",IF(LEN($C1381)&lt;&gt;16,"NIK bukan 16 digit",IF(COUNTIF($C$4:$C$2003,$C1381&amp;"*")&gt;1,"NIK ganda",IF($E1381="","Kadus kosong",IF($F1381="","RT kosong",IF($H1381="","Jabatan kosong",IF($I1381="","No. HP kosong",IF($J1381="","Alamat kosong",IF(AND($M1381&lt;&gt;"",$M1381&lt;17),"Usia di bawah 17",""))))))))))</f>
        <v/>
      </c>
      <c r="U1381" s="40" t="str">
        <f aca="false">IF($B1381="","",IF(AND(OR(CARI!$C$5="",ISNUMBER(SEARCH(CARI!$C$5,$B1381&amp;" "&amp;$C1381&amp;" "&amp;$I1381&amp;" "&amp;$J1381&amp;" "&amp;$Q1381))),OR(CARI!$C$6="",$E1381=CARI!$C$6),OR(CARI!$C$7="",$F1381=CARI!$C$7),OR(CARI!$C$8="",$O1381=CARI!$C$8)),MAX($U$3:U1380)+1,""))</f>
        <v/>
      </c>
      <c r="V1381" s="40" t="str">
        <f aca="false">IF($T1381="","",MAX($V$3:V1380)+1)</f>
        <v/>
      </c>
      <c r="W1381" s="40" t="str">
        <f aca="false">IF($E1381="","",$E1381&amp;"#"&amp;COUNTIF($E$4:$E1381,$E1381))</f>
        <v/>
      </c>
      <c r="X1381" s="40" t="str">
        <f aca="false">IF($B1381="","",IF(AND(OR(CETAK!$J$10="",$E1381=CETAK!$J$10),OR(CETAK!$J$11="",$F1381=CETAK!$J$11),OR(CETAK!$J$12="",$K1381=CETAK!$J$12),OR(CETAK!$J$13="",$H1381=CETAK!$J$13),OR(CETAK!$J$14="",$O1381=CETAK!$J$14)),MAX($X$3:X1380)+1,""))</f>
        <v/>
      </c>
      <c r="Y1381" s="40" t="str">
        <f aca="false">IF($B1381="","",IF(AND(OR(ABSENSI!$H$10="",$E1381=ABSENSI!$H$10),OR(ABSENSI!$H$11="",$F1381=ABSENSI!$H$11),OR(ABSENSI!$H$12="",$K1381=ABSENSI!$H$12)),MAX($Y$3:Y1380)+1,""))</f>
        <v/>
      </c>
      <c r="Z1381" s="40" t="str">
        <f aca="false">IF($B1381="","",IF(AND(OR(KARTU!$K$6="",$E1381=KARTU!$K$6),OR(KARTU!$K$7="",$F1381=KARTU!$K$7),OR(KARTU!$K$8="",$K1381=KARTU!$K$8)),MAX($Z$3:Z1380)+1,""))</f>
        <v/>
      </c>
    </row>
    <row r="1382" customFormat="false" ht="15" hidden="false" customHeight="false" outlineLevel="0" collapsed="false">
      <c r="A1382" s="36" t="str">
        <f aca="false">IF($B1382="","",COUNTA($B$4:$B1382))</f>
        <v/>
      </c>
      <c r="B1382" s="37"/>
      <c r="C1382" s="38"/>
      <c r="D1382" s="39"/>
      <c r="E1382" s="37"/>
      <c r="F1382" s="39"/>
      <c r="G1382" s="40" t="str">
        <f aca="false">IF(OR($E1382="",$F1382=""),"",$E1382&amp;" - RT "&amp;$F1382)</f>
        <v/>
      </c>
      <c r="H1382" s="37"/>
      <c r="I1382" s="38"/>
      <c r="J1382" s="37"/>
      <c r="K1382" s="39"/>
      <c r="L1382" s="41"/>
      <c r="M1382" s="36" t="str">
        <f aca="true">IF(OR($B1382="",$L1382=""),"",DATEDIF($L1382,TODAY(),"Y"))</f>
        <v/>
      </c>
      <c r="N1382" s="40" t="str">
        <f aca="false">IF($M1382="","",INDEX(usia_label,MATCH($M1382,usia_min,1)))</f>
        <v/>
      </c>
      <c r="O1382" s="37"/>
      <c r="P1382" s="41"/>
      <c r="Q1382" s="37"/>
      <c r="R1382" s="37"/>
      <c r="S1382" s="40" t="str">
        <f aca="false">IF($G1382="","",$G1382&amp;"#"&amp;COUNTIF($G$4:$G1382,$G1382))</f>
        <v/>
      </c>
      <c r="T1382" s="40" t="str">
        <f aca="false">IF($B1382="","",IF($C1382="","NIK kosong",IF(LEN($C1382)&lt;&gt;16,"NIK bukan 16 digit",IF(COUNTIF($C$4:$C$2003,$C1382&amp;"*")&gt;1,"NIK ganda",IF($E1382="","Kadus kosong",IF($F1382="","RT kosong",IF($H1382="","Jabatan kosong",IF($I1382="","No. HP kosong",IF($J1382="","Alamat kosong",IF(AND($M1382&lt;&gt;"",$M1382&lt;17),"Usia di bawah 17",""))))))))))</f>
        <v/>
      </c>
      <c r="U1382" s="40" t="str">
        <f aca="false">IF($B1382="","",IF(AND(OR(CARI!$C$5="",ISNUMBER(SEARCH(CARI!$C$5,$B1382&amp;" "&amp;$C1382&amp;" "&amp;$I1382&amp;" "&amp;$J1382&amp;" "&amp;$Q1382))),OR(CARI!$C$6="",$E1382=CARI!$C$6),OR(CARI!$C$7="",$F1382=CARI!$C$7),OR(CARI!$C$8="",$O1382=CARI!$C$8)),MAX($U$3:U1381)+1,""))</f>
        <v/>
      </c>
      <c r="V1382" s="40" t="str">
        <f aca="false">IF($T1382="","",MAX($V$3:V1381)+1)</f>
        <v/>
      </c>
      <c r="W1382" s="40" t="str">
        <f aca="false">IF($E1382="","",$E1382&amp;"#"&amp;COUNTIF($E$4:$E1382,$E1382))</f>
        <v/>
      </c>
      <c r="X1382" s="40" t="str">
        <f aca="false">IF($B1382="","",IF(AND(OR(CETAK!$J$10="",$E1382=CETAK!$J$10),OR(CETAK!$J$11="",$F1382=CETAK!$J$11),OR(CETAK!$J$12="",$K1382=CETAK!$J$12),OR(CETAK!$J$13="",$H1382=CETAK!$J$13),OR(CETAK!$J$14="",$O1382=CETAK!$J$14)),MAX($X$3:X1381)+1,""))</f>
        <v/>
      </c>
      <c r="Y1382" s="40" t="str">
        <f aca="false">IF($B1382="","",IF(AND(OR(ABSENSI!$H$10="",$E1382=ABSENSI!$H$10),OR(ABSENSI!$H$11="",$F1382=ABSENSI!$H$11),OR(ABSENSI!$H$12="",$K1382=ABSENSI!$H$12)),MAX($Y$3:Y1381)+1,""))</f>
        <v/>
      </c>
      <c r="Z1382" s="40" t="str">
        <f aca="false">IF($B1382="","",IF(AND(OR(KARTU!$K$6="",$E1382=KARTU!$K$6),OR(KARTU!$K$7="",$F1382=KARTU!$K$7),OR(KARTU!$K$8="",$K1382=KARTU!$K$8)),MAX($Z$3:Z1381)+1,""))</f>
        <v/>
      </c>
    </row>
    <row r="1383" customFormat="false" ht="15" hidden="false" customHeight="false" outlineLevel="0" collapsed="false">
      <c r="A1383" s="36" t="str">
        <f aca="false">IF($B1383="","",COUNTA($B$4:$B1383))</f>
        <v/>
      </c>
      <c r="B1383" s="37"/>
      <c r="C1383" s="38"/>
      <c r="D1383" s="39"/>
      <c r="E1383" s="37"/>
      <c r="F1383" s="39"/>
      <c r="G1383" s="40" t="str">
        <f aca="false">IF(OR($E1383="",$F1383=""),"",$E1383&amp;" - RT "&amp;$F1383)</f>
        <v/>
      </c>
      <c r="H1383" s="37"/>
      <c r="I1383" s="38"/>
      <c r="J1383" s="37"/>
      <c r="K1383" s="39"/>
      <c r="L1383" s="41"/>
      <c r="M1383" s="36" t="str">
        <f aca="true">IF(OR($B1383="",$L1383=""),"",DATEDIF($L1383,TODAY(),"Y"))</f>
        <v/>
      </c>
      <c r="N1383" s="40" t="str">
        <f aca="false">IF($M1383="","",INDEX(usia_label,MATCH($M1383,usia_min,1)))</f>
        <v/>
      </c>
      <c r="O1383" s="37"/>
      <c r="P1383" s="41"/>
      <c r="Q1383" s="37"/>
      <c r="R1383" s="37"/>
      <c r="S1383" s="40" t="str">
        <f aca="false">IF($G1383="","",$G1383&amp;"#"&amp;COUNTIF($G$4:$G1383,$G1383))</f>
        <v/>
      </c>
      <c r="T1383" s="40" t="str">
        <f aca="false">IF($B1383="","",IF($C1383="","NIK kosong",IF(LEN($C1383)&lt;&gt;16,"NIK bukan 16 digit",IF(COUNTIF($C$4:$C$2003,$C1383&amp;"*")&gt;1,"NIK ganda",IF($E1383="","Kadus kosong",IF($F1383="","RT kosong",IF($H1383="","Jabatan kosong",IF($I1383="","No. HP kosong",IF($J1383="","Alamat kosong",IF(AND($M1383&lt;&gt;"",$M1383&lt;17),"Usia di bawah 17",""))))))))))</f>
        <v/>
      </c>
      <c r="U1383" s="40" t="str">
        <f aca="false">IF($B1383="","",IF(AND(OR(CARI!$C$5="",ISNUMBER(SEARCH(CARI!$C$5,$B1383&amp;" "&amp;$C1383&amp;" "&amp;$I1383&amp;" "&amp;$J1383&amp;" "&amp;$Q1383))),OR(CARI!$C$6="",$E1383=CARI!$C$6),OR(CARI!$C$7="",$F1383=CARI!$C$7),OR(CARI!$C$8="",$O1383=CARI!$C$8)),MAX($U$3:U1382)+1,""))</f>
        <v/>
      </c>
      <c r="V1383" s="40" t="str">
        <f aca="false">IF($T1383="","",MAX($V$3:V1382)+1)</f>
        <v/>
      </c>
      <c r="W1383" s="40" t="str">
        <f aca="false">IF($E1383="","",$E1383&amp;"#"&amp;COUNTIF($E$4:$E1383,$E1383))</f>
        <v/>
      </c>
      <c r="X1383" s="40" t="str">
        <f aca="false">IF($B1383="","",IF(AND(OR(CETAK!$J$10="",$E1383=CETAK!$J$10),OR(CETAK!$J$11="",$F1383=CETAK!$J$11),OR(CETAK!$J$12="",$K1383=CETAK!$J$12),OR(CETAK!$J$13="",$H1383=CETAK!$J$13),OR(CETAK!$J$14="",$O1383=CETAK!$J$14)),MAX($X$3:X1382)+1,""))</f>
        <v/>
      </c>
      <c r="Y1383" s="40" t="str">
        <f aca="false">IF($B1383="","",IF(AND(OR(ABSENSI!$H$10="",$E1383=ABSENSI!$H$10),OR(ABSENSI!$H$11="",$F1383=ABSENSI!$H$11),OR(ABSENSI!$H$12="",$K1383=ABSENSI!$H$12)),MAX($Y$3:Y1382)+1,""))</f>
        <v/>
      </c>
      <c r="Z1383" s="40" t="str">
        <f aca="false">IF($B1383="","",IF(AND(OR(KARTU!$K$6="",$E1383=KARTU!$K$6),OR(KARTU!$K$7="",$F1383=KARTU!$K$7),OR(KARTU!$K$8="",$K1383=KARTU!$K$8)),MAX($Z$3:Z1382)+1,""))</f>
        <v/>
      </c>
    </row>
    <row r="1384" customFormat="false" ht="15" hidden="false" customHeight="false" outlineLevel="0" collapsed="false">
      <c r="A1384" s="36" t="str">
        <f aca="false">IF($B1384="","",COUNTA($B$4:$B1384))</f>
        <v/>
      </c>
      <c r="B1384" s="37"/>
      <c r="C1384" s="38"/>
      <c r="D1384" s="39"/>
      <c r="E1384" s="37"/>
      <c r="F1384" s="39"/>
      <c r="G1384" s="40" t="str">
        <f aca="false">IF(OR($E1384="",$F1384=""),"",$E1384&amp;" - RT "&amp;$F1384)</f>
        <v/>
      </c>
      <c r="H1384" s="37"/>
      <c r="I1384" s="38"/>
      <c r="J1384" s="37"/>
      <c r="K1384" s="39"/>
      <c r="L1384" s="41"/>
      <c r="M1384" s="36" t="str">
        <f aca="true">IF(OR($B1384="",$L1384=""),"",DATEDIF($L1384,TODAY(),"Y"))</f>
        <v/>
      </c>
      <c r="N1384" s="40" t="str">
        <f aca="false">IF($M1384="","",INDEX(usia_label,MATCH($M1384,usia_min,1)))</f>
        <v/>
      </c>
      <c r="O1384" s="37"/>
      <c r="P1384" s="41"/>
      <c r="Q1384" s="37"/>
      <c r="R1384" s="37"/>
      <c r="S1384" s="40" t="str">
        <f aca="false">IF($G1384="","",$G1384&amp;"#"&amp;COUNTIF($G$4:$G1384,$G1384))</f>
        <v/>
      </c>
      <c r="T1384" s="40" t="str">
        <f aca="false">IF($B1384="","",IF($C1384="","NIK kosong",IF(LEN($C1384)&lt;&gt;16,"NIK bukan 16 digit",IF(COUNTIF($C$4:$C$2003,$C1384&amp;"*")&gt;1,"NIK ganda",IF($E1384="","Kadus kosong",IF($F1384="","RT kosong",IF($H1384="","Jabatan kosong",IF($I1384="","No. HP kosong",IF($J1384="","Alamat kosong",IF(AND($M1384&lt;&gt;"",$M1384&lt;17),"Usia di bawah 17",""))))))))))</f>
        <v/>
      </c>
      <c r="U1384" s="40" t="str">
        <f aca="false">IF($B1384="","",IF(AND(OR(CARI!$C$5="",ISNUMBER(SEARCH(CARI!$C$5,$B1384&amp;" "&amp;$C1384&amp;" "&amp;$I1384&amp;" "&amp;$J1384&amp;" "&amp;$Q1384))),OR(CARI!$C$6="",$E1384=CARI!$C$6),OR(CARI!$C$7="",$F1384=CARI!$C$7),OR(CARI!$C$8="",$O1384=CARI!$C$8)),MAX($U$3:U1383)+1,""))</f>
        <v/>
      </c>
      <c r="V1384" s="40" t="str">
        <f aca="false">IF($T1384="","",MAX($V$3:V1383)+1)</f>
        <v/>
      </c>
      <c r="W1384" s="40" t="str">
        <f aca="false">IF($E1384="","",$E1384&amp;"#"&amp;COUNTIF($E$4:$E1384,$E1384))</f>
        <v/>
      </c>
      <c r="X1384" s="40" t="str">
        <f aca="false">IF($B1384="","",IF(AND(OR(CETAK!$J$10="",$E1384=CETAK!$J$10),OR(CETAK!$J$11="",$F1384=CETAK!$J$11),OR(CETAK!$J$12="",$K1384=CETAK!$J$12),OR(CETAK!$J$13="",$H1384=CETAK!$J$13),OR(CETAK!$J$14="",$O1384=CETAK!$J$14)),MAX($X$3:X1383)+1,""))</f>
        <v/>
      </c>
      <c r="Y1384" s="40" t="str">
        <f aca="false">IF($B1384="","",IF(AND(OR(ABSENSI!$H$10="",$E1384=ABSENSI!$H$10),OR(ABSENSI!$H$11="",$F1384=ABSENSI!$H$11),OR(ABSENSI!$H$12="",$K1384=ABSENSI!$H$12)),MAX($Y$3:Y1383)+1,""))</f>
        <v/>
      </c>
      <c r="Z1384" s="40" t="str">
        <f aca="false">IF($B1384="","",IF(AND(OR(KARTU!$K$6="",$E1384=KARTU!$K$6),OR(KARTU!$K$7="",$F1384=KARTU!$K$7),OR(KARTU!$K$8="",$K1384=KARTU!$K$8)),MAX($Z$3:Z1383)+1,""))</f>
        <v/>
      </c>
    </row>
    <row r="1385" customFormat="false" ht="15" hidden="false" customHeight="false" outlineLevel="0" collapsed="false">
      <c r="A1385" s="36" t="str">
        <f aca="false">IF($B1385="","",COUNTA($B$4:$B1385))</f>
        <v/>
      </c>
      <c r="B1385" s="37"/>
      <c r="C1385" s="38"/>
      <c r="D1385" s="39"/>
      <c r="E1385" s="37"/>
      <c r="F1385" s="39"/>
      <c r="G1385" s="40" t="str">
        <f aca="false">IF(OR($E1385="",$F1385=""),"",$E1385&amp;" - RT "&amp;$F1385)</f>
        <v/>
      </c>
      <c r="H1385" s="37"/>
      <c r="I1385" s="38"/>
      <c r="J1385" s="37"/>
      <c r="K1385" s="39"/>
      <c r="L1385" s="41"/>
      <c r="M1385" s="36" t="str">
        <f aca="true">IF(OR($B1385="",$L1385=""),"",DATEDIF($L1385,TODAY(),"Y"))</f>
        <v/>
      </c>
      <c r="N1385" s="40" t="str">
        <f aca="false">IF($M1385="","",INDEX(usia_label,MATCH($M1385,usia_min,1)))</f>
        <v/>
      </c>
      <c r="O1385" s="37"/>
      <c r="P1385" s="41"/>
      <c r="Q1385" s="37"/>
      <c r="R1385" s="37"/>
      <c r="S1385" s="40" t="str">
        <f aca="false">IF($G1385="","",$G1385&amp;"#"&amp;COUNTIF($G$4:$G1385,$G1385))</f>
        <v/>
      </c>
      <c r="T1385" s="40" t="str">
        <f aca="false">IF($B1385="","",IF($C1385="","NIK kosong",IF(LEN($C1385)&lt;&gt;16,"NIK bukan 16 digit",IF(COUNTIF($C$4:$C$2003,$C1385&amp;"*")&gt;1,"NIK ganda",IF($E1385="","Kadus kosong",IF($F1385="","RT kosong",IF($H1385="","Jabatan kosong",IF($I1385="","No. HP kosong",IF($J1385="","Alamat kosong",IF(AND($M1385&lt;&gt;"",$M1385&lt;17),"Usia di bawah 17",""))))))))))</f>
        <v/>
      </c>
      <c r="U1385" s="40" t="str">
        <f aca="false">IF($B1385="","",IF(AND(OR(CARI!$C$5="",ISNUMBER(SEARCH(CARI!$C$5,$B1385&amp;" "&amp;$C1385&amp;" "&amp;$I1385&amp;" "&amp;$J1385&amp;" "&amp;$Q1385))),OR(CARI!$C$6="",$E1385=CARI!$C$6),OR(CARI!$C$7="",$F1385=CARI!$C$7),OR(CARI!$C$8="",$O1385=CARI!$C$8)),MAX($U$3:U1384)+1,""))</f>
        <v/>
      </c>
      <c r="V1385" s="40" t="str">
        <f aca="false">IF($T1385="","",MAX($V$3:V1384)+1)</f>
        <v/>
      </c>
      <c r="W1385" s="40" t="str">
        <f aca="false">IF($E1385="","",$E1385&amp;"#"&amp;COUNTIF($E$4:$E1385,$E1385))</f>
        <v/>
      </c>
      <c r="X1385" s="40" t="str">
        <f aca="false">IF($B1385="","",IF(AND(OR(CETAK!$J$10="",$E1385=CETAK!$J$10),OR(CETAK!$J$11="",$F1385=CETAK!$J$11),OR(CETAK!$J$12="",$K1385=CETAK!$J$12),OR(CETAK!$J$13="",$H1385=CETAK!$J$13),OR(CETAK!$J$14="",$O1385=CETAK!$J$14)),MAX($X$3:X1384)+1,""))</f>
        <v/>
      </c>
      <c r="Y1385" s="40" t="str">
        <f aca="false">IF($B1385="","",IF(AND(OR(ABSENSI!$H$10="",$E1385=ABSENSI!$H$10),OR(ABSENSI!$H$11="",$F1385=ABSENSI!$H$11),OR(ABSENSI!$H$12="",$K1385=ABSENSI!$H$12)),MAX($Y$3:Y1384)+1,""))</f>
        <v/>
      </c>
      <c r="Z1385" s="40" t="str">
        <f aca="false">IF($B1385="","",IF(AND(OR(KARTU!$K$6="",$E1385=KARTU!$K$6),OR(KARTU!$K$7="",$F1385=KARTU!$K$7),OR(KARTU!$K$8="",$K1385=KARTU!$K$8)),MAX($Z$3:Z1384)+1,""))</f>
        <v/>
      </c>
    </row>
    <row r="1386" customFormat="false" ht="15" hidden="false" customHeight="false" outlineLevel="0" collapsed="false">
      <c r="A1386" s="36" t="str">
        <f aca="false">IF($B1386="","",COUNTA($B$4:$B1386))</f>
        <v/>
      </c>
      <c r="B1386" s="37"/>
      <c r="C1386" s="38"/>
      <c r="D1386" s="39"/>
      <c r="E1386" s="37"/>
      <c r="F1386" s="39"/>
      <c r="G1386" s="40" t="str">
        <f aca="false">IF(OR($E1386="",$F1386=""),"",$E1386&amp;" - RT "&amp;$F1386)</f>
        <v/>
      </c>
      <c r="H1386" s="37"/>
      <c r="I1386" s="38"/>
      <c r="J1386" s="37"/>
      <c r="K1386" s="39"/>
      <c r="L1386" s="41"/>
      <c r="M1386" s="36" t="str">
        <f aca="true">IF(OR($B1386="",$L1386=""),"",DATEDIF($L1386,TODAY(),"Y"))</f>
        <v/>
      </c>
      <c r="N1386" s="40" t="str">
        <f aca="false">IF($M1386="","",INDEX(usia_label,MATCH($M1386,usia_min,1)))</f>
        <v/>
      </c>
      <c r="O1386" s="37"/>
      <c r="P1386" s="41"/>
      <c r="Q1386" s="37"/>
      <c r="R1386" s="37"/>
      <c r="S1386" s="40" t="str">
        <f aca="false">IF($G1386="","",$G1386&amp;"#"&amp;COUNTIF($G$4:$G1386,$G1386))</f>
        <v/>
      </c>
      <c r="T1386" s="40" t="str">
        <f aca="false">IF($B1386="","",IF($C1386="","NIK kosong",IF(LEN($C1386)&lt;&gt;16,"NIK bukan 16 digit",IF(COUNTIF($C$4:$C$2003,$C1386&amp;"*")&gt;1,"NIK ganda",IF($E1386="","Kadus kosong",IF($F1386="","RT kosong",IF($H1386="","Jabatan kosong",IF($I1386="","No. HP kosong",IF($J1386="","Alamat kosong",IF(AND($M1386&lt;&gt;"",$M1386&lt;17),"Usia di bawah 17",""))))))))))</f>
        <v/>
      </c>
      <c r="U1386" s="40" t="str">
        <f aca="false">IF($B1386="","",IF(AND(OR(CARI!$C$5="",ISNUMBER(SEARCH(CARI!$C$5,$B1386&amp;" "&amp;$C1386&amp;" "&amp;$I1386&amp;" "&amp;$J1386&amp;" "&amp;$Q1386))),OR(CARI!$C$6="",$E1386=CARI!$C$6),OR(CARI!$C$7="",$F1386=CARI!$C$7),OR(CARI!$C$8="",$O1386=CARI!$C$8)),MAX($U$3:U1385)+1,""))</f>
        <v/>
      </c>
      <c r="V1386" s="40" t="str">
        <f aca="false">IF($T1386="","",MAX($V$3:V1385)+1)</f>
        <v/>
      </c>
      <c r="W1386" s="40" t="str">
        <f aca="false">IF($E1386="","",$E1386&amp;"#"&amp;COUNTIF($E$4:$E1386,$E1386))</f>
        <v/>
      </c>
      <c r="X1386" s="40" t="str">
        <f aca="false">IF($B1386="","",IF(AND(OR(CETAK!$J$10="",$E1386=CETAK!$J$10),OR(CETAK!$J$11="",$F1386=CETAK!$J$11),OR(CETAK!$J$12="",$K1386=CETAK!$J$12),OR(CETAK!$J$13="",$H1386=CETAK!$J$13),OR(CETAK!$J$14="",$O1386=CETAK!$J$14)),MAX($X$3:X1385)+1,""))</f>
        <v/>
      </c>
      <c r="Y1386" s="40" t="str">
        <f aca="false">IF($B1386="","",IF(AND(OR(ABSENSI!$H$10="",$E1386=ABSENSI!$H$10),OR(ABSENSI!$H$11="",$F1386=ABSENSI!$H$11),OR(ABSENSI!$H$12="",$K1386=ABSENSI!$H$12)),MAX($Y$3:Y1385)+1,""))</f>
        <v/>
      </c>
      <c r="Z1386" s="40" t="str">
        <f aca="false">IF($B1386="","",IF(AND(OR(KARTU!$K$6="",$E1386=KARTU!$K$6),OR(KARTU!$K$7="",$F1386=KARTU!$K$7),OR(KARTU!$K$8="",$K1386=KARTU!$K$8)),MAX($Z$3:Z1385)+1,""))</f>
        <v/>
      </c>
    </row>
    <row r="1387" customFormat="false" ht="15" hidden="false" customHeight="false" outlineLevel="0" collapsed="false">
      <c r="A1387" s="36" t="str">
        <f aca="false">IF($B1387="","",COUNTA($B$4:$B1387))</f>
        <v/>
      </c>
      <c r="B1387" s="37"/>
      <c r="C1387" s="38"/>
      <c r="D1387" s="39"/>
      <c r="E1387" s="37"/>
      <c r="F1387" s="39"/>
      <c r="G1387" s="40" t="str">
        <f aca="false">IF(OR($E1387="",$F1387=""),"",$E1387&amp;" - RT "&amp;$F1387)</f>
        <v/>
      </c>
      <c r="H1387" s="37"/>
      <c r="I1387" s="38"/>
      <c r="J1387" s="37"/>
      <c r="K1387" s="39"/>
      <c r="L1387" s="41"/>
      <c r="M1387" s="36" t="str">
        <f aca="true">IF(OR($B1387="",$L1387=""),"",DATEDIF($L1387,TODAY(),"Y"))</f>
        <v/>
      </c>
      <c r="N1387" s="40" t="str">
        <f aca="false">IF($M1387="","",INDEX(usia_label,MATCH($M1387,usia_min,1)))</f>
        <v/>
      </c>
      <c r="O1387" s="37"/>
      <c r="P1387" s="41"/>
      <c r="Q1387" s="37"/>
      <c r="R1387" s="37"/>
      <c r="S1387" s="40" t="str">
        <f aca="false">IF($G1387="","",$G1387&amp;"#"&amp;COUNTIF($G$4:$G1387,$G1387))</f>
        <v/>
      </c>
      <c r="T1387" s="40" t="str">
        <f aca="false">IF($B1387="","",IF($C1387="","NIK kosong",IF(LEN($C1387)&lt;&gt;16,"NIK bukan 16 digit",IF(COUNTIF($C$4:$C$2003,$C1387&amp;"*")&gt;1,"NIK ganda",IF($E1387="","Kadus kosong",IF($F1387="","RT kosong",IF($H1387="","Jabatan kosong",IF($I1387="","No. HP kosong",IF($J1387="","Alamat kosong",IF(AND($M1387&lt;&gt;"",$M1387&lt;17),"Usia di bawah 17",""))))))))))</f>
        <v/>
      </c>
      <c r="U1387" s="40" t="str">
        <f aca="false">IF($B1387="","",IF(AND(OR(CARI!$C$5="",ISNUMBER(SEARCH(CARI!$C$5,$B1387&amp;" "&amp;$C1387&amp;" "&amp;$I1387&amp;" "&amp;$J1387&amp;" "&amp;$Q1387))),OR(CARI!$C$6="",$E1387=CARI!$C$6),OR(CARI!$C$7="",$F1387=CARI!$C$7),OR(CARI!$C$8="",$O1387=CARI!$C$8)),MAX($U$3:U1386)+1,""))</f>
        <v/>
      </c>
      <c r="V1387" s="40" t="str">
        <f aca="false">IF($T1387="","",MAX($V$3:V1386)+1)</f>
        <v/>
      </c>
      <c r="W1387" s="40" t="str">
        <f aca="false">IF($E1387="","",$E1387&amp;"#"&amp;COUNTIF($E$4:$E1387,$E1387))</f>
        <v/>
      </c>
      <c r="X1387" s="40" t="str">
        <f aca="false">IF($B1387="","",IF(AND(OR(CETAK!$J$10="",$E1387=CETAK!$J$10),OR(CETAK!$J$11="",$F1387=CETAK!$J$11),OR(CETAK!$J$12="",$K1387=CETAK!$J$12),OR(CETAK!$J$13="",$H1387=CETAK!$J$13),OR(CETAK!$J$14="",$O1387=CETAK!$J$14)),MAX($X$3:X1386)+1,""))</f>
        <v/>
      </c>
      <c r="Y1387" s="40" t="str">
        <f aca="false">IF($B1387="","",IF(AND(OR(ABSENSI!$H$10="",$E1387=ABSENSI!$H$10),OR(ABSENSI!$H$11="",$F1387=ABSENSI!$H$11),OR(ABSENSI!$H$12="",$K1387=ABSENSI!$H$12)),MAX($Y$3:Y1386)+1,""))</f>
        <v/>
      </c>
      <c r="Z1387" s="40" t="str">
        <f aca="false">IF($B1387="","",IF(AND(OR(KARTU!$K$6="",$E1387=KARTU!$K$6),OR(KARTU!$K$7="",$F1387=KARTU!$K$7),OR(KARTU!$K$8="",$K1387=KARTU!$K$8)),MAX($Z$3:Z1386)+1,""))</f>
        <v/>
      </c>
    </row>
    <row r="1388" customFormat="false" ht="15" hidden="false" customHeight="false" outlineLevel="0" collapsed="false">
      <c r="A1388" s="36" t="str">
        <f aca="false">IF($B1388="","",COUNTA($B$4:$B1388))</f>
        <v/>
      </c>
      <c r="B1388" s="37"/>
      <c r="C1388" s="38"/>
      <c r="D1388" s="39"/>
      <c r="E1388" s="37"/>
      <c r="F1388" s="39"/>
      <c r="G1388" s="40" t="str">
        <f aca="false">IF(OR($E1388="",$F1388=""),"",$E1388&amp;" - RT "&amp;$F1388)</f>
        <v/>
      </c>
      <c r="H1388" s="37"/>
      <c r="I1388" s="38"/>
      <c r="J1388" s="37"/>
      <c r="K1388" s="39"/>
      <c r="L1388" s="41"/>
      <c r="M1388" s="36" t="str">
        <f aca="true">IF(OR($B1388="",$L1388=""),"",DATEDIF($L1388,TODAY(),"Y"))</f>
        <v/>
      </c>
      <c r="N1388" s="40" t="str">
        <f aca="false">IF($M1388="","",INDEX(usia_label,MATCH($M1388,usia_min,1)))</f>
        <v/>
      </c>
      <c r="O1388" s="37"/>
      <c r="P1388" s="41"/>
      <c r="Q1388" s="37"/>
      <c r="R1388" s="37"/>
      <c r="S1388" s="40" t="str">
        <f aca="false">IF($G1388="","",$G1388&amp;"#"&amp;COUNTIF($G$4:$G1388,$G1388))</f>
        <v/>
      </c>
      <c r="T1388" s="40" t="str">
        <f aca="false">IF($B1388="","",IF($C1388="","NIK kosong",IF(LEN($C1388)&lt;&gt;16,"NIK bukan 16 digit",IF(COUNTIF($C$4:$C$2003,$C1388&amp;"*")&gt;1,"NIK ganda",IF($E1388="","Kadus kosong",IF($F1388="","RT kosong",IF($H1388="","Jabatan kosong",IF($I1388="","No. HP kosong",IF($J1388="","Alamat kosong",IF(AND($M1388&lt;&gt;"",$M1388&lt;17),"Usia di bawah 17",""))))))))))</f>
        <v/>
      </c>
      <c r="U1388" s="40" t="str">
        <f aca="false">IF($B1388="","",IF(AND(OR(CARI!$C$5="",ISNUMBER(SEARCH(CARI!$C$5,$B1388&amp;" "&amp;$C1388&amp;" "&amp;$I1388&amp;" "&amp;$J1388&amp;" "&amp;$Q1388))),OR(CARI!$C$6="",$E1388=CARI!$C$6),OR(CARI!$C$7="",$F1388=CARI!$C$7),OR(CARI!$C$8="",$O1388=CARI!$C$8)),MAX($U$3:U1387)+1,""))</f>
        <v/>
      </c>
      <c r="V1388" s="40" t="str">
        <f aca="false">IF($T1388="","",MAX($V$3:V1387)+1)</f>
        <v/>
      </c>
      <c r="W1388" s="40" t="str">
        <f aca="false">IF($E1388="","",$E1388&amp;"#"&amp;COUNTIF($E$4:$E1388,$E1388))</f>
        <v/>
      </c>
      <c r="X1388" s="40" t="str">
        <f aca="false">IF($B1388="","",IF(AND(OR(CETAK!$J$10="",$E1388=CETAK!$J$10),OR(CETAK!$J$11="",$F1388=CETAK!$J$11),OR(CETAK!$J$12="",$K1388=CETAK!$J$12),OR(CETAK!$J$13="",$H1388=CETAK!$J$13),OR(CETAK!$J$14="",$O1388=CETAK!$J$14)),MAX($X$3:X1387)+1,""))</f>
        <v/>
      </c>
      <c r="Y1388" s="40" t="str">
        <f aca="false">IF($B1388="","",IF(AND(OR(ABSENSI!$H$10="",$E1388=ABSENSI!$H$10),OR(ABSENSI!$H$11="",$F1388=ABSENSI!$H$11),OR(ABSENSI!$H$12="",$K1388=ABSENSI!$H$12)),MAX($Y$3:Y1387)+1,""))</f>
        <v/>
      </c>
      <c r="Z1388" s="40" t="str">
        <f aca="false">IF($B1388="","",IF(AND(OR(KARTU!$K$6="",$E1388=KARTU!$K$6),OR(KARTU!$K$7="",$F1388=KARTU!$K$7),OR(KARTU!$K$8="",$K1388=KARTU!$K$8)),MAX($Z$3:Z1387)+1,""))</f>
        <v/>
      </c>
    </row>
    <row r="1389" customFormat="false" ht="15" hidden="false" customHeight="false" outlineLevel="0" collapsed="false">
      <c r="A1389" s="36" t="str">
        <f aca="false">IF($B1389="","",COUNTA($B$4:$B1389))</f>
        <v/>
      </c>
      <c r="B1389" s="37"/>
      <c r="C1389" s="38"/>
      <c r="D1389" s="39"/>
      <c r="E1389" s="37"/>
      <c r="F1389" s="39"/>
      <c r="G1389" s="40" t="str">
        <f aca="false">IF(OR($E1389="",$F1389=""),"",$E1389&amp;" - RT "&amp;$F1389)</f>
        <v/>
      </c>
      <c r="H1389" s="37"/>
      <c r="I1389" s="38"/>
      <c r="J1389" s="37"/>
      <c r="K1389" s="39"/>
      <c r="L1389" s="41"/>
      <c r="M1389" s="36" t="str">
        <f aca="true">IF(OR($B1389="",$L1389=""),"",DATEDIF($L1389,TODAY(),"Y"))</f>
        <v/>
      </c>
      <c r="N1389" s="40" t="str">
        <f aca="false">IF($M1389="","",INDEX(usia_label,MATCH($M1389,usia_min,1)))</f>
        <v/>
      </c>
      <c r="O1389" s="37"/>
      <c r="P1389" s="41"/>
      <c r="Q1389" s="37"/>
      <c r="R1389" s="37"/>
      <c r="S1389" s="40" t="str">
        <f aca="false">IF($G1389="","",$G1389&amp;"#"&amp;COUNTIF($G$4:$G1389,$G1389))</f>
        <v/>
      </c>
      <c r="T1389" s="40" t="str">
        <f aca="false">IF($B1389="","",IF($C1389="","NIK kosong",IF(LEN($C1389)&lt;&gt;16,"NIK bukan 16 digit",IF(COUNTIF($C$4:$C$2003,$C1389&amp;"*")&gt;1,"NIK ganda",IF($E1389="","Kadus kosong",IF($F1389="","RT kosong",IF($H1389="","Jabatan kosong",IF($I1389="","No. HP kosong",IF($J1389="","Alamat kosong",IF(AND($M1389&lt;&gt;"",$M1389&lt;17),"Usia di bawah 17",""))))))))))</f>
        <v/>
      </c>
      <c r="U1389" s="40" t="str">
        <f aca="false">IF($B1389="","",IF(AND(OR(CARI!$C$5="",ISNUMBER(SEARCH(CARI!$C$5,$B1389&amp;" "&amp;$C1389&amp;" "&amp;$I1389&amp;" "&amp;$J1389&amp;" "&amp;$Q1389))),OR(CARI!$C$6="",$E1389=CARI!$C$6),OR(CARI!$C$7="",$F1389=CARI!$C$7),OR(CARI!$C$8="",$O1389=CARI!$C$8)),MAX($U$3:U1388)+1,""))</f>
        <v/>
      </c>
      <c r="V1389" s="40" t="str">
        <f aca="false">IF($T1389="","",MAX($V$3:V1388)+1)</f>
        <v/>
      </c>
      <c r="W1389" s="40" t="str">
        <f aca="false">IF($E1389="","",$E1389&amp;"#"&amp;COUNTIF($E$4:$E1389,$E1389))</f>
        <v/>
      </c>
      <c r="X1389" s="40" t="str">
        <f aca="false">IF($B1389="","",IF(AND(OR(CETAK!$J$10="",$E1389=CETAK!$J$10),OR(CETAK!$J$11="",$F1389=CETAK!$J$11),OR(CETAK!$J$12="",$K1389=CETAK!$J$12),OR(CETAK!$J$13="",$H1389=CETAK!$J$13),OR(CETAK!$J$14="",$O1389=CETAK!$J$14)),MAX($X$3:X1388)+1,""))</f>
        <v/>
      </c>
      <c r="Y1389" s="40" t="str">
        <f aca="false">IF($B1389="","",IF(AND(OR(ABSENSI!$H$10="",$E1389=ABSENSI!$H$10),OR(ABSENSI!$H$11="",$F1389=ABSENSI!$H$11),OR(ABSENSI!$H$12="",$K1389=ABSENSI!$H$12)),MAX($Y$3:Y1388)+1,""))</f>
        <v/>
      </c>
      <c r="Z1389" s="40" t="str">
        <f aca="false">IF($B1389="","",IF(AND(OR(KARTU!$K$6="",$E1389=KARTU!$K$6),OR(KARTU!$K$7="",$F1389=KARTU!$K$7),OR(KARTU!$K$8="",$K1389=KARTU!$K$8)),MAX($Z$3:Z1388)+1,""))</f>
        <v/>
      </c>
    </row>
    <row r="1390" customFormat="false" ht="15" hidden="false" customHeight="false" outlineLevel="0" collapsed="false">
      <c r="A1390" s="36" t="str">
        <f aca="false">IF($B1390="","",COUNTA($B$4:$B1390))</f>
        <v/>
      </c>
      <c r="B1390" s="37"/>
      <c r="C1390" s="38"/>
      <c r="D1390" s="39"/>
      <c r="E1390" s="37"/>
      <c r="F1390" s="39"/>
      <c r="G1390" s="40" t="str">
        <f aca="false">IF(OR($E1390="",$F1390=""),"",$E1390&amp;" - RT "&amp;$F1390)</f>
        <v/>
      </c>
      <c r="H1390" s="37"/>
      <c r="I1390" s="38"/>
      <c r="J1390" s="37"/>
      <c r="K1390" s="39"/>
      <c r="L1390" s="41"/>
      <c r="M1390" s="36" t="str">
        <f aca="true">IF(OR($B1390="",$L1390=""),"",DATEDIF($L1390,TODAY(),"Y"))</f>
        <v/>
      </c>
      <c r="N1390" s="40" t="str">
        <f aca="false">IF($M1390="","",INDEX(usia_label,MATCH($M1390,usia_min,1)))</f>
        <v/>
      </c>
      <c r="O1390" s="37"/>
      <c r="P1390" s="41"/>
      <c r="Q1390" s="37"/>
      <c r="R1390" s="37"/>
      <c r="S1390" s="40" t="str">
        <f aca="false">IF($G1390="","",$G1390&amp;"#"&amp;COUNTIF($G$4:$G1390,$G1390))</f>
        <v/>
      </c>
      <c r="T1390" s="40" t="str">
        <f aca="false">IF($B1390="","",IF($C1390="","NIK kosong",IF(LEN($C1390)&lt;&gt;16,"NIK bukan 16 digit",IF(COUNTIF($C$4:$C$2003,$C1390&amp;"*")&gt;1,"NIK ganda",IF($E1390="","Kadus kosong",IF($F1390="","RT kosong",IF($H1390="","Jabatan kosong",IF($I1390="","No. HP kosong",IF($J1390="","Alamat kosong",IF(AND($M1390&lt;&gt;"",$M1390&lt;17),"Usia di bawah 17",""))))))))))</f>
        <v/>
      </c>
      <c r="U1390" s="40" t="str">
        <f aca="false">IF($B1390="","",IF(AND(OR(CARI!$C$5="",ISNUMBER(SEARCH(CARI!$C$5,$B1390&amp;" "&amp;$C1390&amp;" "&amp;$I1390&amp;" "&amp;$J1390&amp;" "&amp;$Q1390))),OR(CARI!$C$6="",$E1390=CARI!$C$6),OR(CARI!$C$7="",$F1390=CARI!$C$7),OR(CARI!$C$8="",$O1390=CARI!$C$8)),MAX($U$3:U1389)+1,""))</f>
        <v/>
      </c>
      <c r="V1390" s="40" t="str">
        <f aca="false">IF($T1390="","",MAX($V$3:V1389)+1)</f>
        <v/>
      </c>
      <c r="W1390" s="40" t="str">
        <f aca="false">IF($E1390="","",$E1390&amp;"#"&amp;COUNTIF($E$4:$E1390,$E1390))</f>
        <v/>
      </c>
      <c r="X1390" s="40" t="str">
        <f aca="false">IF($B1390="","",IF(AND(OR(CETAK!$J$10="",$E1390=CETAK!$J$10),OR(CETAK!$J$11="",$F1390=CETAK!$J$11),OR(CETAK!$J$12="",$K1390=CETAK!$J$12),OR(CETAK!$J$13="",$H1390=CETAK!$J$13),OR(CETAK!$J$14="",$O1390=CETAK!$J$14)),MAX($X$3:X1389)+1,""))</f>
        <v/>
      </c>
      <c r="Y1390" s="40" t="str">
        <f aca="false">IF($B1390="","",IF(AND(OR(ABSENSI!$H$10="",$E1390=ABSENSI!$H$10),OR(ABSENSI!$H$11="",$F1390=ABSENSI!$H$11),OR(ABSENSI!$H$12="",$K1390=ABSENSI!$H$12)),MAX($Y$3:Y1389)+1,""))</f>
        <v/>
      </c>
      <c r="Z1390" s="40" t="str">
        <f aca="false">IF($B1390="","",IF(AND(OR(KARTU!$K$6="",$E1390=KARTU!$K$6),OR(KARTU!$K$7="",$F1390=KARTU!$K$7),OR(KARTU!$K$8="",$K1390=KARTU!$K$8)),MAX($Z$3:Z1389)+1,""))</f>
        <v/>
      </c>
    </row>
    <row r="1391" customFormat="false" ht="15" hidden="false" customHeight="false" outlineLevel="0" collapsed="false">
      <c r="A1391" s="36" t="str">
        <f aca="false">IF($B1391="","",COUNTA($B$4:$B1391))</f>
        <v/>
      </c>
      <c r="B1391" s="37"/>
      <c r="C1391" s="38"/>
      <c r="D1391" s="39"/>
      <c r="E1391" s="37"/>
      <c r="F1391" s="39"/>
      <c r="G1391" s="40" t="str">
        <f aca="false">IF(OR($E1391="",$F1391=""),"",$E1391&amp;" - RT "&amp;$F1391)</f>
        <v/>
      </c>
      <c r="H1391" s="37"/>
      <c r="I1391" s="38"/>
      <c r="J1391" s="37"/>
      <c r="K1391" s="39"/>
      <c r="L1391" s="41"/>
      <c r="M1391" s="36" t="str">
        <f aca="true">IF(OR($B1391="",$L1391=""),"",DATEDIF($L1391,TODAY(),"Y"))</f>
        <v/>
      </c>
      <c r="N1391" s="40" t="str">
        <f aca="false">IF($M1391="","",INDEX(usia_label,MATCH($M1391,usia_min,1)))</f>
        <v/>
      </c>
      <c r="O1391" s="37"/>
      <c r="P1391" s="41"/>
      <c r="Q1391" s="37"/>
      <c r="R1391" s="37"/>
      <c r="S1391" s="40" t="str">
        <f aca="false">IF($G1391="","",$G1391&amp;"#"&amp;COUNTIF($G$4:$G1391,$G1391))</f>
        <v/>
      </c>
      <c r="T1391" s="40" t="str">
        <f aca="false">IF($B1391="","",IF($C1391="","NIK kosong",IF(LEN($C1391)&lt;&gt;16,"NIK bukan 16 digit",IF(COUNTIF($C$4:$C$2003,$C1391&amp;"*")&gt;1,"NIK ganda",IF($E1391="","Kadus kosong",IF($F1391="","RT kosong",IF($H1391="","Jabatan kosong",IF($I1391="","No. HP kosong",IF($J1391="","Alamat kosong",IF(AND($M1391&lt;&gt;"",$M1391&lt;17),"Usia di bawah 17",""))))))))))</f>
        <v/>
      </c>
      <c r="U1391" s="40" t="str">
        <f aca="false">IF($B1391="","",IF(AND(OR(CARI!$C$5="",ISNUMBER(SEARCH(CARI!$C$5,$B1391&amp;" "&amp;$C1391&amp;" "&amp;$I1391&amp;" "&amp;$J1391&amp;" "&amp;$Q1391))),OR(CARI!$C$6="",$E1391=CARI!$C$6),OR(CARI!$C$7="",$F1391=CARI!$C$7),OR(CARI!$C$8="",$O1391=CARI!$C$8)),MAX($U$3:U1390)+1,""))</f>
        <v/>
      </c>
      <c r="V1391" s="40" t="str">
        <f aca="false">IF($T1391="","",MAX($V$3:V1390)+1)</f>
        <v/>
      </c>
      <c r="W1391" s="40" t="str">
        <f aca="false">IF($E1391="","",$E1391&amp;"#"&amp;COUNTIF($E$4:$E1391,$E1391))</f>
        <v/>
      </c>
      <c r="X1391" s="40" t="str">
        <f aca="false">IF($B1391="","",IF(AND(OR(CETAK!$J$10="",$E1391=CETAK!$J$10),OR(CETAK!$J$11="",$F1391=CETAK!$J$11),OR(CETAK!$J$12="",$K1391=CETAK!$J$12),OR(CETAK!$J$13="",$H1391=CETAK!$J$13),OR(CETAK!$J$14="",$O1391=CETAK!$J$14)),MAX($X$3:X1390)+1,""))</f>
        <v/>
      </c>
      <c r="Y1391" s="40" t="str">
        <f aca="false">IF($B1391="","",IF(AND(OR(ABSENSI!$H$10="",$E1391=ABSENSI!$H$10),OR(ABSENSI!$H$11="",$F1391=ABSENSI!$H$11),OR(ABSENSI!$H$12="",$K1391=ABSENSI!$H$12)),MAX($Y$3:Y1390)+1,""))</f>
        <v/>
      </c>
      <c r="Z1391" s="40" t="str">
        <f aca="false">IF($B1391="","",IF(AND(OR(KARTU!$K$6="",$E1391=KARTU!$K$6),OR(KARTU!$K$7="",$F1391=KARTU!$K$7),OR(KARTU!$K$8="",$K1391=KARTU!$K$8)),MAX($Z$3:Z1390)+1,""))</f>
        <v/>
      </c>
    </row>
    <row r="1392" customFormat="false" ht="15" hidden="false" customHeight="false" outlineLevel="0" collapsed="false">
      <c r="A1392" s="36" t="str">
        <f aca="false">IF($B1392="","",COUNTA($B$4:$B1392))</f>
        <v/>
      </c>
      <c r="B1392" s="37"/>
      <c r="C1392" s="38"/>
      <c r="D1392" s="39"/>
      <c r="E1392" s="37"/>
      <c r="F1392" s="39"/>
      <c r="G1392" s="40" t="str">
        <f aca="false">IF(OR($E1392="",$F1392=""),"",$E1392&amp;" - RT "&amp;$F1392)</f>
        <v/>
      </c>
      <c r="H1392" s="37"/>
      <c r="I1392" s="38"/>
      <c r="J1392" s="37"/>
      <c r="K1392" s="39"/>
      <c r="L1392" s="41"/>
      <c r="M1392" s="36" t="str">
        <f aca="true">IF(OR($B1392="",$L1392=""),"",DATEDIF($L1392,TODAY(),"Y"))</f>
        <v/>
      </c>
      <c r="N1392" s="40" t="str">
        <f aca="false">IF($M1392="","",INDEX(usia_label,MATCH($M1392,usia_min,1)))</f>
        <v/>
      </c>
      <c r="O1392" s="37"/>
      <c r="P1392" s="41"/>
      <c r="Q1392" s="37"/>
      <c r="R1392" s="37"/>
      <c r="S1392" s="40" t="str">
        <f aca="false">IF($G1392="","",$G1392&amp;"#"&amp;COUNTIF($G$4:$G1392,$G1392))</f>
        <v/>
      </c>
      <c r="T1392" s="40" t="str">
        <f aca="false">IF($B1392="","",IF($C1392="","NIK kosong",IF(LEN($C1392)&lt;&gt;16,"NIK bukan 16 digit",IF(COUNTIF($C$4:$C$2003,$C1392&amp;"*")&gt;1,"NIK ganda",IF($E1392="","Kadus kosong",IF($F1392="","RT kosong",IF($H1392="","Jabatan kosong",IF($I1392="","No. HP kosong",IF($J1392="","Alamat kosong",IF(AND($M1392&lt;&gt;"",$M1392&lt;17),"Usia di bawah 17",""))))))))))</f>
        <v/>
      </c>
      <c r="U1392" s="40" t="str">
        <f aca="false">IF($B1392="","",IF(AND(OR(CARI!$C$5="",ISNUMBER(SEARCH(CARI!$C$5,$B1392&amp;" "&amp;$C1392&amp;" "&amp;$I1392&amp;" "&amp;$J1392&amp;" "&amp;$Q1392))),OR(CARI!$C$6="",$E1392=CARI!$C$6),OR(CARI!$C$7="",$F1392=CARI!$C$7),OR(CARI!$C$8="",$O1392=CARI!$C$8)),MAX($U$3:U1391)+1,""))</f>
        <v/>
      </c>
      <c r="V1392" s="40" t="str">
        <f aca="false">IF($T1392="","",MAX($V$3:V1391)+1)</f>
        <v/>
      </c>
      <c r="W1392" s="40" t="str">
        <f aca="false">IF($E1392="","",$E1392&amp;"#"&amp;COUNTIF($E$4:$E1392,$E1392))</f>
        <v/>
      </c>
      <c r="X1392" s="40" t="str">
        <f aca="false">IF($B1392="","",IF(AND(OR(CETAK!$J$10="",$E1392=CETAK!$J$10),OR(CETAK!$J$11="",$F1392=CETAK!$J$11),OR(CETAK!$J$12="",$K1392=CETAK!$J$12),OR(CETAK!$J$13="",$H1392=CETAK!$J$13),OR(CETAK!$J$14="",$O1392=CETAK!$J$14)),MAX($X$3:X1391)+1,""))</f>
        <v/>
      </c>
      <c r="Y1392" s="40" t="str">
        <f aca="false">IF($B1392="","",IF(AND(OR(ABSENSI!$H$10="",$E1392=ABSENSI!$H$10),OR(ABSENSI!$H$11="",$F1392=ABSENSI!$H$11),OR(ABSENSI!$H$12="",$K1392=ABSENSI!$H$12)),MAX($Y$3:Y1391)+1,""))</f>
        <v/>
      </c>
      <c r="Z1392" s="40" t="str">
        <f aca="false">IF($B1392="","",IF(AND(OR(KARTU!$K$6="",$E1392=KARTU!$K$6),OR(KARTU!$K$7="",$F1392=KARTU!$K$7),OR(KARTU!$K$8="",$K1392=KARTU!$K$8)),MAX($Z$3:Z1391)+1,""))</f>
        <v/>
      </c>
    </row>
    <row r="1393" customFormat="false" ht="15" hidden="false" customHeight="false" outlineLevel="0" collapsed="false">
      <c r="A1393" s="36" t="str">
        <f aca="false">IF($B1393="","",COUNTA($B$4:$B1393))</f>
        <v/>
      </c>
      <c r="B1393" s="37"/>
      <c r="C1393" s="38"/>
      <c r="D1393" s="39"/>
      <c r="E1393" s="37"/>
      <c r="F1393" s="39"/>
      <c r="G1393" s="40" t="str">
        <f aca="false">IF(OR($E1393="",$F1393=""),"",$E1393&amp;" - RT "&amp;$F1393)</f>
        <v/>
      </c>
      <c r="H1393" s="37"/>
      <c r="I1393" s="38"/>
      <c r="J1393" s="37"/>
      <c r="K1393" s="39"/>
      <c r="L1393" s="41"/>
      <c r="M1393" s="36" t="str">
        <f aca="true">IF(OR($B1393="",$L1393=""),"",DATEDIF($L1393,TODAY(),"Y"))</f>
        <v/>
      </c>
      <c r="N1393" s="40" t="str">
        <f aca="false">IF($M1393="","",INDEX(usia_label,MATCH($M1393,usia_min,1)))</f>
        <v/>
      </c>
      <c r="O1393" s="37"/>
      <c r="P1393" s="41"/>
      <c r="Q1393" s="37"/>
      <c r="R1393" s="37"/>
      <c r="S1393" s="40" t="str">
        <f aca="false">IF($G1393="","",$G1393&amp;"#"&amp;COUNTIF($G$4:$G1393,$G1393))</f>
        <v/>
      </c>
      <c r="T1393" s="40" t="str">
        <f aca="false">IF($B1393="","",IF($C1393="","NIK kosong",IF(LEN($C1393)&lt;&gt;16,"NIK bukan 16 digit",IF(COUNTIF($C$4:$C$2003,$C1393&amp;"*")&gt;1,"NIK ganda",IF($E1393="","Kadus kosong",IF($F1393="","RT kosong",IF($H1393="","Jabatan kosong",IF($I1393="","No. HP kosong",IF($J1393="","Alamat kosong",IF(AND($M1393&lt;&gt;"",$M1393&lt;17),"Usia di bawah 17",""))))))))))</f>
        <v/>
      </c>
      <c r="U1393" s="40" t="str">
        <f aca="false">IF($B1393="","",IF(AND(OR(CARI!$C$5="",ISNUMBER(SEARCH(CARI!$C$5,$B1393&amp;" "&amp;$C1393&amp;" "&amp;$I1393&amp;" "&amp;$J1393&amp;" "&amp;$Q1393))),OR(CARI!$C$6="",$E1393=CARI!$C$6),OR(CARI!$C$7="",$F1393=CARI!$C$7),OR(CARI!$C$8="",$O1393=CARI!$C$8)),MAX($U$3:U1392)+1,""))</f>
        <v/>
      </c>
      <c r="V1393" s="40" t="str">
        <f aca="false">IF($T1393="","",MAX($V$3:V1392)+1)</f>
        <v/>
      </c>
      <c r="W1393" s="40" t="str">
        <f aca="false">IF($E1393="","",$E1393&amp;"#"&amp;COUNTIF($E$4:$E1393,$E1393))</f>
        <v/>
      </c>
      <c r="X1393" s="40" t="str">
        <f aca="false">IF($B1393="","",IF(AND(OR(CETAK!$J$10="",$E1393=CETAK!$J$10),OR(CETAK!$J$11="",$F1393=CETAK!$J$11),OR(CETAK!$J$12="",$K1393=CETAK!$J$12),OR(CETAK!$J$13="",$H1393=CETAK!$J$13),OR(CETAK!$J$14="",$O1393=CETAK!$J$14)),MAX($X$3:X1392)+1,""))</f>
        <v/>
      </c>
      <c r="Y1393" s="40" t="str">
        <f aca="false">IF($B1393="","",IF(AND(OR(ABSENSI!$H$10="",$E1393=ABSENSI!$H$10),OR(ABSENSI!$H$11="",$F1393=ABSENSI!$H$11),OR(ABSENSI!$H$12="",$K1393=ABSENSI!$H$12)),MAX($Y$3:Y1392)+1,""))</f>
        <v/>
      </c>
      <c r="Z1393" s="40" t="str">
        <f aca="false">IF($B1393="","",IF(AND(OR(KARTU!$K$6="",$E1393=KARTU!$K$6),OR(KARTU!$K$7="",$F1393=KARTU!$K$7),OR(KARTU!$K$8="",$K1393=KARTU!$K$8)),MAX($Z$3:Z1392)+1,""))</f>
        <v/>
      </c>
    </row>
    <row r="1394" customFormat="false" ht="15" hidden="false" customHeight="false" outlineLevel="0" collapsed="false">
      <c r="A1394" s="36" t="str">
        <f aca="false">IF($B1394="","",COUNTA($B$4:$B1394))</f>
        <v/>
      </c>
      <c r="B1394" s="37"/>
      <c r="C1394" s="38"/>
      <c r="D1394" s="39"/>
      <c r="E1394" s="37"/>
      <c r="F1394" s="39"/>
      <c r="G1394" s="40" t="str">
        <f aca="false">IF(OR($E1394="",$F1394=""),"",$E1394&amp;" - RT "&amp;$F1394)</f>
        <v/>
      </c>
      <c r="H1394" s="37"/>
      <c r="I1394" s="38"/>
      <c r="J1394" s="37"/>
      <c r="K1394" s="39"/>
      <c r="L1394" s="41"/>
      <c r="M1394" s="36" t="str">
        <f aca="true">IF(OR($B1394="",$L1394=""),"",DATEDIF($L1394,TODAY(),"Y"))</f>
        <v/>
      </c>
      <c r="N1394" s="40" t="str">
        <f aca="false">IF($M1394="","",INDEX(usia_label,MATCH($M1394,usia_min,1)))</f>
        <v/>
      </c>
      <c r="O1394" s="37"/>
      <c r="P1394" s="41"/>
      <c r="Q1394" s="37"/>
      <c r="R1394" s="37"/>
      <c r="S1394" s="40" t="str">
        <f aca="false">IF($G1394="","",$G1394&amp;"#"&amp;COUNTIF($G$4:$G1394,$G1394))</f>
        <v/>
      </c>
      <c r="T1394" s="40" t="str">
        <f aca="false">IF($B1394="","",IF($C1394="","NIK kosong",IF(LEN($C1394)&lt;&gt;16,"NIK bukan 16 digit",IF(COUNTIF($C$4:$C$2003,$C1394&amp;"*")&gt;1,"NIK ganda",IF($E1394="","Kadus kosong",IF($F1394="","RT kosong",IF($H1394="","Jabatan kosong",IF($I1394="","No. HP kosong",IF($J1394="","Alamat kosong",IF(AND($M1394&lt;&gt;"",$M1394&lt;17),"Usia di bawah 17",""))))))))))</f>
        <v/>
      </c>
      <c r="U1394" s="40" t="str">
        <f aca="false">IF($B1394="","",IF(AND(OR(CARI!$C$5="",ISNUMBER(SEARCH(CARI!$C$5,$B1394&amp;" "&amp;$C1394&amp;" "&amp;$I1394&amp;" "&amp;$J1394&amp;" "&amp;$Q1394))),OR(CARI!$C$6="",$E1394=CARI!$C$6),OR(CARI!$C$7="",$F1394=CARI!$C$7),OR(CARI!$C$8="",$O1394=CARI!$C$8)),MAX($U$3:U1393)+1,""))</f>
        <v/>
      </c>
      <c r="V1394" s="40" t="str">
        <f aca="false">IF($T1394="","",MAX($V$3:V1393)+1)</f>
        <v/>
      </c>
      <c r="W1394" s="40" t="str">
        <f aca="false">IF($E1394="","",$E1394&amp;"#"&amp;COUNTIF($E$4:$E1394,$E1394))</f>
        <v/>
      </c>
      <c r="X1394" s="40" t="str">
        <f aca="false">IF($B1394="","",IF(AND(OR(CETAK!$J$10="",$E1394=CETAK!$J$10),OR(CETAK!$J$11="",$F1394=CETAK!$J$11),OR(CETAK!$J$12="",$K1394=CETAK!$J$12),OR(CETAK!$J$13="",$H1394=CETAK!$J$13),OR(CETAK!$J$14="",$O1394=CETAK!$J$14)),MAX($X$3:X1393)+1,""))</f>
        <v/>
      </c>
      <c r="Y1394" s="40" t="str">
        <f aca="false">IF($B1394="","",IF(AND(OR(ABSENSI!$H$10="",$E1394=ABSENSI!$H$10),OR(ABSENSI!$H$11="",$F1394=ABSENSI!$H$11),OR(ABSENSI!$H$12="",$K1394=ABSENSI!$H$12)),MAX($Y$3:Y1393)+1,""))</f>
        <v/>
      </c>
      <c r="Z1394" s="40" t="str">
        <f aca="false">IF($B1394="","",IF(AND(OR(KARTU!$K$6="",$E1394=KARTU!$K$6),OR(KARTU!$K$7="",$F1394=KARTU!$K$7),OR(KARTU!$K$8="",$K1394=KARTU!$K$8)),MAX($Z$3:Z1393)+1,""))</f>
        <v/>
      </c>
    </row>
    <row r="1395" customFormat="false" ht="15" hidden="false" customHeight="false" outlineLevel="0" collapsed="false">
      <c r="A1395" s="36" t="str">
        <f aca="false">IF($B1395="","",COUNTA($B$4:$B1395))</f>
        <v/>
      </c>
      <c r="B1395" s="37"/>
      <c r="C1395" s="38"/>
      <c r="D1395" s="39"/>
      <c r="E1395" s="37"/>
      <c r="F1395" s="39"/>
      <c r="G1395" s="40" t="str">
        <f aca="false">IF(OR($E1395="",$F1395=""),"",$E1395&amp;" - RT "&amp;$F1395)</f>
        <v/>
      </c>
      <c r="H1395" s="37"/>
      <c r="I1395" s="38"/>
      <c r="J1395" s="37"/>
      <c r="K1395" s="39"/>
      <c r="L1395" s="41"/>
      <c r="M1395" s="36" t="str">
        <f aca="true">IF(OR($B1395="",$L1395=""),"",DATEDIF($L1395,TODAY(),"Y"))</f>
        <v/>
      </c>
      <c r="N1395" s="40" t="str">
        <f aca="false">IF($M1395="","",INDEX(usia_label,MATCH($M1395,usia_min,1)))</f>
        <v/>
      </c>
      <c r="O1395" s="37"/>
      <c r="P1395" s="41"/>
      <c r="Q1395" s="37"/>
      <c r="R1395" s="37"/>
      <c r="S1395" s="40" t="str">
        <f aca="false">IF($G1395="","",$G1395&amp;"#"&amp;COUNTIF($G$4:$G1395,$G1395))</f>
        <v/>
      </c>
      <c r="T1395" s="40" t="str">
        <f aca="false">IF($B1395="","",IF($C1395="","NIK kosong",IF(LEN($C1395)&lt;&gt;16,"NIK bukan 16 digit",IF(COUNTIF($C$4:$C$2003,$C1395&amp;"*")&gt;1,"NIK ganda",IF($E1395="","Kadus kosong",IF($F1395="","RT kosong",IF($H1395="","Jabatan kosong",IF($I1395="","No. HP kosong",IF($J1395="","Alamat kosong",IF(AND($M1395&lt;&gt;"",$M1395&lt;17),"Usia di bawah 17",""))))))))))</f>
        <v/>
      </c>
      <c r="U1395" s="40" t="str">
        <f aca="false">IF($B1395="","",IF(AND(OR(CARI!$C$5="",ISNUMBER(SEARCH(CARI!$C$5,$B1395&amp;" "&amp;$C1395&amp;" "&amp;$I1395&amp;" "&amp;$J1395&amp;" "&amp;$Q1395))),OR(CARI!$C$6="",$E1395=CARI!$C$6),OR(CARI!$C$7="",$F1395=CARI!$C$7),OR(CARI!$C$8="",$O1395=CARI!$C$8)),MAX($U$3:U1394)+1,""))</f>
        <v/>
      </c>
      <c r="V1395" s="40" t="str">
        <f aca="false">IF($T1395="","",MAX($V$3:V1394)+1)</f>
        <v/>
      </c>
      <c r="W1395" s="40" t="str">
        <f aca="false">IF($E1395="","",$E1395&amp;"#"&amp;COUNTIF($E$4:$E1395,$E1395))</f>
        <v/>
      </c>
      <c r="X1395" s="40" t="str">
        <f aca="false">IF($B1395="","",IF(AND(OR(CETAK!$J$10="",$E1395=CETAK!$J$10),OR(CETAK!$J$11="",$F1395=CETAK!$J$11),OR(CETAK!$J$12="",$K1395=CETAK!$J$12),OR(CETAK!$J$13="",$H1395=CETAK!$J$13),OR(CETAK!$J$14="",$O1395=CETAK!$J$14)),MAX($X$3:X1394)+1,""))</f>
        <v/>
      </c>
      <c r="Y1395" s="40" t="str">
        <f aca="false">IF($B1395="","",IF(AND(OR(ABSENSI!$H$10="",$E1395=ABSENSI!$H$10),OR(ABSENSI!$H$11="",$F1395=ABSENSI!$H$11),OR(ABSENSI!$H$12="",$K1395=ABSENSI!$H$12)),MAX($Y$3:Y1394)+1,""))</f>
        <v/>
      </c>
      <c r="Z1395" s="40" t="str">
        <f aca="false">IF($B1395="","",IF(AND(OR(KARTU!$K$6="",$E1395=KARTU!$K$6),OR(KARTU!$K$7="",$F1395=KARTU!$K$7),OR(KARTU!$K$8="",$K1395=KARTU!$K$8)),MAX($Z$3:Z1394)+1,""))</f>
        <v/>
      </c>
    </row>
    <row r="1396" customFormat="false" ht="15" hidden="false" customHeight="false" outlineLevel="0" collapsed="false">
      <c r="A1396" s="36" t="str">
        <f aca="false">IF($B1396="","",COUNTA($B$4:$B1396))</f>
        <v/>
      </c>
      <c r="B1396" s="37"/>
      <c r="C1396" s="38"/>
      <c r="D1396" s="39"/>
      <c r="E1396" s="37"/>
      <c r="F1396" s="39"/>
      <c r="G1396" s="40" t="str">
        <f aca="false">IF(OR($E1396="",$F1396=""),"",$E1396&amp;" - RT "&amp;$F1396)</f>
        <v/>
      </c>
      <c r="H1396" s="37"/>
      <c r="I1396" s="38"/>
      <c r="J1396" s="37"/>
      <c r="K1396" s="39"/>
      <c r="L1396" s="41"/>
      <c r="M1396" s="36" t="str">
        <f aca="true">IF(OR($B1396="",$L1396=""),"",DATEDIF($L1396,TODAY(),"Y"))</f>
        <v/>
      </c>
      <c r="N1396" s="40" t="str">
        <f aca="false">IF($M1396="","",INDEX(usia_label,MATCH($M1396,usia_min,1)))</f>
        <v/>
      </c>
      <c r="O1396" s="37"/>
      <c r="P1396" s="41"/>
      <c r="Q1396" s="37"/>
      <c r="R1396" s="37"/>
      <c r="S1396" s="40" t="str">
        <f aca="false">IF($G1396="","",$G1396&amp;"#"&amp;COUNTIF($G$4:$G1396,$G1396))</f>
        <v/>
      </c>
      <c r="T1396" s="40" t="str">
        <f aca="false">IF($B1396="","",IF($C1396="","NIK kosong",IF(LEN($C1396)&lt;&gt;16,"NIK bukan 16 digit",IF(COUNTIF($C$4:$C$2003,$C1396&amp;"*")&gt;1,"NIK ganda",IF($E1396="","Kadus kosong",IF($F1396="","RT kosong",IF($H1396="","Jabatan kosong",IF($I1396="","No. HP kosong",IF($J1396="","Alamat kosong",IF(AND($M1396&lt;&gt;"",$M1396&lt;17),"Usia di bawah 17",""))))))))))</f>
        <v/>
      </c>
      <c r="U1396" s="40" t="str">
        <f aca="false">IF($B1396="","",IF(AND(OR(CARI!$C$5="",ISNUMBER(SEARCH(CARI!$C$5,$B1396&amp;" "&amp;$C1396&amp;" "&amp;$I1396&amp;" "&amp;$J1396&amp;" "&amp;$Q1396))),OR(CARI!$C$6="",$E1396=CARI!$C$6),OR(CARI!$C$7="",$F1396=CARI!$C$7),OR(CARI!$C$8="",$O1396=CARI!$C$8)),MAX($U$3:U1395)+1,""))</f>
        <v/>
      </c>
      <c r="V1396" s="40" t="str">
        <f aca="false">IF($T1396="","",MAX($V$3:V1395)+1)</f>
        <v/>
      </c>
      <c r="W1396" s="40" t="str">
        <f aca="false">IF($E1396="","",$E1396&amp;"#"&amp;COUNTIF($E$4:$E1396,$E1396))</f>
        <v/>
      </c>
      <c r="X1396" s="40" t="str">
        <f aca="false">IF($B1396="","",IF(AND(OR(CETAK!$J$10="",$E1396=CETAK!$J$10),OR(CETAK!$J$11="",$F1396=CETAK!$J$11),OR(CETAK!$J$12="",$K1396=CETAK!$J$12),OR(CETAK!$J$13="",$H1396=CETAK!$J$13),OR(CETAK!$J$14="",$O1396=CETAK!$J$14)),MAX($X$3:X1395)+1,""))</f>
        <v/>
      </c>
      <c r="Y1396" s="40" t="str">
        <f aca="false">IF($B1396="","",IF(AND(OR(ABSENSI!$H$10="",$E1396=ABSENSI!$H$10),OR(ABSENSI!$H$11="",$F1396=ABSENSI!$H$11),OR(ABSENSI!$H$12="",$K1396=ABSENSI!$H$12)),MAX($Y$3:Y1395)+1,""))</f>
        <v/>
      </c>
      <c r="Z1396" s="40" t="str">
        <f aca="false">IF($B1396="","",IF(AND(OR(KARTU!$K$6="",$E1396=KARTU!$K$6),OR(KARTU!$K$7="",$F1396=KARTU!$K$7),OR(KARTU!$K$8="",$K1396=KARTU!$K$8)),MAX($Z$3:Z1395)+1,""))</f>
        <v/>
      </c>
    </row>
    <row r="1397" customFormat="false" ht="15" hidden="false" customHeight="false" outlineLevel="0" collapsed="false">
      <c r="A1397" s="36" t="str">
        <f aca="false">IF($B1397="","",COUNTA($B$4:$B1397))</f>
        <v/>
      </c>
      <c r="B1397" s="37"/>
      <c r="C1397" s="38"/>
      <c r="D1397" s="39"/>
      <c r="E1397" s="37"/>
      <c r="F1397" s="39"/>
      <c r="G1397" s="40" t="str">
        <f aca="false">IF(OR($E1397="",$F1397=""),"",$E1397&amp;" - RT "&amp;$F1397)</f>
        <v/>
      </c>
      <c r="H1397" s="37"/>
      <c r="I1397" s="38"/>
      <c r="J1397" s="37"/>
      <c r="K1397" s="39"/>
      <c r="L1397" s="41"/>
      <c r="M1397" s="36" t="str">
        <f aca="true">IF(OR($B1397="",$L1397=""),"",DATEDIF($L1397,TODAY(),"Y"))</f>
        <v/>
      </c>
      <c r="N1397" s="40" t="str">
        <f aca="false">IF($M1397="","",INDEX(usia_label,MATCH($M1397,usia_min,1)))</f>
        <v/>
      </c>
      <c r="O1397" s="37"/>
      <c r="P1397" s="41"/>
      <c r="Q1397" s="37"/>
      <c r="R1397" s="37"/>
      <c r="S1397" s="40" t="str">
        <f aca="false">IF($G1397="","",$G1397&amp;"#"&amp;COUNTIF($G$4:$G1397,$G1397))</f>
        <v/>
      </c>
      <c r="T1397" s="40" t="str">
        <f aca="false">IF($B1397="","",IF($C1397="","NIK kosong",IF(LEN($C1397)&lt;&gt;16,"NIK bukan 16 digit",IF(COUNTIF($C$4:$C$2003,$C1397&amp;"*")&gt;1,"NIK ganda",IF($E1397="","Kadus kosong",IF($F1397="","RT kosong",IF($H1397="","Jabatan kosong",IF($I1397="","No. HP kosong",IF($J1397="","Alamat kosong",IF(AND($M1397&lt;&gt;"",$M1397&lt;17),"Usia di bawah 17",""))))))))))</f>
        <v/>
      </c>
      <c r="U1397" s="40" t="str">
        <f aca="false">IF($B1397="","",IF(AND(OR(CARI!$C$5="",ISNUMBER(SEARCH(CARI!$C$5,$B1397&amp;" "&amp;$C1397&amp;" "&amp;$I1397&amp;" "&amp;$J1397&amp;" "&amp;$Q1397))),OR(CARI!$C$6="",$E1397=CARI!$C$6),OR(CARI!$C$7="",$F1397=CARI!$C$7),OR(CARI!$C$8="",$O1397=CARI!$C$8)),MAX($U$3:U1396)+1,""))</f>
        <v/>
      </c>
      <c r="V1397" s="40" t="str">
        <f aca="false">IF($T1397="","",MAX($V$3:V1396)+1)</f>
        <v/>
      </c>
      <c r="W1397" s="40" t="str">
        <f aca="false">IF($E1397="","",$E1397&amp;"#"&amp;COUNTIF($E$4:$E1397,$E1397))</f>
        <v/>
      </c>
      <c r="X1397" s="40" t="str">
        <f aca="false">IF($B1397="","",IF(AND(OR(CETAK!$J$10="",$E1397=CETAK!$J$10),OR(CETAK!$J$11="",$F1397=CETAK!$J$11),OR(CETAK!$J$12="",$K1397=CETAK!$J$12),OR(CETAK!$J$13="",$H1397=CETAK!$J$13),OR(CETAK!$J$14="",$O1397=CETAK!$J$14)),MAX($X$3:X1396)+1,""))</f>
        <v/>
      </c>
      <c r="Y1397" s="40" t="str">
        <f aca="false">IF($B1397="","",IF(AND(OR(ABSENSI!$H$10="",$E1397=ABSENSI!$H$10),OR(ABSENSI!$H$11="",$F1397=ABSENSI!$H$11),OR(ABSENSI!$H$12="",$K1397=ABSENSI!$H$12)),MAX($Y$3:Y1396)+1,""))</f>
        <v/>
      </c>
      <c r="Z1397" s="40" t="str">
        <f aca="false">IF($B1397="","",IF(AND(OR(KARTU!$K$6="",$E1397=KARTU!$K$6),OR(KARTU!$K$7="",$F1397=KARTU!$K$7),OR(KARTU!$K$8="",$K1397=KARTU!$K$8)),MAX($Z$3:Z1396)+1,""))</f>
        <v/>
      </c>
    </row>
    <row r="1398" customFormat="false" ht="15" hidden="false" customHeight="false" outlineLevel="0" collapsed="false">
      <c r="A1398" s="36" t="str">
        <f aca="false">IF($B1398="","",COUNTA($B$4:$B1398))</f>
        <v/>
      </c>
      <c r="B1398" s="37"/>
      <c r="C1398" s="38"/>
      <c r="D1398" s="39"/>
      <c r="E1398" s="37"/>
      <c r="F1398" s="39"/>
      <c r="G1398" s="40" t="str">
        <f aca="false">IF(OR($E1398="",$F1398=""),"",$E1398&amp;" - RT "&amp;$F1398)</f>
        <v/>
      </c>
      <c r="H1398" s="37"/>
      <c r="I1398" s="38"/>
      <c r="J1398" s="37"/>
      <c r="K1398" s="39"/>
      <c r="L1398" s="41"/>
      <c r="M1398" s="36" t="str">
        <f aca="true">IF(OR($B1398="",$L1398=""),"",DATEDIF($L1398,TODAY(),"Y"))</f>
        <v/>
      </c>
      <c r="N1398" s="40" t="str">
        <f aca="false">IF($M1398="","",INDEX(usia_label,MATCH($M1398,usia_min,1)))</f>
        <v/>
      </c>
      <c r="O1398" s="37"/>
      <c r="P1398" s="41"/>
      <c r="Q1398" s="37"/>
      <c r="R1398" s="37"/>
      <c r="S1398" s="40" t="str">
        <f aca="false">IF($G1398="","",$G1398&amp;"#"&amp;COUNTIF($G$4:$G1398,$G1398))</f>
        <v/>
      </c>
      <c r="T1398" s="40" t="str">
        <f aca="false">IF($B1398="","",IF($C1398="","NIK kosong",IF(LEN($C1398)&lt;&gt;16,"NIK bukan 16 digit",IF(COUNTIF($C$4:$C$2003,$C1398&amp;"*")&gt;1,"NIK ganda",IF($E1398="","Kadus kosong",IF($F1398="","RT kosong",IF($H1398="","Jabatan kosong",IF($I1398="","No. HP kosong",IF($J1398="","Alamat kosong",IF(AND($M1398&lt;&gt;"",$M1398&lt;17),"Usia di bawah 17",""))))))))))</f>
        <v/>
      </c>
      <c r="U1398" s="40" t="str">
        <f aca="false">IF($B1398="","",IF(AND(OR(CARI!$C$5="",ISNUMBER(SEARCH(CARI!$C$5,$B1398&amp;" "&amp;$C1398&amp;" "&amp;$I1398&amp;" "&amp;$J1398&amp;" "&amp;$Q1398))),OR(CARI!$C$6="",$E1398=CARI!$C$6),OR(CARI!$C$7="",$F1398=CARI!$C$7),OR(CARI!$C$8="",$O1398=CARI!$C$8)),MAX($U$3:U1397)+1,""))</f>
        <v/>
      </c>
      <c r="V1398" s="40" t="str">
        <f aca="false">IF($T1398="","",MAX($V$3:V1397)+1)</f>
        <v/>
      </c>
      <c r="W1398" s="40" t="str">
        <f aca="false">IF($E1398="","",$E1398&amp;"#"&amp;COUNTIF($E$4:$E1398,$E1398))</f>
        <v/>
      </c>
      <c r="X1398" s="40" t="str">
        <f aca="false">IF($B1398="","",IF(AND(OR(CETAK!$J$10="",$E1398=CETAK!$J$10),OR(CETAK!$J$11="",$F1398=CETAK!$J$11),OR(CETAK!$J$12="",$K1398=CETAK!$J$12),OR(CETAK!$J$13="",$H1398=CETAK!$J$13),OR(CETAK!$J$14="",$O1398=CETAK!$J$14)),MAX($X$3:X1397)+1,""))</f>
        <v/>
      </c>
      <c r="Y1398" s="40" t="str">
        <f aca="false">IF($B1398="","",IF(AND(OR(ABSENSI!$H$10="",$E1398=ABSENSI!$H$10),OR(ABSENSI!$H$11="",$F1398=ABSENSI!$H$11),OR(ABSENSI!$H$12="",$K1398=ABSENSI!$H$12)),MAX($Y$3:Y1397)+1,""))</f>
        <v/>
      </c>
      <c r="Z1398" s="40" t="str">
        <f aca="false">IF($B1398="","",IF(AND(OR(KARTU!$K$6="",$E1398=KARTU!$K$6),OR(KARTU!$K$7="",$F1398=KARTU!$K$7),OR(KARTU!$K$8="",$K1398=KARTU!$K$8)),MAX($Z$3:Z1397)+1,""))</f>
        <v/>
      </c>
    </row>
    <row r="1399" customFormat="false" ht="15" hidden="false" customHeight="false" outlineLevel="0" collapsed="false">
      <c r="A1399" s="36" t="str">
        <f aca="false">IF($B1399="","",COUNTA($B$4:$B1399))</f>
        <v/>
      </c>
      <c r="B1399" s="37"/>
      <c r="C1399" s="38"/>
      <c r="D1399" s="39"/>
      <c r="E1399" s="37"/>
      <c r="F1399" s="39"/>
      <c r="G1399" s="40" t="str">
        <f aca="false">IF(OR($E1399="",$F1399=""),"",$E1399&amp;" - RT "&amp;$F1399)</f>
        <v/>
      </c>
      <c r="H1399" s="37"/>
      <c r="I1399" s="38"/>
      <c r="J1399" s="37"/>
      <c r="K1399" s="39"/>
      <c r="L1399" s="41"/>
      <c r="M1399" s="36" t="str">
        <f aca="true">IF(OR($B1399="",$L1399=""),"",DATEDIF($L1399,TODAY(),"Y"))</f>
        <v/>
      </c>
      <c r="N1399" s="40" t="str">
        <f aca="false">IF($M1399="","",INDEX(usia_label,MATCH($M1399,usia_min,1)))</f>
        <v/>
      </c>
      <c r="O1399" s="37"/>
      <c r="P1399" s="41"/>
      <c r="Q1399" s="37"/>
      <c r="R1399" s="37"/>
      <c r="S1399" s="40" t="str">
        <f aca="false">IF($G1399="","",$G1399&amp;"#"&amp;COUNTIF($G$4:$G1399,$G1399))</f>
        <v/>
      </c>
      <c r="T1399" s="40" t="str">
        <f aca="false">IF($B1399="","",IF($C1399="","NIK kosong",IF(LEN($C1399)&lt;&gt;16,"NIK bukan 16 digit",IF(COUNTIF($C$4:$C$2003,$C1399&amp;"*")&gt;1,"NIK ganda",IF($E1399="","Kadus kosong",IF($F1399="","RT kosong",IF($H1399="","Jabatan kosong",IF($I1399="","No. HP kosong",IF($J1399="","Alamat kosong",IF(AND($M1399&lt;&gt;"",$M1399&lt;17),"Usia di bawah 17",""))))))))))</f>
        <v/>
      </c>
      <c r="U1399" s="40" t="str">
        <f aca="false">IF($B1399="","",IF(AND(OR(CARI!$C$5="",ISNUMBER(SEARCH(CARI!$C$5,$B1399&amp;" "&amp;$C1399&amp;" "&amp;$I1399&amp;" "&amp;$J1399&amp;" "&amp;$Q1399))),OR(CARI!$C$6="",$E1399=CARI!$C$6),OR(CARI!$C$7="",$F1399=CARI!$C$7),OR(CARI!$C$8="",$O1399=CARI!$C$8)),MAX($U$3:U1398)+1,""))</f>
        <v/>
      </c>
      <c r="V1399" s="40" t="str">
        <f aca="false">IF($T1399="","",MAX($V$3:V1398)+1)</f>
        <v/>
      </c>
      <c r="W1399" s="40" t="str">
        <f aca="false">IF($E1399="","",$E1399&amp;"#"&amp;COUNTIF($E$4:$E1399,$E1399))</f>
        <v/>
      </c>
      <c r="X1399" s="40" t="str">
        <f aca="false">IF($B1399="","",IF(AND(OR(CETAK!$J$10="",$E1399=CETAK!$J$10),OR(CETAK!$J$11="",$F1399=CETAK!$J$11),OR(CETAK!$J$12="",$K1399=CETAK!$J$12),OR(CETAK!$J$13="",$H1399=CETAK!$J$13),OR(CETAK!$J$14="",$O1399=CETAK!$J$14)),MAX($X$3:X1398)+1,""))</f>
        <v/>
      </c>
      <c r="Y1399" s="40" t="str">
        <f aca="false">IF($B1399="","",IF(AND(OR(ABSENSI!$H$10="",$E1399=ABSENSI!$H$10),OR(ABSENSI!$H$11="",$F1399=ABSENSI!$H$11),OR(ABSENSI!$H$12="",$K1399=ABSENSI!$H$12)),MAX($Y$3:Y1398)+1,""))</f>
        <v/>
      </c>
      <c r="Z1399" s="40" t="str">
        <f aca="false">IF($B1399="","",IF(AND(OR(KARTU!$K$6="",$E1399=KARTU!$K$6),OR(KARTU!$K$7="",$F1399=KARTU!$K$7),OR(KARTU!$K$8="",$K1399=KARTU!$K$8)),MAX($Z$3:Z1398)+1,""))</f>
        <v/>
      </c>
    </row>
    <row r="1400" customFormat="false" ht="15" hidden="false" customHeight="false" outlineLevel="0" collapsed="false">
      <c r="A1400" s="36" t="str">
        <f aca="false">IF($B1400="","",COUNTA($B$4:$B1400))</f>
        <v/>
      </c>
      <c r="B1400" s="37"/>
      <c r="C1400" s="38"/>
      <c r="D1400" s="39"/>
      <c r="E1400" s="37"/>
      <c r="F1400" s="39"/>
      <c r="G1400" s="40" t="str">
        <f aca="false">IF(OR($E1400="",$F1400=""),"",$E1400&amp;" - RT "&amp;$F1400)</f>
        <v/>
      </c>
      <c r="H1400" s="37"/>
      <c r="I1400" s="38"/>
      <c r="J1400" s="37"/>
      <c r="K1400" s="39"/>
      <c r="L1400" s="41"/>
      <c r="M1400" s="36" t="str">
        <f aca="true">IF(OR($B1400="",$L1400=""),"",DATEDIF($L1400,TODAY(),"Y"))</f>
        <v/>
      </c>
      <c r="N1400" s="40" t="str">
        <f aca="false">IF($M1400="","",INDEX(usia_label,MATCH($M1400,usia_min,1)))</f>
        <v/>
      </c>
      <c r="O1400" s="37"/>
      <c r="P1400" s="41"/>
      <c r="Q1400" s="37"/>
      <c r="R1400" s="37"/>
      <c r="S1400" s="40" t="str">
        <f aca="false">IF($G1400="","",$G1400&amp;"#"&amp;COUNTIF($G$4:$G1400,$G1400))</f>
        <v/>
      </c>
      <c r="T1400" s="40" t="str">
        <f aca="false">IF($B1400="","",IF($C1400="","NIK kosong",IF(LEN($C1400)&lt;&gt;16,"NIK bukan 16 digit",IF(COUNTIF($C$4:$C$2003,$C1400&amp;"*")&gt;1,"NIK ganda",IF($E1400="","Kadus kosong",IF($F1400="","RT kosong",IF($H1400="","Jabatan kosong",IF($I1400="","No. HP kosong",IF($J1400="","Alamat kosong",IF(AND($M1400&lt;&gt;"",$M1400&lt;17),"Usia di bawah 17",""))))))))))</f>
        <v/>
      </c>
      <c r="U1400" s="40" t="str">
        <f aca="false">IF($B1400="","",IF(AND(OR(CARI!$C$5="",ISNUMBER(SEARCH(CARI!$C$5,$B1400&amp;" "&amp;$C1400&amp;" "&amp;$I1400&amp;" "&amp;$J1400&amp;" "&amp;$Q1400))),OR(CARI!$C$6="",$E1400=CARI!$C$6),OR(CARI!$C$7="",$F1400=CARI!$C$7),OR(CARI!$C$8="",$O1400=CARI!$C$8)),MAX($U$3:U1399)+1,""))</f>
        <v/>
      </c>
      <c r="V1400" s="40" t="str">
        <f aca="false">IF($T1400="","",MAX($V$3:V1399)+1)</f>
        <v/>
      </c>
      <c r="W1400" s="40" t="str">
        <f aca="false">IF($E1400="","",$E1400&amp;"#"&amp;COUNTIF($E$4:$E1400,$E1400))</f>
        <v/>
      </c>
      <c r="X1400" s="40" t="str">
        <f aca="false">IF($B1400="","",IF(AND(OR(CETAK!$J$10="",$E1400=CETAK!$J$10),OR(CETAK!$J$11="",$F1400=CETAK!$J$11),OR(CETAK!$J$12="",$K1400=CETAK!$J$12),OR(CETAK!$J$13="",$H1400=CETAK!$J$13),OR(CETAK!$J$14="",$O1400=CETAK!$J$14)),MAX($X$3:X1399)+1,""))</f>
        <v/>
      </c>
      <c r="Y1400" s="40" t="str">
        <f aca="false">IF($B1400="","",IF(AND(OR(ABSENSI!$H$10="",$E1400=ABSENSI!$H$10),OR(ABSENSI!$H$11="",$F1400=ABSENSI!$H$11),OR(ABSENSI!$H$12="",$K1400=ABSENSI!$H$12)),MAX($Y$3:Y1399)+1,""))</f>
        <v/>
      </c>
      <c r="Z1400" s="40" t="str">
        <f aca="false">IF($B1400="","",IF(AND(OR(KARTU!$K$6="",$E1400=KARTU!$K$6),OR(KARTU!$K$7="",$F1400=KARTU!$K$7),OR(KARTU!$K$8="",$K1400=KARTU!$K$8)),MAX($Z$3:Z1399)+1,""))</f>
        <v/>
      </c>
    </row>
    <row r="1401" customFormat="false" ht="15" hidden="false" customHeight="false" outlineLevel="0" collapsed="false">
      <c r="A1401" s="36" t="str">
        <f aca="false">IF($B1401="","",COUNTA($B$4:$B1401))</f>
        <v/>
      </c>
      <c r="B1401" s="37"/>
      <c r="C1401" s="38"/>
      <c r="D1401" s="39"/>
      <c r="E1401" s="37"/>
      <c r="F1401" s="39"/>
      <c r="G1401" s="40" t="str">
        <f aca="false">IF(OR($E1401="",$F1401=""),"",$E1401&amp;" - RT "&amp;$F1401)</f>
        <v/>
      </c>
      <c r="H1401" s="37"/>
      <c r="I1401" s="38"/>
      <c r="J1401" s="37"/>
      <c r="K1401" s="39"/>
      <c r="L1401" s="41"/>
      <c r="M1401" s="36" t="str">
        <f aca="true">IF(OR($B1401="",$L1401=""),"",DATEDIF($L1401,TODAY(),"Y"))</f>
        <v/>
      </c>
      <c r="N1401" s="40" t="str">
        <f aca="false">IF($M1401="","",INDEX(usia_label,MATCH($M1401,usia_min,1)))</f>
        <v/>
      </c>
      <c r="O1401" s="37"/>
      <c r="P1401" s="41"/>
      <c r="Q1401" s="37"/>
      <c r="R1401" s="37"/>
      <c r="S1401" s="40" t="str">
        <f aca="false">IF($G1401="","",$G1401&amp;"#"&amp;COUNTIF($G$4:$G1401,$G1401))</f>
        <v/>
      </c>
      <c r="T1401" s="40" t="str">
        <f aca="false">IF($B1401="","",IF($C1401="","NIK kosong",IF(LEN($C1401)&lt;&gt;16,"NIK bukan 16 digit",IF(COUNTIF($C$4:$C$2003,$C1401&amp;"*")&gt;1,"NIK ganda",IF($E1401="","Kadus kosong",IF($F1401="","RT kosong",IF($H1401="","Jabatan kosong",IF($I1401="","No. HP kosong",IF($J1401="","Alamat kosong",IF(AND($M1401&lt;&gt;"",$M1401&lt;17),"Usia di bawah 17",""))))))))))</f>
        <v/>
      </c>
      <c r="U1401" s="40" t="str">
        <f aca="false">IF($B1401="","",IF(AND(OR(CARI!$C$5="",ISNUMBER(SEARCH(CARI!$C$5,$B1401&amp;" "&amp;$C1401&amp;" "&amp;$I1401&amp;" "&amp;$J1401&amp;" "&amp;$Q1401))),OR(CARI!$C$6="",$E1401=CARI!$C$6),OR(CARI!$C$7="",$F1401=CARI!$C$7),OR(CARI!$C$8="",$O1401=CARI!$C$8)),MAX($U$3:U1400)+1,""))</f>
        <v/>
      </c>
      <c r="V1401" s="40" t="str">
        <f aca="false">IF($T1401="","",MAX($V$3:V1400)+1)</f>
        <v/>
      </c>
      <c r="W1401" s="40" t="str">
        <f aca="false">IF($E1401="","",$E1401&amp;"#"&amp;COUNTIF($E$4:$E1401,$E1401))</f>
        <v/>
      </c>
      <c r="X1401" s="40" t="str">
        <f aca="false">IF($B1401="","",IF(AND(OR(CETAK!$J$10="",$E1401=CETAK!$J$10),OR(CETAK!$J$11="",$F1401=CETAK!$J$11),OR(CETAK!$J$12="",$K1401=CETAK!$J$12),OR(CETAK!$J$13="",$H1401=CETAK!$J$13),OR(CETAK!$J$14="",$O1401=CETAK!$J$14)),MAX($X$3:X1400)+1,""))</f>
        <v/>
      </c>
      <c r="Y1401" s="40" t="str">
        <f aca="false">IF($B1401="","",IF(AND(OR(ABSENSI!$H$10="",$E1401=ABSENSI!$H$10),OR(ABSENSI!$H$11="",$F1401=ABSENSI!$H$11),OR(ABSENSI!$H$12="",$K1401=ABSENSI!$H$12)),MAX($Y$3:Y1400)+1,""))</f>
        <v/>
      </c>
      <c r="Z1401" s="40" t="str">
        <f aca="false">IF($B1401="","",IF(AND(OR(KARTU!$K$6="",$E1401=KARTU!$K$6),OR(KARTU!$K$7="",$F1401=KARTU!$K$7),OR(KARTU!$K$8="",$K1401=KARTU!$K$8)),MAX($Z$3:Z1400)+1,""))</f>
        <v/>
      </c>
    </row>
    <row r="1402" customFormat="false" ht="15" hidden="false" customHeight="false" outlineLevel="0" collapsed="false">
      <c r="A1402" s="36" t="str">
        <f aca="false">IF($B1402="","",COUNTA($B$4:$B1402))</f>
        <v/>
      </c>
      <c r="B1402" s="37"/>
      <c r="C1402" s="38"/>
      <c r="D1402" s="39"/>
      <c r="E1402" s="37"/>
      <c r="F1402" s="39"/>
      <c r="G1402" s="40" t="str">
        <f aca="false">IF(OR($E1402="",$F1402=""),"",$E1402&amp;" - RT "&amp;$F1402)</f>
        <v/>
      </c>
      <c r="H1402" s="37"/>
      <c r="I1402" s="38"/>
      <c r="J1402" s="37"/>
      <c r="K1402" s="39"/>
      <c r="L1402" s="41"/>
      <c r="M1402" s="36" t="str">
        <f aca="true">IF(OR($B1402="",$L1402=""),"",DATEDIF($L1402,TODAY(),"Y"))</f>
        <v/>
      </c>
      <c r="N1402" s="40" t="str">
        <f aca="false">IF($M1402="","",INDEX(usia_label,MATCH($M1402,usia_min,1)))</f>
        <v/>
      </c>
      <c r="O1402" s="37"/>
      <c r="P1402" s="41"/>
      <c r="Q1402" s="37"/>
      <c r="R1402" s="37"/>
      <c r="S1402" s="40" t="str">
        <f aca="false">IF($G1402="","",$G1402&amp;"#"&amp;COUNTIF($G$4:$G1402,$G1402))</f>
        <v/>
      </c>
      <c r="T1402" s="40" t="str">
        <f aca="false">IF($B1402="","",IF($C1402="","NIK kosong",IF(LEN($C1402)&lt;&gt;16,"NIK bukan 16 digit",IF(COUNTIF($C$4:$C$2003,$C1402&amp;"*")&gt;1,"NIK ganda",IF($E1402="","Kadus kosong",IF($F1402="","RT kosong",IF($H1402="","Jabatan kosong",IF($I1402="","No. HP kosong",IF($J1402="","Alamat kosong",IF(AND($M1402&lt;&gt;"",$M1402&lt;17),"Usia di bawah 17",""))))))))))</f>
        <v/>
      </c>
      <c r="U1402" s="40" t="str">
        <f aca="false">IF($B1402="","",IF(AND(OR(CARI!$C$5="",ISNUMBER(SEARCH(CARI!$C$5,$B1402&amp;" "&amp;$C1402&amp;" "&amp;$I1402&amp;" "&amp;$J1402&amp;" "&amp;$Q1402))),OR(CARI!$C$6="",$E1402=CARI!$C$6),OR(CARI!$C$7="",$F1402=CARI!$C$7),OR(CARI!$C$8="",$O1402=CARI!$C$8)),MAX($U$3:U1401)+1,""))</f>
        <v/>
      </c>
      <c r="V1402" s="40" t="str">
        <f aca="false">IF($T1402="","",MAX($V$3:V1401)+1)</f>
        <v/>
      </c>
      <c r="W1402" s="40" t="str">
        <f aca="false">IF($E1402="","",$E1402&amp;"#"&amp;COUNTIF($E$4:$E1402,$E1402))</f>
        <v/>
      </c>
      <c r="X1402" s="40" t="str">
        <f aca="false">IF($B1402="","",IF(AND(OR(CETAK!$J$10="",$E1402=CETAK!$J$10),OR(CETAK!$J$11="",$F1402=CETAK!$J$11),OR(CETAK!$J$12="",$K1402=CETAK!$J$12),OR(CETAK!$J$13="",$H1402=CETAK!$J$13),OR(CETAK!$J$14="",$O1402=CETAK!$J$14)),MAX($X$3:X1401)+1,""))</f>
        <v/>
      </c>
      <c r="Y1402" s="40" t="str">
        <f aca="false">IF($B1402="","",IF(AND(OR(ABSENSI!$H$10="",$E1402=ABSENSI!$H$10),OR(ABSENSI!$H$11="",$F1402=ABSENSI!$H$11),OR(ABSENSI!$H$12="",$K1402=ABSENSI!$H$12)),MAX($Y$3:Y1401)+1,""))</f>
        <v/>
      </c>
      <c r="Z1402" s="40" t="str">
        <f aca="false">IF($B1402="","",IF(AND(OR(KARTU!$K$6="",$E1402=KARTU!$K$6),OR(KARTU!$K$7="",$F1402=KARTU!$K$7),OR(KARTU!$K$8="",$K1402=KARTU!$K$8)),MAX($Z$3:Z1401)+1,""))</f>
        <v/>
      </c>
    </row>
    <row r="1403" customFormat="false" ht="15" hidden="false" customHeight="false" outlineLevel="0" collapsed="false">
      <c r="A1403" s="36" t="str">
        <f aca="false">IF($B1403="","",COUNTA($B$4:$B1403))</f>
        <v/>
      </c>
      <c r="B1403" s="37"/>
      <c r="C1403" s="38"/>
      <c r="D1403" s="39"/>
      <c r="E1403" s="37"/>
      <c r="F1403" s="39"/>
      <c r="G1403" s="40" t="str">
        <f aca="false">IF(OR($E1403="",$F1403=""),"",$E1403&amp;" - RT "&amp;$F1403)</f>
        <v/>
      </c>
      <c r="H1403" s="37"/>
      <c r="I1403" s="38"/>
      <c r="J1403" s="37"/>
      <c r="K1403" s="39"/>
      <c r="L1403" s="41"/>
      <c r="M1403" s="36" t="str">
        <f aca="true">IF(OR($B1403="",$L1403=""),"",DATEDIF($L1403,TODAY(),"Y"))</f>
        <v/>
      </c>
      <c r="N1403" s="40" t="str">
        <f aca="false">IF($M1403="","",INDEX(usia_label,MATCH($M1403,usia_min,1)))</f>
        <v/>
      </c>
      <c r="O1403" s="37"/>
      <c r="P1403" s="41"/>
      <c r="Q1403" s="37"/>
      <c r="R1403" s="37"/>
      <c r="S1403" s="40" t="str">
        <f aca="false">IF($G1403="","",$G1403&amp;"#"&amp;COUNTIF($G$4:$G1403,$G1403))</f>
        <v/>
      </c>
      <c r="T1403" s="40" t="str">
        <f aca="false">IF($B1403="","",IF($C1403="","NIK kosong",IF(LEN($C1403)&lt;&gt;16,"NIK bukan 16 digit",IF(COUNTIF($C$4:$C$2003,$C1403&amp;"*")&gt;1,"NIK ganda",IF($E1403="","Kadus kosong",IF($F1403="","RT kosong",IF($H1403="","Jabatan kosong",IF($I1403="","No. HP kosong",IF($J1403="","Alamat kosong",IF(AND($M1403&lt;&gt;"",$M1403&lt;17),"Usia di bawah 17",""))))))))))</f>
        <v/>
      </c>
      <c r="U1403" s="40" t="str">
        <f aca="false">IF($B1403="","",IF(AND(OR(CARI!$C$5="",ISNUMBER(SEARCH(CARI!$C$5,$B1403&amp;" "&amp;$C1403&amp;" "&amp;$I1403&amp;" "&amp;$J1403&amp;" "&amp;$Q1403))),OR(CARI!$C$6="",$E1403=CARI!$C$6),OR(CARI!$C$7="",$F1403=CARI!$C$7),OR(CARI!$C$8="",$O1403=CARI!$C$8)),MAX($U$3:U1402)+1,""))</f>
        <v/>
      </c>
      <c r="V1403" s="40" t="str">
        <f aca="false">IF($T1403="","",MAX($V$3:V1402)+1)</f>
        <v/>
      </c>
      <c r="W1403" s="40" t="str">
        <f aca="false">IF($E1403="","",$E1403&amp;"#"&amp;COUNTIF($E$4:$E1403,$E1403))</f>
        <v/>
      </c>
      <c r="X1403" s="40" t="str">
        <f aca="false">IF($B1403="","",IF(AND(OR(CETAK!$J$10="",$E1403=CETAK!$J$10),OR(CETAK!$J$11="",$F1403=CETAK!$J$11),OR(CETAK!$J$12="",$K1403=CETAK!$J$12),OR(CETAK!$J$13="",$H1403=CETAK!$J$13),OR(CETAK!$J$14="",$O1403=CETAK!$J$14)),MAX($X$3:X1402)+1,""))</f>
        <v/>
      </c>
      <c r="Y1403" s="40" t="str">
        <f aca="false">IF($B1403="","",IF(AND(OR(ABSENSI!$H$10="",$E1403=ABSENSI!$H$10),OR(ABSENSI!$H$11="",$F1403=ABSENSI!$H$11),OR(ABSENSI!$H$12="",$K1403=ABSENSI!$H$12)),MAX($Y$3:Y1402)+1,""))</f>
        <v/>
      </c>
      <c r="Z1403" s="40" t="str">
        <f aca="false">IF($B1403="","",IF(AND(OR(KARTU!$K$6="",$E1403=KARTU!$K$6),OR(KARTU!$K$7="",$F1403=KARTU!$K$7),OR(KARTU!$K$8="",$K1403=KARTU!$K$8)),MAX($Z$3:Z1402)+1,""))</f>
        <v/>
      </c>
    </row>
    <row r="1404" customFormat="false" ht="15" hidden="false" customHeight="false" outlineLevel="0" collapsed="false">
      <c r="A1404" s="36" t="str">
        <f aca="false">IF($B1404="","",COUNTA($B$4:$B1404))</f>
        <v/>
      </c>
      <c r="B1404" s="37"/>
      <c r="C1404" s="38"/>
      <c r="D1404" s="39"/>
      <c r="E1404" s="37"/>
      <c r="F1404" s="39"/>
      <c r="G1404" s="40" t="str">
        <f aca="false">IF(OR($E1404="",$F1404=""),"",$E1404&amp;" - RT "&amp;$F1404)</f>
        <v/>
      </c>
      <c r="H1404" s="37"/>
      <c r="I1404" s="38"/>
      <c r="J1404" s="37"/>
      <c r="K1404" s="39"/>
      <c r="L1404" s="41"/>
      <c r="M1404" s="36" t="str">
        <f aca="true">IF(OR($B1404="",$L1404=""),"",DATEDIF($L1404,TODAY(),"Y"))</f>
        <v/>
      </c>
      <c r="N1404" s="40" t="str">
        <f aca="false">IF($M1404="","",INDEX(usia_label,MATCH($M1404,usia_min,1)))</f>
        <v/>
      </c>
      <c r="O1404" s="37"/>
      <c r="P1404" s="41"/>
      <c r="Q1404" s="37"/>
      <c r="R1404" s="37"/>
      <c r="S1404" s="40" t="str">
        <f aca="false">IF($G1404="","",$G1404&amp;"#"&amp;COUNTIF($G$4:$G1404,$G1404))</f>
        <v/>
      </c>
      <c r="T1404" s="40" t="str">
        <f aca="false">IF($B1404="","",IF($C1404="","NIK kosong",IF(LEN($C1404)&lt;&gt;16,"NIK bukan 16 digit",IF(COUNTIF($C$4:$C$2003,$C1404&amp;"*")&gt;1,"NIK ganda",IF($E1404="","Kadus kosong",IF($F1404="","RT kosong",IF($H1404="","Jabatan kosong",IF($I1404="","No. HP kosong",IF($J1404="","Alamat kosong",IF(AND($M1404&lt;&gt;"",$M1404&lt;17),"Usia di bawah 17",""))))))))))</f>
        <v/>
      </c>
      <c r="U1404" s="40" t="str">
        <f aca="false">IF($B1404="","",IF(AND(OR(CARI!$C$5="",ISNUMBER(SEARCH(CARI!$C$5,$B1404&amp;" "&amp;$C1404&amp;" "&amp;$I1404&amp;" "&amp;$J1404&amp;" "&amp;$Q1404))),OR(CARI!$C$6="",$E1404=CARI!$C$6),OR(CARI!$C$7="",$F1404=CARI!$C$7),OR(CARI!$C$8="",$O1404=CARI!$C$8)),MAX($U$3:U1403)+1,""))</f>
        <v/>
      </c>
      <c r="V1404" s="40" t="str">
        <f aca="false">IF($T1404="","",MAX($V$3:V1403)+1)</f>
        <v/>
      </c>
      <c r="W1404" s="40" t="str">
        <f aca="false">IF($E1404="","",$E1404&amp;"#"&amp;COUNTIF($E$4:$E1404,$E1404))</f>
        <v/>
      </c>
      <c r="X1404" s="40" t="str">
        <f aca="false">IF($B1404="","",IF(AND(OR(CETAK!$J$10="",$E1404=CETAK!$J$10),OR(CETAK!$J$11="",$F1404=CETAK!$J$11),OR(CETAK!$J$12="",$K1404=CETAK!$J$12),OR(CETAK!$J$13="",$H1404=CETAK!$J$13),OR(CETAK!$J$14="",$O1404=CETAK!$J$14)),MAX($X$3:X1403)+1,""))</f>
        <v/>
      </c>
      <c r="Y1404" s="40" t="str">
        <f aca="false">IF($B1404="","",IF(AND(OR(ABSENSI!$H$10="",$E1404=ABSENSI!$H$10),OR(ABSENSI!$H$11="",$F1404=ABSENSI!$H$11),OR(ABSENSI!$H$12="",$K1404=ABSENSI!$H$12)),MAX($Y$3:Y1403)+1,""))</f>
        <v/>
      </c>
      <c r="Z1404" s="40" t="str">
        <f aca="false">IF($B1404="","",IF(AND(OR(KARTU!$K$6="",$E1404=KARTU!$K$6),OR(KARTU!$K$7="",$F1404=KARTU!$K$7),OR(KARTU!$K$8="",$K1404=KARTU!$K$8)),MAX($Z$3:Z1403)+1,""))</f>
        <v/>
      </c>
    </row>
    <row r="1405" customFormat="false" ht="15" hidden="false" customHeight="false" outlineLevel="0" collapsed="false">
      <c r="A1405" s="36" t="str">
        <f aca="false">IF($B1405="","",COUNTA($B$4:$B1405))</f>
        <v/>
      </c>
      <c r="B1405" s="37"/>
      <c r="C1405" s="38"/>
      <c r="D1405" s="39"/>
      <c r="E1405" s="37"/>
      <c r="F1405" s="39"/>
      <c r="G1405" s="40" t="str">
        <f aca="false">IF(OR($E1405="",$F1405=""),"",$E1405&amp;" - RT "&amp;$F1405)</f>
        <v/>
      </c>
      <c r="H1405" s="37"/>
      <c r="I1405" s="38"/>
      <c r="J1405" s="37"/>
      <c r="K1405" s="39"/>
      <c r="L1405" s="41"/>
      <c r="M1405" s="36" t="str">
        <f aca="true">IF(OR($B1405="",$L1405=""),"",DATEDIF($L1405,TODAY(),"Y"))</f>
        <v/>
      </c>
      <c r="N1405" s="40" t="str">
        <f aca="false">IF($M1405="","",INDEX(usia_label,MATCH($M1405,usia_min,1)))</f>
        <v/>
      </c>
      <c r="O1405" s="37"/>
      <c r="P1405" s="41"/>
      <c r="Q1405" s="37"/>
      <c r="R1405" s="37"/>
      <c r="S1405" s="40" t="str">
        <f aca="false">IF($G1405="","",$G1405&amp;"#"&amp;COUNTIF($G$4:$G1405,$G1405))</f>
        <v/>
      </c>
      <c r="T1405" s="40" t="str">
        <f aca="false">IF($B1405="","",IF($C1405="","NIK kosong",IF(LEN($C1405)&lt;&gt;16,"NIK bukan 16 digit",IF(COUNTIF($C$4:$C$2003,$C1405&amp;"*")&gt;1,"NIK ganda",IF($E1405="","Kadus kosong",IF($F1405="","RT kosong",IF($H1405="","Jabatan kosong",IF($I1405="","No. HP kosong",IF($J1405="","Alamat kosong",IF(AND($M1405&lt;&gt;"",$M1405&lt;17),"Usia di bawah 17",""))))))))))</f>
        <v/>
      </c>
      <c r="U1405" s="40" t="str">
        <f aca="false">IF($B1405="","",IF(AND(OR(CARI!$C$5="",ISNUMBER(SEARCH(CARI!$C$5,$B1405&amp;" "&amp;$C1405&amp;" "&amp;$I1405&amp;" "&amp;$J1405&amp;" "&amp;$Q1405))),OR(CARI!$C$6="",$E1405=CARI!$C$6),OR(CARI!$C$7="",$F1405=CARI!$C$7),OR(CARI!$C$8="",$O1405=CARI!$C$8)),MAX($U$3:U1404)+1,""))</f>
        <v/>
      </c>
      <c r="V1405" s="40" t="str">
        <f aca="false">IF($T1405="","",MAX($V$3:V1404)+1)</f>
        <v/>
      </c>
      <c r="W1405" s="40" t="str">
        <f aca="false">IF($E1405="","",$E1405&amp;"#"&amp;COUNTIF($E$4:$E1405,$E1405))</f>
        <v/>
      </c>
      <c r="X1405" s="40" t="str">
        <f aca="false">IF($B1405="","",IF(AND(OR(CETAK!$J$10="",$E1405=CETAK!$J$10),OR(CETAK!$J$11="",$F1405=CETAK!$J$11),OR(CETAK!$J$12="",$K1405=CETAK!$J$12),OR(CETAK!$J$13="",$H1405=CETAK!$J$13),OR(CETAK!$J$14="",$O1405=CETAK!$J$14)),MAX($X$3:X1404)+1,""))</f>
        <v/>
      </c>
      <c r="Y1405" s="40" t="str">
        <f aca="false">IF($B1405="","",IF(AND(OR(ABSENSI!$H$10="",$E1405=ABSENSI!$H$10),OR(ABSENSI!$H$11="",$F1405=ABSENSI!$H$11),OR(ABSENSI!$H$12="",$K1405=ABSENSI!$H$12)),MAX($Y$3:Y1404)+1,""))</f>
        <v/>
      </c>
      <c r="Z1405" s="40" t="str">
        <f aca="false">IF($B1405="","",IF(AND(OR(KARTU!$K$6="",$E1405=KARTU!$K$6),OR(KARTU!$K$7="",$F1405=KARTU!$K$7),OR(KARTU!$K$8="",$K1405=KARTU!$K$8)),MAX($Z$3:Z1404)+1,""))</f>
        <v/>
      </c>
    </row>
    <row r="1406" customFormat="false" ht="15" hidden="false" customHeight="false" outlineLevel="0" collapsed="false">
      <c r="A1406" s="36" t="str">
        <f aca="false">IF($B1406="","",COUNTA($B$4:$B1406))</f>
        <v/>
      </c>
      <c r="B1406" s="37"/>
      <c r="C1406" s="38"/>
      <c r="D1406" s="39"/>
      <c r="E1406" s="37"/>
      <c r="F1406" s="39"/>
      <c r="G1406" s="40" t="str">
        <f aca="false">IF(OR($E1406="",$F1406=""),"",$E1406&amp;" - RT "&amp;$F1406)</f>
        <v/>
      </c>
      <c r="H1406" s="37"/>
      <c r="I1406" s="38"/>
      <c r="J1406" s="37"/>
      <c r="K1406" s="39"/>
      <c r="L1406" s="41"/>
      <c r="M1406" s="36" t="str">
        <f aca="true">IF(OR($B1406="",$L1406=""),"",DATEDIF($L1406,TODAY(),"Y"))</f>
        <v/>
      </c>
      <c r="N1406" s="40" t="str">
        <f aca="false">IF($M1406="","",INDEX(usia_label,MATCH($M1406,usia_min,1)))</f>
        <v/>
      </c>
      <c r="O1406" s="37"/>
      <c r="P1406" s="41"/>
      <c r="Q1406" s="37"/>
      <c r="R1406" s="37"/>
      <c r="S1406" s="40" t="str">
        <f aca="false">IF($G1406="","",$G1406&amp;"#"&amp;COUNTIF($G$4:$G1406,$G1406))</f>
        <v/>
      </c>
      <c r="T1406" s="40" t="str">
        <f aca="false">IF($B1406="","",IF($C1406="","NIK kosong",IF(LEN($C1406)&lt;&gt;16,"NIK bukan 16 digit",IF(COUNTIF($C$4:$C$2003,$C1406&amp;"*")&gt;1,"NIK ganda",IF($E1406="","Kadus kosong",IF($F1406="","RT kosong",IF($H1406="","Jabatan kosong",IF($I1406="","No. HP kosong",IF($J1406="","Alamat kosong",IF(AND($M1406&lt;&gt;"",$M1406&lt;17),"Usia di bawah 17",""))))))))))</f>
        <v/>
      </c>
      <c r="U1406" s="40" t="str">
        <f aca="false">IF($B1406="","",IF(AND(OR(CARI!$C$5="",ISNUMBER(SEARCH(CARI!$C$5,$B1406&amp;" "&amp;$C1406&amp;" "&amp;$I1406&amp;" "&amp;$J1406&amp;" "&amp;$Q1406))),OR(CARI!$C$6="",$E1406=CARI!$C$6),OR(CARI!$C$7="",$F1406=CARI!$C$7),OR(CARI!$C$8="",$O1406=CARI!$C$8)),MAX($U$3:U1405)+1,""))</f>
        <v/>
      </c>
      <c r="V1406" s="40" t="str">
        <f aca="false">IF($T1406="","",MAX($V$3:V1405)+1)</f>
        <v/>
      </c>
      <c r="W1406" s="40" t="str">
        <f aca="false">IF($E1406="","",$E1406&amp;"#"&amp;COUNTIF($E$4:$E1406,$E1406))</f>
        <v/>
      </c>
      <c r="X1406" s="40" t="str">
        <f aca="false">IF($B1406="","",IF(AND(OR(CETAK!$J$10="",$E1406=CETAK!$J$10),OR(CETAK!$J$11="",$F1406=CETAK!$J$11),OR(CETAK!$J$12="",$K1406=CETAK!$J$12),OR(CETAK!$J$13="",$H1406=CETAK!$J$13),OR(CETAK!$J$14="",$O1406=CETAK!$J$14)),MAX($X$3:X1405)+1,""))</f>
        <v/>
      </c>
      <c r="Y1406" s="40" t="str">
        <f aca="false">IF($B1406="","",IF(AND(OR(ABSENSI!$H$10="",$E1406=ABSENSI!$H$10),OR(ABSENSI!$H$11="",$F1406=ABSENSI!$H$11),OR(ABSENSI!$H$12="",$K1406=ABSENSI!$H$12)),MAX($Y$3:Y1405)+1,""))</f>
        <v/>
      </c>
      <c r="Z1406" s="40" t="str">
        <f aca="false">IF($B1406="","",IF(AND(OR(KARTU!$K$6="",$E1406=KARTU!$K$6),OR(KARTU!$K$7="",$F1406=KARTU!$K$7),OR(KARTU!$K$8="",$K1406=KARTU!$K$8)),MAX($Z$3:Z1405)+1,""))</f>
        <v/>
      </c>
    </row>
    <row r="1407" customFormat="false" ht="15" hidden="false" customHeight="false" outlineLevel="0" collapsed="false">
      <c r="A1407" s="36" t="str">
        <f aca="false">IF($B1407="","",COUNTA($B$4:$B1407))</f>
        <v/>
      </c>
      <c r="B1407" s="37"/>
      <c r="C1407" s="38"/>
      <c r="D1407" s="39"/>
      <c r="E1407" s="37"/>
      <c r="F1407" s="39"/>
      <c r="G1407" s="40" t="str">
        <f aca="false">IF(OR($E1407="",$F1407=""),"",$E1407&amp;" - RT "&amp;$F1407)</f>
        <v/>
      </c>
      <c r="H1407" s="37"/>
      <c r="I1407" s="38"/>
      <c r="J1407" s="37"/>
      <c r="K1407" s="39"/>
      <c r="L1407" s="41"/>
      <c r="M1407" s="36" t="str">
        <f aca="true">IF(OR($B1407="",$L1407=""),"",DATEDIF($L1407,TODAY(),"Y"))</f>
        <v/>
      </c>
      <c r="N1407" s="40" t="str">
        <f aca="false">IF($M1407="","",INDEX(usia_label,MATCH($M1407,usia_min,1)))</f>
        <v/>
      </c>
      <c r="O1407" s="37"/>
      <c r="P1407" s="41"/>
      <c r="Q1407" s="37"/>
      <c r="R1407" s="37"/>
      <c r="S1407" s="40" t="str">
        <f aca="false">IF($G1407="","",$G1407&amp;"#"&amp;COUNTIF($G$4:$G1407,$G1407))</f>
        <v/>
      </c>
      <c r="T1407" s="40" t="str">
        <f aca="false">IF($B1407="","",IF($C1407="","NIK kosong",IF(LEN($C1407)&lt;&gt;16,"NIK bukan 16 digit",IF(COUNTIF($C$4:$C$2003,$C1407&amp;"*")&gt;1,"NIK ganda",IF($E1407="","Kadus kosong",IF($F1407="","RT kosong",IF($H1407="","Jabatan kosong",IF($I1407="","No. HP kosong",IF($J1407="","Alamat kosong",IF(AND($M1407&lt;&gt;"",$M1407&lt;17),"Usia di bawah 17",""))))))))))</f>
        <v/>
      </c>
      <c r="U1407" s="40" t="str">
        <f aca="false">IF($B1407="","",IF(AND(OR(CARI!$C$5="",ISNUMBER(SEARCH(CARI!$C$5,$B1407&amp;" "&amp;$C1407&amp;" "&amp;$I1407&amp;" "&amp;$J1407&amp;" "&amp;$Q1407))),OR(CARI!$C$6="",$E1407=CARI!$C$6),OR(CARI!$C$7="",$F1407=CARI!$C$7),OR(CARI!$C$8="",$O1407=CARI!$C$8)),MAX($U$3:U1406)+1,""))</f>
        <v/>
      </c>
      <c r="V1407" s="40" t="str">
        <f aca="false">IF($T1407="","",MAX($V$3:V1406)+1)</f>
        <v/>
      </c>
      <c r="W1407" s="40" t="str">
        <f aca="false">IF($E1407="","",$E1407&amp;"#"&amp;COUNTIF($E$4:$E1407,$E1407))</f>
        <v/>
      </c>
      <c r="X1407" s="40" t="str">
        <f aca="false">IF($B1407="","",IF(AND(OR(CETAK!$J$10="",$E1407=CETAK!$J$10),OR(CETAK!$J$11="",$F1407=CETAK!$J$11),OR(CETAK!$J$12="",$K1407=CETAK!$J$12),OR(CETAK!$J$13="",$H1407=CETAK!$J$13),OR(CETAK!$J$14="",$O1407=CETAK!$J$14)),MAX($X$3:X1406)+1,""))</f>
        <v/>
      </c>
      <c r="Y1407" s="40" t="str">
        <f aca="false">IF($B1407="","",IF(AND(OR(ABSENSI!$H$10="",$E1407=ABSENSI!$H$10),OR(ABSENSI!$H$11="",$F1407=ABSENSI!$H$11),OR(ABSENSI!$H$12="",$K1407=ABSENSI!$H$12)),MAX($Y$3:Y1406)+1,""))</f>
        <v/>
      </c>
      <c r="Z1407" s="40" t="str">
        <f aca="false">IF($B1407="","",IF(AND(OR(KARTU!$K$6="",$E1407=KARTU!$K$6),OR(KARTU!$K$7="",$F1407=KARTU!$K$7),OR(KARTU!$K$8="",$K1407=KARTU!$K$8)),MAX($Z$3:Z1406)+1,""))</f>
        <v/>
      </c>
    </row>
    <row r="1408" customFormat="false" ht="15" hidden="false" customHeight="false" outlineLevel="0" collapsed="false">
      <c r="A1408" s="36" t="str">
        <f aca="false">IF($B1408="","",COUNTA($B$4:$B1408))</f>
        <v/>
      </c>
      <c r="B1408" s="37"/>
      <c r="C1408" s="38"/>
      <c r="D1408" s="39"/>
      <c r="E1408" s="37"/>
      <c r="F1408" s="39"/>
      <c r="G1408" s="40" t="str">
        <f aca="false">IF(OR($E1408="",$F1408=""),"",$E1408&amp;" - RT "&amp;$F1408)</f>
        <v/>
      </c>
      <c r="H1408" s="37"/>
      <c r="I1408" s="38"/>
      <c r="J1408" s="37"/>
      <c r="K1408" s="39"/>
      <c r="L1408" s="41"/>
      <c r="M1408" s="36" t="str">
        <f aca="true">IF(OR($B1408="",$L1408=""),"",DATEDIF($L1408,TODAY(),"Y"))</f>
        <v/>
      </c>
      <c r="N1408" s="40" t="str">
        <f aca="false">IF($M1408="","",INDEX(usia_label,MATCH($M1408,usia_min,1)))</f>
        <v/>
      </c>
      <c r="O1408" s="37"/>
      <c r="P1408" s="41"/>
      <c r="Q1408" s="37"/>
      <c r="R1408" s="37"/>
      <c r="S1408" s="40" t="str">
        <f aca="false">IF($G1408="","",$G1408&amp;"#"&amp;COUNTIF($G$4:$G1408,$G1408))</f>
        <v/>
      </c>
      <c r="T1408" s="40" t="str">
        <f aca="false">IF($B1408="","",IF($C1408="","NIK kosong",IF(LEN($C1408)&lt;&gt;16,"NIK bukan 16 digit",IF(COUNTIF($C$4:$C$2003,$C1408&amp;"*")&gt;1,"NIK ganda",IF($E1408="","Kadus kosong",IF($F1408="","RT kosong",IF($H1408="","Jabatan kosong",IF($I1408="","No. HP kosong",IF($J1408="","Alamat kosong",IF(AND($M1408&lt;&gt;"",$M1408&lt;17),"Usia di bawah 17",""))))))))))</f>
        <v/>
      </c>
      <c r="U1408" s="40" t="str">
        <f aca="false">IF($B1408="","",IF(AND(OR(CARI!$C$5="",ISNUMBER(SEARCH(CARI!$C$5,$B1408&amp;" "&amp;$C1408&amp;" "&amp;$I1408&amp;" "&amp;$J1408&amp;" "&amp;$Q1408))),OR(CARI!$C$6="",$E1408=CARI!$C$6),OR(CARI!$C$7="",$F1408=CARI!$C$7),OR(CARI!$C$8="",$O1408=CARI!$C$8)),MAX($U$3:U1407)+1,""))</f>
        <v/>
      </c>
      <c r="V1408" s="40" t="str">
        <f aca="false">IF($T1408="","",MAX($V$3:V1407)+1)</f>
        <v/>
      </c>
      <c r="W1408" s="40" t="str">
        <f aca="false">IF($E1408="","",$E1408&amp;"#"&amp;COUNTIF($E$4:$E1408,$E1408))</f>
        <v/>
      </c>
      <c r="X1408" s="40" t="str">
        <f aca="false">IF($B1408="","",IF(AND(OR(CETAK!$J$10="",$E1408=CETAK!$J$10),OR(CETAK!$J$11="",$F1408=CETAK!$J$11),OR(CETAK!$J$12="",$K1408=CETAK!$J$12),OR(CETAK!$J$13="",$H1408=CETAK!$J$13),OR(CETAK!$J$14="",$O1408=CETAK!$J$14)),MAX($X$3:X1407)+1,""))</f>
        <v/>
      </c>
      <c r="Y1408" s="40" t="str">
        <f aca="false">IF($B1408="","",IF(AND(OR(ABSENSI!$H$10="",$E1408=ABSENSI!$H$10),OR(ABSENSI!$H$11="",$F1408=ABSENSI!$H$11),OR(ABSENSI!$H$12="",$K1408=ABSENSI!$H$12)),MAX($Y$3:Y1407)+1,""))</f>
        <v/>
      </c>
      <c r="Z1408" s="40" t="str">
        <f aca="false">IF($B1408="","",IF(AND(OR(KARTU!$K$6="",$E1408=KARTU!$K$6),OR(KARTU!$K$7="",$F1408=KARTU!$K$7),OR(KARTU!$K$8="",$K1408=KARTU!$K$8)),MAX($Z$3:Z1407)+1,""))</f>
        <v/>
      </c>
    </row>
    <row r="1409" customFormat="false" ht="15" hidden="false" customHeight="false" outlineLevel="0" collapsed="false">
      <c r="A1409" s="36" t="str">
        <f aca="false">IF($B1409="","",COUNTA($B$4:$B1409))</f>
        <v/>
      </c>
      <c r="B1409" s="37"/>
      <c r="C1409" s="38"/>
      <c r="D1409" s="39"/>
      <c r="E1409" s="37"/>
      <c r="F1409" s="39"/>
      <c r="G1409" s="40" t="str">
        <f aca="false">IF(OR($E1409="",$F1409=""),"",$E1409&amp;" - RT "&amp;$F1409)</f>
        <v/>
      </c>
      <c r="H1409" s="37"/>
      <c r="I1409" s="38"/>
      <c r="J1409" s="37"/>
      <c r="K1409" s="39"/>
      <c r="L1409" s="41"/>
      <c r="M1409" s="36" t="str">
        <f aca="true">IF(OR($B1409="",$L1409=""),"",DATEDIF($L1409,TODAY(),"Y"))</f>
        <v/>
      </c>
      <c r="N1409" s="40" t="str">
        <f aca="false">IF($M1409="","",INDEX(usia_label,MATCH($M1409,usia_min,1)))</f>
        <v/>
      </c>
      <c r="O1409" s="37"/>
      <c r="P1409" s="41"/>
      <c r="Q1409" s="37"/>
      <c r="R1409" s="37"/>
      <c r="S1409" s="40" t="str">
        <f aca="false">IF($G1409="","",$G1409&amp;"#"&amp;COUNTIF($G$4:$G1409,$G1409))</f>
        <v/>
      </c>
      <c r="T1409" s="40" t="str">
        <f aca="false">IF($B1409="","",IF($C1409="","NIK kosong",IF(LEN($C1409)&lt;&gt;16,"NIK bukan 16 digit",IF(COUNTIF($C$4:$C$2003,$C1409&amp;"*")&gt;1,"NIK ganda",IF($E1409="","Kadus kosong",IF($F1409="","RT kosong",IF($H1409="","Jabatan kosong",IF($I1409="","No. HP kosong",IF($J1409="","Alamat kosong",IF(AND($M1409&lt;&gt;"",$M1409&lt;17),"Usia di bawah 17",""))))))))))</f>
        <v/>
      </c>
      <c r="U1409" s="40" t="str">
        <f aca="false">IF($B1409="","",IF(AND(OR(CARI!$C$5="",ISNUMBER(SEARCH(CARI!$C$5,$B1409&amp;" "&amp;$C1409&amp;" "&amp;$I1409&amp;" "&amp;$J1409&amp;" "&amp;$Q1409))),OR(CARI!$C$6="",$E1409=CARI!$C$6),OR(CARI!$C$7="",$F1409=CARI!$C$7),OR(CARI!$C$8="",$O1409=CARI!$C$8)),MAX($U$3:U1408)+1,""))</f>
        <v/>
      </c>
      <c r="V1409" s="40" t="str">
        <f aca="false">IF($T1409="","",MAX($V$3:V1408)+1)</f>
        <v/>
      </c>
      <c r="W1409" s="40" t="str">
        <f aca="false">IF($E1409="","",$E1409&amp;"#"&amp;COUNTIF($E$4:$E1409,$E1409))</f>
        <v/>
      </c>
      <c r="X1409" s="40" t="str">
        <f aca="false">IF($B1409="","",IF(AND(OR(CETAK!$J$10="",$E1409=CETAK!$J$10),OR(CETAK!$J$11="",$F1409=CETAK!$J$11),OR(CETAK!$J$12="",$K1409=CETAK!$J$12),OR(CETAK!$J$13="",$H1409=CETAK!$J$13),OR(CETAK!$J$14="",$O1409=CETAK!$J$14)),MAX($X$3:X1408)+1,""))</f>
        <v/>
      </c>
      <c r="Y1409" s="40" t="str">
        <f aca="false">IF($B1409="","",IF(AND(OR(ABSENSI!$H$10="",$E1409=ABSENSI!$H$10),OR(ABSENSI!$H$11="",$F1409=ABSENSI!$H$11),OR(ABSENSI!$H$12="",$K1409=ABSENSI!$H$12)),MAX($Y$3:Y1408)+1,""))</f>
        <v/>
      </c>
      <c r="Z1409" s="40" t="str">
        <f aca="false">IF($B1409="","",IF(AND(OR(KARTU!$K$6="",$E1409=KARTU!$K$6),OR(KARTU!$K$7="",$F1409=KARTU!$K$7),OR(KARTU!$K$8="",$K1409=KARTU!$K$8)),MAX($Z$3:Z1408)+1,""))</f>
        <v/>
      </c>
    </row>
    <row r="1410" customFormat="false" ht="15" hidden="false" customHeight="false" outlineLevel="0" collapsed="false">
      <c r="A1410" s="36" t="str">
        <f aca="false">IF($B1410="","",COUNTA($B$4:$B1410))</f>
        <v/>
      </c>
      <c r="B1410" s="37"/>
      <c r="C1410" s="38"/>
      <c r="D1410" s="39"/>
      <c r="E1410" s="37"/>
      <c r="F1410" s="39"/>
      <c r="G1410" s="40" t="str">
        <f aca="false">IF(OR($E1410="",$F1410=""),"",$E1410&amp;" - RT "&amp;$F1410)</f>
        <v/>
      </c>
      <c r="H1410" s="37"/>
      <c r="I1410" s="38"/>
      <c r="J1410" s="37"/>
      <c r="K1410" s="39"/>
      <c r="L1410" s="41"/>
      <c r="M1410" s="36" t="str">
        <f aca="true">IF(OR($B1410="",$L1410=""),"",DATEDIF($L1410,TODAY(),"Y"))</f>
        <v/>
      </c>
      <c r="N1410" s="40" t="str">
        <f aca="false">IF($M1410="","",INDEX(usia_label,MATCH($M1410,usia_min,1)))</f>
        <v/>
      </c>
      <c r="O1410" s="37"/>
      <c r="P1410" s="41"/>
      <c r="Q1410" s="37"/>
      <c r="R1410" s="37"/>
      <c r="S1410" s="40" t="str">
        <f aca="false">IF($G1410="","",$G1410&amp;"#"&amp;COUNTIF($G$4:$G1410,$G1410))</f>
        <v/>
      </c>
      <c r="T1410" s="40" t="str">
        <f aca="false">IF($B1410="","",IF($C1410="","NIK kosong",IF(LEN($C1410)&lt;&gt;16,"NIK bukan 16 digit",IF(COUNTIF($C$4:$C$2003,$C1410&amp;"*")&gt;1,"NIK ganda",IF($E1410="","Kadus kosong",IF($F1410="","RT kosong",IF($H1410="","Jabatan kosong",IF($I1410="","No. HP kosong",IF($J1410="","Alamat kosong",IF(AND($M1410&lt;&gt;"",$M1410&lt;17),"Usia di bawah 17",""))))))))))</f>
        <v/>
      </c>
      <c r="U1410" s="40" t="str">
        <f aca="false">IF($B1410="","",IF(AND(OR(CARI!$C$5="",ISNUMBER(SEARCH(CARI!$C$5,$B1410&amp;" "&amp;$C1410&amp;" "&amp;$I1410&amp;" "&amp;$J1410&amp;" "&amp;$Q1410))),OR(CARI!$C$6="",$E1410=CARI!$C$6),OR(CARI!$C$7="",$F1410=CARI!$C$7),OR(CARI!$C$8="",$O1410=CARI!$C$8)),MAX($U$3:U1409)+1,""))</f>
        <v/>
      </c>
      <c r="V1410" s="40" t="str">
        <f aca="false">IF($T1410="","",MAX($V$3:V1409)+1)</f>
        <v/>
      </c>
      <c r="W1410" s="40" t="str">
        <f aca="false">IF($E1410="","",$E1410&amp;"#"&amp;COUNTIF($E$4:$E1410,$E1410))</f>
        <v/>
      </c>
      <c r="X1410" s="40" t="str">
        <f aca="false">IF($B1410="","",IF(AND(OR(CETAK!$J$10="",$E1410=CETAK!$J$10),OR(CETAK!$J$11="",$F1410=CETAK!$J$11),OR(CETAK!$J$12="",$K1410=CETAK!$J$12),OR(CETAK!$J$13="",$H1410=CETAK!$J$13),OR(CETAK!$J$14="",$O1410=CETAK!$J$14)),MAX($X$3:X1409)+1,""))</f>
        <v/>
      </c>
      <c r="Y1410" s="40" t="str">
        <f aca="false">IF($B1410="","",IF(AND(OR(ABSENSI!$H$10="",$E1410=ABSENSI!$H$10),OR(ABSENSI!$H$11="",$F1410=ABSENSI!$H$11),OR(ABSENSI!$H$12="",$K1410=ABSENSI!$H$12)),MAX($Y$3:Y1409)+1,""))</f>
        <v/>
      </c>
      <c r="Z1410" s="40" t="str">
        <f aca="false">IF($B1410="","",IF(AND(OR(KARTU!$K$6="",$E1410=KARTU!$K$6),OR(KARTU!$K$7="",$F1410=KARTU!$K$7),OR(KARTU!$K$8="",$K1410=KARTU!$K$8)),MAX($Z$3:Z1409)+1,""))</f>
        <v/>
      </c>
    </row>
    <row r="1411" customFormat="false" ht="15" hidden="false" customHeight="false" outlineLevel="0" collapsed="false">
      <c r="A1411" s="36" t="str">
        <f aca="false">IF($B1411="","",COUNTA($B$4:$B1411))</f>
        <v/>
      </c>
      <c r="B1411" s="37"/>
      <c r="C1411" s="38"/>
      <c r="D1411" s="39"/>
      <c r="E1411" s="37"/>
      <c r="F1411" s="39"/>
      <c r="G1411" s="40" t="str">
        <f aca="false">IF(OR($E1411="",$F1411=""),"",$E1411&amp;" - RT "&amp;$F1411)</f>
        <v/>
      </c>
      <c r="H1411" s="37"/>
      <c r="I1411" s="38"/>
      <c r="J1411" s="37"/>
      <c r="K1411" s="39"/>
      <c r="L1411" s="41"/>
      <c r="M1411" s="36" t="str">
        <f aca="true">IF(OR($B1411="",$L1411=""),"",DATEDIF($L1411,TODAY(),"Y"))</f>
        <v/>
      </c>
      <c r="N1411" s="40" t="str">
        <f aca="false">IF($M1411="","",INDEX(usia_label,MATCH($M1411,usia_min,1)))</f>
        <v/>
      </c>
      <c r="O1411" s="37"/>
      <c r="P1411" s="41"/>
      <c r="Q1411" s="37"/>
      <c r="R1411" s="37"/>
      <c r="S1411" s="40" t="str">
        <f aca="false">IF($G1411="","",$G1411&amp;"#"&amp;COUNTIF($G$4:$G1411,$G1411))</f>
        <v/>
      </c>
      <c r="T1411" s="40" t="str">
        <f aca="false">IF($B1411="","",IF($C1411="","NIK kosong",IF(LEN($C1411)&lt;&gt;16,"NIK bukan 16 digit",IF(COUNTIF($C$4:$C$2003,$C1411&amp;"*")&gt;1,"NIK ganda",IF($E1411="","Kadus kosong",IF($F1411="","RT kosong",IF($H1411="","Jabatan kosong",IF($I1411="","No. HP kosong",IF($J1411="","Alamat kosong",IF(AND($M1411&lt;&gt;"",$M1411&lt;17),"Usia di bawah 17",""))))))))))</f>
        <v/>
      </c>
      <c r="U1411" s="40" t="str">
        <f aca="false">IF($B1411="","",IF(AND(OR(CARI!$C$5="",ISNUMBER(SEARCH(CARI!$C$5,$B1411&amp;" "&amp;$C1411&amp;" "&amp;$I1411&amp;" "&amp;$J1411&amp;" "&amp;$Q1411))),OR(CARI!$C$6="",$E1411=CARI!$C$6),OR(CARI!$C$7="",$F1411=CARI!$C$7),OR(CARI!$C$8="",$O1411=CARI!$C$8)),MAX($U$3:U1410)+1,""))</f>
        <v/>
      </c>
      <c r="V1411" s="40" t="str">
        <f aca="false">IF($T1411="","",MAX($V$3:V1410)+1)</f>
        <v/>
      </c>
      <c r="W1411" s="40" t="str">
        <f aca="false">IF($E1411="","",$E1411&amp;"#"&amp;COUNTIF($E$4:$E1411,$E1411))</f>
        <v/>
      </c>
      <c r="X1411" s="40" t="str">
        <f aca="false">IF($B1411="","",IF(AND(OR(CETAK!$J$10="",$E1411=CETAK!$J$10),OR(CETAK!$J$11="",$F1411=CETAK!$J$11),OR(CETAK!$J$12="",$K1411=CETAK!$J$12),OR(CETAK!$J$13="",$H1411=CETAK!$J$13),OR(CETAK!$J$14="",$O1411=CETAK!$J$14)),MAX($X$3:X1410)+1,""))</f>
        <v/>
      </c>
      <c r="Y1411" s="40" t="str">
        <f aca="false">IF($B1411="","",IF(AND(OR(ABSENSI!$H$10="",$E1411=ABSENSI!$H$10),OR(ABSENSI!$H$11="",$F1411=ABSENSI!$H$11),OR(ABSENSI!$H$12="",$K1411=ABSENSI!$H$12)),MAX($Y$3:Y1410)+1,""))</f>
        <v/>
      </c>
      <c r="Z1411" s="40" t="str">
        <f aca="false">IF($B1411="","",IF(AND(OR(KARTU!$K$6="",$E1411=KARTU!$K$6),OR(KARTU!$K$7="",$F1411=KARTU!$K$7),OR(KARTU!$K$8="",$K1411=KARTU!$K$8)),MAX($Z$3:Z1410)+1,""))</f>
        <v/>
      </c>
    </row>
    <row r="1412" customFormat="false" ht="15" hidden="false" customHeight="false" outlineLevel="0" collapsed="false">
      <c r="A1412" s="36" t="str">
        <f aca="false">IF($B1412="","",COUNTA($B$4:$B1412))</f>
        <v/>
      </c>
      <c r="B1412" s="37"/>
      <c r="C1412" s="38"/>
      <c r="D1412" s="39"/>
      <c r="E1412" s="37"/>
      <c r="F1412" s="39"/>
      <c r="G1412" s="40" t="str">
        <f aca="false">IF(OR($E1412="",$F1412=""),"",$E1412&amp;" - RT "&amp;$F1412)</f>
        <v/>
      </c>
      <c r="H1412" s="37"/>
      <c r="I1412" s="38"/>
      <c r="J1412" s="37"/>
      <c r="K1412" s="39"/>
      <c r="L1412" s="41"/>
      <c r="M1412" s="36" t="str">
        <f aca="true">IF(OR($B1412="",$L1412=""),"",DATEDIF($L1412,TODAY(),"Y"))</f>
        <v/>
      </c>
      <c r="N1412" s="40" t="str">
        <f aca="false">IF($M1412="","",INDEX(usia_label,MATCH($M1412,usia_min,1)))</f>
        <v/>
      </c>
      <c r="O1412" s="37"/>
      <c r="P1412" s="41"/>
      <c r="Q1412" s="37"/>
      <c r="R1412" s="37"/>
      <c r="S1412" s="40" t="str">
        <f aca="false">IF($G1412="","",$G1412&amp;"#"&amp;COUNTIF($G$4:$G1412,$G1412))</f>
        <v/>
      </c>
      <c r="T1412" s="40" t="str">
        <f aca="false">IF($B1412="","",IF($C1412="","NIK kosong",IF(LEN($C1412)&lt;&gt;16,"NIK bukan 16 digit",IF(COUNTIF($C$4:$C$2003,$C1412&amp;"*")&gt;1,"NIK ganda",IF($E1412="","Kadus kosong",IF($F1412="","RT kosong",IF($H1412="","Jabatan kosong",IF($I1412="","No. HP kosong",IF($J1412="","Alamat kosong",IF(AND($M1412&lt;&gt;"",$M1412&lt;17),"Usia di bawah 17",""))))))))))</f>
        <v/>
      </c>
      <c r="U1412" s="40" t="str">
        <f aca="false">IF($B1412="","",IF(AND(OR(CARI!$C$5="",ISNUMBER(SEARCH(CARI!$C$5,$B1412&amp;" "&amp;$C1412&amp;" "&amp;$I1412&amp;" "&amp;$J1412&amp;" "&amp;$Q1412))),OR(CARI!$C$6="",$E1412=CARI!$C$6),OR(CARI!$C$7="",$F1412=CARI!$C$7),OR(CARI!$C$8="",$O1412=CARI!$C$8)),MAX($U$3:U1411)+1,""))</f>
        <v/>
      </c>
      <c r="V1412" s="40" t="str">
        <f aca="false">IF($T1412="","",MAX($V$3:V1411)+1)</f>
        <v/>
      </c>
      <c r="W1412" s="40" t="str">
        <f aca="false">IF($E1412="","",$E1412&amp;"#"&amp;COUNTIF($E$4:$E1412,$E1412))</f>
        <v/>
      </c>
      <c r="X1412" s="40" t="str">
        <f aca="false">IF($B1412="","",IF(AND(OR(CETAK!$J$10="",$E1412=CETAK!$J$10),OR(CETAK!$J$11="",$F1412=CETAK!$J$11),OR(CETAK!$J$12="",$K1412=CETAK!$J$12),OR(CETAK!$J$13="",$H1412=CETAK!$J$13),OR(CETAK!$J$14="",$O1412=CETAK!$J$14)),MAX($X$3:X1411)+1,""))</f>
        <v/>
      </c>
      <c r="Y1412" s="40" t="str">
        <f aca="false">IF($B1412="","",IF(AND(OR(ABSENSI!$H$10="",$E1412=ABSENSI!$H$10),OR(ABSENSI!$H$11="",$F1412=ABSENSI!$H$11),OR(ABSENSI!$H$12="",$K1412=ABSENSI!$H$12)),MAX($Y$3:Y1411)+1,""))</f>
        <v/>
      </c>
      <c r="Z1412" s="40" t="str">
        <f aca="false">IF($B1412="","",IF(AND(OR(KARTU!$K$6="",$E1412=KARTU!$K$6),OR(KARTU!$K$7="",$F1412=KARTU!$K$7),OR(KARTU!$K$8="",$K1412=KARTU!$K$8)),MAX($Z$3:Z1411)+1,""))</f>
        <v/>
      </c>
    </row>
    <row r="1413" customFormat="false" ht="15" hidden="false" customHeight="false" outlineLevel="0" collapsed="false">
      <c r="A1413" s="36" t="str">
        <f aca="false">IF($B1413="","",COUNTA($B$4:$B1413))</f>
        <v/>
      </c>
      <c r="B1413" s="37"/>
      <c r="C1413" s="38"/>
      <c r="D1413" s="39"/>
      <c r="E1413" s="37"/>
      <c r="F1413" s="39"/>
      <c r="G1413" s="40" t="str">
        <f aca="false">IF(OR($E1413="",$F1413=""),"",$E1413&amp;" - RT "&amp;$F1413)</f>
        <v/>
      </c>
      <c r="H1413" s="37"/>
      <c r="I1413" s="38"/>
      <c r="J1413" s="37"/>
      <c r="K1413" s="39"/>
      <c r="L1413" s="41"/>
      <c r="M1413" s="36" t="str">
        <f aca="true">IF(OR($B1413="",$L1413=""),"",DATEDIF($L1413,TODAY(),"Y"))</f>
        <v/>
      </c>
      <c r="N1413" s="40" t="str">
        <f aca="false">IF($M1413="","",INDEX(usia_label,MATCH($M1413,usia_min,1)))</f>
        <v/>
      </c>
      <c r="O1413" s="37"/>
      <c r="P1413" s="41"/>
      <c r="Q1413" s="37"/>
      <c r="R1413" s="37"/>
      <c r="S1413" s="40" t="str">
        <f aca="false">IF($G1413="","",$G1413&amp;"#"&amp;COUNTIF($G$4:$G1413,$G1413))</f>
        <v/>
      </c>
      <c r="T1413" s="40" t="str">
        <f aca="false">IF($B1413="","",IF($C1413="","NIK kosong",IF(LEN($C1413)&lt;&gt;16,"NIK bukan 16 digit",IF(COUNTIF($C$4:$C$2003,$C1413&amp;"*")&gt;1,"NIK ganda",IF($E1413="","Kadus kosong",IF($F1413="","RT kosong",IF($H1413="","Jabatan kosong",IF($I1413="","No. HP kosong",IF($J1413="","Alamat kosong",IF(AND($M1413&lt;&gt;"",$M1413&lt;17),"Usia di bawah 17",""))))))))))</f>
        <v/>
      </c>
      <c r="U1413" s="40" t="str">
        <f aca="false">IF($B1413="","",IF(AND(OR(CARI!$C$5="",ISNUMBER(SEARCH(CARI!$C$5,$B1413&amp;" "&amp;$C1413&amp;" "&amp;$I1413&amp;" "&amp;$J1413&amp;" "&amp;$Q1413))),OR(CARI!$C$6="",$E1413=CARI!$C$6),OR(CARI!$C$7="",$F1413=CARI!$C$7),OR(CARI!$C$8="",$O1413=CARI!$C$8)),MAX($U$3:U1412)+1,""))</f>
        <v/>
      </c>
      <c r="V1413" s="40" t="str">
        <f aca="false">IF($T1413="","",MAX($V$3:V1412)+1)</f>
        <v/>
      </c>
      <c r="W1413" s="40" t="str">
        <f aca="false">IF($E1413="","",$E1413&amp;"#"&amp;COUNTIF($E$4:$E1413,$E1413))</f>
        <v/>
      </c>
      <c r="X1413" s="40" t="str">
        <f aca="false">IF($B1413="","",IF(AND(OR(CETAK!$J$10="",$E1413=CETAK!$J$10),OR(CETAK!$J$11="",$F1413=CETAK!$J$11),OR(CETAK!$J$12="",$K1413=CETAK!$J$12),OR(CETAK!$J$13="",$H1413=CETAK!$J$13),OR(CETAK!$J$14="",$O1413=CETAK!$J$14)),MAX($X$3:X1412)+1,""))</f>
        <v/>
      </c>
      <c r="Y1413" s="40" t="str">
        <f aca="false">IF($B1413="","",IF(AND(OR(ABSENSI!$H$10="",$E1413=ABSENSI!$H$10),OR(ABSENSI!$H$11="",$F1413=ABSENSI!$H$11),OR(ABSENSI!$H$12="",$K1413=ABSENSI!$H$12)),MAX($Y$3:Y1412)+1,""))</f>
        <v/>
      </c>
      <c r="Z1413" s="40" t="str">
        <f aca="false">IF($B1413="","",IF(AND(OR(KARTU!$K$6="",$E1413=KARTU!$K$6),OR(KARTU!$K$7="",$F1413=KARTU!$K$7),OR(KARTU!$K$8="",$K1413=KARTU!$K$8)),MAX($Z$3:Z1412)+1,""))</f>
        <v/>
      </c>
    </row>
    <row r="1414" customFormat="false" ht="15" hidden="false" customHeight="false" outlineLevel="0" collapsed="false">
      <c r="A1414" s="36" t="str">
        <f aca="false">IF($B1414="","",COUNTA($B$4:$B1414))</f>
        <v/>
      </c>
      <c r="B1414" s="37"/>
      <c r="C1414" s="38"/>
      <c r="D1414" s="39"/>
      <c r="E1414" s="37"/>
      <c r="F1414" s="39"/>
      <c r="G1414" s="40" t="str">
        <f aca="false">IF(OR($E1414="",$F1414=""),"",$E1414&amp;" - RT "&amp;$F1414)</f>
        <v/>
      </c>
      <c r="H1414" s="37"/>
      <c r="I1414" s="38"/>
      <c r="J1414" s="37"/>
      <c r="K1414" s="39"/>
      <c r="L1414" s="41"/>
      <c r="M1414" s="36" t="str">
        <f aca="true">IF(OR($B1414="",$L1414=""),"",DATEDIF($L1414,TODAY(),"Y"))</f>
        <v/>
      </c>
      <c r="N1414" s="40" t="str">
        <f aca="false">IF($M1414="","",INDEX(usia_label,MATCH($M1414,usia_min,1)))</f>
        <v/>
      </c>
      <c r="O1414" s="37"/>
      <c r="P1414" s="41"/>
      <c r="Q1414" s="37"/>
      <c r="R1414" s="37"/>
      <c r="S1414" s="40" t="str">
        <f aca="false">IF($G1414="","",$G1414&amp;"#"&amp;COUNTIF($G$4:$G1414,$G1414))</f>
        <v/>
      </c>
      <c r="T1414" s="40" t="str">
        <f aca="false">IF($B1414="","",IF($C1414="","NIK kosong",IF(LEN($C1414)&lt;&gt;16,"NIK bukan 16 digit",IF(COUNTIF($C$4:$C$2003,$C1414&amp;"*")&gt;1,"NIK ganda",IF($E1414="","Kadus kosong",IF($F1414="","RT kosong",IF($H1414="","Jabatan kosong",IF($I1414="","No. HP kosong",IF($J1414="","Alamat kosong",IF(AND($M1414&lt;&gt;"",$M1414&lt;17),"Usia di bawah 17",""))))))))))</f>
        <v/>
      </c>
      <c r="U1414" s="40" t="str">
        <f aca="false">IF($B1414="","",IF(AND(OR(CARI!$C$5="",ISNUMBER(SEARCH(CARI!$C$5,$B1414&amp;" "&amp;$C1414&amp;" "&amp;$I1414&amp;" "&amp;$J1414&amp;" "&amp;$Q1414))),OR(CARI!$C$6="",$E1414=CARI!$C$6),OR(CARI!$C$7="",$F1414=CARI!$C$7),OR(CARI!$C$8="",$O1414=CARI!$C$8)),MAX($U$3:U1413)+1,""))</f>
        <v/>
      </c>
      <c r="V1414" s="40" t="str">
        <f aca="false">IF($T1414="","",MAX($V$3:V1413)+1)</f>
        <v/>
      </c>
      <c r="W1414" s="40" t="str">
        <f aca="false">IF($E1414="","",$E1414&amp;"#"&amp;COUNTIF($E$4:$E1414,$E1414))</f>
        <v/>
      </c>
      <c r="X1414" s="40" t="str">
        <f aca="false">IF($B1414="","",IF(AND(OR(CETAK!$J$10="",$E1414=CETAK!$J$10),OR(CETAK!$J$11="",$F1414=CETAK!$J$11),OR(CETAK!$J$12="",$K1414=CETAK!$J$12),OR(CETAK!$J$13="",$H1414=CETAK!$J$13),OR(CETAK!$J$14="",$O1414=CETAK!$J$14)),MAX($X$3:X1413)+1,""))</f>
        <v/>
      </c>
      <c r="Y1414" s="40" t="str">
        <f aca="false">IF($B1414="","",IF(AND(OR(ABSENSI!$H$10="",$E1414=ABSENSI!$H$10),OR(ABSENSI!$H$11="",$F1414=ABSENSI!$H$11),OR(ABSENSI!$H$12="",$K1414=ABSENSI!$H$12)),MAX($Y$3:Y1413)+1,""))</f>
        <v/>
      </c>
      <c r="Z1414" s="40" t="str">
        <f aca="false">IF($B1414="","",IF(AND(OR(KARTU!$K$6="",$E1414=KARTU!$K$6),OR(KARTU!$K$7="",$F1414=KARTU!$K$7),OR(KARTU!$K$8="",$K1414=KARTU!$K$8)),MAX($Z$3:Z1413)+1,""))</f>
        <v/>
      </c>
    </row>
    <row r="1415" customFormat="false" ht="15" hidden="false" customHeight="false" outlineLevel="0" collapsed="false">
      <c r="A1415" s="36" t="str">
        <f aca="false">IF($B1415="","",COUNTA($B$4:$B1415))</f>
        <v/>
      </c>
      <c r="B1415" s="37"/>
      <c r="C1415" s="38"/>
      <c r="D1415" s="39"/>
      <c r="E1415" s="37"/>
      <c r="F1415" s="39"/>
      <c r="G1415" s="40" t="str">
        <f aca="false">IF(OR($E1415="",$F1415=""),"",$E1415&amp;" - RT "&amp;$F1415)</f>
        <v/>
      </c>
      <c r="H1415" s="37"/>
      <c r="I1415" s="38"/>
      <c r="J1415" s="37"/>
      <c r="K1415" s="39"/>
      <c r="L1415" s="41"/>
      <c r="M1415" s="36" t="str">
        <f aca="true">IF(OR($B1415="",$L1415=""),"",DATEDIF($L1415,TODAY(),"Y"))</f>
        <v/>
      </c>
      <c r="N1415" s="40" t="str">
        <f aca="false">IF($M1415="","",INDEX(usia_label,MATCH($M1415,usia_min,1)))</f>
        <v/>
      </c>
      <c r="O1415" s="37"/>
      <c r="P1415" s="41"/>
      <c r="Q1415" s="37"/>
      <c r="R1415" s="37"/>
      <c r="S1415" s="40" t="str">
        <f aca="false">IF($G1415="","",$G1415&amp;"#"&amp;COUNTIF($G$4:$G1415,$G1415))</f>
        <v/>
      </c>
      <c r="T1415" s="40" t="str">
        <f aca="false">IF($B1415="","",IF($C1415="","NIK kosong",IF(LEN($C1415)&lt;&gt;16,"NIK bukan 16 digit",IF(COUNTIF($C$4:$C$2003,$C1415&amp;"*")&gt;1,"NIK ganda",IF($E1415="","Kadus kosong",IF($F1415="","RT kosong",IF($H1415="","Jabatan kosong",IF($I1415="","No. HP kosong",IF($J1415="","Alamat kosong",IF(AND($M1415&lt;&gt;"",$M1415&lt;17),"Usia di bawah 17",""))))))))))</f>
        <v/>
      </c>
      <c r="U1415" s="40" t="str">
        <f aca="false">IF($B1415="","",IF(AND(OR(CARI!$C$5="",ISNUMBER(SEARCH(CARI!$C$5,$B1415&amp;" "&amp;$C1415&amp;" "&amp;$I1415&amp;" "&amp;$J1415&amp;" "&amp;$Q1415))),OR(CARI!$C$6="",$E1415=CARI!$C$6),OR(CARI!$C$7="",$F1415=CARI!$C$7),OR(CARI!$C$8="",$O1415=CARI!$C$8)),MAX($U$3:U1414)+1,""))</f>
        <v/>
      </c>
      <c r="V1415" s="40" t="str">
        <f aca="false">IF($T1415="","",MAX($V$3:V1414)+1)</f>
        <v/>
      </c>
      <c r="W1415" s="40" t="str">
        <f aca="false">IF($E1415="","",$E1415&amp;"#"&amp;COUNTIF($E$4:$E1415,$E1415))</f>
        <v/>
      </c>
      <c r="X1415" s="40" t="str">
        <f aca="false">IF($B1415="","",IF(AND(OR(CETAK!$J$10="",$E1415=CETAK!$J$10),OR(CETAK!$J$11="",$F1415=CETAK!$J$11),OR(CETAK!$J$12="",$K1415=CETAK!$J$12),OR(CETAK!$J$13="",$H1415=CETAK!$J$13),OR(CETAK!$J$14="",$O1415=CETAK!$J$14)),MAX($X$3:X1414)+1,""))</f>
        <v/>
      </c>
      <c r="Y1415" s="40" t="str">
        <f aca="false">IF($B1415="","",IF(AND(OR(ABSENSI!$H$10="",$E1415=ABSENSI!$H$10),OR(ABSENSI!$H$11="",$F1415=ABSENSI!$H$11),OR(ABSENSI!$H$12="",$K1415=ABSENSI!$H$12)),MAX($Y$3:Y1414)+1,""))</f>
        <v/>
      </c>
      <c r="Z1415" s="40" t="str">
        <f aca="false">IF($B1415="","",IF(AND(OR(KARTU!$K$6="",$E1415=KARTU!$K$6),OR(KARTU!$K$7="",$F1415=KARTU!$K$7),OR(KARTU!$K$8="",$K1415=KARTU!$K$8)),MAX($Z$3:Z1414)+1,""))</f>
        <v/>
      </c>
    </row>
    <row r="1416" customFormat="false" ht="15" hidden="false" customHeight="false" outlineLevel="0" collapsed="false">
      <c r="A1416" s="36" t="str">
        <f aca="false">IF($B1416="","",COUNTA($B$4:$B1416))</f>
        <v/>
      </c>
      <c r="B1416" s="37"/>
      <c r="C1416" s="38"/>
      <c r="D1416" s="39"/>
      <c r="E1416" s="37"/>
      <c r="F1416" s="39"/>
      <c r="G1416" s="40" t="str">
        <f aca="false">IF(OR($E1416="",$F1416=""),"",$E1416&amp;" - RT "&amp;$F1416)</f>
        <v/>
      </c>
      <c r="H1416" s="37"/>
      <c r="I1416" s="38"/>
      <c r="J1416" s="37"/>
      <c r="K1416" s="39"/>
      <c r="L1416" s="41"/>
      <c r="M1416" s="36" t="str">
        <f aca="true">IF(OR($B1416="",$L1416=""),"",DATEDIF($L1416,TODAY(),"Y"))</f>
        <v/>
      </c>
      <c r="N1416" s="40" t="str">
        <f aca="false">IF($M1416="","",INDEX(usia_label,MATCH($M1416,usia_min,1)))</f>
        <v/>
      </c>
      <c r="O1416" s="37"/>
      <c r="P1416" s="41"/>
      <c r="Q1416" s="37"/>
      <c r="R1416" s="37"/>
      <c r="S1416" s="40" t="str">
        <f aca="false">IF($G1416="","",$G1416&amp;"#"&amp;COUNTIF($G$4:$G1416,$G1416))</f>
        <v/>
      </c>
      <c r="T1416" s="40" t="str">
        <f aca="false">IF($B1416="","",IF($C1416="","NIK kosong",IF(LEN($C1416)&lt;&gt;16,"NIK bukan 16 digit",IF(COUNTIF($C$4:$C$2003,$C1416&amp;"*")&gt;1,"NIK ganda",IF($E1416="","Kadus kosong",IF($F1416="","RT kosong",IF($H1416="","Jabatan kosong",IF($I1416="","No. HP kosong",IF($J1416="","Alamat kosong",IF(AND($M1416&lt;&gt;"",$M1416&lt;17),"Usia di bawah 17",""))))))))))</f>
        <v/>
      </c>
      <c r="U1416" s="40" t="str">
        <f aca="false">IF($B1416="","",IF(AND(OR(CARI!$C$5="",ISNUMBER(SEARCH(CARI!$C$5,$B1416&amp;" "&amp;$C1416&amp;" "&amp;$I1416&amp;" "&amp;$J1416&amp;" "&amp;$Q1416))),OR(CARI!$C$6="",$E1416=CARI!$C$6),OR(CARI!$C$7="",$F1416=CARI!$C$7),OR(CARI!$C$8="",$O1416=CARI!$C$8)),MAX($U$3:U1415)+1,""))</f>
        <v/>
      </c>
      <c r="V1416" s="40" t="str">
        <f aca="false">IF($T1416="","",MAX($V$3:V1415)+1)</f>
        <v/>
      </c>
      <c r="W1416" s="40" t="str">
        <f aca="false">IF($E1416="","",$E1416&amp;"#"&amp;COUNTIF($E$4:$E1416,$E1416))</f>
        <v/>
      </c>
      <c r="X1416" s="40" t="str">
        <f aca="false">IF($B1416="","",IF(AND(OR(CETAK!$J$10="",$E1416=CETAK!$J$10),OR(CETAK!$J$11="",$F1416=CETAK!$J$11),OR(CETAK!$J$12="",$K1416=CETAK!$J$12),OR(CETAK!$J$13="",$H1416=CETAK!$J$13),OR(CETAK!$J$14="",$O1416=CETAK!$J$14)),MAX($X$3:X1415)+1,""))</f>
        <v/>
      </c>
      <c r="Y1416" s="40" t="str">
        <f aca="false">IF($B1416="","",IF(AND(OR(ABSENSI!$H$10="",$E1416=ABSENSI!$H$10),OR(ABSENSI!$H$11="",$F1416=ABSENSI!$H$11),OR(ABSENSI!$H$12="",$K1416=ABSENSI!$H$12)),MAX($Y$3:Y1415)+1,""))</f>
        <v/>
      </c>
      <c r="Z1416" s="40" t="str">
        <f aca="false">IF($B1416="","",IF(AND(OR(KARTU!$K$6="",$E1416=KARTU!$K$6),OR(KARTU!$K$7="",$F1416=KARTU!$K$7),OR(KARTU!$K$8="",$K1416=KARTU!$K$8)),MAX($Z$3:Z1415)+1,""))</f>
        <v/>
      </c>
    </row>
    <row r="1417" customFormat="false" ht="15" hidden="false" customHeight="false" outlineLevel="0" collapsed="false">
      <c r="A1417" s="36" t="str">
        <f aca="false">IF($B1417="","",COUNTA($B$4:$B1417))</f>
        <v/>
      </c>
      <c r="B1417" s="37"/>
      <c r="C1417" s="38"/>
      <c r="D1417" s="39"/>
      <c r="E1417" s="37"/>
      <c r="F1417" s="39"/>
      <c r="G1417" s="40" t="str">
        <f aca="false">IF(OR($E1417="",$F1417=""),"",$E1417&amp;" - RT "&amp;$F1417)</f>
        <v/>
      </c>
      <c r="H1417" s="37"/>
      <c r="I1417" s="38"/>
      <c r="J1417" s="37"/>
      <c r="K1417" s="39"/>
      <c r="L1417" s="41"/>
      <c r="M1417" s="36" t="str">
        <f aca="true">IF(OR($B1417="",$L1417=""),"",DATEDIF($L1417,TODAY(),"Y"))</f>
        <v/>
      </c>
      <c r="N1417" s="40" t="str">
        <f aca="false">IF($M1417="","",INDEX(usia_label,MATCH($M1417,usia_min,1)))</f>
        <v/>
      </c>
      <c r="O1417" s="37"/>
      <c r="P1417" s="41"/>
      <c r="Q1417" s="37"/>
      <c r="R1417" s="37"/>
      <c r="S1417" s="40" t="str">
        <f aca="false">IF($G1417="","",$G1417&amp;"#"&amp;COUNTIF($G$4:$G1417,$G1417))</f>
        <v/>
      </c>
      <c r="T1417" s="40" t="str">
        <f aca="false">IF($B1417="","",IF($C1417="","NIK kosong",IF(LEN($C1417)&lt;&gt;16,"NIK bukan 16 digit",IF(COUNTIF($C$4:$C$2003,$C1417&amp;"*")&gt;1,"NIK ganda",IF($E1417="","Kadus kosong",IF($F1417="","RT kosong",IF($H1417="","Jabatan kosong",IF($I1417="","No. HP kosong",IF($J1417="","Alamat kosong",IF(AND($M1417&lt;&gt;"",$M1417&lt;17),"Usia di bawah 17",""))))))))))</f>
        <v/>
      </c>
      <c r="U1417" s="40" t="str">
        <f aca="false">IF($B1417="","",IF(AND(OR(CARI!$C$5="",ISNUMBER(SEARCH(CARI!$C$5,$B1417&amp;" "&amp;$C1417&amp;" "&amp;$I1417&amp;" "&amp;$J1417&amp;" "&amp;$Q1417))),OR(CARI!$C$6="",$E1417=CARI!$C$6),OR(CARI!$C$7="",$F1417=CARI!$C$7),OR(CARI!$C$8="",$O1417=CARI!$C$8)),MAX($U$3:U1416)+1,""))</f>
        <v/>
      </c>
      <c r="V1417" s="40" t="str">
        <f aca="false">IF($T1417="","",MAX($V$3:V1416)+1)</f>
        <v/>
      </c>
      <c r="W1417" s="40" t="str">
        <f aca="false">IF($E1417="","",$E1417&amp;"#"&amp;COUNTIF($E$4:$E1417,$E1417))</f>
        <v/>
      </c>
      <c r="X1417" s="40" t="str">
        <f aca="false">IF($B1417="","",IF(AND(OR(CETAK!$J$10="",$E1417=CETAK!$J$10),OR(CETAK!$J$11="",$F1417=CETAK!$J$11),OR(CETAK!$J$12="",$K1417=CETAK!$J$12),OR(CETAK!$J$13="",$H1417=CETAK!$J$13),OR(CETAK!$J$14="",$O1417=CETAK!$J$14)),MAX($X$3:X1416)+1,""))</f>
        <v/>
      </c>
      <c r="Y1417" s="40" t="str">
        <f aca="false">IF($B1417="","",IF(AND(OR(ABSENSI!$H$10="",$E1417=ABSENSI!$H$10),OR(ABSENSI!$H$11="",$F1417=ABSENSI!$H$11),OR(ABSENSI!$H$12="",$K1417=ABSENSI!$H$12)),MAX($Y$3:Y1416)+1,""))</f>
        <v/>
      </c>
      <c r="Z1417" s="40" t="str">
        <f aca="false">IF($B1417="","",IF(AND(OR(KARTU!$K$6="",$E1417=KARTU!$K$6),OR(KARTU!$K$7="",$F1417=KARTU!$K$7),OR(KARTU!$K$8="",$K1417=KARTU!$K$8)),MAX($Z$3:Z1416)+1,""))</f>
        <v/>
      </c>
    </row>
    <row r="1418" customFormat="false" ht="15" hidden="false" customHeight="false" outlineLevel="0" collapsed="false">
      <c r="A1418" s="36" t="str">
        <f aca="false">IF($B1418="","",COUNTA($B$4:$B1418))</f>
        <v/>
      </c>
      <c r="B1418" s="37"/>
      <c r="C1418" s="38"/>
      <c r="D1418" s="39"/>
      <c r="E1418" s="37"/>
      <c r="F1418" s="39"/>
      <c r="G1418" s="40" t="str">
        <f aca="false">IF(OR($E1418="",$F1418=""),"",$E1418&amp;" - RT "&amp;$F1418)</f>
        <v/>
      </c>
      <c r="H1418" s="37"/>
      <c r="I1418" s="38"/>
      <c r="J1418" s="37"/>
      <c r="K1418" s="39"/>
      <c r="L1418" s="41"/>
      <c r="M1418" s="36" t="str">
        <f aca="true">IF(OR($B1418="",$L1418=""),"",DATEDIF($L1418,TODAY(),"Y"))</f>
        <v/>
      </c>
      <c r="N1418" s="40" t="str">
        <f aca="false">IF($M1418="","",INDEX(usia_label,MATCH($M1418,usia_min,1)))</f>
        <v/>
      </c>
      <c r="O1418" s="37"/>
      <c r="P1418" s="41"/>
      <c r="Q1418" s="37"/>
      <c r="R1418" s="37"/>
      <c r="S1418" s="40" t="str">
        <f aca="false">IF($G1418="","",$G1418&amp;"#"&amp;COUNTIF($G$4:$G1418,$G1418))</f>
        <v/>
      </c>
      <c r="T1418" s="40" t="str">
        <f aca="false">IF($B1418="","",IF($C1418="","NIK kosong",IF(LEN($C1418)&lt;&gt;16,"NIK bukan 16 digit",IF(COUNTIF($C$4:$C$2003,$C1418&amp;"*")&gt;1,"NIK ganda",IF($E1418="","Kadus kosong",IF($F1418="","RT kosong",IF($H1418="","Jabatan kosong",IF($I1418="","No. HP kosong",IF($J1418="","Alamat kosong",IF(AND($M1418&lt;&gt;"",$M1418&lt;17),"Usia di bawah 17",""))))))))))</f>
        <v/>
      </c>
      <c r="U1418" s="40" t="str">
        <f aca="false">IF($B1418="","",IF(AND(OR(CARI!$C$5="",ISNUMBER(SEARCH(CARI!$C$5,$B1418&amp;" "&amp;$C1418&amp;" "&amp;$I1418&amp;" "&amp;$J1418&amp;" "&amp;$Q1418))),OR(CARI!$C$6="",$E1418=CARI!$C$6),OR(CARI!$C$7="",$F1418=CARI!$C$7),OR(CARI!$C$8="",$O1418=CARI!$C$8)),MAX($U$3:U1417)+1,""))</f>
        <v/>
      </c>
      <c r="V1418" s="40" t="str">
        <f aca="false">IF($T1418="","",MAX($V$3:V1417)+1)</f>
        <v/>
      </c>
      <c r="W1418" s="40" t="str">
        <f aca="false">IF($E1418="","",$E1418&amp;"#"&amp;COUNTIF($E$4:$E1418,$E1418))</f>
        <v/>
      </c>
      <c r="X1418" s="40" t="str">
        <f aca="false">IF($B1418="","",IF(AND(OR(CETAK!$J$10="",$E1418=CETAK!$J$10),OR(CETAK!$J$11="",$F1418=CETAK!$J$11),OR(CETAK!$J$12="",$K1418=CETAK!$J$12),OR(CETAK!$J$13="",$H1418=CETAK!$J$13),OR(CETAK!$J$14="",$O1418=CETAK!$J$14)),MAX($X$3:X1417)+1,""))</f>
        <v/>
      </c>
      <c r="Y1418" s="40" t="str">
        <f aca="false">IF($B1418="","",IF(AND(OR(ABSENSI!$H$10="",$E1418=ABSENSI!$H$10),OR(ABSENSI!$H$11="",$F1418=ABSENSI!$H$11),OR(ABSENSI!$H$12="",$K1418=ABSENSI!$H$12)),MAX($Y$3:Y1417)+1,""))</f>
        <v/>
      </c>
      <c r="Z1418" s="40" t="str">
        <f aca="false">IF($B1418="","",IF(AND(OR(KARTU!$K$6="",$E1418=KARTU!$K$6),OR(KARTU!$K$7="",$F1418=KARTU!$K$7),OR(KARTU!$K$8="",$K1418=KARTU!$K$8)),MAX($Z$3:Z1417)+1,""))</f>
        <v/>
      </c>
    </row>
    <row r="1419" customFormat="false" ht="15" hidden="false" customHeight="false" outlineLevel="0" collapsed="false">
      <c r="A1419" s="36" t="str">
        <f aca="false">IF($B1419="","",COUNTA($B$4:$B1419))</f>
        <v/>
      </c>
      <c r="B1419" s="37"/>
      <c r="C1419" s="38"/>
      <c r="D1419" s="39"/>
      <c r="E1419" s="37"/>
      <c r="F1419" s="39"/>
      <c r="G1419" s="40" t="str">
        <f aca="false">IF(OR($E1419="",$F1419=""),"",$E1419&amp;" - RT "&amp;$F1419)</f>
        <v/>
      </c>
      <c r="H1419" s="37"/>
      <c r="I1419" s="38"/>
      <c r="J1419" s="37"/>
      <c r="K1419" s="39"/>
      <c r="L1419" s="41"/>
      <c r="M1419" s="36" t="str">
        <f aca="true">IF(OR($B1419="",$L1419=""),"",DATEDIF($L1419,TODAY(),"Y"))</f>
        <v/>
      </c>
      <c r="N1419" s="40" t="str">
        <f aca="false">IF($M1419="","",INDEX(usia_label,MATCH($M1419,usia_min,1)))</f>
        <v/>
      </c>
      <c r="O1419" s="37"/>
      <c r="P1419" s="41"/>
      <c r="Q1419" s="37"/>
      <c r="R1419" s="37"/>
      <c r="S1419" s="40" t="str">
        <f aca="false">IF($G1419="","",$G1419&amp;"#"&amp;COUNTIF($G$4:$G1419,$G1419))</f>
        <v/>
      </c>
      <c r="T1419" s="40" t="str">
        <f aca="false">IF($B1419="","",IF($C1419="","NIK kosong",IF(LEN($C1419)&lt;&gt;16,"NIK bukan 16 digit",IF(COUNTIF($C$4:$C$2003,$C1419&amp;"*")&gt;1,"NIK ganda",IF($E1419="","Kadus kosong",IF($F1419="","RT kosong",IF($H1419="","Jabatan kosong",IF($I1419="","No. HP kosong",IF($J1419="","Alamat kosong",IF(AND($M1419&lt;&gt;"",$M1419&lt;17),"Usia di bawah 17",""))))))))))</f>
        <v/>
      </c>
      <c r="U1419" s="40" t="str">
        <f aca="false">IF($B1419="","",IF(AND(OR(CARI!$C$5="",ISNUMBER(SEARCH(CARI!$C$5,$B1419&amp;" "&amp;$C1419&amp;" "&amp;$I1419&amp;" "&amp;$J1419&amp;" "&amp;$Q1419))),OR(CARI!$C$6="",$E1419=CARI!$C$6),OR(CARI!$C$7="",$F1419=CARI!$C$7),OR(CARI!$C$8="",$O1419=CARI!$C$8)),MAX($U$3:U1418)+1,""))</f>
        <v/>
      </c>
      <c r="V1419" s="40" t="str">
        <f aca="false">IF($T1419="","",MAX($V$3:V1418)+1)</f>
        <v/>
      </c>
      <c r="W1419" s="40" t="str">
        <f aca="false">IF($E1419="","",$E1419&amp;"#"&amp;COUNTIF($E$4:$E1419,$E1419))</f>
        <v/>
      </c>
      <c r="X1419" s="40" t="str">
        <f aca="false">IF($B1419="","",IF(AND(OR(CETAK!$J$10="",$E1419=CETAK!$J$10),OR(CETAK!$J$11="",$F1419=CETAK!$J$11),OR(CETAK!$J$12="",$K1419=CETAK!$J$12),OR(CETAK!$J$13="",$H1419=CETAK!$J$13),OR(CETAK!$J$14="",$O1419=CETAK!$J$14)),MAX($X$3:X1418)+1,""))</f>
        <v/>
      </c>
      <c r="Y1419" s="40" t="str">
        <f aca="false">IF($B1419="","",IF(AND(OR(ABSENSI!$H$10="",$E1419=ABSENSI!$H$10),OR(ABSENSI!$H$11="",$F1419=ABSENSI!$H$11),OR(ABSENSI!$H$12="",$K1419=ABSENSI!$H$12)),MAX($Y$3:Y1418)+1,""))</f>
        <v/>
      </c>
      <c r="Z1419" s="40" t="str">
        <f aca="false">IF($B1419="","",IF(AND(OR(KARTU!$K$6="",$E1419=KARTU!$K$6),OR(KARTU!$K$7="",$F1419=KARTU!$K$7),OR(KARTU!$K$8="",$K1419=KARTU!$K$8)),MAX($Z$3:Z1418)+1,""))</f>
        <v/>
      </c>
    </row>
    <row r="1420" customFormat="false" ht="15" hidden="false" customHeight="false" outlineLevel="0" collapsed="false">
      <c r="A1420" s="36" t="str">
        <f aca="false">IF($B1420="","",COUNTA($B$4:$B1420))</f>
        <v/>
      </c>
      <c r="B1420" s="37"/>
      <c r="C1420" s="38"/>
      <c r="D1420" s="39"/>
      <c r="E1420" s="37"/>
      <c r="F1420" s="39"/>
      <c r="G1420" s="40" t="str">
        <f aca="false">IF(OR($E1420="",$F1420=""),"",$E1420&amp;" - RT "&amp;$F1420)</f>
        <v/>
      </c>
      <c r="H1420" s="37"/>
      <c r="I1420" s="38"/>
      <c r="J1420" s="37"/>
      <c r="K1420" s="39"/>
      <c r="L1420" s="41"/>
      <c r="M1420" s="36" t="str">
        <f aca="true">IF(OR($B1420="",$L1420=""),"",DATEDIF($L1420,TODAY(),"Y"))</f>
        <v/>
      </c>
      <c r="N1420" s="40" t="str">
        <f aca="false">IF($M1420="","",INDEX(usia_label,MATCH($M1420,usia_min,1)))</f>
        <v/>
      </c>
      <c r="O1420" s="37"/>
      <c r="P1420" s="41"/>
      <c r="Q1420" s="37"/>
      <c r="R1420" s="37"/>
      <c r="S1420" s="40" t="str">
        <f aca="false">IF($G1420="","",$G1420&amp;"#"&amp;COUNTIF($G$4:$G1420,$G1420))</f>
        <v/>
      </c>
      <c r="T1420" s="40" t="str">
        <f aca="false">IF($B1420="","",IF($C1420="","NIK kosong",IF(LEN($C1420)&lt;&gt;16,"NIK bukan 16 digit",IF(COUNTIF($C$4:$C$2003,$C1420&amp;"*")&gt;1,"NIK ganda",IF($E1420="","Kadus kosong",IF($F1420="","RT kosong",IF($H1420="","Jabatan kosong",IF($I1420="","No. HP kosong",IF($J1420="","Alamat kosong",IF(AND($M1420&lt;&gt;"",$M1420&lt;17),"Usia di bawah 17",""))))))))))</f>
        <v/>
      </c>
      <c r="U1420" s="40" t="str">
        <f aca="false">IF($B1420="","",IF(AND(OR(CARI!$C$5="",ISNUMBER(SEARCH(CARI!$C$5,$B1420&amp;" "&amp;$C1420&amp;" "&amp;$I1420&amp;" "&amp;$J1420&amp;" "&amp;$Q1420))),OR(CARI!$C$6="",$E1420=CARI!$C$6),OR(CARI!$C$7="",$F1420=CARI!$C$7),OR(CARI!$C$8="",$O1420=CARI!$C$8)),MAX($U$3:U1419)+1,""))</f>
        <v/>
      </c>
      <c r="V1420" s="40" t="str">
        <f aca="false">IF($T1420="","",MAX($V$3:V1419)+1)</f>
        <v/>
      </c>
      <c r="W1420" s="40" t="str">
        <f aca="false">IF($E1420="","",$E1420&amp;"#"&amp;COUNTIF($E$4:$E1420,$E1420))</f>
        <v/>
      </c>
      <c r="X1420" s="40" t="str">
        <f aca="false">IF($B1420="","",IF(AND(OR(CETAK!$J$10="",$E1420=CETAK!$J$10),OR(CETAK!$J$11="",$F1420=CETAK!$J$11),OR(CETAK!$J$12="",$K1420=CETAK!$J$12),OR(CETAK!$J$13="",$H1420=CETAK!$J$13),OR(CETAK!$J$14="",$O1420=CETAK!$J$14)),MAX($X$3:X1419)+1,""))</f>
        <v/>
      </c>
      <c r="Y1420" s="40" t="str">
        <f aca="false">IF($B1420="","",IF(AND(OR(ABSENSI!$H$10="",$E1420=ABSENSI!$H$10),OR(ABSENSI!$H$11="",$F1420=ABSENSI!$H$11),OR(ABSENSI!$H$12="",$K1420=ABSENSI!$H$12)),MAX($Y$3:Y1419)+1,""))</f>
        <v/>
      </c>
      <c r="Z1420" s="40" t="str">
        <f aca="false">IF($B1420="","",IF(AND(OR(KARTU!$K$6="",$E1420=KARTU!$K$6),OR(KARTU!$K$7="",$F1420=KARTU!$K$7),OR(KARTU!$K$8="",$K1420=KARTU!$K$8)),MAX($Z$3:Z1419)+1,""))</f>
        <v/>
      </c>
    </row>
    <row r="1421" customFormat="false" ht="15" hidden="false" customHeight="false" outlineLevel="0" collapsed="false">
      <c r="A1421" s="36" t="str">
        <f aca="false">IF($B1421="","",COUNTA($B$4:$B1421))</f>
        <v/>
      </c>
      <c r="B1421" s="37"/>
      <c r="C1421" s="38"/>
      <c r="D1421" s="39"/>
      <c r="E1421" s="37"/>
      <c r="F1421" s="39"/>
      <c r="G1421" s="40" t="str">
        <f aca="false">IF(OR($E1421="",$F1421=""),"",$E1421&amp;" - RT "&amp;$F1421)</f>
        <v/>
      </c>
      <c r="H1421" s="37"/>
      <c r="I1421" s="38"/>
      <c r="J1421" s="37"/>
      <c r="K1421" s="39"/>
      <c r="L1421" s="41"/>
      <c r="M1421" s="36" t="str">
        <f aca="true">IF(OR($B1421="",$L1421=""),"",DATEDIF($L1421,TODAY(),"Y"))</f>
        <v/>
      </c>
      <c r="N1421" s="40" t="str">
        <f aca="false">IF($M1421="","",INDEX(usia_label,MATCH($M1421,usia_min,1)))</f>
        <v/>
      </c>
      <c r="O1421" s="37"/>
      <c r="P1421" s="41"/>
      <c r="Q1421" s="37"/>
      <c r="R1421" s="37"/>
      <c r="S1421" s="40" t="str">
        <f aca="false">IF($G1421="","",$G1421&amp;"#"&amp;COUNTIF($G$4:$G1421,$G1421))</f>
        <v/>
      </c>
      <c r="T1421" s="40" t="str">
        <f aca="false">IF($B1421="","",IF($C1421="","NIK kosong",IF(LEN($C1421)&lt;&gt;16,"NIK bukan 16 digit",IF(COUNTIF($C$4:$C$2003,$C1421&amp;"*")&gt;1,"NIK ganda",IF($E1421="","Kadus kosong",IF($F1421="","RT kosong",IF($H1421="","Jabatan kosong",IF($I1421="","No. HP kosong",IF($J1421="","Alamat kosong",IF(AND($M1421&lt;&gt;"",$M1421&lt;17),"Usia di bawah 17",""))))))))))</f>
        <v/>
      </c>
      <c r="U1421" s="40" t="str">
        <f aca="false">IF($B1421="","",IF(AND(OR(CARI!$C$5="",ISNUMBER(SEARCH(CARI!$C$5,$B1421&amp;" "&amp;$C1421&amp;" "&amp;$I1421&amp;" "&amp;$J1421&amp;" "&amp;$Q1421))),OR(CARI!$C$6="",$E1421=CARI!$C$6),OR(CARI!$C$7="",$F1421=CARI!$C$7),OR(CARI!$C$8="",$O1421=CARI!$C$8)),MAX($U$3:U1420)+1,""))</f>
        <v/>
      </c>
      <c r="V1421" s="40" t="str">
        <f aca="false">IF($T1421="","",MAX($V$3:V1420)+1)</f>
        <v/>
      </c>
      <c r="W1421" s="40" t="str">
        <f aca="false">IF($E1421="","",$E1421&amp;"#"&amp;COUNTIF($E$4:$E1421,$E1421))</f>
        <v/>
      </c>
      <c r="X1421" s="40" t="str">
        <f aca="false">IF($B1421="","",IF(AND(OR(CETAK!$J$10="",$E1421=CETAK!$J$10),OR(CETAK!$J$11="",$F1421=CETAK!$J$11),OR(CETAK!$J$12="",$K1421=CETAK!$J$12),OR(CETAK!$J$13="",$H1421=CETAK!$J$13),OR(CETAK!$J$14="",$O1421=CETAK!$J$14)),MAX($X$3:X1420)+1,""))</f>
        <v/>
      </c>
      <c r="Y1421" s="40" t="str">
        <f aca="false">IF($B1421="","",IF(AND(OR(ABSENSI!$H$10="",$E1421=ABSENSI!$H$10),OR(ABSENSI!$H$11="",$F1421=ABSENSI!$H$11),OR(ABSENSI!$H$12="",$K1421=ABSENSI!$H$12)),MAX($Y$3:Y1420)+1,""))</f>
        <v/>
      </c>
      <c r="Z1421" s="40" t="str">
        <f aca="false">IF($B1421="","",IF(AND(OR(KARTU!$K$6="",$E1421=KARTU!$K$6),OR(KARTU!$K$7="",$F1421=KARTU!$K$7),OR(KARTU!$K$8="",$K1421=KARTU!$K$8)),MAX($Z$3:Z1420)+1,""))</f>
        <v/>
      </c>
    </row>
    <row r="1422" customFormat="false" ht="15" hidden="false" customHeight="false" outlineLevel="0" collapsed="false">
      <c r="A1422" s="36" t="str">
        <f aca="false">IF($B1422="","",COUNTA($B$4:$B1422))</f>
        <v/>
      </c>
      <c r="B1422" s="37"/>
      <c r="C1422" s="38"/>
      <c r="D1422" s="39"/>
      <c r="E1422" s="37"/>
      <c r="F1422" s="39"/>
      <c r="G1422" s="40" t="str">
        <f aca="false">IF(OR($E1422="",$F1422=""),"",$E1422&amp;" - RT "&amp;$F1422)</f>
        <v/>
      </c>
      <c r="H1422" s="37"/>
      <c r="I1422" s="38"/>
      <c r="J1422" s="37"/>
      <c r="K1422" s="39"/>
      <c r="L1422" s="41"/>
      <c r="M1422" s="36" t="str">
        <f aca="true">IF(OR($B1422="",$L1422=""),"",DATEDIF($L1422,TODAY(),"Y"))</f>
        <v/>
      </c>
      <c r="N1422" s="40" t="str">
        <f aca="false">IF($M1422="","",INDEX(usia_label,MATCH($M1422,usia_min,1)))</f>
        <v/>
      </c>
      <c r="O1422" s="37"/>
      <c r="P1422" s="41"/>
      <c r="Q1422" s="37"/>
      <c r="R1422" s="37"/>
      <c r="S1422" s="40" t="str">
        <f aca="false">IF($G1422="","",$G1422&amp;"#"&amp;COUNTIF($G$4:$G1422,$G1422))</f>
        <v/>
      </c>
      <c r="T1422" s="40" t="str">
        <f aca="false">IF($B1422="","",IF($C1422="","NIK kosong",IF(LEN($C1422)&lt;&gt;16,"NIK bukan 16 digit",IF(COUNTIF($C$4:$C$2003,$C1422&amp;"*")&gt;1,"NIK ganda",IF($E1422="","Kadus kosong",IF($F1422="","RT kosong",IF($H1422="","Jabatan kosong",IF($I1422="","No. HP kosong",IF($J1422="","Alamat kosong",IF(AND($M1422&lt;&gt;"",$M1422&lt;17),"Usia di bawah 17",""))))))))))</f>
        <v/>
      </c>
      <c r="U1422" s="40" t="str">
        <f aca="false">IF($B1422="","",IF(AND(OR(CARI!$C$5="",ISNUMBER(SEARCH(CARI!$C$5,$B1422&amp;" "&amp;$C1422&amp;" "&amp;$I1422&amp;" "&amp;$J1422&amp;" "&amp;$Q1422))),OR(CARI!$C$6="",$E1422=CARI!$C$6),OR(CARI!$C$7="",$F1422=CARI!$C$7),OR(CARI!$C$8="",$O1422=CARI!$C$8)),MAX($U$3:U1421)+1,""))</f>
        <v/>
      </c>
      <c r="V1422" s="40" t="str">
        <f aca="false">IF($T1422="","",MAX($V$3:V1421)+1)</f>
        <v/>
      </c>
      <c r="W1422" s="40" t="str">
        <f aca="false">IF($E1422="","",$E1422&amp;"#"&amp;COUNTIF($E$4:$E1422,$E1422))</f>
        <v/>
      </c>
      <c r="X1422" s="40" t="str">
        <f aca="false">IF($B1422="","",IF(AND(OR(CETAK!$J$10="",$E1422=CETAK!$J$10),OR(CETAK!$J$11="",$F1422=CETAK!$J$11),OR(CETAK!$J$12="",$K1422=CETAK!$J$12),OR(CETAK!$J$13="",$H1422=CETAK!$J$13),OR(CETAK!$J$14="",$O1422=CETAK!$J$14)),MAX($X$3:X1421)+1,""))</f>
        <v/>
      </c>
      <c r="Y1422" s="40" t="str">
        <f aca="false">IF($B1422="","",IF(AND(OR(ABSENSI!$H$10="",$E1422=ABSENSI!$H$10),OR(ABSENSI!$H$11="",$F1422=ABSENSI!$H$11),OR(ABSENSI!$H$12="",$K1422=ABSENSI!$H$12)),MAX($Y$3:Y1421)+1,""))</f>
        <v/>
      </c>
      <c r="Z1422" s="40" t="str">
        <f aca="false">IF($B1422="","",IF(AND(OR(KARTU!$K$6="",$E1422=KARTU!$K$6),OR(KARTU!$K$7="",$F1422=KARTU!$K$7),OR(KARTU!$K$8="",$K1422=KARTU!$K$8)),MAX($Z$3:Z1421)+1,""))</f>
        <v/>
      </c>
    </row>
    <row r="1423" customFormat="false" ht="15" hidden="false" customHeight="false" outlineLevel="0" collapsed="false">
      <c r="A1423" s="36" t="str">
        <f aca="false">IF($B1423="","",COUNTA($B$4:$B1423))</f>
        <v/>
      </c>
      <c r="B1423" s="37"/>
      <c r="C1423" s="38"/>
      <c r="D1423" s="39"/>
      <c r="E1423" s="37"/>
      <c r="F1423" s="39"/>
      <c r="G1423" s="40" t="str">
        <f aca="false">IF(OR($E1423="",$F1423=""),"",$E1423&amp;" - RT "&amp;$F1423)</f>
        <v/>
      </c>
      <c r="H1423" s="37"/>
      <c r="I1423" s="38"/>
      <c r="J1423" s="37"/>
      <c r="K1423" s="39"/>
      <c r="L1423" s="41"/>
      <c r="M1423" s="36" t="str">
        <f aca="true">IF(OR($B1423="",$L1423=""),"",DATEDIF($L1423,TODAY(),"Y"))</f>
        <v/>
      </c>
      <c r="N1423" s="40" t="str">
        <f aca="false">IF($M1423="","",INDEX(usia_label,MATCH($M1423,usia_min,1)))</f>
        <v/>
      </c>
      <c r="O1423" s="37"/>
      <c r="P1423" s="41"/>
      <c r="Q1423" s="37"/>
      <c r="R1423" s="37"/>
      <c r="S1423" s="40" t="str">
        <f aca="false">IF($G1423="","",$G1423&amp;"#"&amp;COUNTIF($G$4:$G1423,$G1423))</f>
        <v/>
      </c>
      <c r="T1423" s="40" t="str">
        <f aca="false">IF($B1423="","",IF($C1423="","NIK kosong",IF(LEN($C1423)&lt;&gt;16,"NIK bukan 16 digit",IF(COUNTIF($C$4:$C$2003,$C1423&amp;"*")&gt;1,"NIK ganda",IF($E1423="","Kadus kosong",IF($F1423="","RT kosong",IF($H1423="","Jabatan kosong",IF($I1423="","No. HP kosong",IF($J1423="","Alamat kosong",IF(AND($M1423&lt;&gt;"",$M1423&lt;17),"Usia di bawah 17",""))))))))))</f>
        <v/>
      </c>
      <c r="U1423" s="40" t="str">
        <f aca="false">IF($B1423="","",IF(AND(OR(CARI!$C$5="",ISNUMBER(SEARCH(CARI!$C$5,$B1423&amp;" "&amp;$C1423&amp;" "&amp;$I1423&amp;" "&amp;$J1423&amp;" "&amp;$Q1423))),OR(CARI!$C$6="",$E1423=CARI!$C$6),OR(CARI!$C$7="",$F1423=CARI!$C$7),OR(CARI!$C$8="",$O1423=CARI!$C$8)),MAX($U$3:U1422)+1,""))</f>
        <v/>
      </c>
      <c r="V1423" s="40" t="str">
        <f aca="false">IF($T1423="","",MAX($V$3:V1422)+1)</f>
        <v/>
      </c>
      <c r="W1423" s="40" t="str">
        <f aca="false">IF($E1423="","",$E1423&amp;"#"&amp;COUNTIF($E$4:$E1423,$E1423))</f>
        <v/>
      </c>
      <c r="X1423" s="40" t="str">
        <f aca="false">IF($B1423="","",IF(AND(OR(CETAK!$J$10="",$E1423=CETAK!$J$10),OR(CETAK!$J$11="",$F1423=CETAK!$J$11),OR(CETAK!$J$12="",$K1423=CETAK!$J$12),OR(CETAK!$J$13="",$H1423=CETAK!$J$13),OR(CETAK!$J$14="",$O1423=CETAK!$J$14)),MAX($X$3:X1422)+1,""))</f>
        <v/>
      </c>
      <c r="Y1423" s="40" t="str">
        <f aca="false">IF($B1423="","",IF(AND(OR(ABSENSI!$H$10="",$E1423=ABSENSI!$H$10),OR(ABSENSI!$H$11="",$F1423=ABSENSI!$H$11),OR(ABSENSI!$H$12="",$K1423=ABSENSI!$H$12)),MAX($Y$3:Y1422)+1,""))</f>
        <v/>
      </c>
      <c r="Z1423" s="40" t="str">
        <f aca="false">IF($B1423="","",IF(AND(OR(KARTU!$K$6="",$E1423=KARTU!$K$6),OR(KARTU!$K$7="",$F1423=KARTU!$K$7),OR(KARTU!$K$8="",$K1423=KARTU!$K$8)),MAX($Z$3:Z1422)+1,""))</f>
        <v/>
      </c>
    </row>
    <row r="1424" customFormat="false" ht="15" hidden="false" customHeight="false" outlineLevel="0" collapsed="false">
      <c r="A1424" s="36" t="str">
        <f aca="false">IF($B1424="","",COUNTA($B$4:$B1424))</f>
        <v/>
      </c>
      <c r="B1424" s="37"/>
      <c r="C1424" s="38"/>
      <c r="D1424" s="39"/>
      <c r="E1424" s="37"/>
      <c r="F1424" s="39"/>
      <c r="G1424" s="40" t="str">
        <f aca="false">IF(OR($E1424="",$F1424=""),"",$E1424&amp;" - RT "&amp;$F1424)</f>
        <v/>
      </c>
      <c r="H1424" s="37"/>
      <c r="I1424" s="38"/>
      <c r="J1424" s="37"/>
      <c r="K1424" s="39"/>
      <c r="L1424" s="41"/>
      <c r="M1424" s="36" t="str">
        <f aca="true">IF(OR($B1424="",$L1424=""),"",DATEDIF($L1424,TODAY(),"Y"))</f>
        <v/>
      </c>
      <c r="N1424" s="40" t="str">
        <f aca="false">IF($M1424="","",INDEX(usia_label,MATCH($M1424,usia_min,1)))</f>
        <v/>
      </c>
      <c r="O1424" s="37"/>
      <c r="P1424" s="41"/>
      <c r="Q1424" s="37"/>
      <c r="R1424" s="37"/>
      <c r="S1424" s="40" t="str">
        <f aca="false">IF($G1424="","",$G1424&amp;"#"&amp;COUNTIF($G$4:$G1424,$G1424))</f>
        <v/>
      </c>
      <c r="T1424" s="40" t="str">
        <f aca="false">IF($B1424="","",IF($C1424="","NIK kosong",IF(LEN($C1424)&lt;&gt;16,"NIK bukan 16 digit",IF(COUNTIF($C$4:$C$2003,$C1424&amp;"*")&gt;1,"NIK ganda",IF($E1424="","Kadus kosong",IF($F1424="","RT kosong",IF($H1424="","Jabatan kosong",IF($I1424="","No. HP kosong",IF($J1424="","Alamat kosong",IF(AND($M1424&lt;&gt;"",$M1424&lt;17),"Usia di bawah 17",""))))))))))</f>
        <v/>
      </c>
      <c r="U1424" s="40" t="str">
        <f aca="false">IF($B1424="","",IF(AND(OR(CARI!$C$5="",ISNUMBER(SEARCH(CARI!$C$5,$B1424&amp;" "&amp;$C1424&amp;" "&amp;$I1424&amp;" "&amp;$J1424&amp;" "&amp;$Q1424))),OR(CARI!$C$6="",$E1424=CARI!$C$6),OR(CARI!$C$7="",$F1424=CARI!$C$7),OR(CARI!$C$8="",$O1424=CARI!$C$8)),MAX($U$3:U1423)+1,""))</f>
        <v/>
      </c>
      <c r="V1424" s="40" t="str">
        <f aca="false">IF($T1424="","",MAX($V$3:V1423)+1)</f>
        <v/>
      </c>
      <c r="W1424" s="40" t="str">
        <f aca="false">IF($E1424="","",$E1424&amp;"#"&amp;COUNTIF($E$4:$E1424,$E1424))</f>
        <v/>
      </c>
      <c r="X1424" s="40" t="str">
        <f aca="false">IF($B1424="","",IF(AND(OR(CETAK!$J$10="",$E1424=CETAK!$J$10),OR(CETAK!$J$11="",$F1424=CETAK!$J$11),OR(CETAK!$J$12="",$K1424=CETAK!$J$12),OR(CETAK!$J$13="",$H1424=CETAK!$J$13),OR(CETAK!$J$14="",$O1424=CETAK!$J$14)),MAX($X$3:X1423)+1,""))</f>
        <v/>
      </c>
      <c r="Y1424" s="40" t="str">
        <f aca="false">IF($B1424="","",IF(AND(OR(ABSENSI!$H$10="",$E1424=ABSENSI!$H$10),OR(ABSENSI!$H$11="",$F1424=ABSENSI!$H$11),OR(ABSENSI!$H$12="",$K1424=ABSENSI!$H$12)),MAX($Y$3:Y1423)+1,""))</f>
        <v/>
      </c>
      <c r="Z1424" s="40" t="str">
        <f aca="false">IF($B1424="","",IF(AND(OR(KARTU!$K$6="",$E1424=KARTU!$K$6),OR(KARTU!$K$7="",$F1424=KARTU!$K$7),OR(KARTU!$K$8="",$K1424=KARTU!$K$8)),MAX($Z$3:Z1423)+1,""))</f>
        <v/>
      </c>
    </row>
    <row r="1425" customFormat="false" ht="15" hidden="false" customHeight="false" outlineLevel="0" collapsed="false">
      <c r="A1425" s="36" t="str">
        <f aca="false">IF($B1425="","",COUNTA($B$4:$B1425))</f>
        <v/>
      </c>
      <c r="B1425" s="37"/>
      <c r="C1425" s="38"/>
      <c r="D1425" s="39"/>
      <c r="E1425" s="37"/>
      <c r="F1425" s="39"/>
      <c r="G1425" s="40" t="str">
        <f aca="false">IF(OR($E1425="",$F1425=""),"",$E1425&amp;" - RT "&amp;$F1425)</f>
        <v/>
      </c>
      <c r="H1425" s="37"/>
      <c r="I1425" s="38"/>
      <c r="J1425" s="37"/>
      <c r="K1425" s="39"/>
      <c r="L1425" s="41"/>
      <c r="M1425" s="36" t="str">
        <f aca="true">IF(OR($B1425="",$L1425=""),"",DATEDIF($L1425,TODAY(),"Y"))</f>
        <v/>
      </c>
      <c r="N1425" s="40" t="str">
        <f aca="false">IF($M1425="","",INDEX(usia_label,MATCH($M1425,usia_min,1)))</f>
        <v/>
      </c>
      <c r="O1425" s="37"/>
      <c r="P1425" s="41"/>
      <c r="Q1425" s="37"/>
      <c r="R1425" s="37"/>
      <c r="S1425" s="40" t="str">
        <f aca="false">IF($G1425="","",$G1425&amp;"#"&amp;COUNTIF($G$4:$G1425,$G1425))</f>
        <v/>
      </c>
      <c r="T1425" s="40" t="str">
        <f aca="false">IF($B1425="","",IF($C1425="","NIK kosong",IF(LEN($C1425)&lt;&gt;16,"NIK bukan 16 digit",IF(COUNTIF($C$4:$C$2003,$C1425&amp;"*")&gt;1,"NIK ganda",IF($E1425="","Kadus kosong",IF($F1425="","RT kosong",IF($H1425="","Jabatan kosong",IF($I1425="","No. HP kosong",IF($J1425="","Alamat kosong",IF(AND($M1425&lt;&gt;"",$M1425&lt;17),"Usia di bawah 17",""))))))))))</f>
        <v/>
      </c>
      <c r="U1425" s="40" t="str">
        <f aca="false">IF($B1425="","",IF(AND(OR(CARI!$C$5="",ISNUMBER(SEARCH(CARI!$C$5,$B1425&amp;" "&amp;$C1425&amp;" "&amp;$I1425&amp;" "&amp;$J1425&amp;" "&amp;$Q1425))),OR(CARI!$C$6="",$E1425=CARI!$C$6),OR(CARI!$C$7="",$F1425=CARI!$C$7),OR(CARI!$C$8="",$O1425=CARI!$C$8)),MAX($U$3:U1424)+1,""))</f>
        <v/>
      </c>
      <c r="V1425" s="40" t="str">
        <f aca="false">IF($T1425="","",MAX($V$3:V1424)+1)</f>
        <v/>
      </c>
      <c r="W1425" s="40" t="str">
        <f aca="false">IF($E1425="","",$E1425&amp;"#"&amp;COUNTIF($E$4:$E1425,$E1425))</f>
        <v/>
      </c>
      <c r="X1425" s="40" t="str">
        <f aca="false">IF($B1425="","",IF(AND(OR(CETAK!$J$10="",$E1425=CETAK!$J$10),OR(CETAK!$J$11="",$F1425=CETAK!$J$11),OR(CETAK!$J$12="",$K1425=CETAK!$J$12),OR(CETAK!$J$13="",$H1425=CETAK!$J$13),OR(CETAK!$J$14="",$O1425=CETAK!$J$14)),MAX($X$3:X1424)+1,""))</f>
        <v/>
      </c>
      <c r="Y1425" s="40" t="str">
        <f aca="false">IF($B1425="","",IF(AND(OR(ABSENSI!$H$10="",$E1425=ABSENSI!$H$10),OR(ABSENSI!$H$11="",$F1425=ABSENSI!$H$11),OR(ABSENSI!$H$12="",$K1425=ABSENSI!$H$12)),MAX($Y$3:Y1424)+1,""))</f>
        <v/>
      </c>
      <c r="Z1425" s="40" t="str">
        <f aca="false">IF($B1425="","",IF(AND(OR(KARTU!$K$6="",$E1425=KARTU!$K$6),OR(KARTU!$K$7="",$F1425=KARTU!$K$7),OR(KARTU!$K$8="",$K1425=KARTU!$K$8)),MAX($Z$3:Z1424)+1,""))</f>
        <v/>
      </c>
    </row>
    <row r="1426" customFormat="false" ht="15" hidden="false" customHeight="false" outlineLevel="0" collapsed="false">
      <c r="A1426" s="36" t="str">
        <f aca="false">IF($B1426="","",COUNTA($B$4:$B1426))</f>
        <v/>
      </c>
      <c r="B1426" s="37"/>
      <c r="C1426" s="38"/>
      <c r="D1426" s="39"/>
      <c r="E1426" s="37"/>
      <c r="F1426" s="39"/>
      <c r="G1426" s="40" t="str">
        <f aca="false">IF(OR($E1426="",$F1426=""),"",$E1426&amp;" - RT "&amp;$F1426)</f>
        <v/>
      </c>
      <c r="H1426" s="37"/>
      <c r="I1426" s="38"/>
      <c r="J1426" s="37"/>
      <c r="K1426" s="39"/>
      <c r="L1426" s="41"/>
      <c r="M1426" s="36" t="str">
        <f aca="true">IF(OR($B1426="",$L1426=""),"",DATEDIF($L1426,TODAY(),"Y"))</f>
        <v/>
      </c>
      <c r="N1426" s="40" t="str">
        <f aca="false">IF($M1426="","",INDEX(usia_label,MATCH($M1426,usia_min,1)))</f>
        <v/>
      </c>
      <c r="O1426" s="37"/>
      <c r="P1426" s="41"/>
      <c r="Q1426" s="37"/>
      <c r="R1426" s="37"/>
      <c r="S1426" s="40" t="str">
        <f aca="false">IF($G1426="","",$G1426&amp;"#"&amp;COUNTIF($G$4:$G1426,$G1426))</f>
        <v/>
      </c>
      <c r="T1426" s="40" t="str">
        <f aca="false">IF($B1426="","",IF($C1426="","NIK kosong",IF(LEN($C1426)&lt;&gt;16,"NIK bukan 16 digit",IF(COUNTIF($C$4:$C$2003,$C1426&amp;"*")&gt;1,"NIK ganda",IF($E1426="","Kadus kosong",IF($F1426="","RT kosong",IF($H1426="","Jabatan kosong",IF($I1426="","No. HP kosong",IF($J1426="","Alamat kosong",IF(AND($M1426&lt;&gt;"",$M1426&lt;17),"Usia di bawah 17",""))))))))))</f>
        <v/>
      </c>
      <c r="U1426" s="40" t="str">
        <f aca="false">IF($B1426="","",IF(AND(OR(CARI!$C$5="",ISNUMBER(SEARCH(CARI!$C$5,$B1426&amp;" "&amp;$C1426&amp;" "&amp;$I1426&amp;" "&amp;$J1426&amp;" "&amp;$Q1426))),OR(CARI!$C$6="",$E1426=CARI!$C$6),OR(CARI!$C$7="",$F1426=CARI!$C$7),OR(CARI!$C$8="",$O1426=CARI!$C$8)),MAX($U$3:U1425)+1,""))</f>
        <v/>
      </c>
      <c r="V1426" s="40" t="str">
        <f aca="false">IF($T1426="","",MAX($V$3:V1425)+1)</f>
        <v/>
      </c>
      <c r="W1426" s="40" t="str">
        <f aca="false">IF($E1426="","",$E1426&amp;"#"&amp;COUNTIF($E$4:$E1426,$E1426))</f>
        <v/>
      </c>
      <c r="X1426" s="40" t="str">
        <f aca="false">IF($B1426="","",IF(AND(OR(CETAK!$J$10="",$E1426=CETAK!$J$10),OR(CETAK!$J$11="",$F1426=CETAK!$J$11),OR(CETAK!$J$12="",$K1426=CETAK!$J$12),OR(CETAK!$J$13="",$H1426=CETAK!$J$13),OR(CETAK!$J$14="",$O1426=CETAK!$J$14)),MAX($X$3:X1425)+1,""))</f>
        <v/>
      </c>
      <c r="Y1426" s="40" t="str">
        <f aca="false">IF($B1426="","",IF(AND(OR(ABSENSI!$H$10="",$E1426=ABSENSI!$H$10),OR(ABSENSI!$H$11="",$F1426=ABSENSI!$H$11),OR(ABSENSI!$H$12="",$K1426=ABSENSI!$H$12)),MAX($Y$3:Y1425)+1,""))</f>
        <v/>
      </c>
      <c r="Z1426" s="40" t="str">
        <f aca="false">IF($B1426="","",IF(AND(OR(KARTU!$K$6="",$E1426=KARTU!$K$6),OR(KARTU!$K$7="",$F1426=KARTU!$K$7),OR(KARTU!$K$8="",$K1426=KARTU!$K$8)),MAX($Z$3:Z1425)+1,""))</f>
        <v/>
      </c>
    </row>
    <row r="1427" customFormat="false" ht="15" hidden="false" customHeight="false" outlineLevel="0" collapsed="false">
      <c r="A1427" s="36" t="str">
        <f aca="false">IF($B1427="","",COUNTA($B$4:$B1427))</f>
        <v/>
      </c>
      <c r="B1427" s="37"/>
      <c r="C1427" s="38"/>
      <c r="D1427" s="39"/>
      <c r="E1427" s="37"/>
      <c r="F1427" s="39"/>
      <c r="G1427" s="40" t="str">
        <f aca="false">IF(OR($E1427="",$F1427=""),"",$E1427&amp;" - RT "&amp;$F1427)</f>
        <v/>
      </c>
      <c r="H1427" s="37"/>
      <c r="I1427" s="38"/>
      <c r="J1427" s="37"/>
      <c r="K1427" s="39"/>
      <c r="L1427" s="41"/>
      <c r="M1427" s="36" t="str">
        <f aca="true">IF(OR($B1427="",$L1427=""),"",DATEDIF($L1427,TODAY(),"Y"))</f>
        <v/>
      </c>
      <c r="N1427" s="40" t="str">
        <f aca="false">IF($M1427="","",INDEX(usia_label,MATCH($M1427,usia_min,1)))</f>
        <v/>
      </c>
      <c r="O1427" s="37"/>
      <c r="P1427" s="41"/>
      <c r="Q1427" s="37"/>
      <c r="R1427" s="37"/>
      <c r="S1427" s="40" t="str">
        <f aca="false">IF($G1427="","",$G1427&amp;"#"&amp;COUNTIF($G$4:$G1427,$G1427))</f>
        <v/>
      </c>
      <c r="T1427" s="40" t="str">
        <f aca="false">IF($B1427="","",IF($C1427="","NIK kosong",IF(LEN($C1427)&lt;&gt;16,"NIK bukan 16 digit",IF(COUNTIF($C$4:$C$2003,$C1427&amp;"*")&gt;1,"NIK ganda",IF($E1427="","Kadus kosong",IF($F1427="","RT kosong",IF($H1427="","Jabatan kosong",IF($I1427="","No. HP kosong",IF($J1427="","Alamat kosong",IF(AND($M1427&lt;&gt;"",$M1427&lt;17),"Usia di bawah 17",""))))))))))</f>
        <v/>
      </c>
      <c r="U1427" s="40" t="str">
        <f aca="false">IF($B1427="","",IF(AND(OR(CARI!$C$5="",ISNUMBER(SEARCH(CARI!$C$5,$B1427&amp;" "&amp;$C1427&amp;" "&amp;$I1427&amp;" "&amp;$J1427&amp;" "&amp;$Q1427))),OR(CARI!$C$6="",$E1427=CARI!$C$6),OR(CARI!$C$7="",$F1427=CARI!$C$7),OR(CARI!$C$8="",$O1427=CARI!$C$8)),MAX($U$3:U1426)+1,""))</f>
        <v/>
      </c>
      <c r="V1427" s="40" t="str">
        <f aca="false">IF($T1427="","",MAX($V$3:V1426)+1)</f>
        <v/>
      </c>
      <c r="W1427" s="40" t="str">
        <f aca="false">IF($E1427="","",$E1427&amp;"#"&amp;COUNTIF($E$4:$E1427,$E1427))</f>
        <v/>
      </c>
      <c r="X1427" s="40" t="str">
        <f aca="false">IF($B1427="","",IF(AND(OR(CETAK!$J$10="",$E1427=CETAK!$J$10),OR(CETAK!$J$11="",$F1427=CETAK!$J$11),OR(CETAK!$J$12="",$K1427=CETAK!$J$12),OR(CETAK!$J$13="",$H1427=CETAK!$J$13),OR(CETAK!$J$14="",$O1427=CETAK!$J$14)),MAX($X$3:X1426)+1,""))</f>
        <v/>
      </c>
      <c r="Y1427" s="40" t="str">
        <f aca="false">IF($B1427="","",IF(AND(OR(ABSENSI!$H$10="",$E1427=ABSENSI!$H$10),OR(ABSENSI!$H$11="",$F1427=ABSENSI!$H$11),OR(ABSENSI!$H$12="",$K1427=ABSENSI!$H$12)),MAX($Y$3:Y1426)+1,""))</f>
        <v/>
      </c>
      <c r="Z1427" s="40" t="str">
        <f aca="false">IF($B1427="","",IF(AND(OR(KARTU!$K$6="",$E1427=KARTU!$K$6),OR(KARTU!$K$7="",$F1427=KARTU!$K$7),OR(KARTU!$K$8="",$K1427=KARTU!$K$8)),MAX($Z$3:Z1426)+1,""))</f>
        <v/>
      </c>
    </row>
    <row r="1428" customFormat="false" ht="15" hidden="false" customHeight="false" outlineLevel="0" collapsed="false">
      <c r="A1428" s="36" t="str">
        <f aca="false">IF($B1428="","",COUNTA($B$4:$B1428))</f>
        <v/>
      </c>
      <c r="B1428" s="37"/>
      <c r="C1428" s="38"/>
      <c r="D1428" s="39"/>
      <c r="E1428" s="37"/>
      <c r="F1428" s="39"/>
      <c r="G1428" s="40" t="str">
        <f aca="false">IF(OR($E1428="",$F1428=""),"",$E1428&amp;" - RT "&amp;$F1428)</f>
        <v/>
      </c>
      <c r="H1428" s="37"/>
      <c r="I1428" s="38"/>
      <c r="J1428" s="37"/>
      <c r="K1428" s="39"/>
      <c r="L1428" s="41"/>
      <c r="M1428" s="36" t="str">
        <f aca="true">IF(OR($B1428="",$L1428=""),"",DATEDIF($L1428,TODAY(),"Y"))</f>
        <v/>
      </c>
      <c r="N1428" s="40" t="str">
        <f aca="false">IF($M1428="","",INDEX(usia_label,MATCH($M1428,usia_min,1)))</f>
        <v/>
      </c>
      <c r="O1428" s="37"/>
      <c r="P1428" s="41"/>
      <c r="Q1428" s="37"/>
      <c r="R1428" s="37"/>
      <c r="S1428" s="40" t="str">
        <f aca="false">IF($G1428="","",$G1428&amp;"#"&amp;COUNTIF($G$4:$G1428,$G1428))</f>
        <v/>
      </c>
      <c r="T1428" s="40" t="str">
        <f aca="false">IF($B1428="","",IF($C1428="","NIK kosong",IF(LEN($C1428)&lt;&gt;16,"NIK bukan 16 digit",IF(COUNTIF($C$4:$C$2003,$C1428&amp;"*")&gt;1,"NIK ganda",IF($E1428="","Kadus kosong",IF($F1428="","RT kosong",IF($H1428="","Jabatan kosong",IF($I1428="","No. HP kosong",IF($J1428="","Alamat kosong",IF(AND($M1428&lt;&gt;"",$M1428&lt;17),"Usia di bawah 17",""))))))))))</f>
        <v/>
      </c>
      <c r="U1428" s="40" t="str">
        <f aca="false">IF($B1428="","",IF(AND(OR(CARI!$C$5="",ISNUMBER(SEARCH(CARI!$C$5,$B1428&amp;" "&amp;$C1428&amp;" "&amp;$I1428&amp;" "&amp;$J1428&amp;" "&amp;$Q1428))),OR(CARI!$C$6="",$E1428=CARI!$C$6),OR(CARI!$C$7="",$F1428=CARI!$C$7),OR(CARI!$C$8="",$O1428=CARI!$C$8)),MAX($U$3:U1427)+1,""))</f>
        <v/>
      </c>
      <c r="V1428" s="40" t="str">
        <f aca="false">IF($T1428="","",MAX($V$3:V1427)+1)</f>
        <v/>
      </c>
      <c r="W1428" s="40" t="str">
        <f aca="false">IF($E1428="","",$E1428&amp;"#"&amp;COUNTIF($E$4:$E1428,$E1428))</f>
        <v/>
      </c>
      <c r="X1428" s="40" t="str">
        <f aca="false">IF($B1428="","",IF(AND(OR(CETAK!$J$10="",$E1428=CETAK!$J$10),OR(CETAK!$J$11="",$F1428=CETAK!$J$11),OR(CETAK!$J$12="",$K1428=CETAK!$J$12),OR(CETAK!$J$13="",$H1428=CETAK!$J$13),OR(CETAK!$J$14="",$O1428=CETAK!$J$14)),MAX($X$3:X1427)+1,""))</f>
        <v/>
      </c>
      <c r="Y1428" s="40" t="str">
        <f aca="false">IF($B1428="","",IF(AND(OR(ABSENSI!$H$10="",$E1428=ABSENSI!$H$10),OR(ABSENSI!$H$11="",$F1428=ABSENSI!$H$11),OR(ABSENSI!$H$12="",$K1428=ABSENSI!$H$12)),MAX($Y$3:Y1427)+1,""))</f>
        <v/>
      </c>
      <c r="Z1428" s="40" t="str">
        <f aca="false">IF($B1428="","",IF(AND(OR(KARTU!$K$6="",$E1428=KARTU!$K$6),OR(KARTU!$K$7="",$F1428=KARTU!$K$7),OR(KARTU!$K$8="",$K1428=KARTU!$K$8)),MAX($Z$3:Z1427)+1,""))</f>
        <v/>
      </c>
    </row>
    <row r="1429" customFormat="false" ht="15" hidden="false" customHeight="false" outlineLevel="0" collapsed="false">
      <c r="A1429" s="36" t="str">
        <f aca="false">IF($B1429="","",COUNTA($B$4:$B1429))</f>
        <v/>
      </c>
      <c r="B1429" s="37"/>
      <c r="C1429" s="38"/>
      <c r="D1429" s="39"/>
      <c r="E1429" s="37"/>
      <c r="F1429" s="39"/>
      <c r="G1429" s="40" t="str">
        <f aca="false">IF(OR($E1429="",$F1429=""),"",$E1429&amp;" - RT "&amp;$F1429)</f>
        <v/>
      </c>
      <c r="H1429" s="37"/>
      <c r="I1429" s="38"/>
      <c r="J1429" s="37"/>
      <c r="K1429" s="39"/>
      <c r="L1429" s="41"/>
      <c r="M1429" s="36" t="str">
        <f aca="true">IF(OR($B1429="",$L1429=""),"",DATEDIF($L1429,TODAY(),"Y"))</f>
        <v/>
      </c>
      <c r="N1429" s="40" t="str">
        <f aca="false">IF($M1429="","",INDEX(usia_label,MATCH($M1429,usia_min,1)))</f>
        <v/>
      </c>
      <c r="O1429" s="37"/>
      <c r="P1429" s="41"/>
      <c r="Q1429" s="37"/>
      <c r="R1429" s="37"/>
      <c r="S1429" s="40" t="str">
        <f aca="false">IF($G1429="","",$G1429&amp;"#"&amp;COUNTIF($G$4:$G1429,$G1429))</f>
        <v/>
      </c>
      <c r="T1429" s="40" t="str">
        <f aca="false">IF($B1429="","",IF($C1429="","NIK kosong",IF(LEN($C1429)&lt;&gt;16,"NIK bukan 16 digit",IF(COUNTIF($C$4:$C$2003,$C1429&amp;"*")&gt;1,"NIK ganda",IF($E1429="","Kadus kosong",IF($F1429="","RT kosong",IF($H1429="","Jabatan kosong",IF($I1429="","No. HP kosong",IF($J1429="","Alamat kosong",IF(AND($M1429&lt;&gt;"",$M1429&lt;17),"Usia di bawah 17",""))))))))))</f>
        <v/>
      </c>
      <c r="U1429" s="40" t="str">
        <f aca="false">IF($B1429="","",IF(AND(OR(CARI!$C$5="",ISNUMBER(SEARCH(CARI!$C$5,$B1429&amp;" "&amp;$C1429&amp;" "&amp;$I1429&amp;" "&amp;$J1429&amp;" "&amp;$Q1429))),OR(CARI!$C$6="",$E1429=CARI!$C$6),OR(CARI!$C$7="",$F1429=CARI!$C$7),OR(CARI!$C$8="",$O1429=CARI!$C$8)),MAX($U$3:U1428)+1,""))</f>
        <v/>
      </c>
      <c r="V1429" s="40" t="str">
        <f aca="false">IF($T1429="","",MAX($V$3:V1428)+1)</f>
        <v/>
      </c>
      <c r="W1429" s="40" t="str">
        <f aca="false">IF($E1429="","",$E1429&amp;"#"&amp;COUNTIF($E$4:$E1429,$E1429))</f>
        <v/>
      </c>
      <c r="X1429" s="40" t="str">
        <f aca="false">IF($B1429="","",IF(AND(OR(CETAK!$J$10="",$E1429=CETAK!$J$10),OR(CETAK!$J$11="",$F1429=CETAK!$J$11),OR(CETAK!$J$12="",$K1429=CETAK!$J$12),OR(CETAK!$J$13="",$H1429=CETAK!$J$13),OR(CETAK!$J$14="",$O1429=CETAK!$J$14)),MAX($X$3:X1428)+1,""))</f>
        <v/>
      </c>
      <c r="Y1429" s="40" t="str">
        <f aca="false">IF($B1429="","",IF(AND(OR(ABSENSI!$H$10="",$E1429=ABSENSI!$H$10),OR(ABSENSI!$H$11="",$F1429=ABSENSI!$H$11),OR(ABSENSI!$H$12="",$K1429=ABSENSI!$H$12)),MAX($Y$3:Y1428)+1,""))</f>
        <v/>
      </c>
      <c r="Z1429" s="40" t="str">
        <f aca="false">IF($B1429="","",IF(AND(OR(KARTU!$K$6="",$E1429=KARTU!$K$6),OR(KARTU!$K$7="",$F1429=KARTU!$K$7),OR(KARTU!$K$8="",$K1429=KARTU!$K$8)),MAX($Z$3:Z1428)+1,""))</f>
        <v/>
      </c>
    </row>
    <row r="1430" customFormat="false" ht="15" hidden="false" customHeight="false" outlineLevel="0" collapsed="false">
      <c r="A1430" s="36" t="str">
        <f aca="false">IF($B1430="","",COUNTA($B$4:$B1430))</f>
        <v/>
      </c>
      <c r="B1430" s="37"/>
      <c r="C1430" s="38"/>
      <c r="D1430" s="39"/>
      <c r="E1430" s="37"/>
      <c r="F1430" s="39"/>
      <c r="G1430" s="40" t="str">
        <f aca="false">IF(OR($E1430="",$F1430=""),"",$E1430&amp;" - RT "&amp;$F1430)</f>
        <v/>
      </c>
      <c r="H1430" s="37"/>
      <c r="I1430" s="38"/>
      <c r="J1430" s="37"/>
      <c r="K1430" s="39"/>
      <c r="L1430" s="41"/>
      <c r="M1430" s="36" t="str">
        <f aca="true">IF(OR($B1430="",$L1430=""),"",DATEDIF($L1430,TODAY(),"Y"))</f>
        <v/>
      </c>
      <c r="N1430" s="40" t="str">
        <f aca="false">IF($M1430="","",INDEX(usia_label,MATCH($M1430,usia_min,1)))</f>
        <v/>
      </c>
      <c r="O1430" s="37"/>
      <c r="P1430" s="41"/>
      <c r="Q1430" s="37"/>
      <c r="R1430" s="37"/>
      <c r="S1430" s="40" t="str">
        <f aca="false">IF($G1430="","",$G1430&amp;"#"&amp;COUNTIF($G$4:$G1430,$G1430))</f>
        <v/>
      </c>
      <c r="T1430" s="40" t="str">
        <f aca="false">IF($B1430="","",IF($C1430="","NIK kosong",IF(LEN($C1430)&lt;&gt;16,"NIK bukan 16 digit",IF(COUNTIF($C$4:$C$2003,$C1430&amp;"*")&gt;1,"NIK ganda",IF($E1430="","Kadus kosong",IF($F1430="","RT kosong",IF($H1430="","Jabatan kosong",IF($I1430="","No. HP kosong",IF($J1430="","Alamat kosong",IF(AND($M1430&lt;&gt;"",$M1430&lt;17),"Usia di bawah 17",""))))))))))</f>
        <v/>
      </c>
      <c r="U1430" s="40" t="str">
        <f aca="false">IF($B1430="","",IF(AND(OR(CARI!$C$5="",ISNUMBER(SEARCH(CARI!$C$5,$B1430&amp;" "&amp;$C1430&amp;" "&amp;$I1430&amp;" "&amp;$J1430&amp;" "&amp;$Q1430))),OR(CARI!$C$6="",$E1430=CARI!$C$6),OR(CARI!$C$7="",$F1430=CARI!$C$7),OR(CARI!$C$8="",$O1430=CARI!$C$8)),MAX($U$3:U1429)+1,""))</f>
        <v/>
      </c>
      <c r="V1430" s="40" t="str">
        <f aca="false">IF($T1430="","",MAX($V$3:V1429)+1)</f>
        <v/>
      </c>
      <c r="W1430" s="40" t="str">
        <f aca="false">IF($E1430="","",$E1430&amp;"#"&amp;COUNTIF($E$4:$E1430,$E1430))</f>
        <v/>
      </c>
      <c r="X1430" s="40" t="str">
        <f aca="false">IF($B1430="","",IF(AND(OR(CETAK!$J$10="",$E1430=CETAK!$J$10),OR(CETAK!$J$11="",$F1430=CETAK!$J$11),OR(CETAK!$J$12="",$K1430=CETAK!$J$12),OR(CETAK!$J$13="",$H1430=CETAK!$J$13),OR(CETAK!$J$14="",$O1430=CETAK!$J$14)),MAX($X$3:X1429)+1,""))</f>
        <v/>
      </c>
      <c r="Y1430" s="40" t="str">
        <f aca="false">IF($B1430="","",IF(AND(OR(ABSENSI!$H$10="",$E1430=ABSENSI!$H$10),OR(ABSENSI!$H$11="",$F1430=ABSENSI!$H$11),OR(ABSENSI!$H$12="",$K1430=ABSENSI!$H$12)),MAX($Y$3:Y1429)+1,""))</f>
        <v/>
      </c>
      <c r="Z1430" s="40" t="str">
        <f aca="false">IF($B1430="","",IF(AND(OR(KARTU!$K$6="",$E1430=KARTU!$K$6),OR(KARTU!$K$7="",$F1430=KARTU!$K$7),OR(KARTU!$K$8="",$K1430=KARTU!$K$8)),MAX($Z$3:Z1429)+1,""))</f>
        <v/>
      </c>
    </row>
    <row r="1431" customFormat="false" ht="15" hidden="false" customHeight="false" outlineLevel="0" collapsed="false">
      <c r="A1431" s="36" t="str">
        <f aca="false">IF($B1431="","",COUNTA($B$4:$B1431))</f>
        <v/>
      </c>
      <c r="B1431" s="37"/>
      <c r="C1431" s="38"/>
      <c r="D1431" s="39"/>
      <c r="E1431" s="37"/>
      <c r="F1431" s="39"/>
      <c r="G1431" s="40" t="str">
        <f aca="false">IF(OR($E1431="",$F1431=""),"",$E1431&amp;" - RT "&amp;$F1431)</f>
        <v/>
      </c>
      <c r="H1431" s="37"/>
      <c r="I1431" s="38"/>
      <c r="J1431" s="37"/>
      <c r="K1431" s="39"/>
      <c r="L1431" s="41"/>
      <c r="M1431" s="36" t="str">
        <f aca="true">IF(OR($B1431="",$L1431=""),"",DATEDIF($L1431,TODAY(),"Y"))</f>
        <v/>
      </c>
      <c r="N1431" s="40" t="str">
        <f aca="false">IF($M1431="","",INDEX(usia_label,MATCH($M1431,usia_min,1)))</f>
        <v/>
      </c>
      <c r="O1431" s="37"/>
      <c r="P1431" s="41"/>
      <c r="Q1431" s="37"/>
      <c r="R1431" s="37"/>
      <c r="S1431" s="40" t="str">
        <f aca="false">IF($G1431="","",$G1431&amp;"#"&amp;COUNTIF($G$4:$G1431,$G1431))</f>
        <v/>
      </c>
      <c r="T1431" s="40" t="str">
        <f aca="false">IF($B1431="","",IF($C1431="","NIK kosong",IF(LEN($C1431)&lt;&gt;16,"NIK bukan 16 digit",IF(COUNTIF($C$4:$C$2003,$C1431&amp;"*")&gt;1,"NIK ganda",IF($E1431="","Kadus kosong",IF($F1431="","RT kosong",IF($H1431="","Jabatan kosong",IF($I1431="","No. HP kosong",IF($J1431="","Alamat kosong",IF(AND($M1431&lt;&gt;"",$M1431&lt;17),"Usia di bawah 17",""))))))))))</f>
        <v/>
      </c>
      <c r="U1431" s="40" t="str">
        <f aca="false">IF($B1431="","",IF(AND(OR(CARI!$C$5="",ISNUMBER(SEARCH(CARI!$C$5,$B1431&amp;" "&amp;$C1431&amp;" "&amp;$I1431&amp;" "&amp;$J1431&amp;" "&amp;$Q1431))),OR(CARI!$C$6="",$E1431=CARI!$C$6),OR(CARI!$C$7="",$F1431=CARI!$C$7),OR(CARI!$C$8="",$O1431=CARI!$C$8)),MAX($U$3:U1430)+1,""))</f>
        <v/>
      </c>
      <c r="V1431" s="40" t="str">
        <f aca="false">IF($T1431="","",MAX($V$3:V1430)+1)</f>
        <v/>
      </c>
      <c r="W1431" s="40" t="str">
        <f aca="false">IF($E1431="","",$E1431&amp;"#"&amp;COUNTIF($E$4:$E1431,$E1431))</f>
        <v/>
      </c>
      <c r="X1431" s="40" t="str">
        <f aca="false">IF($B1431="","",IF(AND(OR(CETAK!$J$10="",$E1431=CETAK!$J$10),OR(CETAK!$J$11="",$F1431=CETAK!$J$11),OR(CETAK!$J$12="",$K1431=CETAK!$J$12),OR(CETAK!$J$13="",$H1431=CETAK!$J$13),OR(CETAK!$J$14="",$O1431=CETAK!$J$14)),MAX($X$3:X1430)+1,""))</f>
        <v/>
      </c>
      <c r="Y1431" s="40" t="str">
        <f aca="false">IF($B1431="","",IF(AND(OR(ABSENSI!$H$10="",$E1431=ABSENSI!$H$10),OR(ABSENSI!$H$11="",$F1431=ABSENSI!$H$11),OR(ABSENSI!$H$12="",$K1431=ABSENSI!$H$12)),MAX($Y$3:Y1430)+1,""))</f>
        <v/>
      </c>
      <c r="Z1431" s="40" t="str">
        <f aca="false">IF($B1431="","",IF(AND(OR(KARTU!$K$6="",$E1431=KARTU!$K$6),OR(KARTU!$K$7="",$F1431=KARTU!$K$7),OR(KARTU!$K$8="",$K1431=KARTU!$K$8)),MAX($Z$3:Z1430)+1,""))</f>
        <v/>
      </c>
    </row>
    <row r="1432" customFormat="false" ht="15" hidden="false" customHeight="false" outlineLevel="0" collapsed="false">
      <c r="A1432" s="36" t="str">
        <f aca="false">IF($B1432="","",COUNTA($B$4:$B1432))</f>
        <v/>
      </c>
      <c r="B1432" s="37"/>
      <c r="C1432" s="38"/>
      <c r="D1432" s="39"/>
      <c r="E1432" s="37"/>
      <c r="F1432" s="39"/>
      <c r="G1432" s="40" t="str">
        <f aca="false">IF(OR($E1432="",$F1432=""),"",$E1432&amp;" - RT "&amp;$F1432)</f>
        <v/>
      </c>
      <c r="H1432" s="37"/>
      <c r="I1432" s="38"/>
      <c r="J1432" s="37"/>
      <c r="K1432" s="39"/>
      <c r="L1432" s="41"/>
      <c r="M1432" s="36" t="str">
        <f aca="true">IF(OR($B1432="",$L1432=""),"",DATEDIF($L1432,TODAY(),"Y"))</f>
        <v/>
      </c>
      <c r="N1432" s="40" t="str">
        <f aca="false">IF($M1432="","",INDEX(usia_label,MATCH($M1432,usia_min,1)))</f>
        <v/>
      </c>
      <c r="O1432" s="37"/>
      <c r="P1432" s="41"/>
      <c r="Q1432" s="37"/>
      <c r="R1432" s="37"/>
      <c r="S1432" s="40" t="str">
        <f aca="false">IF($G1432="","",$G1432&amp;"#"&amp;COUNTIF($G$4:$G1432,$G1432))</f>
        <v/>
      </c>
      <c r="T1432" s="40" t="str">
        <f aca="false">IF($B1432="","",IF($C1432="","NIK kosong",IF(LEN($C1432)&lt;&gt;16,"NIK bukan 16 digit",IF(COUNTIF($C$4:$C$2003,$C1432&amp;"*")&gt;1,"NIK ganda",IF($E1432="","Kadus kosong",IF($F1432="","RT kosong",IF($H1432="","Jabatan kosong",IF($I1432="","No. HP kosong",IF($J1432="","Alamat kosong",IF(AND($M1432&lt;&gt;"",$M1432&lt;17),"Usia di bawah 17",""))))))))))</f>
        <v/>
      </c>
      <c r="U1432" s="40" t="str">
        <f aca="false">IF($B1432="","",IF(AND(OR(CARI!$C$5="",ISNUMBER(SEARCH(CARI!$C$5,$B1432&amp;" "&amp;$C1432&amp;" "&amp;$I1432&amp;" "&amp;$J1432&amp;" "&amp;$Q1432))),OR(CARI!$C$6="",$E1432=CARI!$C$6),OR(CARI!$C$7="",$F1432=CARI!$C$7),OR(CARI!$C$8="",$O1432=CARI!$C$8)),MAX($U$3:U1431)+1,""))</f>
        <v/>
      </c>
      <c r="V1432" s="40" t="str">
        <f aca="false">IF($T1432="","",MAX($V$3:V1431)+1)</f>
        <v/>
      </c>
      <c r="W1432" s="40" t="str">
        <f aca="false">IF($E1432="","",$E1432&amp;"#"&amp;COUNTIF($E$4:$E1432,$E1432))</f>
        <v/>
      </c>
      <c r="X1432" s="40" t="str">
        <f aca="false">IF($B1432="","",IF(AND(OR(CETAK!$J$10="",$E1432=CETAK!$J$10),OR(CETAK!$J$11="",$F1432=CETAK!$J$11),OR(CETAK!$J$12="",$K1432=CETAK!$J$12),OR(CETAK!$J$13="",$H1432=CETAK!$J$13),OR(CETAK!$J$14="",$O1432=CETAK!$J$14)),MAX($X$3:X1431)+1,""))</f>
        <v/>
      </c>
      <c r="Y1432" s="40" t="str">
        <f aca="false">IF($B1432="","",IF(AND(OR(ABSENSI!$H$10="",$E1432=ABSENSI!$H$10),OR(ABSENSI!$H$11="",$F1432=ABSENSI!$H$11),OR(ABSENSI!$H$12="",$K1432=ABSENSI!$H$12)),MAX($Y$3:Y1431)+1,""))</f>
        <v/>
      </c>
      <c r="Z1432" s="40" t="str">
        <f aca="false">IF($B1432="","",IF(AND(OR(KARTU!$K$6="",$E1432=KARTU!$K$6),OR(KARTU!$K$7="",$F1432=KARTU!$K$7),OR(KARTU!$K$8="",$K1432=KARTU!$K$8)),MAX($Z$3:Z1431)+1,""))</f>
        <v/>
      </c>
    </row>
    <row r="1433" customFormat="false" ht="15" hidden="false" customHeight="false" outlineLevel="0" collapsed="false">
      <c r="A1433" s="36" t="str">
        <f aca="false">IF($B1433="","",COUNTA($B$4:$B1433))</f>
        <v/>
      </c>
      <c r="B1433" s="37"/>
      <c r="C1433" s="38"/>
      <c r="D1433" s="39"/>
      <c r="E1433" s="37"/>
      <c r="F1433" s="39"/>
      <c r="G1433" s="40" t="str">
        <f aca="false">IF(OR($E1433="",$F1433=""),"",$E1433&amp;" - RT "&amp;$F1433)</f>
        <v/>
      </c>
      <c r="H1433" s="37"/>
      <c r="I1433" s="38"/>
      <c r="J1433" s="37"/>
      <c r="K1433" s="39"/>
      <c r="L1433" s="41"/>
      <c r="M1433" s="36" t="str">
        <f aca="true">IF(OR($B1433="",$L1433=""),"",DATEDIF($L1433,TODAY(),"Y"))</f>
        <v/>
      </c>
      <c r="N1433" s="40" t="str">
        <f aca="false">IF($M1433="","",INDEX(usia_label,MATCH($M1433,usia_min,1)))</f>
        <v/>
      </c>
      <c r="O1433" s="37"/>
      <c r="P1433" s="41"/>
      <c r="Q1433" s="37"/>
      <c r="R1433" s="37"/>
      <c r="S1433" s="40" t="str">
        <f aca="false">IF($G1433="","",$G1433&amp;"#"&amp;COUNTIF($G$4:$G1433,$G1433))</f>
        <v/>
      </c>
      <c r="T1433" s="40" t="str">
        <f aca="false">IF($B1433="","",IF($C1433="","NIK kosong",IF(LEN($C1433)&lt;&gt;16,"NIK bukan 16 digit",IF(COUNTIF($C$4:$C$2003,$C1433&amp;"*")&gt;1,"NIK ganda",IF($E1433="","Kadus kosong",IF($F1433="","RT kosong",IF($H1433="","Jabatan kosong",IF($I1433="","No. HP kosong",IF($J1433="","Alamat kosong",IF(AND($M1433&lt;&gt;"",$M1433&lt;17),"Usia di bawah 17",""))))))))))</f>
        <v/>
      </c>
      <c r="U1433" s="40" t="str">
        <f aca="false">IF($B1433="","",IF(AND(OR(CARI!$C$5="",ISNUMBER(SEARCH(CARI!$C$5,$B1433&amp;" "&amp;$C1433&amp;" "&amp;$I1433&amp;" "&amp;$J1433&amp;" "&amp;$Q1433))),OR(CARI!$C$6="",$E1433=CARI!$C$6),OR(CARI!$C$7="",$F1433=CARI!$C$7),OR(CARI!$C$8="",$O1433=CARI!$C$8)),MAX($U$3:U1432)+1,""))</f>
        <v/>
      </c>
      <c r="V1433" s="40" t="str">
        <f aca="false">IF($T1433="","",MAX($V$3:V1432)+1)</f>
        <v/>
      </c>
      <c r="W1433" s="40" t="str">
        <f aca="false">IF($E1433="","",$E1433&amp;"#"&amp;COUNTIF($E$4:$E1433,$E1433))</f>
        <v/>
      </c>
      <c r="X1433" s="40" t="str">
        <f aca="false">IF($B1433="","",IF(AND(OR(CETAK!$J$10="",$E1433=CETAK!$J$10),OR(CETAK!$J$11="",$F1433=CETAK!$J$11),OR(CETAK!$J$12="",$K1433=CETAK!$J$12),OR(CETAK!$J$13="",$H1433=CETAK!$J$13),OR(CETAK!$J$14="",$O1433=CETAK!$J$14)),MAX($X$3:X1432)+1,""))</f>
        <v/>
      </c>
      <c r="Y1433" s="40" t="str">
        <f aca="false">IF($B1433="","",IF(AND(OR(ABSENSI!$H$10="",$E1433=ABSENSI!$H$10),OR(ABSENSI!$H$11="",$F1433=ABSENSI!$H$11),OR(ABSENSI!$H$12="",$K1433=ABSENSI!$H$12)),MAX($Y$3:Y1432)+1,""))</f>
        <v/>
      </c>
      <c r="Z1433" s="40" t="str">
        <f aca="false">IF($B1433="","",IF(AND(OR(KARTU!$K$6="",$E1433=KARTU!$K$6),OR(KARTU!$K$7="",$F1433=KARTU!$K$7),OR(KARTU!$K$8="",$K1433=KARTU!$K$8)),MAX($Z$3:Z1432)+1,""))</f>
        <v/>
      </c>
    </row>
    <row r="1434" customFormat="false" ht="15" hidden="false" customHeight="false" outlineLevel="0" collapsed="false">
      <c r="A1434" s="36" t="str">
        <f aca="false">IF($B1434="","",COUNTA($B$4:$B1434))</f>
        <v/>
      </c>
      <c r="B1434" s="37"/>
      <c r="C1434" s="38"/>
      <c r="D1434" s="39"/>
      <c r="E1434" s="37"/>
      <c r="F1434" s="39"/>
      <c r="G1434" s="40" t="str">
        <f aca="false">IF(OR($E1434="",$F1434=""),"",$E1434&amp;" - RT "&amp;$F1434)</f>
        <v/>
      </c>
      <c r="H1434" s="37"/>
      <c r="I1434" s="38"/>
      <c r="J1434" s="37"/>
      <c r="K1434" s="39"/>
      <c r="L1434" s="41"/>
      <c r="M1434" s="36" t="str">
        <f aca="true">IF(OR($B1434="",$L1434=""),"",DATEDIF($L1434,TODAY(),"Y"))</f>
        <v/>
      </c>
      <c r="N1434" s="40" t="str">
        <f aca="false">IF($M1434="","",INDEX(usia_label,MATCH($M1434,usia_min,1)))</f>
        <v/>
      </c>
      <c r="O1434" s="37"/>
      <c r="P1434" s="41"/>
      <c r="Q1434" s="37"/>
      <c r="R1434" s="37"/>
      <c r="S1434" s="40" t="str">
        <f aca="false">IF($G1434="","",$G1434&amp;"#"&amp;COUNTIF($G$4:$G1434,$G1434))</f>
        <v/>
      </c>
      <c r="T1434" s="40" t="str">
        <f aca="false">IF($B1434="","",IF($C1434="","NIK kosong",IF(LEN($C1434)&lt;&gt;16,"NIK bukan 16 digit",IF(COUNTIF($C$4:$C$2003,$C1434&amp;"*")&gt;1,"NIK ganda",IF($E1434="","Kadus kosong",IF($F1434="","RT kosong",IF($H1434="","Jabatan kosong",IF($I1434="","No. HP kosong",IF($J1434="","Alamat kosong",IF(AND($M1434&lt;&gt;"",$M1434&lt;17),"Usia di bawah 17",""))))))))))</f>
        <v/>
      </c>
      <c r="U1434" s="40" t="str">
        <f aca="false">IF($B1434="","",IF(AND(OR(CARI!$C$5="",ISNUMBER(SEARCH(CARI!$C$5,$B1434&amp;" "&amp;$C1434&amp;" "&amp;$I1434&amp;" "&amp;$J1434&amp;" "&amp;$Q1434))),OR(CARI!$C$6="",$E1434=CARI!$C$6),OR(CARI!$C$7="",$F1434=CARI!$C$7),OR(CARI!$C$8="",$O1434=CARI!$C$8)),MAX($U$3:U1433)+1,""))</f>
        <v/>
      </c>
      <c r="V1434" s="40" t="str">
        <f aca="false">IF($T1434="","",MAX($V$3:V1433)+1)</f>
        <v/>
      </c>
      <c r="W1434" s="40" t="str">
        <f aca="false">IF($E1434="","",$E1434&amp;"#"&amp;COUNTIF($E$4:$E1434,$E1434))</f>
        <v/>
      </c>
      <c r="X1434" s="40" t="str">
        <f aca="false">IF($B1434="","",IF(AND(OR(CETAK!$J$10="",$E1434=CETAK!$J$10),OR(CETAK!$J$11="",$F1434=CETAK!$J$11),OR(CETAK!$J$12="",$K1434=CETAK!$J$12),OR(CETAK!$J$13="",$H1434=CETAK!$J$13),OR(CETAK!$J$14="",$O1434=CETAK!$J$14)),MAX($X$3:X1433)+1,""))</f>
        <v/>
      </c>
      <c r="Y1434" s="40" t="str">
        <f aca="false">IF($B1434="","",IF(AND(OR(ABSENSI!$H$10="",$E1434=ABSENSI!$H$10),OR(ABSENSI!$H$11="",$F1434=ABSENSI!$H$11),OR(ABSENSI!$H$12="",$K1434=ABSENSI!$H$12)),MAX($Y$3:Y1433)+1,""))</f>
        <v/>
      </c>
      <c r="Z1434" s="40" t="str">
        <f aca="false">IF($B1434="","",IF(AND(OR(KARTU!$K$6="",$E1434=KARTU!$K$6),OR(KARTU!$K$7="",$F1434=KARTU!$K$7),OR(KARTU!$K$8="",$K1434=KARTU!$K$8)),MAX($Z$3:Z1433)+1,""))</f>
        <v/>
      </c>
    </row>
    <row r="1435" customFormat="false" ht="15" hidden="false" customHeight="false" outlineLevel="0" collapsed="false">
      <c r="A1435" s="36" t="str">
        <f aca="false">IF($B1435="","",COUNTA($B$4:$B1435))</f>
        <v/>
      </c>
      <c r="B1435" s="37"/>
      <c r="C1435" s="38"/>
      <c r="D1435" s="39"/>
      <c r="E1435" s="37"/>
      <c r="F1435" s="39"/>
      <c r="G1435" s="40" t="str">
        <f aca="false">IF(OR($E1435="",$F1435=""),"",$E1435&amp;" - RT "&amp;$F1435)</f>
        <v/>
      </c>
      <c r="H1435" s="37"/>
      <c r="I1435" s="38"/>
      <c r="J1435" s="37"/>
      <c r="K1435" s="39"/>
      <c r="L1435" s="41"/>
      <c r="M1435" s="36" t="str">
        <f aca="true">IF(OR($B1435="",$L1435=""),"",DATEDIF($L1435,TODAY(),"Y"))</f>
        <v/>
      </c>
      <c r="N1435" s="40" t="str">
        <f aca="false">IF($M1435="","",INDEX(usia_label,MATCH($M1435,usia_min,1)))</f>
        <v/>
      </c>
      <c r="O1435" s="37"/>
      <c r="P1435" s="41"/>
      <c r="Q1435" s="37"/>
      <c r="R1435" s="37"/>
      <c r="S1435" s="40" t="str">
        <f aca="false">IF($G1435="","",$G1435&amp;"#"&amp;COUNTIF($G$4:$G1435,$G1435))</f>
        <v/>
      </c>
      <c r="T1435" s="40" t="str">
        <f aca="false">IF($B1435="","",IF($C1435="","NIK kosong",IF(LEN($C1435)&lt;&gt;16,"NIK bukan 16 digit",IF(COUNTIF($C$4:$C$2003,$C1435&amp;"*")&gt;1,"NIK ganda",IF($E1435="","Kadus kosong",IF($F1435="","RT kosong",IF($H1435="","Jabatan kosong",IF($I1435="","No. HP kosong",IF($J1435="","Alamat kosong",IF(AND($M1435&lt;&gt;"",$M1435&lt;17),"Usia di bawah 17",""))))))))))</f>
        <v/>
      </c>
      <c r="U1435" s="40" t="str">
        <f aca="false">IF($B1435="","",IF(AND(OR(CARI!$C$5="",ISNUMBER(SEARCH(CARI!$C$5,$B1435&amp;" "&amp;$C1435&amp;" "&amp;$I1435&amp;" "&amp;$J1435&amp;" "&amp;$Q1435))),OR(CARI!$C$6="",$E1435=CARI!$C$6),OR(CARI!$C$7="",$F1435=CARI!$C$7),OR(CARI!$C$8="",$O1435=CARI!$C$8)),MAX($U$3:U1434)+1,""))</f>
        <v/>
      </c>
      <c r="V1435" s="40" t="str">
        <f aca="false">IF($T1435="","",MAX($V$3:V1434)+1)</f>
        <v/>
      </c>
      <c r="W1435" s="40" t="str">
        <f aca="false">IF($E1435="","",$E1435&amp;"#"&amp;COUNTIF($E$4:$E1435,$E1435))</f>
        <v/>
      </c>
      <c r="X1435" s="40" t="str">
        <f aca="false">IF($B1435="","",IF(AND(OR(CETAK!$J$10="",$E1435=CETAK!$J$10),OR(CETAK!$J$11="",$F1435=CETAK!$J$11),OR(CETAK!$J$12="",$K1435=CETAK!$J$12),OR(CETAK!$J$13="",$H1435=CETAK!$J$13),OR(CETAK!$J$14="",$O1435=CETAK!$J$14)),MAX($X$3:X1434)+1,""))</f>
        <v/>
      </c>
      <c r="Y1435" s="40" t="str">
        <f aca="false">IF($B1435="","",IF(AND(OR(ABSENSI!$H$10="",$E1435=ABSENSI!$H$10),OR(ABSENSI!$H$11="",$F1435=ABSENSI!$H$11),OR(ABSENSI!$H$12="",$K1435=ABSENSI!$H$12)),MAX($Y$3:Y1434)+1,""))</f>
        <v/>
      </c>
      <c r="Z1435" s="40" t="str">
        <f aca="false">IF($B1435="","",IF(AND(OR(KARTU!$K$6="",$E1435=KARTU!$K$6),OR(KARTU!$K$7="",$F1435=KARTU!$K$7),OR(KARTU!$K$8="",$K1435=KARTU!$K$8)),MAX($Z$3:Z1434)+1,""))</f>
        <v/>
      </c>
    </row>
    <row r="1436" customFormat="false" ht="15" hidden="false" customHeight="false" outlineLevel="0" collapsed="false">
      <c r="A1436" s="36" t="str">
        <f aca="false">IF($B1436="","",COUNTA($B$4:$B1436))</f>
        <v/>
      </c>
      <c r="B1436" s="37"/>
      <c r="C1436" s="38"/>
      <c r="D1436" s="39"/>
      <c r="E1436" s="37"/>
      <c r="F1436" s="39"/>
      <c r="G1436" s="40" t="str">
        <f aca="false">IF(OR($E1436="",$F1436=""),"",$E1436&amp;" - RT "&amp;$F1436)</f>
        <v/>
      </c>
      <c r="H1436" s="37"/>
      <c r="I1436" s="38"/>
      <c r="J1436" s="37"/>
      <c r="K1436" s="39"/>
      <c r="L1436" s="41"/>
      <c r="M1436" s="36" t="str">
        <f aca="true">IF(OR($B1436="",$L1436=""),"",DATEDIF($L1436,TODAY(),"Y"))</f>
        <v/>
      </c>
      <c r="N1436" s="40" t="str">
        <f aca="false">IF($M1436="","",INDEX(usia_label,MATCH($M1436,usia_min,1)))</f>
        <v/>
      </c>
      <c r="O1436" s="37"/>
      <c r="P1436" s="41"/>
      <c r="Q1436" s="37"/>
      <c r="R1436" s="37"/>
      <c r="S1436" s="40" t="str">
        <f aca="false">IF($G1436="","",$G1436&amp;"#"&amp;COUNTIF($G$4:$G1436,$G1436))</f>
        <v/>
      </c>
      <c r="T1436" s="40" t="str">
        <f aca="false">IF($B1436="","",IF($C1436="","NIK kosong",IF(LEN($C1436)&lt;&gt;16,"NIK bukan 16 digit",IF(COUNTIF($C$4:$C$2003,$C1436&amp;"*")&gt;1,"NIK ganda",IF($E1436="","Kadus kosong",IF($F1436="","RT kosong",IF($H1436="","Jabatan kosong",IF($I1436="","No. HP kosong",IF($J1436="","Alamat kosong",IF(AND($M1436&lt;&gt;"",$M1436&lt;17),"Usia di bawah 17",""))))))))))</f>
        <v/>
      </c>
      <c r="U1436" s="40" t="str">
        <f aca="false">IF($B1436="","",IF(AND(OR(CARI!$C$5="",ISNUMBER(SEARCH(CARI!$C$5,$B1436&amp;" "&amp;$C1436&amp;" "&amp;$I1436&amp;" "&amp;$J1436&amp;" "&amp;$Q1436))),OR(CARI!$C$6="",$E1436=CARI!$C$6),OR(CARI!$C$7="",$F1436=CARI!$C$7),OR(CARI!$C$8="",$O1436=CARI!$C$8)),MAX($U$3:U1435)+1,""))</f>
        <v/>
      </c>
      <c r="V1436" s="40" t="str">
        <f aca="false">IF($T1436="","",MAX($V$3:V1435)+1)</f>
        <v/>
      </c>
      <c r="W1436" s="40" t="str">
        <f aca="false">IF($E1436="","",$E1436&amp;"#"&amp;COUNTIF($E$4:$E1436,$E1436))</f>
        <v/>
      </c>
      <c r="X1436" s="40" t="str">
        <f aca="false">IF($B1436="","",IF(AND(OR(CETAK!$J$10="",$E1436=CETAK!$J$10),OR(CETAK!$J$11="",$F1436=CETAK!$J$11),OR(CETAK!$J$12="",$K1436=CETAK!$J$12),OR(CETAK!$J$13="",$H1436=CETAK!$J$13),OR(CETAK!$J$14="",$O1436=CETAK!$J$14)),MAX($X$3:X1435)+1,""))</f>
        <v/>
      </c>
      <c r="Y1436" s="40" t="str">
        <f aca="false">IF($B1436="","",IF(AND(OR(ABSENSI!$H$10="",$E1436=ABSENSI!$H$10),OR(ABSENSI!$H$11="",$F1436=ABSENSI!$H$11),OR(ABSENSI!$H$12="",$K1436=ABSENSI!$H$12)),MAX($Y$3:Y1435)+1,""))</f>
        <v/>
      </c>
      <c r="Z1436" s="40" t="str">
        <f aca="false">IF($B1436="","",IF(AND(OR(KARTU!$K$6="",$E1436=KARTU!$K$6),OR(KARTU!$K$7="",$F1436=KARTU!$K$7),OR(KARTU!$K$8="",$K1436=KARTU!$K$8)),MAX($Z$3:Z1435)+1,""))</f>
        <v/>
      </c>
    </row>
    <row r="1437" customFormat="false" ht="15" hidden="false" customHeight="false" outlineLevel="0" collapsed="false">
      <c r="A1437" s="36" t="str">
        <f aca="false">IF($B1437="","",COUNTA($B$4:$B1437))</f>
        <v/>
      </c>
      <c r="B1437" s="37"/>
      <c r="C1437" s="38"/>
      <c r="D1437" s="39"/>
      <c r="E1437" s="37"/>
      <c r="F1437" s="39"/>
      <c r="G1437" s="40" t="str">
        <f aca="false">IF(OR($E1437="",$F1437=""),"",$E1437&amp;" - RT "&amp;$F1437)</f>
        <v/>
      </c>
      <c r="H1437" s="37"/>
      <c r="I1437" s="38"/>
      <c r="J1437" s="37"/>
      <c r="K1437" s="39"/>
      <c r="L1437" s="41"/>
      <c r="M1437" s="36" t="str">
        <f aca="true">IF(OR($B1437="",$L1437=""),"",DATEDIF($L1437,TODAY(),"Y"))</f>
        <v/>
      </c>
      <c r="N1437" s="40" t="str">
        <f aca="false">IF($M1437="","",INDEX(usia_label,MATCH($M1437,usia_min,1)))</f>
        <v/>
      </c>
      <c r="O1437" s="37"/>
      <c r="P1437" s="41"/>
      <c r="Q1437" s="37"/>
      <c r="R1437" s="37"/>
      <c r="S1437" s="40" t="str">
        <f aca="false">IF($G1437="","",$G1437&amp;"#"&amp;COUNTIF($G$4:$G1437,$G1437))</f>
        <v/>
      </c>
      <c r="T1437" s="40" t="str">
        <f aca="false">IF($B1437="","",IF($C1437="","NIK kosong",IF(LEN($C1437)&lt;&gt;16,"NIK bukan 16 digit",IF(COUNTIF($C$4:$C$2003,$C1437&amp;"*")&gt;1,"NIK ganda",IF($E1437="","Kadus kosong",IF($F1437="","RT kosong",IF($H1437="","Jabatan kosong",IF($I1437="","No. HP kosong",IF($J1437="","Alamat kosong",IF(AND($M1437&lt;&gt;"",$M1437&lt;17),"Usia di bawah 17",""))))))))))</f>
        <v/>
      </c>
      <c r="U1437" s="40" t="str">
        <f aca="false">IF($B1437="","",IF(AND(OR(CARI!$C$5="",ISNUMBER(SEARCH(CARI!$C$5,$B1437&amp;" "&amp;$C1437&amp;" "&amp;$I1437&amp;" "&amp;$J1437&amp;" "&amp;$Q1437))),OR(CARI!$C$6="",$E1437=CARI!$C$6),OR(CARI!$C$7="",$F1437=CARI!$C$7),OR(CARI!$C$8="",$O1437=CARI!$C$8)),MAX($U$3:U1436)+1,""))</f>
        <v/>
      </c>
      <c r="V1437" s="40" t="str">
        <f aca="false">IF($T1437="","",MAX($V$3:V1436)+1)</f>
        <v/>
      </c>
      <c r="W1437" s="40" t="str">
        <f aca="false">IF($E1437="","",$E1437&amp;"#"&amp;COUNTIF($E$4:$E1437,$E1437))</f>
        <v/>
      </c>
      <c r="X1437" s="40" t="str">
        <f aca="false">IF($B1437="","",IF(AND(OR(CETAK!$J$10="",$E1437=CETAK!$J$10),OR(CETAK!$J$11="",$F1437=CETAK!$J$11),OR(CETAK!$J$12="",$K1437=CETAK!$J$12),OR(CETAK!$J$13="",$H1437=CETAK!$J$13),OR(CETAK!$J$14="",$O1437=CETAK!$J$14)),MAX($X$3:X1436)+1,""))</f>
        <v/>
      </c>
      <c r="Y1437" s="40" t="str">
        <f aca="false">IF($B1437="","",IF(AND(OR(ABSENSI!$H$10="",$E1437=ABSENSI!$H$10),OR(ABSENSI!$H$11="",$F1437=ABSENSI!$H$11),OR(ABSENSI!$H$12="",$K1437=ABSENSI!$H$12)),MAX($Y$3:Y1436)+1,""))</f>
        <v/>
      </c>
      <c r="Z1437" s="40" t="str">
        <f aca="false">IF($B1437="","",IF(AND(OR(KARTU!$K$6="",$E1437=KARTU!$K$6),OR(KARTU!$K$7="",$F1437=KARTU!$K$7),OR(KARTU!$K$8="",$K1437=KARTU!$K$8)),MAX($Z$3:Z1436)+1,""))</f>
        <v/>
      </c>
    </row>
    <row r="1438" customFormat="false" ht="15" hidden="false" customHeight="false" outlineLevel="0" collapsed="false">
      <c r="A1438" s="36" t="str">
        <f aca="false">IF($B1438="","",COUNTA($B$4:$B1438))</f>
        <v/>
      </c>
      <c r="B1438" s="37"/>
      <c r="C1438" s="38"/>
      <c r="D1438" s="39"/>
      <c r="E1438" s="37"/>
      <c r="F1438" s="39"/>
      <c r="G1438" s="40" t="str">
        <f aca="false">IF(OR($E1438="",$F1438=""),"",$E1438&amp;" - RT "&amp;$F1438)</f>
        <v/>
      </c>
      <c r="H1438" s="37"/>
      <c r="I1438" s="38"/>
      <c r="J1438" s="37"/>
      <c r="K1438" s="39"/>
      <c r="L1438" s="41"/>
      <c r="M1438" s="36" t="str">
        <f aca="true">IF(OR($B1438="",$L1438=""),"",DATEDIF($L1438,TODAY(),"Y"))</f>
        <v/>
      </c>
      <c r="N1438" s="40" t="str">
        <f aca="false">IF($M1438="","",INDEX(usia_label,MATCH($M1438,usia_min,1)))</f>
        <v/>
      </c>
      <c r="O1438" s="37"/>
      <c r="P1438" s="41"/>
      <c r="Q1438" s="37"/>
      <c r="R1438" s="37"/>
      <c r="S1438" s="40" t="str">
        <f aca="false">IF($G1438="","",$G1438&amp;"#"&amp;COUNTIF($G$4:$G1438,$G1438))</f>
        <v/>
      </c>
      <c r="T1438" s="40" t="str">
        <f aca="false">IF($B1438="","",IF($C1438="","NIK kosong",IF(LEN($C1438)&lt;&gt;16,"NIK bukan 16 digit",IF(COUNTIF($C$4:$C$2003,$C1438&amp;"*")&gt;1,"NIK ganda",IF($E1438="","Kadus kosong",IF($F1438="","RT kosong",IF($H1438="","Jabatan kosong",IF($I1438="","No. HP kosong",IF($J1438="","Alamat kosong",IF(AND($M1438&lt;&gt;"",$M1438&lt;17),"Usia di bawah 17",""))))))))))</f>
        <v/>
      </c>
      <c r="U1438" s="40" t="str">
        <f aca="false">IF($B1438="","",IF(AND(OR(CARI!$C$5="",ISNUMBER(SEARCH(CARI!$C$5,$B1438&amp;" "&amp;$C1438&amp;" "&amp;$I1438&amp;" "&amp;$J1438&amp;" "&amp;$Q1438))),OR(CARI!$C$6="",$E1438=CARI!$C$6),OR(CARI!$C$7="",$F1438=CARI!$C$7),OR(CARI!$C$8="",$O1438=CARI!$C$8)),MAX($U$3:U1437)+1,""))</f>
        <v/>
      </c>
      <c r="V1438" s="40" t="str">
        <f aca="false">IF($T1438="","",MAX($V$3:V1437)+1)</f>
        <v/>
      </c>
      <c r="W1438" s="40" t="str">
        <f aca="false">IF($E1438="","",$E1438&amp;"#"&amp;COUNTIF($E$4:$E1438,$E1438))</f>
        <v/>
      </c>
      <c r="X1438" s="40" t="str">
        <f aca="false">IF($B1438="","",IF(AND(OR(CETAK!$J$10="",$E1438=CETAK!$J$10),OR(CETAK!$J$11="",$F1438=CETAK!$J$11),OR(CETAK!$J$12="",$K1438=CETAK!$J$12),OR(CETAK!$J$13="",$H1438=CETAK!$J$13),OR(CETAK!$J$14="",$O1438=CETAK!$J$14)),MAX($X$3:X1437)+1,""))</f>
        <v/>
      </c>
      <c r="Y1438" s="40" t="str">
        <f aca="false">IF($B1438="","",IF(AND(OR(ABSENSI!$H$10="",$E1438=ABSENSI!$H$10),OR(ABSENSI!$H$11="",$F1438=ABSENSI!$H$11),OR(ABSENSI!$H$12="",$K1438=ABSENSI!$H$12)),MAX($Y$3:Y1437)+1,""))</f>
        <v/>
      </c>
      <c r="Z1438" s="40" t="str">
        <f aca="false">IF($B1438="","",IF(AND(OR(KARTU!$K$6="",$E1438=KARTU!$K$6),OR(KARTU!$K$7="",$F1438=KARTU!$K$7),OR(KARTU!$K$8="",$K1438=KARTU!$K$8)),MAX($Z$3:Z1437)+1,""))</f>
        <v/>
      </c>
    </row>
    <row r="1439" customFormat="false" ht="15" hidden="false" customHeight="false" outlineLevel="0" collapsed="false">
      <c r="A1439" s="36" t="str">
        <f aca="false">IF($B1439="","",COUNTA($B$4:$B1439))</f>
        <v/>
      </c>
      <c r="B1439" s="37"/>
      <c r="C1439" s="38"/>
      <c r="D1439" s="39"/>
      <c r="E1439" s="37"/>
      <c r="F1439" s="39"/>
      <c r="G1439" s="40" t="str">
        <f aca="false">IF(OR($E1439="",$F1439=""),"",$E1439&amp;" - RT "&amp;$F1439)</f>
        <v/>
      </c>
      <c r="H1439" s="37"/>
      <c r="I1439" s="38"/>
      <c r="J1439" s="37"/>
      <c r="K1439" s="39"/>
      <c r="L1439" s="41"/>
      <c r="M1439" s="36" t="str">
        <f aca="true">IF(OR($B1439="",$L1439=""),"",DATEDIF($L1439,TODAY(),"Y"))</f>
        <v/>
      </c>
      <c r="N1439" s="40" t="str">
        <f aca="false">IF($M1439="","",INDEX(usia_label,MATCH($M1439,usia_min,1)))</f>
        <v/>
      </c>
      <c r="O1439" s="37"/>
      <c r="P1439" s="41"/>
      <c r="Q1439" s="37"/>
      <c r="R1439" s="37"/>
      <c r="S1439" s="40" t="str">
        <f aca="false">IF($G1439="","",$G1439&amp;"#"&amp;COUNTIF($G$4:$G1439,$G1439))</f>
        <v/>
      </c>
      <c r="T1439" s="40" t="str">
        <f aca="false">IF($B1439="","",IF($C1439="","NIK kosong",IF(LEN($C1439)&lt;&gt;16,"NIK bukan 16 digit",IF(COUNTIF($C$4:$C$2003,$C1439&amp;"*")&gt;1,"NIK ganda",IF($E1439="","Kadus kosong",IF($F1439="","RT kosong",IF($H1439="","Jabatan kosong",IF($I1439="","No. HP kosong",IF($J1439="","Alamat kosong",IF(AND($M1439&lt;&gt;"",$M1439&lt;17),"Usia di bawah 17",""))))))))))</f>
        <v/>
      </c>
      <c r="U1439" s="40" t="str">
        <f aca="false">IF($B1439="","",IF(AND(OR(CARI!$C$5="",ISNUMBER(SEARCH(CARI!$C$5,$B1439&amp;" "&amp;$C1439&amp;" "&amp;$I1439&amp;" "&amp;$J1439&amp;" "&amp;$Q1439))),OR(CARI!$C$6="",$E1439=CARI!$C$6),OR(CARI!$C$7="",$F1439=CARI!$C$7),OR(CARI!$C$8="",$O1439=CARI!$C$8)),MAX($U$3:U1438)+1,""))</f>
        <v/>
      </c>
      <c r="V1439" s="40" t="str">
        <f aca="false">IF($T1439="","",MAX($V$3:V1438)+1)</f>
        <v/>
      </c>
      <c r="W1439" s="40" t="str">
        <f aca="false">IF($E1439="","",$E1439&amp;"#"&amp;COUNTIF($E$4:$E1439,$E1439))</f>
        <v/>
      </c>
      <c r="X1439" s="40" t="str">
        <f aca="false">IF($B1439="","",IF(AND(OR(CETAK!$J$10="",$E1439=CETAK!$J$10),OR(CETAK!$J$11="",$F1439=CETAK!$J$11),OR(CETAK!$J$12="",$K1439=CETAK!$J$12),OR(CETAK!$J$13="",$H1439=CETAK!$J$13),OR(CETAK!$J$14="",$O1439=CETAK!$J$14)),MAX($X$3:X1438)+1,""))</f>
        <v/>
      </c>
      <c r="Y1439" s="40" t="str">
        <f aca="false">IF($B1439="","",IF(AND(OR(ABSENSI!$H$10="",$E1439=ABSENSI!$H$10),OR(ABSENSI!$H$11="",$F1439=ABSENSI!$H$11),OR(ABSENSI!$H$12="",$K1439=ABSENSI!$H$12)),MAX($Y$3:Y1438)+1,""))</f>
        <v/>
      </c>
      <c r="Z1439" s="40" t="str">
        <f aca="false">IF($B1439="","",IF(AND(OR(KARTU!$K$6="",$E1439=KARTU!$K$6),OR(KARTU!$K$7="",$F1439=KARTU!$K$7),OR(KARTU!$K$8="",$K1439=KARTU!$K$8)),MAX($Z$3:Z1438)+1,""))</f>
        <v/>
      </c>
    </row>
    <row r="1440" customFormat="false" ht="15" hidden="false" customHeight="false" outlineLevel="0" collapsed="false">
      <c r="A1440" s="36" t="str">
        <f aca="false">IF($B1440="","",COUNTA($B$4:$B1440))</f>
        <v/>
      </c>
      <c r="B1440" s="37"/>
      <c r="C1440" s="38"/>
      <c r="D1440" s="39"/>
      <c r="E1440" s="37"/>
      <c r="F1440" s="39"/>
      <c r="G1440" s="40" t="str">
        <f aca="false">IF(OR($E1440="",$F1440=""),"",$E1440&amp;" - RT "&amp;$F1440)</f>
        <v/>
      </c>
      <c r="H1440" s="37"/>
      <c r="I1440" s="38"/>
      <c r="J1440" s="37"/>
      <c r="K1440" s="39"/>
      <c r="L1440" s="41"/>
      <c r="M1440" s="36" t="str">
        <f aca="true">IF(OR($B1440="",$L1440=""),"",DATEDIF($L1440,TODAY(),"Y"))</f>
        <v/>
      </c>
      <c r="N1440" s="40" t="str">
        <f aca="false">IF($M1440="","",INDEX(usia_label,MATCH($M1440,usia_min,1)))</f>
        <v/>
      </c>
      <c r="O1440" s="37"/>
      <c r="P1440" s="41"/>
      <c r="Q1440" s="37"/>
      <c r="R1440" s="37"/>
      <c r="S1440" s="40" t="str">
        <f aca="false">IF($G1440="","",$G1440&amp;"#"&amp;COUNTIF($G$4:$G1440,$G1440))</f>
        <v/>
      </c>
      <c r="T1440" s="40" t="str">
        <f aca="false">IF($B1440="","",IF($C1440="","NIK kosong",IF(LEN($C1440)&lt;&gt;16,"NIK bukan 16 digit",IF(COUNTIF($C$4:$C$2003,$C1440&amp;"*")&gt;1,"NIK ganda",IF($E1440="","Kadus kosong",IF($F1440="","RT kosong",IF($H1440="","Jabatan kosong",IF($I1440="","No. HP kosong",IF($J1440="","Alamat kosong",IF(AND($M1440&lt;&gt;"",$M1440&lt;17),"Usia di bawah 17",""))))))))))</f>
        <v/>
      </c>
      <c r="U1440" s="40" t="str">
        <f aca="false">IF($B1440="","",IF(AND(OR(CARI!$C$5="",ISNUMBER(SEARCH(CARI!$C$5,$B1440&amp;" "&amp;$C1440&amp;" "&amp;$I1440&amp;" "&amp;$J1440&amp;" "&amp;$Q1440))),OR(CARI!$C$6="",$E1440=CARI!$C$6),OR(CARI!$C$7="",$F1440=CARI!$C$7),OR(CARI!$C$8="",$O1440=CARI!$C$8)),MAX($U$3:U1439)+1,""))</f>
        <v/>
      </c>
      <c r="V1440" s="40" t="str">
        <f aca="false">IF($T1440="","",MAX($V$3:V1439)+1)</f>
        <v/>
      </c>
      <c r="W1440" s="40" t="str">
        <f aca="false">IF($E1440="","",$E1440&amp;"#"&amp;COUNTIF($E$4:$E1440,$E1440))</f>
        <v/>
      </c>
      <c r="X1440" s="40" t="str">
        <f aca="false">IF($B1440="","",IF(AND(OR(CETAK!$J$10="",$E1440=CETAK!$J$10),OR(CETAK!$J$11="",$F1440=CETAK!$J$11),OR(CETAK!$J$12="",$K1440=CETAK!$J$12),OR(CETAK!$J$13="",$H1440=CETAK!$J$13),OR(CETAK!$J$14="",$O1440=CETAK!$J$14)),MAX($X$3:X1439)+1,""))</f>
        <v/>
      </c>
      <c r="Y1440" s="40" t="str">
        <f aca="false">IF($B1440="","",IF(AND(OR(ABSENSI!$H$10="",$E1440=ABSENSI!$H$10),OR(ABSENSI!$H$11="",$F1440=ABSENSI!$H$11),OR(ABSENSI!$H$12="",$K1440=ABSENSI!$H$12)),MAX($Y$3:Y1439)+1,""))</f>
        <v/>
      </c>
      <c r="Z1440" s="40" t="str">
        <f aca="false">IF($B1440="","",IF(AND(OR(KARTU!$K$6="",$E1440=KARTU!$K$6),OR(KARTU!$K$7="",$F1440=KARTU!$K$7),OR(KARTU!$K$8="",$K1440=KARTU!$K$8)),MAX($Z$3:Z1439)+1,""))</f>
        <v/>
      </c>
    </row>
    <row r="1441" customFormat="false" ht="15" hidden="false" customHeight="false" outlineLevel="0" collapsed="false">
      <c r="A1441" s="36" t="str">
        <f aca="false">IF($B1441="","",COUNTA($B$4:$B1441))</f>
        <v/>
      </c>
      <c r="B1441" s="37"/>
      <c r="C1441" s="38"/>
      <c r="D1441" s="39"/>
      <c r="E1441" s="37"/>
      <c r="F1441" s="39"/>
      <c r="G1441" s="40" t="str">
        <f aca="false">IF(OR($E1441="",$F1441=""),"",$E1441&amp;" - RT "&amp;$F1441)</f>
        <v/>
      </c>
      <c r="H1441" s="37"/>
      <c r="I1441" s="38"/>
      <c r="J1441" s="37"/>
      <c r="K1441" s="39"/>
      <c r="L1441" s="41"/>
      <c r="M1441" s="36" t="str">
        <f aca="true">IF(OR($B1441="",$L1441=""),"",DATEDIF($L1441,TODAY(),"Y"))</f>
        <v/>
      </c>
      <c r="N1441" s="40" t="str">
        <f aca="false">IF($M1441="","",INDEX(usia_label,MATCH($M1441,usia_min,1)))</f>
        <v/>
      </c>
      <c r="O1441" s="37"/>
      <c r="P1441" s="41"/>
      <c r="Q1441" s="37"/>
      <c r="R1441" s="37"/>
      <c r="S1441" s="40" t="str">
        <f aca="false">IF($G1441="","",$G1441&amp;"#"&amp;COUNTIF($G$4:$G1441,$G1441))</f>
        <v/>
      </c>
      <c r="T1441" s="40" t="str">
        <f aca="false">IF($B1441="","",IF($C1441="","NIK kosong",IF(LEN($C1441)&lt;&gt;16,"NIK bukan 16 digit",IF(COUNTIF($C$4:$C$2003,$C1441&amp;"*")&gt;1,"NIK ganda",IF($E1441="","Kadus kosong",IF($F1441="","RT kosong",IF($H1441="","Jabatan kosong",IF($I1441="","No. HP kosong",IF($J1441="","Alamat kosong",IF(AND($M1441&lt;&gt;"",$M1441&lt;17),"Usia di bawah 17",""))))))))))</f>
        <v/>
      </c>
      <c r="U1441" s="40" t="str">
        <f aca="false">IF($B1441="","",IF(AND(OR(CARI!$C$5="",ISNUMBER(SEARCH(CARI!$C$5,$B1441&amp;" "&amp;$C1441&amp;" "&amp;$I1441&amp;" "&amp;$J1441&amp;" "&amp;$Q1441))),OR(CARI!$C$6="",$E1441=CARI!$C$6),OR(CARI!$C$7="",$F1441=CARI!$C$7),OR(CARI!$C$8="",$O1441=CARI!$C$8)),MAX($U$3:U1440)+1,""))</f>
        <v/>
      </c>
      <c r="V1441" s="40" t="str">
        <f aca="false">IF($T1441="","",MAX($V$3:V1440)+1)</f>
        <v/>
      </c>
      <c r="W1441" s="40" t="str">
        <f aca="false">IF($E1441="","",$E1441&amp;"#"&amp;COUNTIF($E$4:$E1441,$E1441))</f>
        <v/>
      </c>
      <c r="X1441" s="40" t="str">
        <f aca="false">IF($B1441="","",IF(AND(OR(CETAK!$J$10="",$E1441=CETAK!$J$10),OR(CETAK!$J$11="",$F1441=CETAK!$J$11),OR(CETAK!$J$12="",$K1441=CETAK!$J$12),OR(CETAK!$J$13="",$H1441=CETAK!$J$13),OR(CETAK!$J$14="",$O1441=CETAK!$J$14)),MAX($X$3:X1440)+1,""))</f>
        <v/>
      </c>
      <c r="Y1441" s="40" t="str">
        <f aca="false">IF($B1441="","",IF(AND(OR(ABSENSI!$H$10="",$E1441=ABSENSI!$H$10),OR(ABSENSI!$H$11="",$F1441=ABSENSI!$H$11),OR(ABSENSI!$H$12="",$K1441=ABSENSI!$H$12)),MAX($Y$3:Y1440)+1,""))</f>
        <v/>
      </c>
      <c r="Z1441" s="40" t="str">
        <f aca="false">IF($B1441="","",IF(AND(OR(KARTU!$K$6="",$E1441=KARTU!$K$6),OR(KARTU!$K$7="",$F1441=KARTU!$K$7),OR(KARTU!$K$8="",$K1441=KARTU!$K$8)),MAX($Z$3:Z1440)+1,""))</f>
        <v/>
      </c>
    </row>
    <row r="1442" customFormat="false" ht="15" hidden="false" customHeight="false" outlineLevel="0" collapsed="false">
      <c r="A1442" s="36" t="str">
        <f aca="false">IF($B1442="","",COUNTA($B$4:$B1442))</f>
        <v/>
      </c>
      <c r="B1442" s="37"/>
      <c r="C1442" s="38"/>
      <c r="D1442" s="39"/>
      <c r="E1442" s="37"/>
      <c r="F1442" s="39"/>
      <c r="G1442" s="40" t="str">
        <f aca="false">IF(OR($E1442="",$F1442=""),"",$E1442&amp;" - RT "&amp;$F1442)</f>
        <v/>
      </c>
      <c r="H1442" s="37"/>
      <c r="I1442" s="38"/>
      <c r="J1442" s="37"/>
      <c r="K1442" s="39"/>
      <c r="L1442" s="41"/>
      <c r="M1442" s="36" t="str">
        <f aca="true">IF(OR($B1442="",$L1442=""),"",DATEDIF($L1442,TODAY(),"Y"))</f>
        <v/>
      </c>
      <c r="N1442" s="40" t="str">
        <f aca="false">IF($M1442="","",INDEX(usia_label,MATCH($M1442,usia_min,1)))</f>
        <v/>
      </c>
      <c r="O1442" s="37"/>
      <c r="P1442" s="41"/>
      <c r="Q1442" s="37"/>
      <c r="R1442" s="37"/>
      <c r="S1442" s="40" t="str">
        <f aca="false">IF($G1442="","",$G1442&amp;"#"&amp;COUNTIF($G$4:$G1442,$G1442))</f>
        <v/>
      </c>
      <c r="T1442" s="40" t="str">
        <f aca="false">IF($B1442="","",IF($C1442="","NIK kosong",IF(LEN($C1442)&lt;&gt;16,"NIK bukan 16 digit",IF(COUNTIF($C$4:$C$2003,$C1442&amp;"*")&gt;1,"NIK ganda",IF($E1442="","Kadus kosong",IF($F1442="","RT kosong",IF($H1442="","Jabatan kosong",IF($I1442="","No. HP kosong",IF($J1442="","Alamat kosong",IF(AND($M1442&lt;&gt;"",$M1442&lt;17),"Usia di bawah 17",""))))))))))</f>
        <v/>
      </c>
      <c r="U1442" s="40" t="str">
        <f aca="false">IF($B1442="","",IF(AND(OR(CARI!$C$5="",ISNUMBER(SEARCH(CARI!$C$5,$B1442&amp;" "&amp;$C1442&amp;" "&amp;$I1442&amp;" "&amp;$J1442&amp;" "&amp;$Q1442))),OR(CARI!$C$6="",$E1442=CARI!$C$6),OR(CARI!$C$7="",$F1442=CARI!$C$7),OR(CARI!$C$8="",$O1442=CARI!$C$8)),MAX($U$3:U1441)+1,""))</f>
        <v/>
      </c>
      <c r="V1442" s="40" t="str">
        <f aca="false">IF($T1442="","",MAX($V$3:V1441)+1)</f>
        <v/>
      </c>
      <c r="W1442" s="40" t="str">
        <f aca="false">IF($E1442="","",$E1442&amp;"#"&amp;COUNTIF($E$4:$E1442,$E1442))</f>
        <v/>
      </c>
      <c r="X1442" s="40" t="str">
        <f aca="false">IF($B1442="","",IF(AND(OR(CETAK!$J$10="",$E1442=CETAK!$J$10),OR(CETAK!$J$11="",$F1442=CETAK!$J$11),OR(CETAK!$J$12="",$K1442=CETAK!$J$12),OR(CETAK!$J$13="",$H1442=CETAK!$J$13),OR(CETAK!$J$14="",$O1442=CETAK!$J$14)),MAX($X$3:X1441)+1,""))</f>
        <v/>
      </c>
      <c r="Y1442" s="40" t="str">
        <f aca="false">IF($B1442="","",IF(AND(OR(ABSENSI!$H$10="",$E1442=ABSENSI!$H$10),OR(ABSENSI!$H$11="",$F1442=ABSENSI!$H$11),OR(ABSENSI!$H$12="",$K1442=ABSENSI!$H$12)),MAX($Y$3:Y1441)+1,""))</f>
        <v/>
      </c>
      <c r="Z1442" s="40" t="str">
        <f aca="false">IF($B1442="","",IF(AND(OR(KARTU!$K$6="",$E1442=KARTU!$K$6),OR(KARTU!$K$7="",$F1442=KARTU!$K$7),OR(KARTU!$K$8="",$K1442=KARTU!$K$8)),MAX($Z$3:Z1441)+1,""))</f>
        <v/>
      </c>
    </row>
    <row r="1443" customFormat="false" ht="15" hidden="false" customHeight="false" outlineLevel="0" collapsed="false">
      <c r="A1443" s="36" t="str">
        <f aca="false">IF($B1443="","",COUNTA($B$4:$B1443))</f>
        <v/>
      </c>
      <c r="B1443" s="37"/>
      <c r="C1443" s="38"/>
      <c r="D1443" s="39"/>
      <c r="E1443" s="37"/>
      <c r="F1443" s="39"/>
      <c r="G1443" s="40" t="str">
        <f aca="false">IF(OR($E1443="",$F1443=""),"",$E1443&amp;" - RT "&amp;$F1443)</f>
        <v/>
      </c>
      <c r="H1443" s="37"/>
      <c r="I1443" s="38"/>
      <c r="J1443" s="37"/>
      <c r="K1443" s="39"/>
      <c r="L1443" s="41"/>
      <c r="M1443" s="36" t="str">
        <f aca="true">IF(OR($B1443="",$L1443=""),"",DATEDIF($L1443,TODAY(),"Y"))</f>
        <v/>
      </c>
      <c r="N1443" s="40" t="str">
        <f aca="false">IF($M1443="","",INDEX(usia_label,MATCH($M1443,usia_min,1)))</f>
        <v/>
      </c>
      <c r="O1443" s="37"/>
      <c r="P1443" s="41"/>
      <c r="Q1443" s="37"/>
      <c r="R1443" s="37"/>
      <c r="S1443" s="40" t="str">
        <f aca="false">IF($G1443="","",$G1443&amp;"#"&amp;COUNTIF($G$4:$G1443,$G1443))</f>
        <v/>
      </c>
      <c r="T1443" s="40" t="str">
        <f aca="false">IF($B1443="","",IF($C1443="","NIK kosong",IF(LEN($C1443)&lt;&gt;16,"NIK bukan 16 digit",IF(COUNTIF($C$4:$C$2003,$C1443&amp;"*")&gt;1,"NIK ganda",IF($E1443="","Kadus kosong",IF($F1443="","RT kosong",IF($H1443="","Jabatan kosong",IF($I1443="","No. HP kosong",IF($J1443="","Alamat kosong",IF(AND($M1443&lt;&gt;"",$M1443&lt;17),"Usia di bawah 17",""))))))))))</f>
        <v/>
      </c>
      <c r="U1443" s="40" t="str">
        <f aca="false">IF($B1443="","",IF(AND(OR(CARI!$C$5="",ISNUMBER(SEARCH(CARI!$C$5,$B1443&amp;" "&amp;$C1443&amp;" "&amp;$I1443&amp;" "&amp;$J1443&amp;" "&amp;$Q1443))),OR(CARI!$C$6="",$E1443=CARI!$C$6),OR(CARI!$C$7="",$F1443=CARI!$C$7),OR(CARI!$C$8="",$O1443=CARI!$C$8)),MAX($U$3:U1442)+1,""))</f>
        <v/>
      </c>
      <c r="V1443" s="40" t="str">
        <f aca="false">IF($T1443="","",MAX($V$3:V1442)+1)</f>
        <v/>
      </c>
      <c r="W1443" s="40" t="str">
        <f aca="false">IF($E1443="","",$E1443&amp;"#"&amp;COUNTIF($E$4:$E1443,$E1443))</f>
        <v/>
      </c>
      <c r="X1443" s="40" t="str">
        <f aca="false">IF($B1443="","",IF(AND(OR(CETAK!$J$10="",$E1443=CETAK!$J$10),OR(CETAK!$J$11="",$F1443=CETAK!$J$11),OR(CETAK!$J$12="",$K1443=CETAK!$J$12),OR(CETAK!$J$13="",$H1443=CETAK!$J$13),OR(CETAK!$J$14="",$O1443=CETAK!$J$14)),MAX($X$3:X1442)+1,""))</f>
        <v/>
      </c>
      <c r="Y1443" s="40" t="str">
        <f aca="false">IF($B1443="","",IF(AND(OR(ABSENSI!$H$10="",$E1443=ABSENSI!$H$10),OR(ABSENSI!$H$11="",$F1443=ABSENSI!$H$11),OR(ABSENSI!$H$12="",$K1443=ABSENSI!$H$12)),MAX($Y$3:Y1442)+1,""))</f>
        <v/>
      </c>
      <c r="Z1443" s="40" t="str">
        <f aca="false">IF($B1443="","",IF(AND(OR(KARTU!$K$6="",$E1443=KARTU!$K$6),OR(KARTU!$K$7="",$F1443=KARTU!$K$7),OR(KARTU!$K$8="",$K1443=KARTU!$K$8)),MAX($Z$3:Z1442)+1,""))</f>
        <v/>
      </c>
    </row>
    <row r="1444" customFormat="false" ht="15" hidden="false" customHeight="false" outlineLevel="0" collapsed="false">
      <c r="A1444" s="36" t="str">
        <f aca="false">IF($B1444="","",COUNTA($B$4:$B1444))</f>
        <v/>
      </c>
      <c r="B1444" s="37"/>
      <c r="C1444" s="38"/>
      <c r="D1444" s="39"/>
      <c r="E1444" s="37"/>
      <c r="F1444" s="39"/>
      <c r="G1444" s="40" t="str">
        <f aca="false">IF(OR($E1444="",$F1444=""),"",$E1444&amp;" - RT "&amp;$F1444)</f>
        <v/>
      </c>
      <c r="H1444" s="37"/>
      <c r="I1444" s="38"/>
      <c r="J1444" s="37"/>
      <c r="K1444" s="39"/>
      <c r="L1444" s="41"/>
      <c r="M1444" s="36" t="str">
        <f aca="true">IF(OR($B1444="",$L1444=""),"",DATEDIF($L1444,TODAY(),"Y"))</f>
        <v/>
      </c>
      <c r="N1444" s="40" t="str">
        <f aca="false">IF($M1444="","",INDEX(usia_label,MATCH($M1444,usia_min,1)))</f>
        <v/>
      </c>
      <c r="O1444" s="37"/>
      <c r="P1444" s="41"/>
      <c r="Q1444" s="37"/>
      <c r="R1444" s="37"/>
      <c r="S1444" s="40" t="str">
        <f aca="false">IF($G1444="","",$G1444&amp;"#"&amp;COUNTIF($G$4:$G1444,$G1444))</f>
        <v/>
      </c>
      <c r="T1444" s="40" t="str">
        <f aca="false">IF($B1444="","",IF($C1444="","NIK kosong",IF(LEN($C1444)&lt;&gt;16,"NIK bukan 16 digit",IF(COUNTIF($C$4:$C$2003,$C1444&amp;"*")&gt;1,"NIK ganda",IF($E1444="","Kadus kosong",IF($F1444="","RT kosong",IF($H1444="","Jabatan kosong",IF($I1444="","No. HP kosong",IF($J1444="","Alamat kosong",IF(AND($M1444&lt;&gt;"",$M1444&lt;17),"Usia di bawah 17",""))))))))))</f>
        <v/>
      </c>
      <c r="U1444" s="40" t="str">
        <f aca="false">IF($B1444="","",IF(AND(OR(CARI!$C$5="",ISNUMBER(SEARCH(CARI!$C$5,$B1444&amp;" "&amp;$C1444&amp;" "&amp;$I1444&amp;" "&amp;$J1444&amp;" "&amp;$Q1444))),OR(CARI!$C$6="",$E1444=CARI!$C$6),OR(CARI!$C$7="",$F1444=CARI!$C$7),OR(CARI!$C$8="",$O1444=CARI!$C$8)),MAX($U$3:U1443)+1,""))</f>
        <v/>
      </c>
      <c r="V1444" s="40" t="str">
        <f aca="false">IF($T1444="","",MAX($V$3:V1443)+1)</f>
        <v/>
      </c>
      <c r="W1444" s="40" t="str">
        <f aca="false">IF($E1444="","",$E1444&amp;"#"&amp;COUNTIF($E$4:$E1444,$E1444))</f>
        <v/>
      </c>
      <c r="X1444" s="40" t="str">
        <f aca="false">IF($B1444="","",IF(AND(OR(CETAK!$J$10="",$E1444=CETAK!$J$10),OR(CETAK!$J$11="",$F1444=CETAK!$J$11),OR(CETAK!$J$12="",$K1444=CETAK!$J$12),OR(CETAK!$J$13="",$H1444=CETAK!$J$13),OR(CETAK!$J$14="",$O1444=CETAK!$J$14)),MAX($X$3:X1443)+1,""))</f>
        <v/>
      </c>
      <c r="Y1444" s="40" t="str">
        <f aca="false">IF($B1444="","",IF(AND(OR(ABSENSI!$H$10="",$E1444=ABSENSI!$H$10),OR(ABSENSI!$H$11="",$F1444=ABSENSI!$H$11),OR(ABSENSI!$H$12="",$K1444=ABSENSI!$H$12)),MAX($Y$3:Y1443)+1,""))</f>
        <v/>
      </c>
      <c r="Z1444" s="40" t="str">
        <f aca="false">IF($B1444="","",IF(AND(OR(KARTU!$K$6="",$E1444=KARTU!$K$6),OR(KARTU!$K$7="",$F1444=KARTU!$K$7),OR(KARTU!$K$8="",$K1444=KARTU!$K$8)),MAX($Z$3:Z1443)+1,""))</f>
        <v/>
      </c>
    </row>
    <row r="1445" customFormat="false" ht="15" hidden="false" customHeight="false" outlineLevel="0" collapsed="false">
      <c r="A1445" s="36" t="str">
        <f aca="false">IF($B1445="","",COUNTA($B$4:$B1445))</f>
        <v/>
      </c>
      <c r="B1445" s="37"/>
      <c r="C1445" s="38"/>
      <c r="D1445" s="39"/>
      <c r="E1445" s="37"/>
      <c r="F1445" s="39"/>
      <c r="G1445" s="40" t="str">
        <f aca="false">IF(OR($E1445="",$F1445=""),"",$E1445&amp;" - RT "&amp;$F1445)</f>
        <v/>
      </c>
      <c r="H1445" s="37"/>
      <c r="I1445" s="38"/>
      <c r="J1445" s="37"/>
      <c r="K1445" s="39"/>
      <c r="L1445" s="41"/>
      <c r="M1445" s="36" t="str">
        <f aca="true">IF(OR($B1445="",$L1445=""),"",DATEDIF($L1445,TODAY(),"Y"))</f>
        <v/>
      </c>
      <c r="N1445" s="40" t="str">
        <f aca="false">IF($M1445="","",INDEX(usia_label,MATCH($M1445,usia_min,1)))</f>
        <v/>
      </c>
      <c r="O1445" s="37"/>
      <c r="P1445" s="41"/>
      <c r="Q1445" s="37"/>
      <c r="R1445" s="37"/>
      <c r="S1445" s="40" t="str">
        <f aca="false">IF($G1445="","",$G1445&amp;"#"&amp;COUNTIF($G$4:$G1445,$G1445))</f>
        <v/>
      </c>
      <c r="T1445" s="40" t="str">
        <f aca="false">IF($B1445="","",IF($C1445="","NIK kosong",IF(LEN($C1445)&lt;&gt;16,"NIK bukan 16 digit",IF(COUNTIF($C$4:$C$2003,$C1445&amp;"*")&gt;1,"NIK ganda",IF($E1445="","Kadus kosong",IF($F1445="","RT kosong",IF($H1445="","Jabatan kosong",IF($I1445="","No. HP kosong",IF($J1445="","Alamat kosong",IF(AND($M1445&lt;&gt;"",$M1445&lt;17),"Usia di bawah 17",""))))))))))</f>
        <v/>
      </c>
      <c r="U1445" s="40" t="str">
        <f aca="false">IF($B1445="","",IF(AND(OR(CARI!$C$5="",ISNUMBER(SEARCH(CARI!$C$5,$B1445&amp;" "&amp;$C1445&amp;" "&amp;$I1445&amp;" "&amp;$J1445&amp;" "&amp;$Q1445))),OR(CARI!$C$6="",$E1445=CARI!$C$6),OR(CARI!$C$7="",$F1445=CARI!$C$7),OR(CARI!$C$8="",$O1445=CARI!$C$8)),MAX($U$3:U1444)+1,""))</f>
        <v/>
      </c>
      <c r="V1445" s="40" t="str">
        <f aca="false">IF($T1445="","",MAX($V$3:V1444)+1)</f>
        <v/>
      </c>
      <c r="W1445" s="40" t="str">
        <f aca="false">IF($E1445="","",$E1445&amp;"#"&amp;COUNTIF($E$4:$E1445,$E1445))</f>
        <v/>
      </c>
      <c r="X1445" s="40" t="str">
        <f aca="false">IF($B1445="","",IF(AND(OR(CETAK!$J$10="",$E1445=CETAK!$J$10),OR(CETAK!$J$11="",$F1445=CETAK!$J$11),OR(CETAK!$J$12="",$K1445=CETAK!$J$12),OR(CETAK!$J$13="",$H1445=CETAK!$J$13),OR(CETAK!$J$14="",$O1445=CETAK!$J$14)),MAX($X$3:X1444)+1,""))</f>
        <v/>
      </c>
      <c r="Y1445" s="40" t="str">
        <f aca="false">IF($B1445="","",IF(AND(OR(ABSENSI!$H$10="",$E1445=ABSENSI!$H$10),OR(ABSENSI!$H$11="",$F1445=ABSENSI!$H$11),OR(ABSENSI!$H$12="",$K1445=ABSENSI!$H$12)),MAX($Y$3:Y1444)+1,""))</f>
        <v/>
      </c>
      <c r="Z1445" s="40" t="str">
        <f aca="false">IF($B1445="","",IF(AND(OR(KARTU!$K$6="",$E1445=KARTU!$K$6),OR(KARTU!$K$7="",$F1445=KARTU!$K$7),OR(KARTU!$K$8="",$K1445=KARTU!$K$8)),MAX($Z$3:Z1444)+1,""))</f>
        <v/>
      </c>
    </row>
    <row r="1446" customFormat="false" ht="15" hidden="false" customHeight="false" outlineLevel="0" collapsed="false">
      <c r="A1446" s="36" t="str">
        <f aca="false">IF($B1446="","",COUNTA($B$4:$B1446))</f>
        <v/>
      </c>
      <c r="B1446" s="37"/>
      <c r="C1446" s="38"/>
      <c r="D1446" s="39"/>
      <c r="E1446" s="37"/>
      <c r="F1446" s="39"/>
      <c r="G1446" s="40" t="str">
        <f aca="false">IF(OR($E1446="",$F1446=""),"",$E1446&amp;" - RT "&amp;$F1446)</f>
        <v/>
      </c>
      <c r="H1446" s="37"/>
      <c r="I1446" s="38"/>
      <c r="J1446" s="37"/>
      <c r="K1446" s="39"/>
      <c r="L1446" s="41"/>
      <c r="M1446" s="36" t="str">
        <f aca="true">IF(OR($B1446="",$L1446=""),"",DATEDIF($L1446,TODAY(),"Y"))</f>
        <v/>
      </c>
      <c r="N1446" s="40" t="str">
        <f aca="false">IF($M1446="","",INDEX(usia_label,MATCH($M1446,usia_min,1)))</f>
        <v/>
      </c>
      <c r="O1446" s="37"/>
      <c r="P1446" s="41"/>
      <c r="Q1446" s="37"/>
      <c r="R1446" s="37"/>
      <c r="S1446" s="40" t="str">
        <f aca="false">IF($G1446="","",$G1446&amp;"#"&amp;COUNTIF($G$4:$G1446,$G1446))</f>
        <v/>
      </c>
      <c r="T1446" s="40" t="str">
        <f aca="false">IF($B1446="","",IF($C1446="","NIK kosong",IF(LEN($C1446)&lt;&gt;16,"NIK bukan 16 digit",IF(COUNTIF($C$4:$C$2003,$C1446&amp;"*")&gt;1,"NIK ganda",IF($E1446="","Kadus kosong",IF($F1446="","RT kosong",IF($H1446="","Jabatan kosong",IF($I1446="","No. HP kosong",IF($J1446="","Alamat kosong",IF(AND($M1446&lt;&gt;"",$M1446&lt;17),"Usia di bawah 17",""))))))))))</f>
        <v/>
      </c>
      <c r="U1446" s="40" t="str">
        <f aca="false">IF($B1446="","",IF(AND(OR(CARI!$C$5="",ISNUMBER(SEARCH(CARI!$C$5,$B1446&amp;" "&amp;$C1446&amp;" "&amp;$I1446&amp;" "&amp;$J1446&amp;" "&amp;$Q1446))),OR(CARI!$C$6="",$E1446=CARI!$C$6),OR(CARI!$C$7="",$F1446=CARI!$C$7),OR(CARI!$C$8="",$O1446=CARI!$C$8)),MAX($U$3:U1445)+1,""))</f>
        <v/>
      </c>
      <c r="V1446" s="40" t="str">
        <f aca="false">IF($T1446="","",MAX($V$3:V1445)+1)</f>
        <v/>
      </c>
      <c r="W1446" s="40" t="str">
        <f aca="false">IF($E1446="","",$E1446&amp;"#"&amp;COUNTIF($E$4:$E1446,$E1446))</f>
        <v/>
      </c>
      <c r="X1446" s="40" t="str">
        <f aca="false">IF($B1446="","",IF(AND(OR(CETAK!$J$10="",$E1446=CETAK!$J$10),OR(CETAK!$J$11="",$F1446=CETAK!$J$11),OR(CETAK!$J$12="",$K1446=CETAK!$J$12),OR(CETAK!$J$13="",$H1446=CETAK!$J$13),OR(CETAK!$J$14="",$O1446=CETAK!$J$14)),MAX($X$3:X1445)+1,""))</f>
        <v/>
      </c>
      <c r="Y1446" s="40" t="str">
        <f aca="false">IF($B1446="","",IF(AND(OR(ABSENSI!$H$10="",$E1446=ABSENSI!$H$10),OR(ABSENSI!$H$11="",$F1446=ABSENSI!$H$11),OR(ABSENSI!$H$12="",$K1446=ABSENSI!$H$12)),MAX($Y$3:Y1445)+1,""))</f>
        <v/>
      </c>
      <c r="Z1446" s="40" t="str">
        <f aca="false">IF($B1446="","",IF(AND(OR(KARTU!$K$6="",$E1446=KARTU!$K$6),OR(KARTU!$K$7="",$F1446=KARTU!$K$7),OR(KARTU!$K$8="",$K1446=KARTU!$K$8)),MAX($Z$3:Z1445)+1,""))</f>
        <v/>
      </c>
    </row>
    <row r="1447" customFormat="false" ht="15" hidden="false" customHeight="false" outlineLevel="0" collapsed="false">
      <c r="A1447" s="36" t="str">
        <f aca="false">IF($B1447="","",COUNTA($B$4:$B1447))</f>
        <v/>
      </c>
      <c r="B1447" s="37"/>
      <c r="C1447" s="38"/>
      <c r="D1447" s="39"/>
      <c r="E1447" s="37"/>
      <c r="F1447" s="39"/>
      <c r="G1447" s="40" t="str">
        <f aca="false">IF(OR($E1447="",$F1447=""),"",$E1447&amp;" - RT "&amp;$F1447)</f>
        <v/>
      </c>
      <c r="H1447" s="37"/>
      <c r="I1447" s="38"/>
      <c r="J1447" s="37"/>
      <c r="K1447" s="39"/>
      <c r="L1447" s="41"/>
      <c r="M1447" s="36" t="str">
        <f aca="true">IF(OR($B1447="",$L1447=""),"",DATEDIF($L1447,TODAY(),"Y"))</f>
        <v/>
      </c>
      <c r="N1447" s="40" t="str">
        <f aca="false">IF($M1447="","",INDEX(usia_label,MATCH($M1447,usia_min,1)))</f>
        <v/>
      </c>
      <c r="O1447" s="37"/>
      <c r="P1447" s="41"/>
      <c r="Q1447" s="37"/>
      <c r="R1447" s="37"/>
      <c r="S1447" s="40" t="str">
        <f aca="false">IF($G1447="","",$G1447&amp;"#"&amp;COUNTIF($G$4:$G1447,$G1447))</f>
        <v/>
      </c>
      <c r="T1447" s="40" t="str">
        <f aca="false">IF($B1447="","",IF($C1447="","NIK kosong",IF(LEN($C1447)&lt;&gt;16,"NIK bukan 16 digit",IF(COUNTIF($C$4:$C$2003,$C1447&amp;"*")&gt;1,"NIK ganda",IF($E1447="","Kadus kosong",IF($F1447="","RT kosong",IF($H1447="","Jabatan kosong",IF($I1447="","No. HP kosong",IF($J1447="","Alamat kosong",IF(AND($M1447&lt;&gt;"",$M1447&lt;17),"Usia di bawah 17",""))))))))))</f>
        <v/>
      </c>
      <c r="U1447" s="40" t="str">
        <f aca="false">IF($B1447="","",IF(AND(OR(CARI!$C$5="",ISNUMBER(SEARCH(CARI!$C$5,$B1447&amp;" "&amp;$C1447&amp;" "&amp;$I1447&amp;" "&amp;$J1447&amp;" "&amp;$Q1447))),OR(CARI!$C$6="",$E1447=CARI!$C$6),OR(CARI!$C$7="",$F1447=CARI!$C$7),OR(CARI!$C$8="",$O1447=CARI!$C$8)),MAX($U$3:U1446)+1,""))</f>
        <v/>
      </c>
      <c r="V1447" s="40" t="str">
        <f aca="false">IF($T1447="","",MAX($V$3:V1446)+1)</f>
        <v/>
      </c>
      <c r="W1447" s="40" t="str">
        <f aca="false">IF($E1447="","",$E1447&amp;"#"&amp;COUNTIF($E$4:$E1447,$E1447))</f>
        <v/>
      </c>
      <c r="X1447" s="40" t="str">
        <f aca="false">IF($B1447="","",IF(AND(OR(CETAK!$J$10="",$E1447=CETAK!$J$10),OR(CETAK!$J$11="",$F1447=CETAK!$J$11),OR(CETAK!$J$12="",$K1447=CETAK!$J$12),OR(CETAK!$J$13="",$H1447=CETAK!$J$13),OR(CETAK!$J$14="",$O1447=CETAK!$J$14)),MAX($X$3:X1446)+1,""))</f>
        <v/>
      </c>
      <c r="Y1447" s="40" t="str">
        <f aca="false">IF($B1447="","",IF(AND(OR(ABSENSI!$H$10="",$E1447=ABSENSI!$H$10),OR(ABSENSI!$H$11="",$F1447=ABSENSI!$H$11),OR(ABSENSI!$H$12="",$K1447=ABSENSI!$H$12)),MAX($Y$3:Y1446)+1,""))</f>
        <v/>
      </c>
      <c r="Z1447" s="40" t="str">
        <f aca="false">IF($B1447="","",IF(AND(OR(KARTU!$K$6="",$E1447=KARTU!$K$6),OR(KARTU!$K$7="",$F1447=KARTU!$K$7),OR(KARTU!$K$8="",$K1447=KARTU!$K$8)),MAX($Z$3:Z1446)+1,""))</f>
        <v/>
      </c>
    </row>
    <row r="1448" customFormat="false" ht="15" hidden="false" customHeight="false" outlineLevel="0" collapsed="false">
      <c r="A1448" s="36" t="str">
        <f aca="false">IF($B1448="","",COUNTA($B$4:$B1448))</f>
        <v/>
      </c>
      <c r="B1448" s="37"/>
      <c r="C1448" s="38"/>
      <c r="D1448" s="39"/>
      <c r="E1448" s="37"/>
      <c r="F1448" s="39"/>
      <c r="G1448" s="40" t="str">
        <f aca="false">IF(OR($E1448="",$F1448=""),"",$E1448&amp;" - RT "&amp;$F1448)</f>
        <v/>
      </c>
      <c r="H1448" s="37"/>
      <c r="I1448" s="38"/>
      <c r="J1448" s="37"/>
      <c r="K1448" s="39"/>
      <c r="L1448" s="41"/>
      <c r="M1448" s="36" t="str">
        <f aca="true">IF(OR($B1448="",$L1448=""),"",DATEDIF($L1448,TODAY(),"Y"))</f>
        <v/>
      </c>
      <c r="N1448" s="40" t="str">
        <f aca="false">IF($M1448="","",INDEX(usia_label,MATCH($M1448,usia_min,1)))</f>
        <v/>
      </c>
      <c r="O1448" s="37"/>
      <c r="P1448" s="41"/>
      <c r="Q1448" s="37"/>
      <c r="R1448" s="37"/>
      <c r="S1448" s="40" t="str">
        <f aca="false">IF($G1448="","",$G1448&amp;"#"&amp;COUNTIF($G$4:$G1448,$G1448))</f>
        <v/>
      </c>
      <c r="T1448" s="40" t="str">
        <f aca="false">IF($B1448="","",IF($C1448="","NIK kosong",IF(LEN($C1448)&lt;&gt;16,"NIK bukan 16 digit",IF(COUNTIF($C$4:$C$2003,$C1448&amp;"*")&gt;1,"NIK ganda",IF($E1448="","Kadus kosong",IF($F1448="","RT kosong",IF($H1448="","Jabatan kosong",IF($I1448="","No. HP kosong",IF($J1448="","Alamat kosong",IF(AND($M1448&lt;&gt;"",$M1448&lt;17),"Usia di bawah 17",""))))))))))</f>
        <v/>
      </c>
      <c r="U1448" s="40" t="str">
        <f aca="false">IF($B1448="","",IF(AND(OR(CARI!$C$5="",ISNUMBER(SEARCH(CARI!$C$5,$B1448&amp;" "&amp;$C1448&amp;" "&amp;$I1448&amp;" "&amp;$J1448&amp;" "&amp;$Q1448))),OR(CARI!$C$6="",$E1448=CARI!$C$6),OR(CARI!$C$7="",$F1448=CARI!$C$7),OR(CARI!$C$8="",$O1448=CARI!$C$8)),MAX($U$3:U1447)+1,""))</f>
        <v/>
      </c>
      <c r="V1448" s="40" t="str">
        <f aca="false">IF($T1448="","",MAX($V$3:V1447)+1)</f>
        <v/>
      </c>
      <c r="W1448" s="40" t="str">
        <f aca="false">IF($E1448="","",$E1448&amp;"#"&amp;COUNTIF($E$4:$E1448,$E1448))</f>
        <v/>
      </c>
      <c r="X1448" s="40" t="str">
        <f aca="false">IF($B1448="","",IF(AND(OR(CETAK!$J$10="",$E1448=CETAK!$J$10),OR(CETAK!$J$11="",$F1448=CETAK!$J$11),OR(CETAK!$J$12="",$K1448=CETAK!$J$12),OR(CETAK!$J$13="",$H1448=CETAK!$J$13),OR(CETAK!$J$14="",$O1448=CETAK!$J$14)),MAX($X$3:X1447)+1,""))</f>
        <v/>
      </c>
      <c r="Y1448" s="40" t="str">
        <f aca="false">IF($B1448="","",IF(AND(OR(ABSENSI!$H$10="",$E1448=ABSENSI!$H$10),OR(ABSENSI!$H$11="",$F1448=ABSENSI!$H$11),OR(ABSENSI!$H$12="",$K1448=ABSENSI!$H$12)),MAX($Y$3:Y1447)+1,""))</f>
        <v/>
      </c>
      <c r="Z1448" s="40" t="str">
        <f aca="false">IF($B1448="","",IF(AND(OR(KARTU!$K$6="",$E1448=KARTU!$K$6),OR(KARTU!$K$7="",$F1448=KARTU!$K$7),OR(KARTU!$K$8="",$K1448=KARTU!$K$8)),MAX($Z$3:Z1447)+1,""))</f>
        <v/>
      </c>
    </row>
    <row r="1449" customFormat="false" ht="15" hidden="false" customHeight="false" outlineLevel="0" collapsed="false">
      <c r="A1449" s="36" t="str">
        <f aca="false">IF($B1449="","",COUNTA($B$4:$B1449))</f>
        <v/>
      </c>
      <c r="B1449" s="37"/>
      <c r="C1449" s="38"/>
      <c r="D1449" s="39"/>
      <c r="E1449" s="37"/>
      <c r="F1449" s="39"/>
      <c r="G1449" s="40" t="str">
        <f aca="false">IF(OR($E1449="",$F1449=""),"",$E1449&amp;" - RT "&amp;$F1449)</f>
        <v/>
      </c>
      <c r="H1449" s="37"/>
      <c r="I1449" s="38"/>
      <c r="J1449" s="37"/>
      <c r="K1449" s="39"/>
      <c r="L1449" s="41"/>
      <c r="M1449" s="36" t="str">
        <f aca="true">IF(OR($B1449="",$L1449=""),"",DATEDIF($L1449,TODAY(),"Y"))</f>
        <v/>
      </c>
      <c r="N1449" s="40" t="str">
        <f aca="false">IF($M1449="","",INDEX(usia_label,MATCH($M1449,usia_min,1)))</f>
        <v/>
      </c>
      <c r="O1449" s="37"/>
      <c r="P1449" s="41"/>
      <c r="Q1449" s="37"/>
      <c r="R1449" s="37"/>
      <c r="S1449" s="40" t="str">
        <f aca="false">IF($G1449="","",$G1449&amp;"#"&amp;COUNTIF($G$4:$G1449,$G1449))</f>
        <v/>
      </c>
      <c r="T1449" s="40" t="str">
        <f aca="false">IF($B1449="","",IF($C1449="","NIK kosong",IF(LEN($C1449)&lt;&gt;16,"NIK bukan 16 digit",IF(COUNTIF($C$4:$C$2003,$C1449&amp;"*")&gt;1,"NIK ganda",IF($E1449="","Kadus kosong",IF($F1449="","RT kosong",IF($H1449="","Jabatan kosong",IF($I1449="","No. HP kosong",IF($J1449="","Alamat kosong",IF(AND($M1449&lt;&gt;"",$M1449&lt;17),"Usia di bawah 17",""))))))))))</f>
        <v/>
      </c>
      <c r="U1449" s="40" t="str">
        <f aca="false">IF($B1449="","",IF(AND(OR(CARI!$C$5="",ISNUMBER(SEARCH(CARI!$C$5,$B1449&amp;" "&amp;$C1449&amp;" "&amp;$I1449&amp;" "&amp;$J1449&amp;" "&amp;$Q1449))),OR(CARI!$C$6="",$E1449=CARI!$C$6),OR(CARI!$C$7="",$F1449=CARI!$C$7),OR(CARI!$C$8="",$O1449=CARI!$C$8)),MAX($U$3:U1448)+1,""))</f>
        <v/>
      </c>
      <c r="V1449" s="40" t="str">
        <f aca="false">IF($T1449="","",MAX($V$3:V1448)+1)</f>
        <v/>
      </c>
      <c r="W1449" s="40" t="str">
        <f aca="false">IF($E1449="","",$E1449&amp;"#"&amp;COUNTIF($E$4:$E1449,$E1449))</f>
        <v/>
      </c>
      <c r="X1449" s="40" t="str">
        <f aca="false">IF($B1449="","",IF(AND(OR(CETAK!$J$10="",$E1449=CETAK!$J$10),OR(CETAK!$J$11="",$F1449=CETAK!$J$11),OR(CETAK!$J$12="",$K1449=CETAK!$J$12),OR(CETAK!$J$13="",$H1449=CETAK!$J$13),OR(CETAK!$J$14="",$O1449=CETAK!$J$14)),MAX($X$3:X1448)+1,""))</f>
        <v/>
      </c>
      <c r="Y1449" s="40" t="str">
        <f aca="false">IF($B1449="","",IF(AND(OR(ABSENSI!$H$10="",$E1449=ABSENSI!$H$10),OR(ABSENSI!$H$11="",$F1449=ABSENSI!$H$11),OR(ABSENSI!$H$12="",$K1449=ABSENSI!$H$12)),MAX($Y$3:Y1448)+1,""))</f>
        <v/>
      </c>
      <c r="Z1449" s="40" t="str">
        <f aca="false">IF($B1449="","",IF(AND(OR(KARTU!$K$6="",$E1449=KARTU!$K$6),OR(KARTU!$K$7="",$F1449=KARTU!$K$7),OR(KARTU!$K$8="",$K1449=KARTU!$K$8)),MAX($Z$3:Z1448)+1,""))</f>
        <v/>
      </c>
    </row>
    <row r="1450" customFormat="false" ht="15" hidden="false" customHeight="false" outlineLevel="0" collapsed="false">
      <c r="A1450" s="36" t="str">
        <f aca="false">IF($B1450="","",COUNTA($B$4:$B1450))</f>
        <v/>
      </c>
      <c r="B1450" s="37"/>
      <c r="C1450" s="38"/>
      <c r="D1450" s="39"/>
      <c r="E1450" s="37"/>
      <c r="F1450" s="39"/>
      <c r="G1450" s="40" t="str">
        <f aca="false">IF(OR($E1450="",$F1450=""),"",$E1450&amp;" - RT "&amp;$F1450)</f>
        <v/>
      </c>
      <c r="H1450" s="37"/>
      <c r="I1450" s="38"/>
      <c r="J1450" s="37"/>
      <c r="K1450" s="39"/>
      <c r="L1450" s="41"/>
      <c r="M1450" s="36" t="str">
        <f aca="true">IF(OR($B1450="",$L1450=""),"",DATEDIF($L1450,TODAY(),"Y"))</f>
        <v/>
      </c>
      <c r="N1450" s="40" t="str">
        <f aca="false">IF($M1450="","",INDEX(usia_label,MATCH($M1450,usia_min,1)))</f>
        <v/>
      </c>
      <c r="O1450" s="37"/>
      <c r="P1450" s="41"/>
      <c r="Q1450" s="37"/>
      <c r="R1450" s="37"/>
      <c r="S1450" s="40" t="str">
        <f aca="false">IF($G1450="","",$G1450&amp;"#"&amp;COUNTIF($G$4:$G1450,$G1450))</f>
        <v/>
      </c>
      <c r="T1450" s="40" t="str">
        <f aca="false">IF($B1450="","",IF($C1450="","NIK kosong",IF(LEN($C1450)&lt;&gt;16,"NIK bukan 16 digit",IF(COUNTIF($C$4:$C$2003,$C1450&amp;"*")&gt;1,"NIK ganda",IF($E1450="","Kadus kosong",IF($F1450="","RT kosong",IF($H1450="","Jabatan kosong",IF($I1450="","No. HP kosong",IF($J1450="","Alamat kosong",IF(AND($M1450&lt;&gt;"",$M1450&lt;17),"Usia di bawah 17",""))))))))))</f>
        <v/>
      </c>
      <c r="U1450" s="40" t="str">
        <f aca="false">IF($B1450="","",IF(AND(OR(CARI!$C$5="",ISNUMBER(SEARCH(CARI!$C$5,$B1450&amp;" "&amp;$C1450&amp;" "&amp;$I1450&amp;" "&amp;$J1450&amp;" "&amp;$Q1450))),OR(CARI!$C$6="",$E1450=CARI!$C$6),OR(CARI!$C$7="",$F1450=CARI!$C$7),OR(CARI!$C$8="",$O1450=CARI!$C$8)),MAX($U$3:U1449)+1,""))</f>
        <v/>
      </c>
      <c r="V1450" s="40" t="str">
        <f aca="false">IF($T1450="","",MAX($V$3:V1449)+1)</f>
        <v/>
      </c>
      <c r="W1450" s="40" t="str">
        <f aca="false">IF($E1450="","",$E1450&amp;"#"&amp;COUNTIF($E$4:$E1450,$E1450))</f>
        <v/>
      </c>
      <c r="X1450" s="40" t="str">
        <f aca="false">IF($B1450="","",IF(AND(OR(CETAK!$J$10="",$E1450=CETAK!$J$10),OR(CETAK!$J$11="",$F1450=CETAK!$J$11),OR(CETAK!$J$12="",$K1450=CETAK!$J$12),OR(CETAK!$J$13="",$H1450=CETAK!$J$13),OR(CETAK!$J$14="",$O1450=CETAK!$J$14)),MAX($X$3:X1449)+1,""))</f>
        <v/>
      </c>
      <c r="Y1450" s="40" t="str">
        <f aca="false">IF($B1450="","",IF(AND(OR(ABSENSI!$H$10="",$E1450=ABSENSI!$H$10),OR(ABSENSI!$H$11="",$F1450=ABSENSI!$H$11),OR(ABSENSI!$H$12="",$K1450=ABSENSI!$H$12)),MAX($Y$3:Y1449)+1,""))</f>
        <v/>
      </c>
      <c r="Z1450" s="40" t="str">
        <f aca="false">IF($B1450="","",IF(AND(OR(KARTU!$K$6="",$E1450=KARTU!$K$6),OR(KARTU!$K$7="",$F1450=KARTU!$K$7),OR(KARTU!$K$8="",$K1450=KARTU!$K$8)),MAX($Z$3:Z1449)+1,""))</f>
        <v/>
      </c>
    </row>
    <row r="1451" customFormat="false" ht="15" hidden="false" customHeight="false" outlineLevel="0" collapsed="false">
      <c r="A1451" s="36" t="str">
        <f aca="false">IF($B1451="","",COUNTA($B$4:$B1451))</f>
        <v/>
      </c>
      <c r="B1451" s="37"/>
      <c r="C1451" s="38"/>
      <c r="D1451" s="39"/>
      <c r="E1451" s="37"/>
      <c r="F1451" s="39"/>
      <c r="G1451" s="40" t="str">
        <f aca="false">IF(OR($E1451="",$F1451=""),"",$E1451&amp;" - RT "&amp;$F1451)</f>
        <v/>
      </c>
      <c r="H1451" s="37"/>
      <c r="I1451" s="38"/>
      <c r="J1451" s="37"/>
      <c r="K1451" s="39"/>
      <c r="L1451" s="41"/>
      <c r="M1451" s="36" t="str">
        <f aca="true">IF(OR($B1451="",$L1451=""),"",DATEDIF($L1451,TODAY(),"Y"))</f>
        <v/>
      </c>
      <c r="N1451" s="40" t="str">
        <f aca="false">IF($M1451="","",INDEX(usia_label,MATCH($M1451,usia_min,1)))</f>
        <v/>
      </c>
      <c r="O1451" s="37"/>
      <c r="P1451" s="41"/>
      <c r="Q1451" s="37"/>
      <c r="R1451" s="37"/>
      <c r="S1451" s="40" t="str">
        <f aca="false">IF($G1451="","",$G1451&amp;"#"&amp;COUNTIF($G$4:$G1451,$G1451))</f>
        <v/>
      </c>
      <c r="T1451" s="40" t="str">
        <f aca="false">IF($B1451="","",IF($C1451="","NIK kosong",IF(LEN($C1451)&lt;&gt;16,"NIK bukan 16 digit",IF(COUNTIF($C$4:$C$2003,$C1451&amp;"*")&gt;1,"NIK ganda",IF($E1451="","Kadus kosong",IF($F1451="","RT kosong",IF($H1451="","Jabatan kosong",IF($I1451="","No. HP kosong",IF($J1451="","Alamat kosong",IF(AND($M1451&lt;&gt;"",$M1451&lt;17),"Usia di bawah 17",""))))))))))</f>
        <v/>
      </c>
      <c r="U1451" s="40" t="str">
        <f aca="false">IF($B1451="","",IF(AND(OR(CARI!$C$5="",ISNUMBER(SEARCH(CARI!$C$5,$B1451&amp;" "&amp;$C1451&amp;" "&amp;$I1451&amp;" "&amp;$J1451&amp;" "&amp;$Q1451))),OR(CARI!$C$6="",$E1451=CARI!$C$6),OR(CARI!$C$7="",$F1451=CARI!$C$7),OR(CARI!$C$8="",$O1451=CARI!$C$8)),MAX($U$3:U1450)+1,""))</f>
        <v/>
      </c>
      <c r="V1451" s="40" t="str">
        <f aca="false">IF($T1451="","",MAX($V$3:V1450)+1)</f>
        <v/>
      </c>
      <c r="W1451" s="40" t="str">
        <f aca="false">IF($E1451="","",$E1451&amp;"#"&amp;COUNTIF($E$4:$E1451,$E1451))</f>
        <v/>
      </c>
      <c r="X1451" s="40" t="str">
        <f aca="false">IF($B1451="","",IF(AND(OR(CETAK!$J$10="",$E1451=CETAK!$J$10),OR(CETAK!$J$11="",$F1451=CETAK!$J$11),OR(CETAK!$J$12="",$K1451=CETAK!$J$12),OR(CETAK!$J$13="",$H1451=CETAK!$J$13),OR(CETAK!$J$14="",$O1451=CETAK!$J$14)),MAX($X$3:X1450)+1,""))</f>
        <v/>
      </c>
      <c r="Y1451" s="40" t="str">
        <f aca="false">IF($B1451="","",IF(AND(OR(ABSENSI!$H$10="",$E1451=ABSENSI!$H$10),OR(ABSENSI!$H$11="",$F1451=ABSENSI!$H$11),OR(ABSENSI!$H$12="",$K1451=ABSENSI!$H$12)),MAX($Y$3:Y1450)+1,""))</f>
        <v/>
      </c>
      <c r="Z1451" s="40" t="str">
        <f aca="false">IF($B1451="","",IF(AND(OR(KARTU!$K$6="",$E1451=KARTU!$K$6),OR(KARTU!$K$7="",$F1451=KARTU!$K$7),OR(KARTU!$K$8="",$K1451=KARTU!$K$8)),MAX($Z$3:Z1450)+1,""))</f>
        <v/>
      </c>
    </row>
    <row r="1452" customFormat="false" ht="15" hidden="false" customHeight="false" outlineLevel="0" collapsed="false">
      <c r="A1452" s="36" t="str">
        <f aca="false">IF($B1452="","",COUNTA($B$4:$B1452))</f>
        <v/>
      </c>
      <c r="B1452" s="37"/>
      <c r="C1452" s="38"/>
      <c r="D1452" s="39"/>
      <c r="E1452" s="37"/>
      <c r="F1452" s="39"/>
      <c r="G1452" s="40" t="str">
        <f aca="false">IF(OR($E1452="",$F1452=""),"",$E1452&amp;" - RT "&amp;$F1452)</f>
        <v/>
      </c>
      <c r="H1452" s="37"/>
      <c r="I1452" s="38"/>
      <c r="J1452" s="37"/>
      <c r="K1452" s="39"/>
      <c r="L1452" s="41"/>
      <c r="M1452" s="36" t="str">
        <f aca="true">IF(OR($B1452="",$L1452=""),"",DATEDIF($L1452,TODAY(),"Y"))</f>
        <v/>
      </c>
      <c r="N1452" s="40" t="str">
        <f aca="false">IF($M1452="","",INDEX(usia_label,MATCH($M1452,usia_min,1)))</f>
        <v/>
      </c>
      <c r="O1452" s="37"/>
      <c r="P1452" s="41"/>
      <c r="Q1452" s="37"/>
      <c r="R1452" s="37"/>
      <c r="S1452" s="40" t="str">
        <f aca="false">IF($G1452="","",$G1452&amp;"#"&amp;COUNTIF($G$4:$G1452,$G1452))</f>
        <v/>
      </c>
      <c r="T1452" s="40" t="str">
        <f aca="false">IF($B1452="","",IF($C1452="","NIK kosong",IF(LEN($C1452)&lt;&gt;16,"NIK bukan 16 digit",IF(COUNTIF($C$4:$C$2003,$C1452&amp;"*")&gt;1,"NIK ganda",IF($E1452="","Kadus kosong",IF($F1452="","RT kosong",IF($H1452="","Jabatan kosong",IF($I1452="","No. HP kosong",IF($J1452="","Alamat kosong",IF(AND($M1452&lt;&gt;"",$M1452&lt;17),"Usia di bawah 17",""))))))))))</f>
        <v/>
      </c>
      <c r="U1452" s="40" t="str">
        <f aca="false">IF($B1452="","",IF(AND(OR(CARI!$C$5="",ISNUMBER(SEARCH(CARI!$C$5,$B1452&amp;" "&amp;$C1452&amp;" "&amp;$I1452&amp;" "&amp;$J1452&amp;" "&amp;$Q1452))),OR(CARI!$C$6="",$E1452=CARI!$C$6),OR(CARI!$C$7="",$F1452=CARI!$C$7),OR(CARI!$C$8="",$O1452=CARI!$C$8)),MAX($U$3:U1451)+1,""))</f>
        <v/>
      </c>
      <c r="V1452" s="40" t="str">
        <f aca="false">IF($T1452="","",MAX($V$3:V1451)+1)</f>
        <v/>
      </c>
      <c r="W1452" s="40" t="str">
        <f aca="false">IF($E1452="","",$E1452&amp;"#"&amp;COUNTIF($E$4:$E1452,$E1452))</f>
        <v/>
      </c>
      <c r="X1452" s="40" t="str">
        <f aca="false">IF($B1452="","",IF(AND(OR(CETAK!$J$10="",$E1452=CETAK!$J$10),OR(CETAK!$J$11="",$F1452=CETAK!$J$11),OR(CETAK!$J$12="",$K1452=CETAK!$J$12),OR(CETAK!$J$13="",$H1452=CETAK!$J$13),OR(CETAK!$J$14="",$O1452=CETAK!$J$14)),MAX($X$3:X1451)+1,""))</f>
        <v/>
      </c>
      <c r="Y1452" s="40" t="str">
        <f aca="false">IF($B1452="","",IF(AND(OR(ABSENSI!$H$10="",$E1452=ABSENSI!$H$10),OR(ABSENSI!$H$11="",$F1452=ABSENSI!$H$11),OR(ABSENSI!$H$12="",$K1452=ABSENSI!$H$12)),MAX($Y$3:Y1451)+1,""))</f>
        <v/>
      </c>
      <c r="Z1452" s="40" t="str">
        <f aca="false">IF($B1452="","",IF(AND(OR(KARTU!$K$6="",$E1452=KARTU!$K$6),OR(KARTU!$K$7="",$F1452=KARTU!$K$7),OR(KARTU!$K$8="",$K1452=KARTU!$K$8)),MAX($Z$3:Z1451)+1,""))</f>
        <v/>
      </c>
    </row>
    <row r="1453" customFormat="false" ht="15" hidden="false" customHeight="false" outlineLevel="0" collapsed="false">
      <c r="A1453" s="36" t="str">
        <f aca="false">IF($B1453="","",COUNTA($B$4:$B1453))</f>
        <v/>
      </c>
      <c r="B1453" s="37"/>
      <c r="C1453" s="38"/>
      <c r="D1453" s="39"/>
      <c r="E1453" s="37"/>
      <c r="F1453" s="39"/>
      <c r="G1453" s="40" t="str">
        <f aca="false">IF(OR($E1453="",$F1453=""),"",$E1453&amp;" - RT "&amp;$F1453)</f>
        <v/>
      </c>
      <c r="H1453" s="37"/>
      <c r="I1453" s="38"/>
      <c r="J1453" s="37"/>
      <c r="K1453" s="39"/>
      <c r="L1453" s="41"/>
      <c r="M1453" s="36" t="str">
        <f aca="true">IF(OR($B1453="",$L1453=""),"",DATEDIF($L1453,TODAY(),"Y"))</f>
        <v/>
      </c>
      <c r="N1453" s="40" t="str">
        <f aca="false">IF($M1453="","",INDEX(usia_label,MATCH($M1453,usia_min,1)))</f>
        <v/>
      </c>
      <c r="O1453" s="37"/>
      <c r="P1453" s="41"/>
      <c r="Q1453" s="37"/>
      <c r="R1453" s="37"/>
      <c r="S1453" s="40" t="str">
        <f aca="false">IF($G1453="","",$G1453&amp;"#"&amp;COUNTIF($G$4:$G1453,$G1453))</f>
        <v/>
      </c>
      <c r="T1453" s="40" t="str">
        <f aca="false">IF($B1453="","",IF($C1453="","NIK kosong",IF(LEN($C1453)&lt;&gt;16,"NIK bukan 16 digit",IF(COUNTIF($C$4:$C$2003,$C1453&amp;"*")&gt;1,"NIK ganda",IF($E1453="","Kadus kosong",IF($F1453="","RT kosong",IF($H1453="","Jabatan kosong",IF($I1453="","No. HP kosong",IF($J1453="","Alamat kosong",IF(AND($M1453&lt;&gt;"",$M1453&lt;17),"Usia di bawah 17",""))))))))))</f>
        <v/>
      </c>
      <c r="U1453" s="40" t="str">
        <f aca="false">IF($B1453="","",IF(AND(OR(CARI!$C$5="",ISNUMBER(SEARCH(CARI!$C$5,$B1453&amp;" "&amp;$C1453&amp;" "&amp;$I1453&amp;" "&amp;$J1453&amp;" "&amp;$Q1453))),OR(CARI!$C$6="",$E1453=CARI!$C$6),OR(CARI!$C$7="",$F1453=CARI!$C$7),OR(CARI!$C$8="",$O1453=CARI!$C$8)),MAX($U$3:U1452)+1,""))</f>
        <v/>
      </c>
      <c r="V1453" s="40" t="str">
        <f aca="false">IF($T1453="","",MAX($V$3:V1452)+1)</f>
        <v/>
      </c>
      <c r="W1453" s="40" t="str">
        <f aca="false">IF($E1453="","",$E1453&amp;"#"&amp;COUNTIF($E$4:$E1453,$E1453))</f>
        <v/>
      </c>
      <c r="X1453" s="40" t="str">
        <f aca="false">IF($B1453="","",IF(AND(OR(CETAK!$J$10="",$E1453=CETAK!$J$10),OR(CETAK!$J$11="",$F1453=CETAK!$J$11),OR(CETAK!$J$12="",$K1453=CETAK!$J$12),OR(CETAK!$J$13="",$H1453=CETAK!$J$13),OR(CETAK!$J$14="",$O1453=CETAK!$J$14)),MAX($X$3:X1452)+1,""))</f>
        <v/>
      </c>
      <c r="Y1453" s="40" t="str">
        <f aca="false">IF($B1453="","",IF(AND(OR(ABSENSI!$H$10="",$E1453=ABSENSI!$H$10),OR(ABSENSI!$H$11="",$F1453=ABSENSI!$H$11),OR(ABSENSI!$H$12="",$K1453=ABSENSI!$H$12)),MAX($Y$3:Y1452)+1,""))</f>
        <v/>
      </c>
      <c r="Z1453" s="40" t="str">
        <f aca="false">IF($B1453="","",IF(AND(OR(KARTU!$K$6="",$E1453=KARTU!$K$6),OR(KARTU!$K$7="",$F1453=KARTU!$K$7),OR(KARTU!$K$8="",$K1453=KARTU!$K$8)),MAX($Z$3:Z1452)+1,""))</f>
        <v/>
      </c>
    </row>
    <row r="1454" customFormat="false" ht="15" hidden="false" customHeight="false" outlineLevel="0" collapsed="false">
      <c r="A1454" s="36" t="str">
        <f aca="false">IF($B1454="","",COUNTA($B$4:$B1454))</f>
        <v/>
      </c>
      <c r="B1454" s="37"/>
      <c r="C1454" s="38"/>
      <c r="D1454" s="39"/>
      <c r="E1454" s="37"/>
      <c r="F1454" s="39"/>
      <c r="G1454" s="40" t="str">
        <f aca="false">IF(OR($E1454="",$F1454=""),"",$E1454&amp;" - RT "&amp;$F1454)</f>
        <v/>
      </c>
      <c r="H1454" s="37"/>
      <c r="I1454" s="38"/>
      <c r="J1454" s="37"/>
      <c r="K1454" s="39"/>
      <c r="L1454" s="41"/>
      <c r="M1454" s="36" t="str">
        <f aca="true">IF(OR($B1454="",$L1454=""),"",DATEDIF($L1454,TODAY(),"Y"))</f>
        <v/>
      </c>
      <c r="N1454" s="40" t="str">
        <f aca="false">IF($M1454="","",INDEX(usia_label,MATCH($M1454,usia_min,1)))</f>
        <v/>
      </c>
      <c r="O1454" s="37"/>
      <c r="P1454" s="41"/>
      <c r="Q1454" s="37"/>
      <c r="R1454" s="37"/>
      <c r="S1454" s="40" t="str">
        <f aca="false">IF($G1454="","",$G1454&amp;"#"&amp;COUNTIF($G$4:$G1454,$G1454))</f>
        <v/>
      </c>
      <c r="T1454" s="40" t="str">
        <f aca="false">IF($B1454="","",IF($C1454="","NIK kosong",IF(LEN($C1454)&lt;&gt;16,"NIK bukan 16 digit",IF(COUNTIF($C$4:$C$2003,$C1454&amp;"*")&gt;1,"NIK ganda",IF($E1454="","Kadus kosong",IF($F1454="","RT kosong",IF($H1454="","Jabatan kosong",IF($I1454="","No. HP kosong",IF($J1454="","Alamat kosong",IF(AND($M1454&lt;&gt;"",$M1454&lt;17),"Usia di bawah 17",""))))))))))</f>
        <v/>
      </c>
      <c r="U1454" s="40" t="str">
        <f aca="false">IF($B1454="","",IF(AND(OR(CARI!$C$5="",ISNUMBER(SEARCH(CARI!$C$5,$B1454&amp;" "&amp;$C1454&amp;" "&amp;$I1454&amp;" "&amp;$J1454&amp;" "&amp;$Q1454))),OR(CARI!$C$6="",$E1454=CARI!$C$6),OR(CARI!$C$7="",$F1454=CARI!$C$7),OR(CARI!$C$8="",$O1454=CARI!$C$8)),MAX($U$3:U1453)+1,""))</f>
        <v/>
      </c>
      <c r="V1454" s="40" t="str">
        <f aca="false">IF($T1454="","",MAX($V$3:V1453)+1)</f>
        <v/>
      </c>
      <c r="W1454" s="40" t="str">
        <f aca="false">IF($E1454="","",$E1454&amp;"#"&amp;COUNTIF($E$4:$E1454,$E1454))</f>
        <v/>
      </c>
      <c r="X1454" s="40" t="str">
        <f aca="false">IF($B1454="","",IF(AND(OR(CETAK!$J$10="",$E1454=CETAK!$J$10),OR(CETAK!$J$11="",$F1454=CETAK!$J$11),OR(CETAK!$J$12="",$K1454=CETAK!$J$12),OR(CETAK!$J$13="",$H1454=CETAK!$J$13),OR(CETAK!$J$14="",$O1454=CETAK!$J$14)),MAX($X$3:X1453)+1,""))</f>
        <v/>
      </c>
      <c r="Y1454" s="40" t="str">
        <f aca="false">IF($B1454="","",IF(AND(OR(ABSENSI!$H$10="",$E1454=ABSENSI!$H$10),OR(ABSENSI!$H$11="",$F1454=ABSENSI!$H$11),OR(ABSENSI!$H$12="",$K1454=ABSENSI!$H$12)),MAX($Y$3:Y1453)+1,""))</f>
        <v/>
      </c>
      <c r="Z1454" s="40" t="str">
        <f aca="false">IF($B1454="","",IF(AND(OR(KARTU!$K$6="",$E1454=KARTU!$K$6),OR(KARTU!$K$7="",$F1454=KARTU!$K$7),OR(KARTU!$K$8="",$K1454=KARTU!$K$8)),MAX($Z$3:Z1453)+1,""))</f>
        <v/>
      </c>
    </row>
    <row r="1455" customFormat="false" ht="15" hidden="false" customHeight="false" outlineLevel="0" collapsed="false">
      <c r="A1455" s="36" t="str">
        <f aca="false">IF($B1455="","",COUNTA($B$4:$B1455))</f>
        <v/>
      </c>
      <c r="B1455" s="37"/>
      <c r="C1455" s="38"/>
      <c r="D1455" s="39"/>
      <c r="E1455" s="37"/>
      <c r="F1455" s="39"/>
      <c r="G1455" s="40" t="str">
        <f aca="false">IF(OR($E1455="",$F1455=""),"",$E1455&amp;" - RT "&amp;$F1455)</f>
        <v/>
      </c>
      <c r="H1455" s="37"/>
      <c r="I1455" s="38"/>
      <c r="J1455" s="37"/>
      <c r="K1455" s="39"/>
      <c r="L1455" s="41"/>
      <c r="M1455" s="36" t="str">
        <f aca="true">IF(OR($B1455="",$L1455=""),"",DATEDIF($L1455,TODAY(),"Y"))</f>
        <v/>
      </c>
      <c r="N1455" s="40" t="str">
        <f aca="false">IF($M1455="","",INDEX(usia_label,MATCH($M1455,usia_min,1)))</f>
        <v/>
      </c>
      <c r="O1455" s="37"/>
      <c r="P1455" s="41"/>
      <c r="Q1455" s="37"/>
      <c r="R1455" s="37"/>
      <c r="S1455" s="40" t="str">
        <f aca="false">IF($G1455="","",$G1455&amp;"#"&amp;COUNTIF($G$4:$G1455,$G1455))</f>
        <v/>
      </c>
      <c r="T1455" s="40" t="str">
        <f aca="false">IF($B1455="","",IF($C1455="","NIK kosong",IF(LEN($C1455)&lt;&gt;16,"NIK bukan 16 digit",IF(COUNTIF($C$4:$C$2003,$C1455&amp;"*")&gt;1,"NIK ganda",IF($E1455="","Kadus kosong",IF($F1455="","RT kosong",IF($H1455="","Jabatan kosong",IF($I1455="","No. HP kosong",IF($J1455="","Alamat kosong",IF(AND($M1455&lt;&gt;"",$M1455&lt;17),"Usia di bawah 17",""))))))))))</f>
        <v/>
      </c>
      <c r="U1455" s="40" t="str">
        <f aca="false">IF($B1455="","",IF(AND(OR(CARI!$C$5="",ISNUMBER(SEARCH(CARI!$C$5,$B1455&amp;" "&amp;$C1455&amp;" "&amp;$I1455&amp;" "&amp;$J1455&amp;" "&amp;$Q1455))),OR(CARI!$C$6="",$E1455=CARI!$C$6),OR(CARI!$C$7="",$F1455=CARI!$C$7),OR(CARI!$C$8="",$O1455=CARI!$C$8)),MAX($U$3:U1454)+1,""))</f>
        <v/>
      </c>
      <c r="V1455" s="40" t="str">
        <f aca="false">IF($T1455="","",MAX($V$3:V1454)+1)</f>
        <v/>
      </c>
      <c r="W1455" s="40" t="str">
        <f aca="false">IF($E1455="","",$E1455&amp;"#"&amp;COUNTIF($E$4:$E1455,$E1455))</f>
        <v/>
      </c>
      <c r="X1455" s="40" t="str">
        <f aca="false">IF($B1455="","",IF(AND(OR(CETAK!$J$10="",$E1455=CETAK!$J$10),OR(CETAK!$J$11="",$F1455=CETAK!$J$11),OR(CETAK!$J$12="",$K1455=CETAK!$J$12),OR(CETAK!$J$13="",$H1455=CETAK!$J$13),OR(CETAK!$J$14="",$O1455=CETAK!$J$14)),MAX($X$3:X1454)+1,""))</f>
        <v/>
      </c>
      <c r="Y1455" s="40" t="str">
        <f aca="false">IF($B1455="","",IF(AND(OR(ABSENSI!$H$10="",$E1455=ABSENSI!$H$10),OR(ABSENSI!$H$11="",$F1455=ABSENSI!$H$11),OR(ABSENSI!$H$12="",$K1455=ABSENSI!$H$12)),MAX($Y$3:Y1454)+1,""))</f>
        <v/>
      </c>
      <c r="Z1455" s="40" t="str">
        <f aca="false">IF($B1455="","",IF(AND(OR(KARTU!$K$6="",$E1455=KARTU!$K$6),OR(KARTU!$K$7="",$F1455=KARTU!$K$7),OR(KARTU!$K$8="",$K1455=KARTU!$K$8)),MAX($Z$3:Z1454)+1,""))</f>
        <v/>
      </c>
    </row>
    <row r="1456" customFormat="false" ht="15" hidden="false" customHeight="false" outlineLevel="0" collapsed="false">
      <c r="A1456" s="36" t="str">
        <f aca="false">IF($B1456="","",COUNTA($B$4:$B1456))</f>
        <v/>
      </c>
      <c r="B1456" s="37"/>
      <c r="C1456" s="38"/>
      <c r="D1456" s="39"/>
      <c r="E1456" s="37"/>
      <c r="F1456" s="39"/>
      <c r="G1456" s="40" t="str">
        <f aca="false">IF(OR($E1456="",$F1456=""),"",$E1456&amp;" - RT "&amp;$F1456)</f>
        <v/>
      </c>
      <c r="H1456" s="37"/>
      <c r="I1456" s="38"/>
      <c r="J1456" s="37"/>
      <c r="K1456" s="39"/>
      <c r="L1456" s="41"/>
      <c r="M1456" s="36" t="str">
        <f aca="true">IF(OR($B1456="",$L1456=""),"",DATEDIF($L1456,TODAY(),"Y"))</f>
        <v/>
      </c>
      <c r="N1456" s="40" t="str">
        <f aca="false">IF($M1456="","",INDEX(usia_label,MATCH($M1456,usia_min,1)))</f>
        <v/>
      </c>
      <c r="O1456" s="37"/>
      <c r="P1456" s="41"/>
      <c r="Q1456" s="37"/>
      <c r="R1456" s="37"/>
      <c r="S1456" s="40" t="str">
        <f aca="false">IF($G1456="","",$G1456&amp;"#"&amp;COUNTIF($G$4:$G1456,$G1456))</f>
        <v/>
      </c>
      <c r="T1456" s="40" t="str">
        <f aca="false">IF($B1456="","",IF($C1456="","NIK kosong",IF(LEN($C1456)&lt;&gt;16,"NIK bukan 16 digit",IF(COUNTIF($C$4:$C$2003,$C1456&amp;"*")&gt;1,"NIK ganda",IF($E1456="","Kadus kosong",IF($F1456="","RT kosong",IF($H1456="","Jabatan kosong",IF($I1456="","No. HP kosong",IF($J1456="","Alamat kosong",IF(AND($M1456&lt;&gt;"",$M1456&lt;17),"Usia di bawah 17",""))))))))))</f>
        <v/>
      </c>
      <c r="U1456" s="40" t="str">
        <f aca="false">IF($B1456="","",IF(AND(OR(CARI!$C$5="",ISNUMBER(SEARCH(CARI!$C$5,$B1456&amp;" "&amp;$C1456&amp;" "&amp;$I1456&amp;" "&amp;$J1456&amp;" "&amp;$Q1456))),OR(CARI!$C$6="",$E1456=CARI!$C$6),OR(CARI!$C$7="",$F1456=CARI!$C$7),OR(CARI!$C$8="",$O1456=CARI!$C$8)),MAX($U$3:U1455)+1,""))</f>
        <v/>
      </c>
      <c r="V1456" s="40" t="str">
        <f aca="false">IF($T1456="","",MAX($V$3:V1455)+1)</f>
        <v/>
      </c>
      <c r="W1456" s="40" t="str">
        <f aca="false">IF($E1456="","",$E1456&amp;"#"&amp;COUNTIF($E$4:$E1456,$E1456))</f>
        <v/>
      </c>
      <c r="X1456" s="40" t="str">
        <f aca="false">IF($B1456="","",IF(AND(OR(CETAK!$J$10="",$E1456=CETAK!$J$10),OR(CETAK!$J$11="",$F1456=CETAK!$J$11),OR(CETAK!$J$12="",$K1456=CETAK!$J$12),OR(CETAK!$J$13="",$H1456=CETAK!$J$13),OR(CETAK!$J$14="",$O1456=CETAK!$J$14)),MAX($X$3:X1455)+1,""))</f>
        <v/>
      </c>
      <c r="Y1456" s="40" t="str">
        <f aca="false">IF($B1456="","",IF(AND(OR(ABSENSI!$H$10="",$E1456=ABSENSI!$H$10),OR(ABSENSI!$H$11="",$F1456=ABSENSI!$H$11),OR(ABSENSI!$H$12="",$K1456=ABSENSI!$H$12)),MAX($Y$3:Y1455)+1,""))</f>
        <v/>
      </c>
      <c r="Z1456" s="40" t="str">
        <f aca="false">IF($B1456="","",IF(AND(OR(KARTU!$K$6="",$E1456=KARTU!$K$6),OR(KARTU!$K$7="",$F1456=KARTU!$K$7),OR(KARTU!$K$8="",$K1456=KARTU!$K$8)),MAX($Z$3:Z1455)+1,""))</f>
        <v/>
      </c>
    </row>
    <row r="1457" customFormat="false" ht="15" hidden="false" customHeight="false" outlineLevel="0" collapsed="false">
      <c r="A1457" s="36" t="str">
        <f aca="false">IF($B1457="","",COUNTA($B$4:$B1457))</f>
        <v/>
      </c>
      <c r="B1457" s="37"/>
      <c r="C1457" s="38"/>
      <c r="D1457" s="39"/>
      <c r="E1457" s="37"/>
      <c r="F1457" s="39"/>
      <c r="G1457" s="40" t="str">
        <f aca="false">IF(OR($E1457="",$F1457=""),"",$E1457&amp;" - RT "&amp;$F1457)</f>
        <v/>
      </c>
      <c r="H1457" s="37"/>
      <c r="I1457" s="38"/>
      <c r="J1457" s="37"/>
      <c r="K1457" s="39"/>
      <c r="L1457" s="41"/>
      <c r="M1457" s="36" t="str">
        <f aca="true">IF(OR($B1457="",$L1457=""),"",DATEDIF($L1457,TODAY(),"Y"))</f>
        <v/>
      </c>
      <c r="N1457" s="40" t="str">
        <f aca="false">IF($M1457="","",INDEX(usia_label,MATCH($M1457,usia_min,1)))</f>
        <v/>
      </c>
      <c r="O1457" s="37"/>
      <c r="P1457" s="41"/>
      <c r="Q1457" s="37"/>
      <c r="R1457" s="37"/>
      <c r="S1457" s="40" t="str">
        <f aca="false">IF($G1457="","",$G1457&amp;"#"&amp;COUNTIF($G$4:$G1457,$G1457))</f>
        <v/>
      </c>
      <c r="T1457" s="40" t="str">
        <f aca="false">IF($B1457="","",IF($C1457="","NIK kosong",IF(LEN($C1457)&lt;&gt;16,"NIK bukan 16 digit",IF(COUNTIF($C$4:$C$2003,$C1457&amp;"*")&gt;1,"NIK ganda",IF($E1457="","Kadus kosong",IF($F1457="","RT kosong",IF($H1457="","Jabatan kosong",IF($I1457="","No. HP kosong",IF($J1457="","Alamat kosong",IF(AND($M1457&lt;&gt;"",$M1457&lt;17),"Usia di bawah 17",""))))))))))</f>
        <v/>
      </c>
      <c r="U1457" s="40" t="str">
        <f aca="false">IF($B1457="","",IF(AND(OR(CARI!$C$5="",ISNUMBER(SEARCH(CARI!$C$5,$B1457&amp;" "&amp;$C1457&amp;" "&amp;$I1457&amp;" "&amp;$J1457&amp;" "&amp;$Q1457))),OR(CARI!$C$6="",$E1457=CARI!$C$6),OR(CARI!$C$7="",$F1457=CARI!$C$7),OR(CARI!$C$8="",$O1457=CARI!$C$8)),MAX($U$3:U1456)+1,""))</f>
        <v/>
      </c>
      <c r="V1457" s="40" t="str">
        <f aca="false">IF($T1457="","",MAX($V$3:V1456)+1)</f>
        <v/>
      </c>
      <c r="W1457" s="40" t="str">
        <f aca="false">IF($E1457="","",$E1457&amp;"#"&amp;COUNTIF($E$4:$E1457,$E1457))</f>
        <v/>
      </c>
      <c r="X1457" s="40" t="str">
        <f aca="false">IF($B1457="","",IF(AND(OR(CETAK!$J$10="",$E1457=CETAK!$J$10),OR(CETAK!$J$11="",$F1457=CETAK!$J$11),OR(CETAK!$J$12="",$K1457=CETAK!$J$12),OR(CETAK!$J$13="",$H1457=CETAK!$J$13),OR(CETAK!$J$14="",$O1457=CETAK!$J$14)),MAX($X$3:X1456)+1,""))</f>
        <v/>
      </c>
      <c r="Y1457" s="40" t="str">
        <f aca="false">IF($B1457="","",IF(AND(OR(ABSENSI!$H$10="",$E1457=ABSENSI!$H$10),OR(ABSENSI!$H$11="",$F1457=ABSENSI!$H$11),OR(ABSENSI!$H$12="",$K1457=ABSENSI!$H$12)),MAX($Y$3:Y1456)+1,""))</f>
        <v/>
      </c>
      <c r="Z1457" s="40" t="str">
        <f aca="false">IF($B1457="","",IF(AND(OR(KARTU!$K$6="",$E1457=KARTU!$K$6),OR(KARTU!$K$7="",$F1457=KARTU!$K$7),OR(KARTU!$K$8="",$K1457=KARTU!$K$8)),MAX($Z$3:Z1456)+1,""))</f>
        <v/>
      </c>
    </row>
    <row r="1458" customFormat="false" ht="15" hidden="false" customHeight="false" outlineLevel="0" collapsed="false">
      <c r="A1458" s="36" t="str">
        <f aca="false">IF($B1458="","",COUNTA($B$4:$B1458))</f>
        <v/>
      </c>
      <c r="B1458" s="37"/>
      <c r="C1458" s="38"/>
      <c r="D1458" s="39"/>
      <c r="E1458" s="37"/>
      <c r="F1458" s="39"/>
      <c r="G1458" s="40" t="str">
        <f aca="false">IF(OR($E1458="",$F1458=""),"",$E1458&amp;" - RT "&amp;$F1458)</f>
        <v/>
      </c>
      <c r="H1458" s="37"/>
      <c r="I1458" s="38"/>
      <c r="J1458" s="37"/>
      <c r="K1458" s="39"/>
      <c r="L1458" s="41"/>
      <c r="M1458" s="36" t="str">
        <f aca="true">IF(OR($B1458="",$L1458=""),"",DATEDIF($L1458,TODAY(),"Y"))</f>
        <v/>
      </c>
      <c r="N1458" s="40" t="str">
        <f aca="false">IF($M1458="","",INDEX(usia_label,MATCH($M1458,usia_min,1)))</f>
        <v/>
      </c>
      <c r="O1458" s="37"/>
      <c r="P1458" s="41"/>
      <c r="Q1458" s="37"/>
      <c r="R1458" s="37"/>
      <c r="S1458" s="40" t="str">
        <f aca="false">IF($G1458="","",$G1458&amp;"#"&amp;COUNTIF($G$4:$G1458,$G1458))</f>
        <v/>
      </c>
      <c r="T1458" s="40" t="str">
        <f aca="false">IF($B1458="","",IF($C1458="","NIK kosong",IF(LEN($C1458)&lt;&gt;16,"NIK bukan 16 digit",IF(COUNTIF($C$4:$C$2003,$C1458&amp;"*")&gt;1,"NIK ganda",IF($E1458="","Kadus kosong",IF($F1458="","RT kosong",IF($H1458="","Jabatan kosong",IF($I1458="","No. HP kosong",IF($J1458="","Alamat kosong",IF(AND($M1458&lt;&gt;"",$M1458&lt;17),"Usia di bawah 17",""))))))))))</f>
        <v/>
      </c>
      <c r="U1458" s="40" t="str">
        <f aca="false">IF($B1458="","",IF(AND(OR(CARI!$C$5="",ISNUMBER(SEARCH(CARI!$C$5,$B1458&amp;" "&amp;$C1458&amp;" "&amp;$I1458&amp;" "&amp;$J1458&amp;" "&amp;$Q1458))),OR(CARI!$C$6="",$E1458=CARI!$C$6),OR(CARI!$C$7="",$F1458=CARI!$C$7),OR(CARI!$C$8="",$O1458=CARI!$C$8)),MAX($U$3:U1457)+1,""))</f>
        <v/>
      </c>
      <c r="V1458" s="40" t="str">
        <f aca="false">IF($T1458="","",MAX($V$3:V1457)+1)</f>
        <v/>
      </c>
      <c r="W1458" s="40" t="str">
        <f aca="false">IF($E1458="","",$E1458&amp;"#"&amp;COUNTIF($E$4:$E1458,$E1458))</f>
        <v/>
      </c>
      <c r="X1458" s="40" t="str">
        <f aca="false">IF($B1458="","",IF(AND(OR(CETAK!$J$10="",$E1458=CETAK!$J$10),OR(CETAK!$J$11="",$F1458=CETAK!$J$11),OR(CETAK!$J$12="",$K1458=CETAK!$J$12),OR(CETAK!$J$13="",$H1458=CETAK!$J$13),OR(CETAK!$J$14="",$O1458=CETAK!$J$14)),MAX($X$3:X1457)+1,""))</f>
        <v/>
      </c>
      <c r="Y1458" s="40" t="str">
        <f aca="false">IF($B1458="","",IF(AND(OR(ABSENSI!$H$10="",$E1458=ABSENSI!$H$10),OR(ABSENSI!$H$11="",$F1458=ABSENSI!$H$11),OR(ABSENSI!$H$12="",$K1458=ABSENSI!$H$12)),MAX($Y$3:Y1457)+1,""))</f>
        <v/>
      </c>
      <c r="Z1458" s="40" t="str">
        <f aca="false">IF($B1458="","",IF(AND(OR(KARTU!$K$6="",$E1458=KARTU!$K$6),OR(KARTU!$K$7="",$F1458=KARTU!$K$7),OR(KARTU!$K$8="",$K1458=KARTU!$K$8)),MAX($Z$3:Z1457)+1,""))</f>
        <v/>
      </c>
    </row>
    <row r="1459" customFormat="false" ht="15" hidden="false" customHeight="false" outlineLevel="0" collapsed="false">
      <c r="A1459" s="36" t="str">
        <f aca="false">IF($B1459="","",COUNTA($B$4:$B1459))</f>
        <v/>
      </c>
      <c r="B1459" s="37"/>
      <c r="C1459" s="38"/>
      <c r="D1459" s="39"/>
      <c r="E1459" s="37"/>
      <c r="F1459" s="39"/>
      <c r="G1459" s="40" t="str">
        <f aca="false">IF(OR($E1459="",$F1459=""),"",$E1459&amp;" - RT "&amp;$F1459)</f>
        <v/>
      </c>
      <c r="H1459" s="37"/>
      <c r="I1459" s="38"/>
      <c r="J1459" s="37"/>
      <c r="K1459" s="39"/>
      <c r="L1459" s="41"/>
      <c r="M1459" s="36" t="str">
        <f aca="true">IF(OR($B1459="",$L1459=""),"",DATEDIF($L1459,TODAY(),"Y"))</f>
        <v/>
      </c>
      <c r="N1459" s="40" t="str">
        <f aca="false">IF($M1459="","",INDEX(usia_label,MATCH($M1459,usia_min,1)))</f>
        <v/>
      </c>
      <c r="O1459" s="37"/>
      <c r="P1459" s="41"/>
      <c r="Q1459" s="37"/>
      <c r="R1459" s="37"/>
      <c r="S1459" s="40" t="str">
        <f aca="false">IF($G1459="","",$G1459&amp;"#"&amp;COUNTIF($G$4:$G1459,$G1459))</f>
        <v/>
      </c>
      <c r="T1459" s="40" t="str">
        <f aca="false">IF($B1459="","",IF($C1459="","NIK kosong",IF(LEN($C1459)&lt;&gt;16,"NIK bukan 16 digit",IF(COUNTIF($C$4:$C$2003,$C1459&amp;"*")&gt;1,"NIK ganda",IF($E1459="","Kadus kosong",IF($F1459="","RT kosong",IF($H1459="","Jabatan kosong",IF($I1459="","No. HP kosong",IF($J1459="","Alamat kosong",IF(AND($M1459&lt;&gt;"",$M1459&lt;17),"Usia di bawah 17",""))))))))))</f>
        <v/>
      </c>
      <c r="U1459" s="40" t="str">
        <f aca="false">IF($B1459="","",IF(AND(OR(CARI!$C$5="",ISNUMBER(SEARCH(CARI!$C$5,$B1459&amp;" "&amp;$C1459&amp;" "&amp;$I1459&amp;" "&amp;$J1459&amp;" "&amp;$Q1459))),OR(CARI!$C$6="",$E1459=CARI!$C$6),OR(CARI!$C$7="",$F1459=CARI!$C$7),OR(CARI!$C$8="",$O1459=CARI!$C$8)),MAX($U$3:U1458)+1,""))</f>
        <v/>
      </c>
      <c r="V1459" s="40" t="str">
        <f aca="false">IF($T1459="","",MAX($V$3:V1458)+1)</f>
        <v/>
      </c>
      <c r="W1459" s="40" t="str">
        <f aca="false">IF($E1459="","",$E1459&amp;"#"&amp;COUNTIF($E$4:$E1459,$E1459))</f>
        <v/>
      </c>
      <c r="X1459" s="40" t="str">
        <f aca="false">IF($B1459="","",IF(AND(OR(CETAK!$J$10="",$E1459=CETAK!$J$10),OR(CETAK!$J$11="",$F1459=CETAK!$J$11),OR(CETAK!$J$12="",$K1459=CETAK!$J$12),OR(CETAK!$J$13="",$H1459=CETAK!$J$13),OR(CETAK!$J$14="",$O1459=CETAK!$J$14)),MAX($X$3:X1458)+1,""))</f>
        <v/>
      </c>
      <c r="Y1459" s="40" t="str">
        <f aca="false">IF($B1459="","",IF(AND(OR(ABSENSI!$H$10="",$E1459=ABSENSI!$H$10),OR(ABSENSI!$H$11="",$F1459=ABSENSI!$H$11),OR(ABSENSI!$H$12="",$K1459=ABSENSI!$H$12)),MAX($Y$3:Y1458)+1,""))</f>
        <v/>
      </c>
      <c r="Z1459" s="40" t="str">
        <f aca="false">IF($B1459="","",IF(AND(OR(KARTU!$K$6="",$E1459=KARTU!$K$6),OR(KARTU!$K$7="",$F1459=KARTU!$K$7),OR(KARTU!$K$8="",$K1459=KARTU!$K$8)),MAX($Z$3:Z1458)+1,""))</f>
        <v/>
      </c>
    </row>
    <row r="1460" customFormat="false" ht="15" hidden="false" customHeight="false" outlineLevel="0" collapsed="false">
      <c r="A1460" s="36" t="str">
        <f aca="false">IF($B1460="","",COUNTA($B$4:$B1460))</f>
        <v/>
      </c>
      <c r="B1460" s="37"/>
      <c r="C1460" s="38"/>
      <c r="D1460" s="39"/>
      <c r="E1460" s="37"/>
      <c r="F1460" s="39"/>
      <c r="G1460" s="40" t="str">
        <f aca="false">IF(OR($E1460="",$F1460=""),"",$E1460&amp;" - RT "&amp;$F1460)</f>
        <v/>
      </c>
      <c r="H1460" s="37"/>
      <c r="I1460" s="38"/>
      <c r="J1460" s="37"/>
      <c r="K1460" s="39"/>
      <c r="L1460" s="41"/>
      <c r="M1460" s="36" t="str">
        <f aca="true">IF(OR($B1460="",$L1460=""),"",DATEDIF($L1460,TODAY(),"Y"))</f>
        <v/>
      </c>
      <c r="N1460" s="40" t="str">
        <f aca="false">IF($M1460="","",INDEX(usia_label,MATCH($M1460,usia_min,1)))</f>
        <v/>
      </c>
      <c r="O1460" s="37"/>
      <c r="P1460" s="41"/>
      <c r="Q1460" s="37"/>
      <c r="R1460" s="37"/>
      <c r="S1460" s="40" t="str">
        <f aca="false">IF($G1460="","",$G1460&amp;"#"&amp;COUNTIF($G$4:$G1460,$G1460))</f>
        <v/>
      </c>
      <c r="T1460" s="40" t="str">
        <f aca="false">IF($B1460="","",IF($C1460="","NIK kosong",IF(LEN($C1460)&lt;&gt;16,"NIK bukan 16 digit",IF(COUNTIF($C$4:$C$2003,$C1460&amp;"*")&gt;1,"NIK ganda",IF($E1460="","Kadus kosong",IF($F1460="","RT kosong",IF($H1460="","Jabatan kosong",IF($I1460="","No. HP kosong",IF($J1460="","Alamat kosong",IF(AND($M1460&lt;&gt;"",$M1460&lt;17),"Usia di bawah 17",""))))))))))</f>
        <v/>
      </c>
      <c r="U1460" s="40" t="str">
        <f aca="false">IF($B1460="","",IF(AND(OR(CARI!$C$5="",ISNUMBER(SEARCH(CARI!$C$5,$B1460&amp;" "&amp;$C1460&amp;" "&amp;$I1460&amp;" "&amp;$J1460&amp;" "&amp;$Q1460))),OR(CARI!$C$6="",$E1460=CARI!$C$6),OR(CARI!$C$7="",$F1460=CARI!$C$7),OR(CARI!$C$8="",$O1460=CARI!$C$8)),MAX($U$3:U1459)+1,""))</f>
        <v/>
      </c>
      <c r="V1460" s="40" t="str">
        <f aca="false">IF($T1460="","",MAX($V$3:V1459)+1)</f>
        <v/>
      </c>
      <c r="W1460" s="40" t="str">
        <f aca="false">IF($E1460="","",$E1460&amp;"#"&amp;COUNTIF($E$4:$E1460,$E1460))</f>
        <v/>
      </c>
      <c r="X1460" s="40" t="str">
        <f aca="false">IF($B1460="","",IF(AND(OR(CETAK!$J$10="",$E1460=CETAK!$J$10),OR(CETAK!$J$11="",$F1460=CETAK!$J$11),OR(CETAK!$J$12="",$K1460=CETAK!$J$12),OR(CETAK!$J$13="",$H1460=CETAK!$J$13),OR(CETAK!$J$14="",$O1460=CETAK!$J$14)),MAX($X$3:X1459)+1,""))</f>
        <v/>
      </c>
      <c r="Y1460" s="40" t="str">
        <f aca="false">IF($B1460="","",IF(AND(OR(ABSENSI!$H$10="",$E1460=ABSENSI!$H$10),OR(ABSENSI!$H$11="",$F1460=ABSENSI!$H$11),OR(ABSENSI!$H$12="",$K1460=ABSENSI!$H$12)),MAX($Y$3:Y1459)+1,""))</f>
        <v/>
      </c>
      <c r="Z1460" s="40" t="str">
        <f aca="false">IF($B1460="","",IF(AND(OR(KARTU!$K$6="",$E1460=KARTU!$K$6),OR(KARTU!$K$7="",$F1460=KARTU!$K$7),OR(KARTU!$K$8="",$K1460=KARTU!$K$8)),MAX($Z$3:Z1459)+1,""))</f>
        <v/>
      </c>
    </row>
    <row r="1461" customFormat="false" ht="15" hidden="false" customHeight="false" outlineLevel="0" collapsed="false">
      <c r="A1461" s="36" t="str">
        <f aca="false">IF($B1461="","",COUNTA($B$4:$B1461))</f>
        <v/>
      </c>
      <c r="B1461" s="37"/>
      <c r="C1461" s="38"/>
      <c r="D1461" s="39"/>
      <c r="E1461" s="37"/>
      <c r="F1461" s="39"/>
      <c r="G1461" s="40" t="str">
        <f aca="false">IF(OR($E1461="",$F1461=""),"",$E1461&amp;" - RT "&amp;$F1461)</f>
        <v/>
      </c>
      <c r="H1461" s="37"/>
      <c r="I1461" s="38"/>
      <c r="J1461" s="37"/>
      <c r="K1461" s="39"/>
      <c r="L1461" s="41"/>
      <c r="M1461" s="36" t="str">
        <f aca="true">IF(OR($B1461="",$L1461=""),"",DATEDIF($L1461,TODAY(),"Y"))</f>
        <v/>
      </c>
      <c r="N1461" s="40" t="str">
        <f aca="false">IF($M1461="","",INDEX(usia_label,MATCH($M1461,usia_min,1)))</f>
        <v/>
      </c>
      <c r="O1461" s="37"/>
      <c r="P1461" s="41"/>
      <c r="Q1461" s="37"/>
      <c r="R1461" s="37"/>
      <c r="S1461" s="40" t="str">
        <f aca="false">IF($G1461="","",$G1461&amp;"#"&amp;COUNTIF($G$4:$G1461,$G1461))</f>
        <v/>
      </c>
      <c r="T1461" s="40" t="str">
        <f aca="false">IF($B1461="","",IF($C1461="","NIK kosong",IF(LEN($C1461)&lt;&gt;16,"NIK bukan 16 digit",IF(COUNTIF($C$4:$C$2003,$C1461&amp;"*")&gt;1,"NIK ganda",IF($E1461="","Kadus kosong",IF($F1461="","RT kosong",IF($H1461="","Jabatan kosong",IF($I1461="","No. HP kosong",IF($J1461="","Alamat kosong",IF(AND($M1461&lt;&gt;"",$M1461&lt;17),"Usia di bawah 17",""))))))))))</f>
        <v/>
      </c>
      <c r="U1461" s="40" t="str">
        <f aca="false">IF($B1461="","",IF(AND(OR(CARI!$C$5="",ISNUMBER(SEARCH(CARI!$C$5,$B1461&amp;" "&amp;$C1461&amp;" "&amp;$I1461&amp;" "&amp;$J1461&amp;" "&amp;$Q1461))),OR(CARI!$C$6="",$E1461=CARI!$C$6),OR(CARI!$C$7="",$F1461=CARI!$C$7),OR(CARI!$C$8="",$O1461=CARI!$C$8)),MAX($U$3:U1460)+1,""))</f>
        <v/>
      </c>
      <c r="V1461" s="40" t="str">
        <f aca="false">IF($T1461="","",MAX($V$3:V1460)+1)</f>
        <v/>
      </c>
      <c r="W1461" s="40" t="str">
        <f aca="false">IF($E1461="","",$E1461&amp;"#"&amp;COUNTIF($E$4:$E1461,$E1461))</f>
        <v/>
      </c>
      <c r="X1461" s="40" t="str">
        <f aca="false">IF($B1461="","",IF(AND(OR(CETAK!$J$10="",$E1461=CETAK!$J$10),OR(CETAK!$J$11="",$F1461=CETAK!$J$11),OR(CETAK!$J$12="",$K1461=CETAK!$J$12),OR(CETAK!$J$13="",$H1461=CETAK!$J$13),OR(CETAK!$J$14="",$O1461=CETAK!$J$14)),MAX($X$3:X1460)+1,""))</f>
        <v/>
      </c>
      <c r="Y1461" s="40" t="str">
        <f aca="false">IF($B1461="","",IF(AND(OR(ABSENSI!$H$10="",$E1461=ABSENSI!$H$10),OR(ABSENSI!$H$11="",$F1461=ABSENSI!$H$11),OR(ABSENSI!$H$12="",$K1461=ABSENSI!$H$12)),MAX($Y$3:Y1460)+1,""))</f>
        <v/>
      </c>
      <c r="Z1461" s="40" t="str">
        <f aca="false">IF($B1461="","",IF(AND(OR(KARTU!$K$6="",$E1461=KARTU!$K$6),OR(KARTU!$K$7="",$F1461=KARTU!$K$7),OR(KARTU!$K$8="",$K1461=KARTU!$K$8)),MAX($Z$3:Z1460)+1,""))</f>
        <v/>
      </c>
    </row>
    <row r="1462" customFormat="false" ht="15" hidden="false" customHeight="false" outlineLevel="0" collapsed="false">
      <c r="A1462" s="36" t="str">
        <f aca="false">IF($B1462="","",COUNTA($B$4:$B1462))</f>
        <v/>
      </c>
      <c r="B1462" s="37"/>
      <c r="C1462" s="38"/>
      <c r="D1462" s="39"/>
      <c r="E1462" s="37"/>
      <c r="F1462" s="39"/>
      <c r="G1462" s="40" t="str">
        <f aca="false">IF(OR($E1462="",$F1462=""),"",$E1462&amp;" - RT "&amp;$F1462)</f>
        <v/>
      </c>
      <c r="H1462" s="37"/>
      <c r="I1462" s="38"/>
      <c r="J1462" s="37"/>
      <c r="K1462" s="39"/>
      <c r="L1462" s="41"/>
      <c r="M1462" s="36" t="str">
        <f aca="true">IF(OR($B1462="",$L1462=""),"",DATEDIF($L1462,TODAY(),"Y"))</f>
        <v/>
      </c>
      <c r="N1462" s="40" t="str">
        <f aca="false">IF($M1462="","",INDEX(usia_label,MATCH($M1462,usia_min,1)))</f>
        <v/>
      </c>
      <c r="O1462" s="37"/>
      <c r="P1462" s="41"/>
      <c r="Q1462" s="37"/>
      <c r="R1462" s="37"/>
      <c r="S1462" s="40" t="str">
        <f aca="false">IF($G1462="","",$G1462&amp;"#"&amp;COUNTIF($G$4:$G1462,$G1462))</f>
        <v/>
      </c>
      <c r="T1462" s="40" t="str">
        <f aca="false">IF($B1462="","",IF($C1462="","NIK kosong",IF(LEN($C1462)&lt;&gt;16,"NIK bukan 16 digit",IF(COUNTIF($C$4:$C$2003,$C1462&amp;"*")&gt;1,"NIK ganda",IF($E1462="","Kadus kosong",IF($F1462="","RT kosong",IF($H1462="","Jabatan kosong",IF($I1462="","No. HP kosong",IF($J1462="","Alamat kosong",IF(AND($M1462&lt;&gt;"",$M1462&lt;17),"Usia di bawah 17",""))))))))))</f>
        <v/>
      </c>
      <c r="U1462" s="40" t="str">
        <f aca="false">IF($B1462="","",IF(AND(OR(CARI!$C$5="",ISNUMBER(SEARCH(CARI!$C$5,$B1462&amp;" "&amp;$C1462&amp;" "&amp;$I1462&amp;" "&amp;$J1462&amp;" "&amp;$Q1462))),OR(CARI!$C$6="",$E1462=CARI!$C$6),OR(CARI!$C$7="",$F1462=CARI!$C$7),OR(CARI!$C$8="",$O1462=CARI!$C$8)),MAX($U$3:U1461)+1,""))</f>
        <v/>
      </c>
      <c r="V1462" s="40" t="str">
        <f aca="false">IF($T1462="","",MAX($V$3:V1461)+1)</f>
        <v/>
      </c>
      <c r="W1462" s="40" t="str">
        <f aca="false">IF($E1462="","",$E1462&amp;"#"&amp;COUNTIF($E$4:$E1462,$E1462))</f>
        <v/>
      </c>
      <c r="X1462" s="40" t="str">
        <f aca="false">IF($B1462="","",IF(AND(OR(CETAK!$J$10="",$E1462=CETAK!$J$10),OR(CETAK!$J$11="",$F1462=CETAK!$J$11),OR(CETAK!$J$12="",$K1462=CETAK!$J$12),OR(CETAK!$J$13="",$H1462=CETAK!$J$13),OR(CETAK!$J$14="",$O1462=CETAK!$J$14)),MAX($X$3:X1461)+1,""))</f>
        <v/>
      </c>
      <c r="Y1462" s="40" t="str">
        <f aca="false">IF($B1462="","",IF(AND(OR(ABSENSI!$H$10="",$E1462=ABSENSI!$H$10),OR(ABSENSI!$H$11="",$F1462=ABSENSI!$H$11),OR(ABSENSI!$H$12="",$K1462=ABSENSI!$H$12)),MAX($Y$3:Y1461)+1,""))</f>
        <v/>
      </c>
      <c r="Z1462" s="40" t="str">
        <f aca="false">IF($B1462="","",IF(AND(OR(KARTU!$K$6="",$E1462=KARTU!$K$6),OR(KARTU!$K$7="",$F1462=KARTU!$K$7),OR(KARTU!$K$8="",$K1462=KARTU!$K$8)),MAX($Z$3:Z1461)+1,""))</f>
        <v/>
      </c>
    </row>
    <row r="1463" customFormat="false" ht="15" hidden="false" customHeight="false" outlineLevel="0" collapsed="false">
      <c r="A1463" s="36" t="str">
        <f aca="false">IF($B1463="","",COUNTA($B$4:$B1463))</f>
        <v/>
      </c>
      <c r="B1463" s="37"/>
      <c r="C1463" s="38"/>
      <c r="D1463" s="39"/>
      <c r="E1463" s="37"/>
      <c r="F1463" s="39"/>
      <c r="G1463" s="40" t="str">
        <f aca="false">IF(OR($E1463="",$F1463=""),"",$E1463&amp;" - RT "&amp;$F1463)</f>
        <v/>
      </c>
      <c r="H1463" s="37"/>
      <c r="I1463" s="38"/>
      <c r="J1463" s="37"/>
      <c r="K1463" s="39"/>
      <c r="L1463" s="41"/>
      <c r="M1463" s="36" t="str">
        <f aca="true">IF(OR($B1463="",$L1463=""),"",DATEDIF($L1463,TODAY(),"Y"))</f>
        <v/>
      </c>
      <c r="N1463" s="40" t="str">
        <f aca="false">IF($M1463="","",INDEX(usia_label,MATCH($M1463,usia_min,1)))</f>
        <v/>
      </c>
      <c r="O1463" s="37"/>
      <c r="P1463" s="41"/>
      <c r="Q1463" s="37"/>
      <c r="R1463" s="37"/>
      <c r="S1463" s="40" t="str">
        <f aca="false">IF($G1463="","",$G1463&amp;"#"&amp;COUNTIF($G$4:$G1463,$G1463))</f>
        <v/>
      </c>
      <c r="T1463" s="40" t="str">
        <f aca="false">IF($B1463="","",IF($C1463="","NIK kosong",IF(LEN($C1463)&lt;&gt;16,"NIK bukan 16 digit",IF(COUNTIF($C$4:$C$2003,$C1463&amp;"*")&gt;1,"NIK ganda",IF($E1463="","Kadus kosong",IF($F1463="","RT kosong",IF($H1463="","Jabatan kosong",IF($I1463="","No. HP kosong",IF($J1463="","Alamat kosong",IF(AND($M1463&lt;&gt;"",$M1463&lt;17),"Usia di bawah 17",""))))))))))</f>
        <v/>
      </c>
      <c r="U1463" s="40" t="str">
        <f aca="false">IF($B1463="","",IF(AND(OR(CARI!$C$5="",ISNUMBER(SEARCH(CARI!$C$5,$B1463&amp;" "&amp;$C1463&amp;" "&amp;$I1463&amp;" "&amp;$J1463&amp;" "&amp;$Q1463))),OR(CARI!$C$6="",$E1463=CARI!$C$6),OR(CARI!$C$7="",$F1463=CARI!$C$7),OR(CARI!$C$8="",$O1463=CARI!$C$8)),MAX($U$3:U1462)+1,""))</f>
        <v/>
      </c>
      <c r="V1463" s="40" t="str">
        <f aca="false">IF($T1463="","",MAX($V$3:V1462)+1)</f>
        <v/>
      </c>
      <c r="W1463" s="40" t="str">
        <f aca="false">IF($E1463="","",$E1463&amp;"#"&amp;COUNTIF($E$4:$E1463,$E1463))</f>
        <v/>
      </c>
      <c r="X1463" s="40" t="str">
        <f aca="false">IF($B1463="","",IF(AND(OR(CETAK!$J$10="",$E1463=CETAK!$J$10),OR(CETAK!$J$11="",$F1463=CETAK!$J$11),OR(CETAK!$J$12="",$K1463=CETAK!$J$12),OR(CETAK!$J$13="",$H1463=CETAK!$J$13),OR(CETAK!$J$14="",$O1463=CETAK!$J$14)),MAX($X$3:X1462)+1,""))</f>
        <v/>
      </c>
      <c r="Y1463" s="40" t="str">
        <f aca="false">IF($B1463="","",IF(AND(OR(ABSENSI!$H$10="",$E1463=ABSENSI!$H$10),OR(ABSENSI!$H$11="",$F1463=ABSENSI!$H$11),OR(ABSENSI!$H$12="",$K1463=ABSENSI!$H$12)),MAX($Y$3:Y1462)+1,""))</f>
        <v/>
      </c>
      <c r="Z1463" s="40" t="str">
        <f aca="false">IF($B1463="","",IF(AND(OR(KARTU!$K$6="",$E1463=KARTU!$K$6),OR(KARTU!$K$7="",$F1463=KARTU!$K$7),OR(KARTU!$K$8="",$K1463=KARTU!$K$8)),MAX($Z$3:Z1462)+1,""))</f>
        <v/>
      </c>
    </row>
    <row r="1464" customFormat="false" ht="15" hidden="false" customHeight="false" outlineLevel="0" collapsed="false">
      <c r="A1464" s="36" t="str">
        <f aca="false">IF($B1464="","",COUNTA($B$4:$B1464))</f>
        <v/>
      </c>
      <c r="B1464" s="37"/>
      <c r="C1464" s="38"/>
      <c r="D1464" s="39"/>
      <c r="E1464" s="37"/>
      <c r="F1464" s="39"/>
      <c r="G1464" s="40" t="str">
        <f aca="false">IF(OR($E1464="",$F1464=""),"",$E1464&amp;" - RT "&amp;$F1464)</f>
        <v/>
      </c>
      <c r="H1464" s="37"/>
      <c r="I1464" s="38"/>
      <c r="J1464" s="37"/>
      <c r="K1464" s="39"/>
      <c r="L1464" s="41"/>
      <c r="M1464" s="36" t="str">
        <f aca="true">IF(OR($B1464="",$L1464=""),"",DATEDIF($L1464,TODAY(),"Y"))</f>
        <v/>
      </c>
      <c r="N1464" s="40" t="str">
        <f aca="false">IF($M1464="","",INDEX(usia_label,MATCH($M1464,usia_min,1)))</f>
        <v/>
      </c>
      <c r="O1464" s="37"/>
      <c r="P1464" s="41"/>
      <c r="Q1464" s="37"/>
      <c r="R1464" s="37"/>
      <c r="S1464" s="40" t="str">
        <f aca="false">IF($G1464="","",$G1464&amp;"#"&amp;COUNTIF($G$4:$G1464,$G1464))</f>
        <v/>
      </c>
      <c r="T1464" s="40" t="str">
        <f aca="false">IF($B1464="","",IF($C1464="","NIK kosong",IF(LEN($C1464)&lt;&gt;16,"NIK bukan 16 digit",IF(COUNTIF($C$4:$C$2003,$C1464&amp;"*")&gt;1,"NIK ganda",IF($E1464="","Kadus kosong",IF($F1464="","RT kosong",IF($H1464="","Jabatan kosong",IF($I1464="","No. HP kosong",IF($J1464="","Alamat kosong",IF(AND($M1464&lt;&gt;"",$M1464&lt;17),"Usia di bawah 17",""))))))))))</f>
        <v/>
      </c>
      <c r="U1464" s="40" t="str">
        <f aca="false">IF($B1464="","",IF(AND(OR(CARI!$C$5="",ISNUMBER(SEARCH(CARI!$C$5,$B1464&amp;" "&amp;$C1464&amp;" "&amp;$I1464&amp;" "&amp;$J1464&amp;" "&amp;$Q1464))),OR(CARI!$C$6="",$E1464=CARI!$C$6),OR(CARI!$C$7="",$F1464=CARI!$C$7),OR(CARI!$C$8="",$O1464=CARI!$C$8)),MAX($U$3:U1463)+1,""))</f>
        <v/>
      </c>
      <c r="V1464" s="40" t="str">
        <f aca="false">IF($T1464="","",MAX($V$3:V1463)+1)</f>
        <v/>
      </c>
      <c r="W1464" s="40" t="str">
        <f aca="false">IF($E1464="","",$E1464&amp;"#"&amp;COUNTIF($E$4:$E1464,$E1464))</f>
        <v/>
      </c>
      <c r="X1464" s="40" t="str">
        <f aca="false">IF($B1464="","",IF(AND(OR(CETAK!$J$10="",$E1464=CETAK!$J$10),OR(CETAK!$J$11="",$F1464=CETAK!$J$11),OR(CETAK!$J$12="",$K1464=CETAK!$J$12),OR(CETAK!$J$13="",$H1464=CETAK!$J$13),OR(CETAK!$J$14="",$O1464=CETAK!$J$14)),MAX($X$3:X1463)+1,""))</f>
        <v/>
      </c>
      <c r="Y1464" s="40" t="str">
        <f aca="false">IF($B1464="","",IF(AND(OR(ABSENSI!$H$10="",$E1464=ABSENSI!$H$10),OR(ABSENSI!$H$11="",$F1464=ABSENSI!$H$11),OR(ABSENSI!$H$12="",$K1464=ABSENSI!$H$12)),MAX($Y$3:Y1463)+1,""))</f>
        <v/>
      </c>
      <c r="Z1464" s="40" t="str">
        <f aca="false">IF($B1464="","",IF(AND(OR(KARTU!$K$6="",$E1464=KARTU!$K$6),OR(KARTU!$K$7="",$F1464=KARTU!$K$7),OR(KARTU!$K$8="",$K1464=KARTU!$K$8)),MAX($Z$3:Z1463)+1,""))</f>
        <v/>
      </c>
    </row>
    <row r="1465" customFormat="false" ht="15" hidden="false" customHeight="false" outlineLevel="0" collapsed="false">
      <c r="A1465" s="36" t="str">
        <f aca="false">IF($B1465="","",COUNTA($B$4:$B1465))</f>
        <v/>
      </c>
      <c r="B1465" s="37"/>
      <c r="C1465" s="38"/>
      <c r="D1465" s="39"/>
      <c r="E1465" s="37"/>
      <c r="F1465" s="39"/>
      <c r="G1465" s="40" t="str">
        <f aca="false">IF(OR($E1465="",$F1465=""),"",$E1465&amp;" - RT "&amp;$F1465)</f>
        <v/>
      </c>
      <c r="H1465" s="37"/>
      <c r="I1465" s="38"/>
      <c r="J1465" s="37"/>
      <c r="K1465" s="39"/>
      <c r="L1465" s="41"/>
      <c r="M1465" s="36" t="str">
        <f aca="true">IF(OR($B1465="",$L1465=""),"",DATEDIF($L1465,TODAY(),"Y"))</f>
        <v/>
      </c>
      <c r="N1465" s="40" t="str">
        <f aca="false">IF($M1465="","",INDEX(usia_label,MATCH($M1465,usia_min,1)))</f>
        <v/>
      </c>
      <c r="O1465" s="37"/>
      <c r="P1465" s="41"/>
      <c r="Q1465" s="37"/>
      <c r="R1465" s="37"/>
      <c r="S1465" s="40" t="str">
        <f aca="false">IF($G1465="","",$G1465&amp;"#"&amp;COUNTIF($G$4:$G1465,$G1465))</f>
        <v/>
      </c>
      <c r="T1465" s="40" t="str">
        <f aca="false">IF($B1465="","",IF($C1465="","NIK kosong",IF(LEN($C1465)&lt;&gt;16,"NIK bukan 16 digit",IF(COUNTIF($C$4:$C$2003,$C1465&amp;"*")&gt;1,"NIK ganda",IF($E1465="","Kadus kosong",IF($F1465="","RT kosong",IF($H1465="","Jabatan kosong",IF($I1465="","No. HP kosong",IF($J1465="","Alamat kosong",IF(AND($M1465&lt;&gt;"",$M1465&lt;17),"Usia di bawah 17",""))))))))))</f>
        <v/>
      </c>
      <c r="U1465" s="40" t="str">
        <f aca="false">IF($B1465="","",IF(AND(OR(CARI!$C$5="",ISNUMBER(SEARCH(CARI!$C$5,$B1465&amp;" "&amp;$C1465&amp;" "&amp;$I1465&amp;" "&amp;$J1465&amp;" "&amp;$Q1465))),OR(CARI!$C$6="",$E1465=CARI!$C$6),OR(CARI!$C$7="",$F1465=CARI!$C$7),OR(CARI!$C$8="",$O1465=CARI!$C$8)),MAX($U$3:U1464)+1,""))</f>
        <v/>
      </c>
      <c r="V1465" s="40" t="str">
        <f aca="false">IF($T1465="","",MAX($V$3:V1464)+1)</f>
        <v/>
      </c>
      <c r="W1465" s="40" t="str">
        <f aca="false">IF($E1465="","",$E1465&amp;"#"&amp;COUNTIF($E$4:$E1465,$E1465))</f>
        <v/>
      </c>
      <c r="X1465" s="40" t="str">
        <f aca="false">IF($B1465="","",IF(AND(OR(CETAK!$J$10="",$E1465=CETAK!$J$10),OR(CETAK!$J$11="",$F1465=CETAK!$J$11),OR(CETAK!$J$12="",$K1465=CETAK!$J$12),OR(CETAK!$J$13="",$H1465=CETAK!$J$13),OR(CETAK!$J$14="",$O1465=CETAK!$J$14)),MAX($X$3:X1464)+1,""))</f>
        <v/>
      </c>
      <c r="Y1465" s="40" t="str">
        <f aca="false">IF($B1465="","",IF(AND(OR(ABSENSI!$H$10="",$E1465=ABSENSI!$H$10),OR(ABSENSI!$H$11="",$F1465=ABSENSI!$H$11),OR(ABSENSI!$H$12="",$K1465=ABSENSI!$H$12)),MAX($Y$3:Y1464)+1,""))</f>
        <v/>
      </c>
      <c r="Z1465" s="40" t="str">
        <f aca="false">IF($B1465="","",IF(AND(OR(KARTU!$K$6="",$E1465=KARTU!$K$6),OR(KARTU!$K$7="",$F1465=KARTU!$K$7),OR(KARTU!$K$8="",$K1465=KARTU!$K$8)),MAX($Z$3:Z1464)+1,""))</f>
        <v/>
      </c>
    </row>
    <row r="1466" customFormat="false" ht="15" hidden="false" customHeight="false" outlineLevel="0" collapsed="false">
      <c r="A1466" s="36" t="str">
        <f aca="false">IF($B1466="","",COUNTA($B$4:$B1466))</f>
        <v/>
      </c>
      <c r="B1466" s="37"/>
      <c r="C1466" s="38"/>
      <c r="D1466" s="39"/>
      <c r="E1466" s="37"/>
      <c r="F1466" s="39"/>
      <c r="G1466" s="40" t="str">
        <f aca="false">IF(OR($E1466="",$F1466=""),"",$E1466&amp;" - RT "&amp;$F1466)</f>
        <v/>
      </c>
      <c r="H1466" s="37"/>
      <c r="I1466" s="38"/>
      <c r="J1466" s="37"/>
      <c r="K1466" s="39"/>
      <c r="L1466" s="41"/>
      <c r="M1466" s="36" t="str">
        <f aca="true">IF(OR($B1466="",$L1466=""),"",DATEDIF($L1466,TODAY(),"Y"))</f>
        <v/>
      </c>
      <c r="N1466" s="40" t="str">
        <f aca="false">IF($M1466="","",INDEX(usia_label,MATCH($M1466,usia_min,1)))</f>
        <v/>
      </c>
      <c r="O1466" s="37"/>
      <c r="P1466" s="41"/>
      <c r="Q1466" s="37"/>
      <c r="R1466" s="37"/>
      <c r="S1466" s="40" t="str">
        <f aca="false">IF($G1466="","",$G1466&amp;"#"&amp;COUNTIF($G$4:$G1466,$G1466))</f>
        <v/>
      </c>
      <c r="T1466" s="40" t="str">
        <f aca="false">IF($B1466="","",IF($C1466="","NIK kosong",IF(LEN($C1466)&lt;&gt;16,"NIK bukan 16 digit",IF(COUNTIF($C$4:$C$2003,$C1466&amp;"*")&gt;1,"NIK ganda",IF($E1466="","Kadus kosong",IF($F1466="","RT kosong",IF($H1466="","Jabatan kosong",IF($I1466="","No. HP kosong",IF($J1466="","Alamat kosong",IF(AND($M1466&lt;&gt;"",$M1466&lt;17),"Usia di bawah 17",""))))))))))</f>
        <v/>
      </c>
      <c r="U1466" s="40" t="str">
        <f aca="false">IF($B1466="","",IF(AND(OR(CARI!$C$5="",ISNUMBER(SEARCH(CARI!$C$5,$B1466&amp;" "&amp;$C1466&amp;" "&amp;$I1466&amp;" "&amp;$J1466&amp;" "&amp;$Q1466))),OR(CARI!$C$6="",$E1466=CARI!$C$6),OR(CARI!$C$7="",$F1466=CARI!$C$7),OR(CARI!$C$8="",$O1466=CARI!$C$8)),MAX($U$3:U1465)+1,""))</f>
        <v/>
      </c>
      <c r="V1466" s="40" t="str">
        <f aca="false">IF($T1466="","",MAX($V$3:V1465)+1)</f>
        <v/>
      </c>
      <c r="W1466" s="40" t="str">
        <f aca="false">IF($E1466="","",$E1466&amp;"#"&amp;COUNTIF($E$4:$E1466,$E1466))</f>
        <v/>
      </c>
      <c r="X1466" s="40" t="str">
        <f aca="false">IF($B1466="","",IF(AND(OR(CETAK!$J$10="",$E1466=CETAK!$J$10),OR(CETAK!$J$11="",$F1466=CETAK!$J$11),OR(CETAK!$J$12="",$K1466=CETAK!$J$12),OR(CETAK!$J$13="",$H1466=CETAK!$J$13),OR(CETAK!$J$14="",$O1466=CETAK!$J$14)),MAX($X$3:X1465)+1,""))</f>
        <v/>
      </c>
      <c r="Y1466" s="40" t="str">
        <f aca="false">IF($B1466="","",IF(AND(OR(ABSENSI!$H$10="",$E1466=ABSENSI!$H$10),OR(ABSENSI!$H$11="",$F1466=ABSENSI!$H$11),OR(ABSENSI!$H$12="",$K1466=ABSENSI!$H$12)),MAX($Y$3:Y1465)+1,""))</f>
        <v/>
      </c>
      <c r="Z1466" s="40" t="str">
        <f aca="false">IF($B1466="","",IF(AND(OR(KARTU!$K$6="",$E1466=KARTU!$K$6),OR(KARTU!$K$7="",$F1466=KARTU!$K$7),OR(KARTU!$K$8="",$K1466=KARTU!$K$8)),MAX($Z$3:Z1465)+1,""))</f>
        <v/>
      </c>
    </row>
    <row r="1467" customFormat="false" ht="15" hidden="false" customHeight="false" outlineLevel="0" collapsed="false">
      <c r="A1467" s="36" t="str">
        <f aca="false">IF($B1467="","",COUNTA($B$4:$B1467))</f>
        <v/>
      </c>
      <c r="B1467" s="37"/>
      <c r="C1467" s="38"/>
      <c r="D1467" s="39"/>
      <c r="E1467" s="37"/>
      <c r="F1467" s="39"/>
      <c r="G1467" s="40" t="str">
        <f aca="false">IF(OR($E1467="",$F1467=""),"",$E1467&amp;" - RT "&amp;$F1467)</f>
        <v/>
      </c>
      <c r="H1467" s="37"/>
      <c r="I1467" s="38"/>
      <c r="J1467" s="37"/>
      <c r="K1467" s="39"/>
      <c r="L1467" s="41"/>
      <c r="M1467" s="36" t="str">
        <f aca="true">IF(OR($B1467="",$L1467=""),"",DATEDIF($L1467,TODAY(),"Y"))</f>
        <v/>
      </c>
      <c r="N1467" s="40" t="str">
        <f aca="false">IF($M1467="","",INDEX(usia_label,MATCH($M1467,usia_min,1)))</f>
        <v/>
      </c>
      <c r="O1467" s="37"/>
      <c r="P1467" s="41"/>
      <c r="Q1467" s="37"/>
      <c r="R1467" s="37"/>
      <c r="S1467" s="40" t="str">
        <f aca="false">IF($G1467="","",$G1467&amp;"#"&amp;COUNTIF($G$4:$G1467,$G1467))</f>
        <v/>
      </c>
      <c r="T1467" s="40" t="str">
        <f aca="false">IF($B1467="","",IF($C1467="","NIK kosong",IF(LEN($C1467)&lt;&gt;16,"NIK bukan 16 digit",IF(COUNTIF($C$4:$C$2003,$C1467&amp;"*")&gt;1,"NIK ganda",IF($E1467="","Kadus kosong",IF($F1467="","RT kosong",IF($H1467="","Jabatan kosong",IF($I1467="","No. HP kosong",IF($J1467="","Alamat kosong",IF(AND($M1467&lt;&gt;"",$M1467&lt;17),"Usia di bawah 17",""))))))))))</f>
        <v/>
      </c>
      <c r="U1467" s="40" t="str">
        <f aca="false">IF($B1467="","",IF(AND(OR(CARI!$C$5="",ISNUMBER(SEARCH(CARI!$C$5,$B1467&amp;" "&amp;$C1467&amp;" "&amp;$I1467&amp;" "&amp;$J1467&amp;" "&amp;$Q1467))),OR(CARI!$C$6="",$E1467=CARI!$C$6),OR(CARI!$C$7="",$F1467=CARI!$C$7),OR(CARI!$C$8="",$O1467=CARI!$C$8)),MAX($U$3:U1466)+1,""))</f>
        <v/>
      </c>
      <c r="V1467" s="40" t="str">
        <f aca="false">IF($T1467="","",MAX($V$3:V1466)+1)</f>
        <v/>
      </c>
      <c r="W1467" s="40" t="str">
        <f aca="false">IF($E1467="","",$E1467&amp;"#"&amp;COUNTIF($E$4:$E1467,$E1467))</f>
        <v/>
      </c>
      <c r="X1467" s="40" t="str">
        <f aca="false">IF($B1467="","",IF(AND(OR(CETAK!$J$10="",$E1467=CETAK!$J$10),OR(CETAK!$J$11="",$F1467=CETAK!$J$11),OR(CETAK!$J$12="",$K1467=CETAK!$J$12),OR(CETAK!$J$13="",$H1467=CETAK!$J$13),OR(CETAK!$J$14="",$O1467=CETAK!$J$14)),MAX($X$3:X1466)+1,""))</f>
        <v/>
      </c>
      <c r="Y1467" s="40" t="str">
        <f aca="false">IF($B1467="","",IF(AND(OR(ABSENSI!$H$10="",$E1467=ABSENSI!$H$10),OR(ABSENSI!$H$11="",$F1467=ABSENSI!$H$11),OR(ABSENSI!$H$12="",$K1467=ABSENSI!$H$12)),MAX($Y$3:Y1466)+1,""))</f>
        <v/>
      </c>
      <c r="Z1467" s="40" t="str">
        <f aca="false">IF($B1467="","",IF(AND(OR(KARTU!$K$6="",$E1467=KARTU!$K$6),OR(KARTU!$K$7="",$F1467=KARTU!$K$7),OR(KARTU!$K$8="",$K1467=KARTU!$K$8)),MAX($Z$3:Z1466)+1,""))</f>
        <v/>
      </c>
    </row>
    <row r="1468" customFormat="false" ht="15" hidden="false" customHeight="false" outlineLevel="0" collapsed="false">
      <c r="A1468" s="36" t="str">
        <f aca="false">IF($B1468="","",COUNTA($B$4:$B1468))</f>
        <v/>
      </c>
      <c r="B1468" s="37"/>
      <c r="C1468" s="38"/>
      <c r="D1468" s="39"/>
      <c r="E1468" s="37"/>
      <c r="F1468" s="39"/>
      <c r="G1468" s="40" t="str">
        <f aca="false">IF(OR($E1468="",$F1468=""),"",$E1468&amp;" - RT "&amp;$F1468)</f>
        <v/>
      </c>
      <c r="H1468" s="37"/>
      <c r="I1468" s="38"/>
      <c r="J1468" s="37"/>
      <c r="K1468" s="39"/>
      <c r="L1468" s="41"/>
      <c r="M1468" s="36" t="str">
        <f aca="true">IF(OR($B1468="",$L1468=""),"",DATEDIF($L1468,TODAY(),"Y"))</f>
        <v/>
      </c>
      <c r="N1468" s="40" t="str">
        <f aca="false">IF($M1468="","",INDEX(usia_label,MATCH($M1468,usia_min,1)))</f>
        <v/>
      </c>
      <c r="O1468" s="37"/>
      <c r="P1468" s="41"/>
      <c r="Q1468" s="37"/>
      <c r="R1468" s="37"/>
      <c r="S1468" s="40" t="str">
        <f aca="false">IF($G1468="","",$G1468&amp;"#"&amp;COUNTIF($G$4:$G1468,$G1468))</f>
        <v/>
      </c>
      <c r="T1468" s="40" t="str">
        <f aca="false">IF($B1468="","",IF($C1468="","NIK kosong",IF(LEN($C1468)&lt;&gt;16,"NIK bukan 16 digit",IF(COUNTIF($C$4:$C$2003,$C1468&amp;"*")&gt;1,"NIK ganda",IF($E1468="","Kadus kosong",IF($F1468="","RT kosong",IF($H1468="","Jabatan kosong",IF($I1468="","No. HP kosong",IF($J1468="","Alamat kosong",IF(AND($M1468&lt;&gt;"",$M1468&lt;17),"Usia di bawah 17",""))))))))))</f>
        <v/>
      </c>
      <c r="U1468" s="40" t="str">
        <f aca="false">IF($B1468="","",IF(AND(OR(CARI!$C$5="",ISNUMBER(SEARCH(CARI!$C$5,$B1468&amp;" "&amp;$C1468&amp;" "&amp;$I1468&amp;" "&amp;$J1468&amp;" "&amp;$Q1468))),OR(CARI!$C$6="",$E1468=CARI!$C$6),OR(CARI!$C$7="",$F1468=CARI!$C$7),OR(CARI!$C$8="",$O1468=CARI!$C$8)),MAX($U$3:U1467)+1,""))</f>
        <v/>
      </c>
      <c r="V1468" s="40" t="str">
        <f aca="false">IF($T1468="","",MAX($V$3:V1467)+1)</f>
        <v/>
      </c>
      <c r="W1468" s="40" t="str">
        <f aca="false">IF($E1468="","",$E1468&amp;"#"&amp;COUNTIF($E$4:$E1468,$E1468))</f>
        <v/>
      </c>
      <c r="X1468" s="40" t="str">
        <f aca="false">IF($B1468="","",IF(AND(OR(CETAK!$J$10="",$E1468=CETAK!$J$10),OR(CETAK!$J$11="",$F1468=CETAK!$J$11),OR(CETAK!$J$12="",$K1468=CETAK!$J$12),OR(CETAK!$J$13="",$H1468=CETAK!$J$13),OR(CETAK!$J$14="",$O1468=CETAK!$J$14)),MAX($X$3:X1467)+1,""))</f>
        <v/>
      </c>
      <c r="Y1468" s="40" t="str">
        <f aca="false">IF($B1468="","",IF(AND(OR(ABSENSI!$H$10="",$E1468=ABSENSI!$H$10),OR(ABSENSI!$H$11="",$F1468=ABSENSI!$H$11),OR(ABSENSI!$H$12="",$K1468=ABSENSI!$H$12)),MAX($Y$3:Y1467)+1,""))</f>
        <v/>
      </c>
      <c r="Z1468" s="40" t="str">
        <f aca="false">IF($B1468="","",IF(AND(OR(KARTU!$K$6="",$E1468=KARTU!$K$6),OR(KARTU!$K$7="",$F1468=KARTU!$K$7),OR(KARTU!$K$8="",$K1468=KARTU!$K$8)),MAX($Z$3:Z1467)+1,""))</f>
        <v/>
      </c>
    </row>
    <row r="1469" customFormat="false" ht="15" hidden="false" customHeight="false" outlineLevel="0" collapsed="false">
      <c r="A1469" s="36" t="str">
        <f aca="false">IF($B1469="","",COUNTA($B$4:$B1469))</f>
        <v/>
      </c>
      <c r="B1469" s="37"/>
      <c r="C1469" s="38"/>
      <c r="D1469" s="39"/>
      <c r="E1469" s="37"/>
      <c r="F1469" s="39"/>
      <c r="G1469" s="40" t="str">
        <f aca="false">IF(OR($E1469="",$F1469=""),"",$E1469&amp;" - RT "&amp;$F1469)</f>
        <v/>
      </c>
      <c r="H1469" s="37"/>
      <c r="I1469" s="38"/>
      <c r="J1469" s="37"/>
      <c r="K1469" s="39"/>
      <c r="L1469" s="41"/>
      <c r="M1469" s="36" t="str">
        <f aca="true">IF(OR($B1469="",$L1469=""),"",DATEDIF($L1469,TODAY(),"Y"))</f>
        <v/>
      </c>
      <c r="N1469" s="40" t="str">
        <f aca="false">IF($M1469="","",INDEX(usia_label,MATCH($M1469,usia_min,1)))</f>
        <v/>
      </c>
      <c r="O1469" s="37"/>
      <c r="P1469" s="41"/>
      <c r="Q1469" s="37"/>
      <c r="R1469" s="37"/>
      <c r="S1469" s="40" t="str">
        <f aca="false">IF($G1469="","",$G1469&amp;"#"&amp;COUNTIF($G$4:$G1469,$G1469))</f>
        <v/>
      </c>
      <c r="T1469" s="40" t="str">
        <f aca="false">IF($B1469="","",IF($C1469="","NIK kosong",IF(LEN($C1469)&lt;&gt;16,"NIK bukan 16 digit",IF(COUNTIF($C$4:$C$2003,$C1469&amp;"*")&gt;1,"NIK ganda",IF($E1469="","Kadus kosong",IF($F1469="","RT kosong",IF($H1469="","Jabatan kosong",IF($I1469="","No. HP kosong",IF($J1469="","Alamat kosong",IF(AND($M1469&lt;&gt;"",$M1469&lt;17),"Usia di bawah 17",""))))))))))</f>
        <v/>
      </c>
      <c r="U1469" s="40" t="str">
        <f aca="false">IF($B1469="","",IF(AND(OR(CARI!$C$5="",ISNUMBER(SEARCH(CARI!$C$5,$B1469&amp;" "&amp;$C1469&amp;" "&amp;$I1469&amp;" "&amp;$J1469&amp;" "&amp;$Q1469))),OR(CARI!$C$6="",$E1469=CARI!$C$6),OR(CARI!$C$7="",$F1469=CARI!$C$7),OR(CARI!$C$8="",$O1469=CARI!$C$8)),MAX($U$3:U1468)+1,""))</f>
        <v/>
      </c>
      <c r="V1469" s="40" t="str">
        <f aca="false">IF($T1469="","",MAX($V$3:V1468)+1)</f>
        <v/>
      </c>
      <c r="W1469" s="40" t="str">
        <f aca="false">IF($E1469="","",$E1469&amp;"#"&amp;COUNTIF($E$4:$E1469,$E1469))</f>
        <v/>
      </c>
      <c r="X1469" s="40" t="str">
        <f aca="false">IF($B1469="","",IF(AND(OR(CETAK!$J$10="",$E1469=CETAK!$J$10),OR(CETAK!$J$11="",$F1469=CETAK!$J$11),OR(CETAK!$J$12="",$K1469=CETAK!$J$12),OR(CETAK!$J$13="",$H1469=CETAK!$J$13),OR(CETAK!$J$14="",$O1469=CETAK!$J$14)),MAX($X$3:X1468)+1,""))</f>
        <v/>
      </c>
      <c r="Y1469" s="40" t="str">
        <f aca="false">IF($B1469="","",IF(AND(OR(ABSENSI!$H$10="",$E1469=ABSENSI!$H$10),OR(ABSENSI!$H$11="",$F1469=ABSENSI!$H$11),OR(ABSENSI!$H$12="",$K1469=ABSENSI!$H$12)),MAX($Y$3:Y1468)+1,""))</f>
        <v/>
      </c>
      <c r="Z1469" s="40" t="str">
        <f aca="false">IF($B1469="","",IF(AND(OR(KARTU!$K$6="",$E1469=KARTU!$K$6),OR(KARTU!$K$7="",$F1469=KARTU!$K$7),OR(KARTU!$K$8="",$K1469=KARTU!$K$8)),MAX($Z$3:Z1468)+1,""))</f>
        <v/>
      </c>
    </row>
    <row r="1470" customFormat="false" ht="15" hidden="false" customHeight="false" outlineLevel="0" collapsed="false">
      <c r="A1470" s="36" t="str">
        <f aca="false">IF($B1470="","",COUNTA($B$4:$B1470))</f>
        <v/>
      </c>
      <c r="B1470" s="37"/>
      <c r="C1470" s="38"/>
      <c r="D1470" s="39"/>
      <c r="E1470" s="37"/>
      <c r="F1470" s="39"/>
      <c r="G1470" s="40" t="str">
        <f aca="false">IF(OR($E1470="",$F1470=""),"",$E1470&amp;" - RT "&amp;$F1470)</f>
        <v/>
      </c>
      <c r="H1470" s="37"/>
      <c r="I1470" s="38"/>
      <c r="J1470" s="37"/>
      <c r="K1470" s="39"/>
      <c r="L1470" s="41"/>
      <c r="M1470" s="36" t="str">
        <f aca="true">IF(OR($B1470="",$L1470=""),"",DATEDIF($L1470,TODAY(),"Y"))</f>
        <v/>
      </c>
      <c r="N1470" s="40" t="str">
        <f aca="false">IF($M1470="","",INDEX(usia_label,MATCH($M1470,usia_min,1)))</f>
        <v/>
      </c>
      <c r="O1470" s="37"/>
      <c r="P1470" s="41"/>
      <c r="Q1470" s="37"/>
      <c r="R1470" s="37"/>
      <c r="S1470" s="40" t="str">
        <f aca="false">IF($G1470="","",$G1470&amp;"#"&amp;COUNTIF($G$4:$G1470,$G1470))</f>
        <v/>
      </c>
      <c r="T1470" s="40" t="str">
        <f aca="false">IF($B1470="","",IF($C1470="","NIK kosong",IF(LEN($C1470)&lt;&gt;16,"NIK bukan 16 digit",IF(COUNTIF($C$4:$C$2003,$C1470&amp;"*")&gt;1,"NIK ganda",IF($E1470="","Kadus kosong",IF($F1470="","RT kosong",IF($H1470="","Jabatan kosong",IF($I1470="","No. HP kosong",IF($J1470="","Alamat kosong",IF(AND($M1470&lt;&gt;"",$M1470&lt;17),"Usia di bawah 17",""))))))))))</f>
        <v/>
      </c>
      <c r="U1470" s="40" t="str">
        <f aca="false">IF($B1470="","",IF(AND(OR(CARI!$C$5="",ISNUMBER(SEARCH(CARI!$C$5,$B1470&amp;" "&amp;$C1470&amp;" "&amp;$I1470&amp;" "&amp;$J1470&amp;" "&amp;$Q1470))),OR(CARI!$C$6="",$E1470=CARI!$C$6),OR(CARI!$C$7="",$F1470=CARI!$C$7),OR(CARI!$C$8="",$O1470=CARI!$C$8)),MAX($U$3:U1469)+1,""))</f>
        <v/>
      </c>
      <c r="V1470" s="40" t="str">
        <f aca="false">IF($T1470="","",MAX($V$3:V1469)+1)</f>
        <v/>
      </c>
      <c r="W1470" s="40" t="str">
        <f aca="false">IF($E1470="","",$E1470&amp;"#"&amp;COUNTIF($E$4:$E1470,$E1470))</f>
        <v/>
      </c>
      <c r="X1470" s="40" t="str">
        <f aca="false">IF($B1470="","",IF(AND(OR(CETAK!$J$10="",$E1470=CETAK!$J$10),OR(CETAK!$J$11="",$F1470=CETAK!$J$11),OR(CETAK!$J$12="",$K1470=CETAK!$J$12),OR(CETAK!$J$13="",$H1470=CETAK!$J$13),OR(CETAK!$J$14="",$O1470=CETAK!$J$14)),MAX($X$3:X1469)+1,""))</f>
        <v/>
      </c>
      <c r="Y1470" s="40" t="str">
        <f aca="false">IF($B1470="","",IF(AND(OR(ABSENSI!$H$10="",$E1470=ABSENSI!$H$10),OR(ABSENSI!$H$11="",$F1470=ABSENSI!$H$11),OR(ABSENSI!$H$12="",$K1470=ABSENSI!$H$12)),MAX($Y$3:Y1469)+1,""))</f>
        <v/>
      </c>
      <c r="Z1470" s="40" t="str">
        <f aca="false">IF($B1470="","",IF(AND(OR(KARTU!$K$6="",$E1470=KARTU!$K$6),OR(KARTU!$K$7="",$F1470=KARTU!$K$7),OR(KARTU!$K$8="",$K1470=KARTU!$K$8)),MAX($Z$3:Z1469)+1,""))</f>
        <v/>
      </c>
    </row>
    <row r="1471" customFormat="false" ht="15" hidden="false" customHeight="false" outlineLevel="0" collapsed="false">
      <c r="A1471" s="36" t="str">
        <f aca="false">IF($B1471="","",COUNTA($B$4:$B1471))</f>
        <v/>
      </c>
      <c r="B1471" s="37"/>
      <c r="C1471" s="38"/>
      <c r="D1471" s="39"/>
      <c r="E1471" s="37"/>
      <c r="F1471" s="39"/>
      <c r="G1471" s="40" t="str">
        <f aca="false">IF(OR($E1471="",$F1471=""),"",$E1471&amp;" - RT "&amp;$F1471)</f>
        <v/>
      </c>
      <c r="H1471" s="37"/>
      <c r="I1471" s="38"/>
      <c r="J1471" s="37"/>
      <c r="K1471" s="39"/>
      <c r="L1471" s="41"/>
      <c r="M1471" s="36" t="str">
        <f aca="true">IF(OR($B1471="",$L1471=""),"",DATEDIF($L1471,TODAY(),"Y"))</f>
        <v/>
      </c>
      <c r="N1471" s="40" t="str">
        <f aca="false">IF($M1471="","",INDEX(usia_label,MATCH($M1471,usia_min,1)))</f>
        <v/>
      </c>
      <c r="O1471" s="37"/>
      <c r="P1471" s="41"/>
      <c r="Q1471" s="37"/>
      <c r="R1471" s="37"/>
      <c r="S1471" s="40" t="str">
        <f aca="false">IF($G1471="","",$G1471&amp;"#"&amp;COUNTIF($G$4:$G1471,$G1471))</f>
        <v/>
      </c>
      <c r="T1471" s="40" t="str">
        <f aca="false">IF($B1471="","",IF($C1471="","NIK kosong",IF(LEN($C1471)&lt;&gt;16,"NIK bukan 16 digit",IF(COUNTIF($C$4:$C$2003,$C1471&amp;"*")&gt;1,"NIK ganda",IF($E1471="","Kadus kosong",IF($F1471="","RT kosong",IF($H1471="","Jabatan kosong",IF($I1471="","No. HP kosong",IF($J1471="","Alamat kosong",IF(AND($M1471&lt;&gt;"",$M1471&lt;17),"Usia di bawah 17",""))))))))))</f>
        <v/>
      </c>
      <c r="U1471" s="40" t="str">
        <f aca="false">IF($B1471="","",IF(AND(OR(CARI!$C$5="",ISNUMBER(SEARCH(CARI!$C$5,$B1471&amp;" "&amp;$C1471&amp;" "&amp;$I1471&amp;" "&amp;$J1471&amp;" "&amp;$Q1471))),OR(CARI!$C$6="",$E1471=CARI!$C$6),OR(CARI!$C$7="",$F1471=CARI!$C$7),OR(CARI!$C$8="",$O1471=CARI!$C$8)),MAX($U$3:U1470)+1,""))</f>
        <v/>
      </c>
      <c r="V1471" s="40" t="str">
        <f aca="false">IF($T1471="","",MAX($V$3:V1470)+1)</f>
        <v/>
      </c>
      <c r="W1471" s="40" t="str">
        <f aca="false">IF($E1471="","",$E1471&amp;"#"&amp;COUNTIF($E$4:$E1471,$E1471))</f>
        <v/>
      </c>
      <c r="X1471" s="40" t="str">
        <f aca="false">IF($B1471="","",IF(AND(OR(CETAK!$J$10="",$E1471=CETAK!$J$10),OR(CETAK!$J$11="",$F1471=CETAK!$J$11),OR(CETAK!$J$12="",$K1471=CETAK!$J$12),OR(CETAK!$J$13="",$H1471=CETAK!$J$13),OR(CETAK!$J$14="",$O1471=CETAK!$J$14)),MAX($X$3:X1470)+1,""))</f>
        <v/>
      </c>
      <c r="Y1471" s="40" t="str">
        <f aca="false">IF($B1471="","",IF(AND(OR(ABSENSI!$H$10="",$E1471=ABSENSI!$H$10),OR(ABSENSI!$H$11="",$F1471=ABSENSI!$H$11),OR(ABSENSI!$H$12="",$K1471=ABSENSI!$H$12)),MAX($Y$3:Y1470)+1,""))</f>
        <v/>
      </c>
      <c r="Z1471" s="40" t="str">
        <f aca="false">IF($B1471="","",IF(AND(OR(KARTU!$K$6="",$E1471=KARTU!$K$6),OR(KARTU!$K$7="",$F1471=KARTU!$K$7),OR(KARTU!$K$8="",$K1471=KARTU!$K$8)),MAX($Z$3:Z1470)+1,""))</f>
        <v/>
      </c>
    </row>
    <row r="1472" customFormat="false" ht="15" hidden="false" customHeight="false" outlineLevel="0" collapsed="false">
      <c r="A1472" s="36" t="str">
        <f aca="false">IF($B1472="","",COUNTA($B$4:$B1472))</f>
        <v/>
      </c>
      <c r="B1472" s="37"/>
      <c r="C1472" s="38"/>
      <c r="D1472" s="39"/>
      <c r="E1472" s="37"/>
      <c r="F1472" s="39"/>
      <c r="G1472" s="40" t="str">
        <f aca="false">IF(OR($E1472="",$F1472=""),"",$E1472&amp;" - RT "&amp;$F1472)</f>
        <v/>
      </c>
      <c r="H1472" s="37"/>
      <c r="I1472" s="38"/>
      <c r="J1472" s="37"/>
      <c r="K1472" s="39"/>
      <c r="L1472" s="41"/>
      <c r="M1472" s="36" t="str">
        <f aca="true">IF(OR($B1472="",$L1472=""),"",DATEDIF($L1472,TODAY(),"Y"))</f>
        <v/>
      </c>
      <c r="N1472" s="40" t="str">
        <f aca="false">IF($M1472="","",INDEX(usia_label,MATCH($M1472,usia_min,1)))</f>
        <v/>
      </c>
      <c r="O1472" s="37"/>
      <c r="P1472" s="41"/>
      <c r="Q1472" s="37"/>
      <c r="R1472" s="37"/>
      <c r="S1472" s="40" t="str">
        <f aca="false">IF($G1472="","",$G1472&amp;"#"&amp;COUNTIF($G$4:$G1472,$G1472))</f>
        <v/>
      </c>
      <c r="T1472" s="40" t="str">
        <f aca="false">IF($B1472="","",IF($C1472="","NIK kosong",IF(LEN($C1472)&lt;&gt;16,"NIK bukan 16 digit",IF(COUNTIF($C$4:$C$2003,$C1472&amp;"*")&gt;1,"NIK ganda",IF($E1472="","Kadus kosong",IF($F1472="","RT kosong",IF($H1472="","Jabatan kosong",IF($I1472="","No. HP kosong",IF($J1472="","Alamat kosong",IF(AND($M1472&lt;&gt;"",$M1472&lt;17),"Usia di bawah 17",""))))))))))</f>
        <v/>
      </c>
      <c r="U1472" s="40" t="str">
        <f aca="false">IF($B1472="","",IF(AND(OR(CARI!$C$5="",ISNUMBER(SEARCH(CARI!$C$5,$B1472&amp;" "&amp;$C1472&amp;" "&amp;$I1472&amp;" "&amp;$J1472&amp;" "&amp;$Q1472))),OR(CARI!$C$6="",$E1472=CARI!$C$6),OR(CARI!$C$7="",$F1472=CARI!$C$7),OR(CARI!$C$8="",$O1472=CARI!$C$8)),MAX($U$3:U1471)+1,""))</f>
        <v/>
      </c>
      <c r="V1472" s="40" t="str">
        <f aca="false">IF($T1472="","",MAX($V$3:V1471)+1)</f>
        <v/>
      </c>
      <c r="W1472" s="40" t="str">
        <f aca="false">IF($E1472="","",$E1472&amp;"#"&amp;COUNTIF($E$4:$E1472,$E1472))</f>
        <v/>
      </c>
      <c r="X1472" s="40" t="str">
        <f aca="false">IF($B1472="","",IF(AND(OR(CETAK!$J$10="",$E1472=CETAK!$J$10),OR(CETAK!$J$11="",$F1472=CETAK!$J$11),OR(CETAK!$J$12="",$K1472=CETAK!$J$12),OR(CETAK!$J$13="",$H1472=CETAK!$J$13),OR(CETAK!$J$14="",$O1472=CETAK!$J$14)),MAX($X$3:X1471)+1,""))</f>
        <v/>
      </c>
      <c r="Y1472" s="40" t="str">
        <f aca="false">IF($B1472="","",IF(AND(OR(ABSENSI!$H$10="",$E1472=ABSENSI!$H$10),OR(ABSENSI!$H$11="",$F1472=ABSENSI!$H$11),OR(ABSENSI!$H$12="",$K1472=ABSENSI!$H$12)),MAX($Y$3:Y1471)+1,""))</f>
        <v/>
      </c>
      <c r="Z1472" s="40" t="str">
        <f aca="false">IF($B1472="","",IF(AND(OR(KARTU!$K$6="",$E1472=KARTU!$K$6),OR(KARTU!$K$7="",$F1472=KARTU!$K$7),OR(KARTU!$K$8="",$K1472=KARTU!$K$8)),MAX($Z$3:Z1471)+1,""))</f>
        <v/>
      </c>
    </row>
    <row r="1473" customFormat="false" ht="15" hidden="false" customHeight="false" outlineLevel="0" collapsed="false">
      <c r="A1473" s="36" t="str">
        <f aca="false">IF($B1473="","",COUNTA($B$4:$B1473))</f>
        <v/>
      </c>
      <c r="B1473" s="37"/>
      <c r="C1473" s="38"/>
      <c r="D1473" s="39"/>
      <c r="E1473" s="37"/>
      <c r="F1473" s="39"/>
      <c r="G1473" s="40" t="str">
        <f aca="false">IF(OR($E1473="",$F1473=""),"",$E1473&amp;" - RT "&amp;$F1473)</f>
        <v/>
      </c>
      <c r="H1473" s="37"/>
      <c r="I1473" s="38"/>
      <c r="J1473" s="37"/>
      <c r="K1473" s="39"/>
      <c r="L1473" s="41"/>
      <c r="M1473" s="36" t="str">
        <f aca="true">IF(OR($B1473="",$L1473=""),"",DATEDIF($L1473,TODAY(),"Y"))</f>
        <v/>
      </c>
      <c r="N1473" s="40" t="str">
        <f aca="false">IF($M1473="","",INDEX(usia_label,MATCH($M1473,usia_min,1)))</f>
        <v/>
      </c>
      <c r="O1473" s="37"/>
      <c r="P1473" s="41"/>
      <c r="Q1473" s="37"/>
      <c r="R1473" s="37"/>
      <c r="S1473" s="40" t="str">
        <f aca="false">IF($G1473="","",$G1473&amp;"#"&amp;COUNTIF($G$4:$G1473,$G1473))</f>
        <v/>
      </c>
      <c r="T1473" s="40" t="str">
        <f aca="false">IF($B1473="","",IF($C1473="","NIK kosong",IF(LEN($C1473)&lt;&gt;16,"NIK bukan 16 digit",IF(COUNTIF($C$4:$C$2003,$C1473&amp;"*")&gt;1,"NIK ganda",IF($E1473="","Kadus kosong",IF($F1473="","RT kosong",IF($H1473="","Jabatan kosong",IF($I1473="","No. HP kosong",IF($J1473="","Alamat kosong",IF(AND($M1473&lt;&gt;"",$M1473&lt;17),"Usia di bawah 17",""))))))))))</f>
        <v/>
      </c>
      <c r="U1473" s="40" t="str">
        <f aca="false">IF($B1473="","",IF(AND(OR(CARI!$C$5="",ISNUMBER(SEARCH(CARI!$C$5,$B1473&amp;" "&amp;$C1473&amp;" "&amp;$I1473&amp;" "&amp;$J1473&amp;" "&amp;$Q1473))),OR(CARI!$C$6="",$E1473=CARI!$C$6),OR(CARI!$C$7="",$F1473=CARI!$C$7),OR(CARI!$C$8="",$O1473=CARI!$C$8)),MAX($U$3:U1472)+1,""))</f>
        <v/>
      </c>
      <c r="V1473" s="40" t="str">
        <f aca="false">IF($T1473="","",MAX($V$3:V1472)+1)</f>
        <v/>
      </c>
      <c r="W1473" s="40" t="str">
        <f aca="false">IF($E1473="","",$E1473&amp;"#"&amp;COUNTIF($E$4:$E1473,$E1473))</f>
        <v/>
      </c>
      <c r="X1473" s="40" t="str">
        <f aca="false">IF($B1473="","",IF(AND(OR(CETAK!$J$10="",$E1473=CETAK!$J$10),OR(CETAK!$J$11="",$F1473=CETAK!$J$11),OR(CETAK!$J$12="",$K1473=CETAK!$J$12),OR(CETAK!$J$13="",$H1473=CETAK!$J$13),OR(CETAK!$J$14="",$O1473=CETAK!$J$14)),MAX($X$3:X1472)+1,""))</f>
        <v/>
      </c>
      <c r="Y1473" s="40" t="str">
        <f aca="false">IF($B1473="","",IF(AND(OR(ABSENSI!$H$10="",$E1473=ABSENSI!$H$10),OR(ABSENSI!$H$11="",$F1473=ABSENSI!$H$11),OR(ABSENSI!$H$12="",$K1473=ABSENSI!$H$12)),MAX($Y$3:Y1472)+1,""))</f>
        <v/>
      </c>
      <c r="Z1473" s="40" t="str">
        <f aca="false">IF($B1473="","",IF(AND(OR(KARTU!$K$6="",$E1473=KARTU!$K$6),OR(KARTU!$K$7="",$F1473=KARTU!$K$7),OR(KARTU!$K$8="",$K1473=KARTU!$K$8)),MAX($Z$3:Z1472)+1,""))</f>
        <v/>
      </c>
    </row>
    <row r="1474" customFormat="false" ht="15" hidden="false" customHeight="false" outlineLevel="0" collapsed="false">
      <c r="A1474" s="36" t="str">
        <f aca="false">IF($B1474="","",COUNTA($B$4:$B1474))</f>
        <v/>
      </c>
      <c r="B1474" s="37"/>
      <c r="C1474" s="38"/>
      <c r="D1474" s="39"/>
      <c r="E1474" s="37"/>
      <c r="F1474" s="39"/>
      <c r="G1474" s="40" t="str">
        <f aca="false">IF(OR($E1474="",$F1474=""),"",$E1474&amp;" - RT "&amp;$F1474)</f>
        <v/>
      </c>
      <c r="H1474" s="37"/>
      <c r="I1474" s="38"/>
      <c r="J1474" s="37"/>
      <c r="K1474" s="39"/>
      <c r="L1474" s="41"/>
      <c r="M1474" s="36" t="str">
        <f aca="true">IF(OR($B1474="",$L1474=""),"",DATEDIF($L1474,TODAY(),"Y"))</f>
        <v/>
      </c>
      <c r="N1474" s="40" t="str">
        <f aca="false">IF($M1474="","",INDEX(usia_label,MATCH($M1474,usia_min,1)))</f>
        <v/>
      </c>
      <c r="O1474" s="37"/>
      <c r="P1474" s="41"/>
      <c r="Q1474" s="37"/>
      <c r="R1474" s="37"/>
      <c r="S1474" s="40" t="str">
        <f aca="false">IF($G1474="","",$G1474&amp;"#"&amp;COUNTIF($G$4:$G1474,$G1474))</f>
        <v/>
      </c>
      <c r="T1474" s="40" t="str">
        <f aca="false">IF($B1474="","",IF($C1474="","NIK kosong",IF(LEN($C1474)&lt;&gt;16,"NIK bukan 16 digit",IF(COUNTIF($C$4:$C$2003,$C1474&amp;"*")&gt;1,"NIK ganda",IF($E1474="","Kadus kosong",IF($F1474="","RT kosong",IF($H1474="","Jabatan kosong",IF($I1474="","No. HP kosong",IF($J1474="","Alamat kosong",IF(AND($M1474&lt;&gt;"",$M1474&lt;17),"Usia di bawah 17",""))))))))))</f>
        <v/>
      </c>
      <c r="U1474" s="40" t="str">
        <f aca="false">IF($B1474="","",IF(AND(OR(CARI!$C$5="",ISNUMBER(SEARCH(CARI!$C$5,$B1474&amp;" "&amp;$C1474&amp;" "&amp;$I1474&amp;" "&amp;$J1474&amp;" "&amp;$Q1474))),OR(CARI!$C$6="",$E1474=CARI!$C$6),OR(CARI!$C$7="",$F1474=CARI!$C$7),OR(CARI!$C$8="",$O1474=CARI!$C$8)),MAX($U$3:U1473)+1,""))</f>
        <v/>
      </c>
      <c r="V1474" s="40" t="str">
        <f aca="false">IF($T1474="","",MAX($V$3:V1473)+1)</f>
        <v/>
      </c>
      <c r="W1474" s="40" t="str">
        <f aca="false">IF($E1474="","",$E1474&amp;"#"&amp;COUNTIF($E$4:$E1474,$E1474))</f>
        <v/>
      </c>
      <c r="X1474" s="40" t="str">
        <f aca="false">IF($B1474="","",IF(AND(OR(CETAK!$J$10="",$E1474=CETAK!$J$10),OR(CETAK!$J$11="",$F1474=CETAK!$J$11),OR(CETAK!$J$12="",$K1474=CETAK!$J$12),OR(CETAK!$J$13="",$H1474=CETAK!$J$13),OR(CETAK!$J$14="",$O1474=CETAK!$J$14)),MAX($X$3:X1473)+1,""))</f>
        <v/>
      </c>
      <c r="Y1474" s="40" t="str">
        <f aca="false">IF($B1474="","",IF(AND(OR(ABSENSI!$H$10="",$E1474=ABSENSI!$H$10),OR(ABSENSI!$H$11="",$F1474=ABSENSI!$H$11),OR(ABSENSI!$H$12="",$K1474=ABSENSI!$H$12)),MAX($Y$3:Y1473)+1,""))</f>
        <v/>
      </c>
      <c r="Z1474" s="40" t="str">
        <f aca="false">IF($B1474="","",IF(AND(OR(KARTU!$K$6="",$E1474=KARTU!$K$6),OR(KARTU!$K$7="",$F1474=KARTU!$K$7),OR(KARTU!$K$8="",$K1474=KARTU!$K$8)),MAX($Z$3:Z1473)+1,""))</f>
        <v/>
      </c>
    </row>
    <row r="1475" customFormat="false" ht="15" hidden="false" customHeight="false" outlineLevel="0" collapsed="false">
      <c r="A1475" s="36" t="str">
        <f aca="false">IF($B1475="","",COUNTA($B$4:$B1475))</f>
        <v/>
      </c>
      <c r="B1475" s="37"/>
      <c r="C1475" s="38"/>
      <c r="D1475" s="39"/>
      <c r="E1475" s="37"/>
      <c r="F1475" s="39"/>
      <c r="G1475" s="40" t="str">
        <f aca="false">IF(OR($E1475="",$F1475=""),"",$E1475&amp;" - RT "&amp;$F1475)</f>
        <v/>
      </c>
      <c r="H1475" s="37"/>
      <c r="I1475" s="38"/>
      <c r="J1475" s="37"/>
      <c r="K1475" s="39"/>
      <c r="L1475" s="41"/>
      <c r="M1475" s="36" t="str">
        <f aca="true">IF(OR($B1475="",$L1475=""),"",DATEDIF($L1475,TODAY(),"Y"))</f>
        <v/>
      </c>
      <c r="N1475" s="40" t="str">
        <f aca="false">IF($M1475="","",INDEX(usia_label,MATCH($M1475,usia_min,1)))</f>
        <v/>
      </c>
      <c r="O1475" s="37"/>
      <c r="P1475" s="41"/>
      <c r="Q1475" s="37"/>
      <c r="R1475" s="37"/>
      <c r="S1475" s="40" t="str">
        <f aca="false">IF($G1475="","",$G1475&amp;"#"&amp;COUNTIF($G$4:$G1475,$G1475))</f>
        <v/>
      </c>
      <c r="T1475" s="40" t="str">
        <f aca="false">IF($B1475="","",IF($C1475="","NIK kosong",IF(LEN($C1475)&lt;&gt;16,"NIK bukan 16 digit",IF(COUNTIF($C$4:$C$2003,$C1475&amp;"*")&gt;1,"NIK ganda",IF($E1475="","Kadus kosong",IF($F1475="","RT kosong",IF($H1475="","Jabatan kosong",IF($I1475="","No. HP kosong",IF($J1475="","Alamat kosong",IF(AND($M1475&lt;&gt;"",$M1475&lt;17),"Usia di bawah 17",""))))))))))</f>
        <v/>
      </c>
      <c r="U1475" s="40" t="str">
        <f aca="false">IF($B1475="","",IF(AND(OR(CARI!$C$5="",ISNUMBER(SEARCH(CARI!$C$5,$B1475&amp;" "&amp;$C1475&amp;" "&amp;$I1475&amp;" "&amp;$J1475&amp;" "&amp;$Q1475))),OR(CARI!$C$6="",$E1475=CARI!$C$6),OR(CARI!$C$7="",$F1475=CARI!$C$7),OR(CARI!$C$8="",$O1475=CARI!$C$8)),MAX($U$3:U1474)+1,""))</f>
        <v/>
      </c>
      <c r="V1475" s="40" t="str">
        <f aca="false">IF($T1475="","",MAX($V$3:V1474)+1)</f>
        <v/>
      </c>
      <c r="W1475" s="40" t="str">
        <f aca="false">IF($E1475="","",$E1475&amp;"#"&amp;COUNTIF($E$4:$E1475,$E1475))</f>
        <v/>
      </c>
      <c r="X1475" s="40" t="str">
        <f aca="false">IF($B1475="","",IF(AND(OR(CETAK!$J$10="",$E1475=CETAK!$J$10),OR(CETAK!$J$11="",$F1475=CETAK!$J$11),OR(CETAK!$J$12="",$K1475=CETAK!$J$12),OR(CETAK!$J$13="",$H1475=CETAK!$J$13),OR(CETAK!$J$14="",$O1475=CETAK!$J$14)),MAX($X$3:X1474)+1,""))</f>
        <v/>
      </c>
      <c r="Y1475" s="40" t="str">
        <f aca="false">IF($B1475="","",IF(AND(OR(ABSENSI!$H$10="",$E1475=ABSENSI!$H$10),OR(ABSENSI!$H$11="",$F1475=ABSENSI!$H$11),OR(ABSENSI!$H$12="",$K1475=ABSENSI!$H$12)),MAX($Y$3:Y1474)+1,""))</f>
        <v/>
      </c>
      <c r="Z1475" s="40" t="str">
        <f aca="false">IF($B1475="","",IF(AND(OR(KARTU!$K$6="",$E1475=KARTU!$K$6),OR(KARTU!$K$7="",$F1475=KARTU!$K$7),OR(KARTU!$K$8="",$K1475=KARTU!$K$8)),MAX($Z$3:Z1474)+1,""))</f>
        <v/>
      </c>
    </row>
    <row r="1476" customFormat="false" ht="15" hidden="false" customHeight="false" outlineLevel="0" collapsed="false">
      <c r="A1476" s="36" t="str">
        <f aca="false">IF($B1476="","",COUNTA($B$4:$B1476))</f>
        <v/>
      </c>
      <c r="B1476" s="37"/>
      <c r="C1476" s="38"/>
      <c r="D1476" s="39"/>
      <c r="E1476" s="37"/>
      <c r="F1476" s="39"/>
      <c r="G1476" s="40" t="str">
        <f aca="false">IF(OR($E1476="",$F1476=""),"",$E1476&amp;" - RT "&amp;$F1476)</f>
        <v/>
      </c>
      <c r="H1476" s="37"/>
      <c r="I1476" s="38"/>
      <c r="J1476" s="37"/>
      <c r="K1476" s="39"/>
      <c r="L1476" s="41"/>
      <c r="M1476" s="36" t="str">
        <f aca="true">IF(OR($B1476="",$L1476=""),"",DATEDIF($L1476,TODAY(),"Y"))</f>
        <v/>
      </c>
      <c r="N1476" s="40" t="str">
        <f aca="false">IF($M1476="","",INDEX(usia_label,MATCH($M1476,usia_min,1)))</f>
        <v/>
      </c>
      <c r="O1476" s="37"/>
      <c r="P1476" s="41"/>
      <c r="Q1476" s="37"/>
      <c r="R1476" s="37"/>
      <c r="S1476" s="40" t="str">
        <f aca="false">IF($G1476="","",$G1476&amp;"#"&amp;COUNTIF($G$4:$G1476,$G1476))</f>
        <v/>
      </c>
      <c r="T1476" s="40" t="str">
        <f aca="false">IF($B1476="","",IF($C1476="","NIK kosong",IF(LEN($C1476)&lt;&gt;16,"NIK bukan 16 digit",IF(COUNTIF($C$4:$C$2003,$C1476&amp;"*")&gt;1,"NIK ganda",IF($E1476="","Kadus kosong",IF($F1476="","RT kosong",IF($H1476="","Jabatan kosong",IF($I1476="","No. HP kosong",IF($J1476="","Alamat kosong",IF(AND($M1476&lt;&gt;"",$M1476&lt;17),"Usia di bawah 17",""))))))))))</f>
        <v/>
      </c>
      <c r="U1476" s="40" t="str">
        <f aca="false">IF($B1476="","",IF(AND(OR(CARI!$C$5="",ISNUMBER(SEARCH(CARI!$C$5,$B1476&amp;" "&amp;$C1476&amp;" "&amp;$I1476&amp;" "&amp;$J1476&amp;" "&amp;$Q1476))),OR(CARI!$C$6="",$E1476=CARI!$C$6),OR(CARI!$C$7="",$F1476=CARI!$C$7),OR(CARI!$C$8="",$O1476=CARI!$C$8)),MAX($U$3:U1475)+1,""))</f>
        <v/>
      </c>
      <c r="V1476" s="40" t="str">
        <f aca="false">IF($T1476="","",MAX($V$3:V1475)+1)</f>
        <v/>
      </c>
      <c r="W1476" s="40" t="str">
        <f aca="false">IF($E1476="","",$E1476&amp;"#"&amp;COUNTIF($E$4:$E1476,$E1476))</f>
        <v/>
      </c>
      <c r="X1476" s="40" t="str">
        <f aca="false">IF($B1476="","",IF(AND(OR(CETAK!$J$10="",$E1476=CETAK!$J$10),OR(CETAK!$J$11="",$F1476=CETAK!$J$11),OR(CETAK!$J$12="",$K1476=CETAK!$J$12),OR(CETAK!$J$13="",$H1476=CETAK!$J$13),OR(CETAK!$J$14="",$O1476=CETAK!$J$14)),MAX($X$3:X1475)+1,""))</f>
        <v/>
      </c>
      <c r="Y1476" s="40" t="str">
        <f aca="false">IF($B1476="","",IF(AND(OR(ABSENSI!$H$10="",$E1476=ABSENSI!$H$10),OR(ABSENSI!$H$11="",$F1476=ABSENSI!$H$11),OR(ABSENSI!$H$12="",$K1476=ABSENSI!$H$12)),MAX($Y$3:Y1475)+1,""))</f>
        <v/>
      </c>
      <c r="Z1476" s="40" t="str">
        <f aca="false">IF($B1476="","",IF(AND(OR(KARTU!$K$6="",$E1476=KARTU!$K$6),OR(KARTU!$K$7="",$F1476=KARTU!$K$7),OR(KARTU!$K$8="",$K1476=KARTU!$K$8)),MAX($Z$3:Z1475)+1,""))</f>
        <v/>
      </c>
    </row>
    <row r="1477" customFormat="false" ht="15" hidden="false" customHeight="false" outlineLevel="0" collapsed="false">
      <c r="A1477" s="36" t="str">
        <f aca="false">IF($B1477="","",COUNTA($B$4:$B1477))</f>
        <v/>
      </c>
      <c r="B1477" s="37"/>
      <c r="C1477" s="38"/>
      <c r="D1477" s="39"/>
      <c r="E1477" s="37"/>
      <c r="F1477" s="39"/>
      <c r="G1477" s="40" t="str">
        <f aca="false">IF(OR($E1477="",$F1477=""),"",$E1477&amp;" - RT "&amp;$F1477)</f>
        <v/>
      </c>
      <c r="H1477" s="37"/>
      <c r="I1477" s="38"/>
      <c r="J1477" s="37"/>
      <c r="K1477" s="39"/>
      <c r="L1477" s="41"/>
      <c r="M1477" s="36" t="str">
        <f aca="true">IF(OR($B1477="",$L1477=""),"",DATEDIF($L1477,TODAY(),"Y"))</f>
        <v/>
      </c>
      <c r="N1477" s="40" t="str">
        <f aca="false">IF($M1477="","",INDEX(usia_label,MATCH($M1477,usia_min,1)))</f>
        <v/>
      </c>
      <c r="O1477" s="37"/>
      <c r="P1477" s="41"/>
      <c r="Q1477" s="37"/>
      <c r="R1477" s="37"/>
      <c r="S1477" s="40" t="str">
        <f aca="false">IF($G1477="","",$G1477&amp;"#"&amp;COUNTIF($G$4:$G1477,$G1477))</f>
        <v/>
      </c>
      <c r="T1477" s="40" t="str">
        <f aca="false">IF($B1477="","",IF($C1477="","NIK kosong",IF(LEN($C1477)&lt;&gt;16,"NIK bukan 16 digit",IF(COUNTIF($C$4:$C$2003,$C1477&amp;"*")&gt;1,"NIK ganda",IF($E1477="","Kadus kosong",IF($F1477="","RT kosong",IF($H1477="","Jabatan kosong",IF($I1477="","No. HP kosong",IF($J1477="","Alamat kosong",IF(AND($M1477&lt;&gt;"",$M1477&lt;17),"Usia di bawah 17",""))))))))))</f>
        <v/>
      </c>
      <c r="U1477" s="40" t="str">
        <f aca="false">IF($B1477="","",IF(AND(OR(CARI!$C$5="",ISNUMBER(SEARCH(CARI!$C$5,$B1477&amp;" "&amp;$C1477&amp;" "&amp;$I1477&amp;" "&amp;$J1477&amp;" "&amp;$Q1477))),OR(CARI!$C$6="",$E1477=CARI!$C$6),OR(CARI!$C$7="",$F1477=CARI!$C$7),OR(CARI!$C$8="",$O1477=CARI!$C$8)),MAX($U$3:U1476)+1,""))</f>
        <v/>
      </c>
      <c r="V1477" s="40" t="str">
        <f aca="false">IF($T1477="","",MAX($V$3:V1476)+1)</f>
        <v/>
      </c>
      <c r="W1477" s="40" t="str">
        <f aca="false">IF($E1477="","",$E1477&amp;"#"&amp;COUNTIF($E$4:$E1477,$E1477))</f>
        <v/>
      </c>
      <c r="X1477" s="40" t="str">
        <f aca="false">IF($B1477="","",IF(AND(OR(CETAK!$J$10="",$E1477=CETAK!$J$10),OR(CETAK!$J$11="",$F1477=CETAK!$J$11),OR(CETAK!$J$12="",$K1477=CETAK!$J$12),OR(CETAK!$J$13="",$H1477=CETAK!$J$13),OR(CETAK!$J$14="",$O1477=CETAK!$J$14)),MAX($X$3:X1476)+1,""))</f>
        <v/>
      </c>
      <c r="Y1477" s="40" t="str">
        <f aca="false">IF($B1477="","",IF(AND(OR(ABSENSI!$H$10="",$E1477=ABSENSI!$H$10),OR(ABSENSI!$H$11="",$F1477=ABSENSI!$H$11),OR(ABSENSI!$H$12="",$K1477=ABSENSI!$H$12)),MAX($Y$3:Y1476)+1,""))</f>
        <v/>
      </c>
      <c r="Z1477" s="40" t="str">
        <f aca="false">IF($B1477="","",IF(AND(OR(KARTU!$K$6="",$E1477=KARTU!$K$6),OR(KARTU!$K$7="",$F1477=KARTU!$K$7),OR(KARTU!$K$8="",$K1477=KARTU!$K$8)),MAX($Z$3:Z1476)+1,""))</f>
        <v/>
      </c>
    </row>
    <row r="1478" customFormat="false" ht="15" hidden="false" customHeight="false" outlineLevel="0" collapsed="false">
      <c r="A1478" s="36" t="str">
        <f aca="false">IF($B1478="","",COUNTA($B$4:$B1478))</f>
        <v/>
      </c>
      <c r="B1478" s="37"/>
      <c r="C1478" s="38"/>
      <c r="D1478" s="39"/>
      <c r="E1478" s="37"/>
      <c r="F1478" s="39"/>
      <c r="G1478" s="40" t="str">
        <f aca="false">IF(OR($E1478="",$F1478=""),"",$E1478&amp;" - RT "&amp;$F1478)</f>
        <v/>
      </c>
      <c r="H1478" s="37"/>
      <c r="I1478" s="38"/>
      <c r="J1478" s="37"/>
      <c r="K1478" s="39"/>
      <c r="L1478" s="41"/>
      <c r="M1478" s="36" t="str">
        <f aca="true">IF(OR($B1478="",$L1478=""),"",DATEDIF($L1478,TODAY(),"Y"))</f>
        <v/>
      </c>
      <c r="N1478" s="40" t="str">
        <f aca="false">IF($M1478="","",INDEX(usia_label,MATCH($M1478,usia_min,1)))</f>
        <v/>
      </c>
      <c r="O1478" s="37"/>
      <c r="P1478" s="41"/>
      <c r="Q1478" s="37"/>
      <c r="R1478" s="37"/>
      <c r="S1478" s="40" t="str">
        <f aca="false">IF($G1478="","",$G1478&amp;"#"&amp;COUNTIF($G$4:$G1478,$G1478))</f>
        <v/>
      </c>
      <c r="T1478" s="40" t="str">
        <f aca="false">IF($B1478="","",IF($C1478="","NIK kosong",IF(LEN($C1478)&lt;&gt;16,"NIK bukan 16 digit",IF(COUNTIF($C$4:$C$2003,$C1478&amp;"*")&gt;1,"NIK ganda",IF($E1478="","Kadus kosong",IF($F1478="","RT kosong",IF($H1478="","Jabatan kosong",IF($I1478="","No. HP kosong",IF($J1478="","Alamat kosong",IF(AND($M1478&lt;&gt;"",$M1478&lt;17),"Usia di bawah 17",""))))))))))</f>
        <v/>
      </c>
      <c r="U1478" s="40" t="str">
        <f aca="false">IF($B1478="","",IF(AND(OR(CARI!$C$5="",ISNUMBER(SEARCH(CARI!$C$5,$B1478&amp;" "&amp;$C1478&amp;" "&amp;$I1478&amp;" "&amp;$J1478&amp;" "&amp;$Q1478))),OR(CARI!$C$6="",$E1478=CARI!$C$6),OR(CARI!$C$7="",$F1478=CARI!$C$7),OR(CARI!$C$8="",$O1478=CARI!$C$8)),MAX($U$3:U1477)+1,""))</f>
        <v/>
      </c>
      <c r="V1478" s="40" t="str">
        <f aca="false">IF($T1478="","",MAX($V$3:V1477)+1)</f>
        <v/>
      </c>
      <c r="W1478" s="40" t="str">
        <f aca="false">IF($E1478="","",$E1478&amp;"#"&amp;COUNTIF($E$4:$E1478,$E1478))</f>
        <v/>
      </c>
      <c r="X1478" s="40" t="str">
        <f aca="false">IF($B1478="","",IF(AND(OR(CETAK!$J$10="",$E1478=CETAK!$J$10),OR(CETAK!$J$11="",$F1478=CETAK!$J$11),OR(CETAK!$J$12="",$K1478=CETAK!$J$12),OR(CETAK!$J$13="",$H1478=CETAK!$J$13),OR(CETAK!$J$14="",$O1478=CETAK!$J$14)),MAX($X$3:X1477)+1,""))</f>
        <v/>
      </c>
      <c r="Y1478" s="40" t="str">
        <f aca="false">IF($B1478="","",IF(AND(OR(ABSENSI!$H$10="",$E1478=ABSENSI!$H$10),OR(ABSENSI!$H$11="",$F1478=ABSENSI!$H$11),OR(ABSENSI!$H$12="",$K1478=ABSENSI!$H$12)),MAX($Y$3:Y1477)+1,""))</f>
        <v/>
      </c>
      <c r="Z1478" s="40" t="str">
        <f aca="false">IF($B1478="","",IF(AND(OR(KARTU!$K$6="",$E1478=KARTU!$K$6),OR(KARTU!$K$7="",$F1478=KARTU!$K$7),OR(KARTU!$K$8="",$K1478=KARTU!$K$8)),MAX($Z$3:Z1477)+1,""))</f>
        <v/>
      </c>
    </row>
    <row r="1479" customFormat="false" ht="15" hidden="false" customHeight="false" outlineLevel="0" collapsed="false">
      <c r="A1479" s="36" t="str">
        <f aca="false">IF($B1479="","",COUNTA($B$4:$B1479))</f>
        <v/>
      </c>
      <c r="B1479" s="37"/>
      <c r="C1479" s="38"/>
      <c r="D1479" s="39"/>
      <c r="E1479" s="37"/>
      <c r="F1479" s="39"/>
      <c r="G1479" s="40" t="str">
        <f aca="false">IF(OR($E1479="",$F1479=""),"",$E1479&amp;" - RT "&amp;$F1479)</f>
        <v/>
      </c>
      <c r="H1479" s="37"/>
      <c r="I1479" s="38"/>
      <c r="J1479" s="37"/>
      <c r="K1479" s="39"/>
      <c r="L1479" s="41"/>
      <c r="M1479" s="36" t="str">
        <f aca="true">IF(OR($B1479="",$L1479=""),"",DATEDIF($L1479,TODAY(),"Y"))</f>
        <v/>
      </c>
      <c r="N1479" s="40" t="str">
        <f aca="false">IF($M1479="","",INDEX(usia_label,MATCH($M1479,usia_min,1)))</f>
        <v/>
      </c>
      <c r="O1479" s="37"/>
      <c r="P1479" s="41"/>
      <c r="Q1479" s="37"/>
      <c r="R1479" s="37"/>
      <c r="S1479" s="40" t="str">
        <f aca="false">IF($G1479="","",$G1479&amp;"#"&amp;COUNTIF($G$4:$G1479,$G1479))</f>
        <v/>
      </c>
      <c r="T1479" s="40" t="str">
        <f aca="false">IF($B1479="","",IF($C1479="","NIK kosong",IF(LEN($C1479)&lt;&gt;16,"NIK bukan 16 digit",IF(COUNTIF($C$4:$C$2003,$C1479&amp;"*")&gt;1,"NIK ganda",IF($E1479="","Kadus kosong",IF($F1479="","RT kosong",IF($H1479="","Jabatan kosong",IF($I1479="","No. HP kosong",IF($J1479="","Alamat kosong",IF(AND($M1479&lt;&gt;"",$M1479&lt;17),"Usia di bawah 17",""))))))))))</f>
        <v/>
      </c>
      <c r="U1479" s="40" t="str">
        <f aca="false">IF($B1479="","",IF(AND(OR(CARI!$C$5="",ISNUMBER(SEARCH(CARI!$C$5,$B1479&amp;" "&amp;$C1479&amp;" "&amp;$I1479&amp;" "&amp;$J1479&amp;" "&amp;$Q1479))),OR(CARI!$C$6="",$E1479=CARI!$C$6),OR(CARI!$C$7="",$F1479=CARI!$C$7),OR(CARI!$C$8="",$O1479=CARI!$C$8)),MAX($U$3:U1478)+1,""))</f>
        <v/>
      </c>
      <c r="V1479" s="40" t="str">
        <f aca="false">IF($T1479="","",MAX($V$3:V1478)+1)</f>
        <v/>
      </c>
      <c r="W1479" s="40" t="str">
        <f aca="false">IF($E1479="","",$E1479&amp;"#"&amp;COUNTIF($E$4:$E1479,$E1479))</f>
        <v/>
      </c>
      <c r="X1479" s="40" t="str">
        <f aca="false">IF($B1479="","",IF(AND(OR(CETAK!$J$10="",$E1479=CETAK!$J$10),OR(CETAK!$J$11="",$F1479=CETAK!$J$11),OR(CETAK!$J$12="",$K1479=CETAK!$J$12),OR(CETAK!$J$13="",$H1479=CETAK!$J$13),OR(CETAK!$J$14="",$O1479=CETAK!$J$14)),MAX($X$3:X1478)+1,""))</f>
        <v/>
      </c>
      <c r="Y1479" s="40" t="str">
        <f aca="false">IF($B1479="","",IF(AND(OR(ABSENSI!$H$10="",$E1479=ABSENSI!$H$10),OR(ABSENSI!$H$11="",$F1479=ABSENSI!$H$11),OR(ABSENSI!$H$12="",$K1479=ABSENSI!$H$12)),MAX($Y$3:Y1478)+1,""))</f>
        <v/>
      </c>
      <c r="Z1479" s="40" t="str">
        <f aca="false">IF($B1479="","",IF(AND(OR(KARTU!$K$6="",$E1479=KARTU!$K$6),OR(KARTU!$K$7="",$F1479=KARTU!$K$7),OR(KARTU!$K$8="",$K1479=KARTU!$K$8)),MAX($Z$3:Z1478)+1,""))</f>
        <v/>
      </c>
    </row>
    <row r="1480" customFormat="false" ht="15" hidden="false" customHeight="false" outlineLevel="0" collapsed="false">
      <c r="A1480" s="36" t="str">
        <f aca="false">IF($B1480="","",COUNTA($B$4:$B1480))</f>
        <v/>
      </c>
      <c r="B1480" s="37"/>
      <c r="C1480" s="38"/>
      <c r="D1480" s="39"/>
      <c r="E1480" s="37"/>
      <c r="F1480" s="39"/>
      <c r="G1480" s="40" t="str">
        <f aca="false">IF(OR($E1480="",$F1480=""),"",$E1480&amp;" - RT "&amp;$F1480)</f>
        <v/>
      </c>
      <c r="H1480" s="37"/>
      <c r="I1480" s="38"/>
      <c r="J1480" s="37"/>
      <c r="K1480" s="39"/>
      <c r="L1480" s="41"/>
      <c r="M1480" s="36" t="str">
        <f aca="true">IF(OR($B1480="",$L1480=""),"",DATEDIF($L1480,TODAY(),"Y"))</f>
        <v/>
      </c>
      <c r="N1480" s="40" t="str">
        <f aca="false">IF($M1480="","",INDEX(usia_label,MATCH($M1480,usia_min,1)))</f>
        <v/>
      </c>
      <c r="O1480" s="37"/>
      <c r="P1480" s="41"/>
      <c r="Q1480" s="37"/>
      <c r="R1480" s="37"/>
      <c r="S1480" s="40" t="str">
        <f aca="false">IF($G1480="","",$G1480&amp;"#"&amp;COUNTIF($G$4:$G1480,$G1480))</f>
        <v/>
      </c>
      <c r="T1480" s="40" t="str">
        <f aca="false">IF($B1480="","",IF($C1480="","NIK kosong",IF(LEN($C1480)&lt;&gt;16,"NIK bukan 16 digit",IF(COUNTIF($C$4:$C$2003,$C1480&amp;"*")&gt;1,"NIK ganda",IF($E1480="","Kadus kosong",IF($F1480="","RT kosong",IF($H1480="","Jabatan kosong",IF($I1480="","No. HP kosong",IF($J1480="","Alamat kosong",IF(AND($M1480&lt;&gt;"",$M1480&lt;17),"Usia di bawah 17",""))))))))))</f>
        <v/>
      </c>
      <c r="U1480" s="40" t="str">
        <f aca="false">IF($B1480="","",IF(AND(OR(CARI!$C$5="",ISNUMBER(SEARCH(CARI!$C$5,$B1480&amp;" "&amp;$C1480&amp;" "&amp;$I1480&amp;" "&amp;$J1480&amp;" "&amp;$Q1480))),OR(CARI!$C$6="",$E1480=CARI!$C$6),OR(CARI!$C$7="",$F1480=CARI!$C$7),OR(CARI!$C$8="",$O1480=CARI!$C$8)),MAX($U$3:U1479)+1,""))</f>
        <v/>
      </c>
      <c r="V1480" s="40" t="str">
        <f aca="false">IF($T1480="","",MAX($V$3:V1479)+1)</f>
        <v/>
      </c>
      <c r="W1480" s="40" t="str">
        <f aca="false">IF($E1480="","",$E1480&amp;"#"&amp;COUNTIF($E$4:$E1480,$E1480))</f>
        <v/>
      </c>
      <c r="X1480" s="40" t="str">
        <f aca="false">IF($B1480="","",IF(AND(OR(CETAK!$J$10="",$E1480=CETAK!$J$10),OR(CETAK!$J$11="",$F1480=CETAK!$J$11),OR(CETAK!$J$12="",$K1480=CETAK!$J$12),OR(CETAK!$J$13="",$H1480=CETAK!$J$13),OR(CETAK!$J$14="",$O1480=CETAK!$J$14)),MAX($X$3:X1479)+1,""))</f>
        <v/>
      </c>
      <c r="Y1480" s="40" t="str">
        <f aca="false">IF($B1480="","",IF(AND(OR(ABSENSI!$H$10="",$E1480=ABSENSI!$H$10),OR(ABSENSI!$H$11="",$F1480=ABSENSI!$H$11),OR(ABSENSI!$H$12="",$K1480=ABSENSI!$H$12)),MAX($Y$3:Y1479)+1,""))</f>
        <v/>
      </c>
      <c r="Z1480" s="40" t="str">
        <f aca="false">IF($B1480="","",IF(AND(OR(KARTU!$K$6="",$E1480=KARTU!$K$6),OR(KARTU!$K$7="",$F1480=KARTU!$K$7),OR(KARTU!$K$8="",$K1480=KARTU!$K$8)),MAX($Z$3:Z1479)+1,""))</f>
        <v/>
      </c>
    </row>
    <row r="1481" customFormat="false" ht="15" hidden="false" customHeight="false" outlineLevel="0" collapsed="false">
      <c r="A1481" s="36" t="str">
        <f aca="false">IF($B1481="","",COUNTA($B$4:$B1481))</f>
        <v/>
      </c>
      <c r="B1481" s="37"/>
      <c r="C1481" s="38"/>
      <c r="D1481" s="39"/>
      <c r="E1481" s="37"/>
      <c r="F1481" s="39"/>
      <c r="G1481" s="40" t="str">
        <f aca="false">IF(OR($E1481="",$F1481=""),"",$E1481&amp;" - RT "&amp;$F1481)</f>
        <v/>
      </c>
      <c r="H1481" s="37"/>
      <c r="I1481" s="38"/>
      <c r="J1481" s="37"/>
      <c r="K1481" s="39"/>
      <c r="L1481" s="41"/>
      <c r="M1481" s="36" t="str">
        <f aca="true">IF(OR($B1481="",$L1481=""),"",DATEDIF($L1481,TODAY(),"Y"))</f>
        <v/>
      </c>
      <c r="N1481" s="40" t="str">
        <f aca="false">IF($M1481="","",INDEX(usia_label,MATCH($M1481,usia_min,1)))</f>
        <v/>
      </c>
      <c r="O1481" s="37"/>
      <c r="P1481" s="41"/>
      <c r="Q1481" s="37"/>
      <c r="R1481" s="37"/>
      <c r="S1481" s="40" t="str">
        <f aca="false">IF($G1481="","",$G1481&amp;"#"&amp;COUNTIF($G$4:$G1481,$G1481))</f>
        <v/>
      </c>
      <c r="T1481" s="40" t="str">
        <f aca="false">IF($B1481="","",IF($C1481="","NIK kosong",IF(LEN($C1481)&lt;&gt;16,"NIK bukan 16 digit",IF(COUNTIF($C$4:$C$2003,$C1481&amp;"*")&gt;1,"NIK ganda",IF($E1481="","Kadus kosong",IF($F1481="","RT kosong",IF($H1481="","Jabatan kosong",IF($I1481="","No. HP kosong",IF($J1481="","Alamat kosong",IF(AND($M1481&lt;&gt;"",$M1481&lt;17),"Usia di bawah 17",""))))))))))</f>
        <v/>
      </c>
      <c r="U1481" s="40" t="str">
        <f aca="false">IF($B1481="","",IF(AND(OR(CARI!$C$5="",ISNUMBER(SEARCH(CARI!$C$5,$B1481&amp;" "&amp;$C1481&amp;" "&amp;$I1481&amp;" "&amp;$J1481&amp;" "&amp;$Q1481))),OR(CARI!$C$6="",$E1481=CARI!$C$6),OR(CARI!$C$7="",$F1481=CARI!$C$7),OR(CARI!$C$8="",$O1481=CARI!$C$8)),MAX($U$3:U1480)+1,""))</f>
        <v/>
      </c>
      <c r="V1481" s="40" t="str">
        <f aca="false">IF($T1481="","",MAX($V$3:V1480)+1)</f>
        <v/>
      </c>
      <c r="W1481" s="40" t="str">
        <f aca="false">IF($E1481="","",$E1481&amp;"#"&amp;COUNTIF($E$4:$E1481,$E1481))</f>
        <v/>
      </c>
      <c r="X1481" s="40" t="str">
        <f aca="false">IF($B1481="","",IF(AND(OR(CETAK!$J$10="",$E1481=CETAK!$J$10),OR(CETAK!$J$11="",$F1481=CETAK!$J$11),OR(CETAK!$J$12="",$K1481=CETAK!$J$12),OR(CETAK!$J$13="",$H1481=CETAK!$J$13),OR(CETAK!$J$14="",$O1481=CETAK!$J$14)),MAX($X$3:X1480)+1,""))</f>
        <v/>
      </c>
      <c r="Y1481" s="40" t="str">
        <f aca="false">IF($B1481="","",IF(AND(OR(ABSENSI!$H$10="",$E1481=ABSENSI!$H$10),OR(ABSENSI!$H$11="",$F1481=ABSENSI!$H$11),OR(ABSENSI!$H$12="",$K1481=ABSENSI!$H$12)),MAX($Y$3:Y1480)+1,""))</f>
        <v/>
      </c>
      <c r="Z1481" s="40" t="str">
        <f aca="false">IF($B1481="","",IF(AND(OR(KARTU!$K$6="",$E1481=KARTU!$K$6),OR(KARTU!$K$7="",$F1481=KARTU!$K$7),OR(KARTU!$K$8="",$K1481=KARTU!$K$8)),MAX($Z$3:Z1480)+1,""))</f>
        <v/>
      </c>
    </row>
    <row r="1482" customFormat="false" ht="15" hidden="false" customHeight="false" outlineLevel="0" collapsed="false">
      <c r="A1482" s="36" t="str">
        <f aca="false">IF($B1482="","",COUNTA($B$4:$B1482))</f>
        <v/>
      </c>
      <c r="B1482" s="37"/>
      <c r="C1482" s="38"/>
      <c r="D1482" s="39"/>
      <c r="E1482" s="37"/>
      <c r="F1482" s="39"/>
      <c r="G1482" s="40" t="str">
        <f aca="false">IF(OR($E1482="",$F1482=""),"",$E1482&amp;" - RT "&amp;$F1482)</f>
        <v/>
      </c>
      <c r="H1482" s="37"/>
      <c r="I1482" s="38"/>
      <c r="J1482" s="37"/>
      <c r="K1482" s="39"/>
      <c r="L1482" s="41"/>
      <c r="M1482" s="36" t="str">
        <f aca="true">IF(OR($B1482="",$L1482=""),"",DATEDIF($L1482,TODAY(),"Y"))</f>
        <v/>
      </c>
      <c r="N1482" s="40" t="str">
        <f aca="false">IF($M1482="","",INDEX(usia_label,MATCH($M1482,usia_min,1)))</f>
        <v/>
      </c>
      <c r="O1482" s="37"/>
      <c r="P1482" s="41"/>
      <c r="Q1482" s="37"/>
      <c r="R1482" s="37"/>
      <c r="S1482" s="40" t="str">
        <f aca="false">IF($G1482="","",$G1482&amp;"#"&amp;COUNTIF($G$4:$G1482,$G1482))</f>
        <v/>
      </c>
      <c r="T1482" s="40" t="str">
        <f aca="false">IF($B1482="","",IF($C1482="","NIK kosong",IF(LEN($C1482)&lt;&gt;16,"NIK bukan 16 digit",IF(COUNTIF($C$4:$C$2003,$C1482&amp;"*")&gt;1,"NIK ganda",IF($E1482="","Kadus kosong",IF($F1482="","RT kosong",IF($H1482="","Jabatan kosong",IF($I1482="","No. HP kosong",IF($J1482="","Alamat kosong",IF(AND($M1482&lt;&gt;"",$M1482&lt;17),"Usia di bawah 17",""))))))))))</f>
        <v/>
      </c>
      <c r="U1482" s="40" t="str">
        <f aca="false">IF($B1482="","",IF(AND(OR(CARI!$C$5="",ISNUMBER(SEARCH(CARI!$C$5,$B1482&amp;" "&amp;$C1482&amp;" "&amp;$I1482&amp;" "&amp;$J1482&amp;" "&amp;$Q1482))),OR(CARI!$C$6="",$E1482=CARI!$C$6),OR(CARI!$C$7="",$F1482=CARI!$C$7),OR(CARI!$C$8="",$O1482=CARI!$C$8)),MAX($U$3:U1481)+1,""))</f>
        <v/>
      </c>
      <c r="V1482" s="40" t="str">
        <f aca="false">IF($T1482="","",MAX($V$3:V1481)+1)</f>
        <v/>
      </c>
      <c r="W1482" s="40" t="str">
        <f aca="false">IF($E1482="","",$E1482&amp;"#"&amp;COUNTIF($E$4:$E1482,$E1482))</f>
        <v/>
      </c>
      <c r="X1482" s="40" t="str">
        <f aca="false">IF($B1482="","",IF(AND(OR(CETAK!$J$10="",$E1482=CETAK!$J$10),OR(CETAK!$J$11="",$F1482=CETAK!$J$11),OR(CETAK!$J$12="",$K1482=CETAK!$J$12),OR(CETAK!$J$13="",$H1482=CETAK!$J$13),OR(CETAK!$J$14="",$O1482=CETAK!$J$14)),MAX($X$3:X1481)+1,""))</f>
        <v/>
      </c>
      <c r="Y1482" s="40" t="str">
        <f aca="false">IF($B1482="","",IF(AND(OR(ABSENSI!$H$10="",$E1482=ABSENSI!$H$10),OR(ABSENSI!$H$11="",$F1482=ABSENSI!$H$11),OR(ABSENSI!$H$12="",$K1482=ABSENSI!$H$12)),MAX($Y$3:Y1481)+1,""))</f>
        <v/>
      </c>
      <c r="Z1482" s="40" t="str">
        <f aca="false">IF($B1482="","",IF(AND(OR(KARTU!$K$6="",$E1482=KARTU!$K$6),OR(KARTU!$K$7="",$F1482=KARTU!$K$7),OR(KARTU!$K$8="",$K1482=KARTU!$K$8)),MAX($Z$3:Z1481)+1,""))</f>
        <v/>
      </c>
    </row>
    <row r="1483" customFormat="false" ht="15" hidden="false" customHeight="false" outlineLevel="0" collapsed="false">
      <c r="A1483" s="36" t="str">
        <f aca="false">IF($B1483="","",COUNTA($B$4:$B1483))</f>
        <v/>
      </c>
      <c r="B1483" s="37"/>
      <c r="C1483" s="38"/>
      <c r="D1483" s="39"/>
      <c r="E1483" s="37"/>
      <c r="F1483" s="39"/>
      <c r="G1483" s="40" t="str">
        <f aca="false">IF(OR($E1483="",$F1483=""),"",$E1483&amp;" - RT "&amp;$F1483)</f>
        <v/>
      </c>
      <c r="H1483" s="37"/>
      <c r="I1483" s="38"/>
      <c r="J1483" s="37"/>
      <c r="K1483" s="39"/>
      <c r="L1483" s="41"/>
      <c r="M1483" s="36" t="str">
        <f aca="true">IF(OR($B1483="",$L1483=""),"",DATEDIF($L1483,TODAY(),"Y"))</f>
        <v/>
      </c>
      <c r="N1483" s="40" t="str">
        <f aca="false">IF($M1483="","",INDEX(usia_label,MATCH($M1483,usia_min,1)))</f>
        <v/>
      </c>
      <c r="O1483" s="37"/>
      <c r="P1483" s="41"/>
      <c r="Q1483" s="37"/>
      <c r="R1483" s="37"/>
      <c r="S1483" s="40" t="str">
        <f aca="false">IF($G1483="","",$G1483&amp;"#"&amp;COUNTIF($G$4:$G1483,$G1483))</f>
        <v/>
      </c>
      <c r="T1483" s="40" t="str">
        <f aca="false">IF($B1483="","",IF($C1483="","NIK kosong",IF(LEN($C1483)&lt;&gt;16,"NIK bukan 16 digit",IF(COUNTIF($C$4:$C$2003,$C1483&amp;"*")&gt;1,"NIK ganda",IF($E1483="","Kadus kosong",IF($F1483="","RT kosong",IF($H1483="","Jabatan kosong",IF($I1483="","No. HP kosong",IF($J1483="","Alamat kosong",IF(AND($M1483&lt;&gt;"",$M1483&lt;17),"Usia di bawah 17",""))))))))))</f>
        <v/>
      </c>
      <c r="U1483" s="40" t="str">
        <f aca="false">IF($B1483="","",IF(AND(OR(CARI!$C$5="",ISNUMBER(SEARCH(CARI!$C$5,$B1483&amp;" "&amp;$C1483&amp;" "&amp;$I1483&amp;" "&amp;$J1483&amp;" "&amp;$Q1483))),OR(CARI!$C$6="",$E1483=CARI!$C$6),OR(CARI!$C$7="",$F1483=CARI!$C$7),OR(CARI!$C$8="",$O1483=CARI!$C$8)),MAX($U$3:U1482)+1,""))</f>
        <v/>
      </c>
      <c r="V1483" s="40" t="str">
        <f aca="false">IF($T1483="","",MAX($V$3:V1482)+1)</f>
        <v/>
      </c>
      <c r="W1483" s="40" t="str">
        <f aca="false">IF($E1483="","",$E1483&amp;"#"&amp;COUNTIF($E$4:$E1483,$E1483))</f>
        <v/>
      </c>
      <c r="X1483" s="40" t="str">
        <f aca="false">IF($B1483="","",IF(AND(OR(CETAK!$J$10="",$E1483=CETAK!$J$10),OR(CETAK!$J$11="",$F1483=CETAK!$J$11),OR(CETAK!$J$12="",$K1483=CETAK!$J$12),OR(CETAK!$J$13="",$H1483=CETAK!$J$13),OR(CETAK!$J$14="",$O1483=CETAK!$J$14)),MAX($X$3:X1482)+1,""))</f>
        <v/>
      </c>
      <c r="Y1483" s="40" t="str">
        <f aca="false">IF($B1483="","",IF(AND(OR(ABSENSI!$H$10="",$E1483=ABSENSI!$H$10),OR(ABSENSI!$H$11="",$F1483=ABSENSI!$H$11),OR(ABSENSI!$H$12="",$K1483=ABSENSI!$H$12)),MAX($Y$3:Y1482)+1,""))</f>
        <v/>
      </c>
      <c r="Z1483" s="40" t="str">
        <f aca="false">IF($B1483="","",IF(AND(OR(KARTU!$K$6="",$E1483=KARTU!$K$6),OR(KARTU!$K$7="",$F1483=KARTU!$K$7),OR(KARTU!$K$8="",$K1483=KARTU!$K$8)),MAX($Z$3:Z1482)+1,""))</f>
        <v/>
      </c>
    </row>
    <row r="1484" customFormat="false" ht="15" hidden="false" customHeight="false" outlineLevel="0" collapsed="false">
      <c r="A1484" s="36" t="str">
        <f aca="false">IF($B1484="","",COUNTA($B$4:$B1484))</f>
        <v/>
      </c>
      <c r="B1484" s="37"/>
      <c r="C1484" s="38"/>
      <c r="D1484" s="39"/>
      <c r="E1484" s="37"/>
      <c r="F1484" s="39"/>
      <c r="G1484" s="40" t="str">
        <f aca="false">IF(OR($E1484="",$F1484=""),"",$E1484&amp;" - RT "&amp;$F1484)</f>
        <v/>
      </c>
      <c r="H1484" s="37"/>
      <c r="I1484" s="38"/>
      <c r="J1484" s="37"/>
      <c r="K1484" s="39"/>
      <c r="L1484" s="41"/>
      <c r="M1484" s="36" t="str">
        <f aca="true">IF(OR($B1484="",$L1484=""),"",DATEDIF($L1484,TODAY(),"Y"))</f>
        <v/>
      </c>
      <c r="N1484" s="40" t="str">
        <f aca="false">IF($M1484="","",INDEX(usia_label,MATCH($M1484,usia_min,1)))</f>
        <v/>
      </c>
      <c r="O1484" s="37"/>
      <c r="P1484" s="41"/>
      <c r="Q1484" s="37"/>
      <c r="R1484" s="37"/>
      <c r="S1484" s="40" t="str">
        <f aca="false">IF($G1484="","",$G1484&amp;"#"&amp;COUNTIF($G$4:$G1484,$G1484))</f>
        <v/>
      </c>
      <c r="T1484" s="40" t="str">
        <f aca="false">IF($B1484="","",IF($C1484="","NIK kosong",IF(LEN($C1484)&lt;&gt;16,"NIK bukan 16 digit",IF(COUNTIF($C$4:$C$2003,$C1484&amp;"*")&gt;1,"NIK ganda",IF($E1484="","Kadus kosong",IF($F1484="","RT kosong",IF($H1484="","Jabatan kosong",IF($I1484="","No. HP kosong",IF($J1484="","Alamat kosong",IF(AND($M1484&lt;&gt;"",$M1484&lt;17),"Usia di bawah 17",""))))))))))</f>
        <v/>
      </c>
      <c r="U1484" s="40" t="str">
        <f aca="false">IF($B1484="","",IF(AND(OR(CARI!$C$5="",ISNUMBER(SEARCH(CARI!$C$5,$B1484&amp;" "&amp;$C1484&amp;" "&amp;$I1484&amp;" "&amp;$J1484&amp;" "&amp;$Q1484))),OR(CARI!$C$6="",$E1484=CARI!$C$6),OR(CARI!$C$7="",$F1484=CARI!$C$7),OR(CARI!$C$8="",$O1484=CARI!$C$8)),MAX($U$3:U1483)+1,""))</f>
        <v/>
      </c>
      <c r="V1484" s="40" t="str">
        <f aca="false">IF($T1484="","",MAX($V$3:V1483)+1)</f>
        <v/>
      </c>
      <c r="W1484" s="40" t="str">
        <f aca="false">IF($E1484="","",$E1484&amp;"#"&amp;COUNTIF($E$4:$E1484,$E1484))</f>
        <v/>
      </c>
      <c r="X1484" s="40" t="str">
        <f aca="false">IF($B1484="","",IF(AND(OR(CETAK!$J$10="",$E1484=CETAK!$J$10),OR(CETAK!$J$11="",$F1484=CETAK!$J$11),OR(CETAK!$J$12="",$K1484=CETAK!$J$12),OR(CETAK!$J$13="",$H1484=CETAK!$J$13),OR(CETAK!$J$14="",$O1484=CETAK!$J$14)),MAX($X$3:X1483)+1,""))</f>
        <v/>
      </c>
      <c r="Y1484" s="40" t="str">
        <f aca="false">IF($B1484="","",IF(AND(OR(ABSENSI!$H$10="",$E1484=ABSENSI!$H$10),OR(ABSENSI!$H$11="",$F1484=ABSENSI!$H$11),OR(ABSENSI!$H$12="",$K1484=ABSENSI!$H$12)),MAX($Y$3:Y1483)+1,""))</f>
        <v/>
      </c>
      <c r="Z1484" s="40" t="str">
        <f aca="false">IF($B1484="","",IF(AND(OR(KARTU!$K$6="",$E1484=KARTU!$K$6),OR(KARTU!$K$7="",$F1484=KARTU!$K$7),OR(KARTU!$K$8="",$K1484=KARTU!$K$8)),MAX($Z$3:Z1483)+1,""))</f>
        <v/>
      </c>
    </row>
    <row r="1485" customFormat="false" ht="15" hidden="false" customHeight="false" outlineLevel="0" collapsed="false">
      <c r="A1485" s="36" t="str">
        <f aca="false">IF($B1485="","",COUNTA($B$4:$B1485))</f>
        <v/>
      </c>
      <c r="B1485" s="37"/>
      <c r="C1485" s="38"/>
      <c r="D1485" s="39"/>
      <c r="E1485" s="37"/>
      <c r="F1485" s="39"/>
      <c r="G1485" s="40" t="str">
        <f aca="false">IF(OR($E1485="",$F1485=""),"",$E1485&amp;" - RT "&amp;$F1485)</f>
        <v/>
      </c>
      <c r="H1485" s="37"/>
      <c r="I1485" s="38"/>
      <c r="J1485" s="37"/>
      <c r="K1485" s="39"/>
      <c r="L1485" s="41"/>
      <c r="M1485" s="36" t="str">
        <f aca="true">IF(OR($B1485="",$L1485=""),"",DATEDIF($L1485,TODAY(),"Y"))</f>
        <v/>
      </c>
      <c r="N1485" s="40" t="str">
        <f aca="false">IF($M1485="","",INDEX(usia_label,MATCH($M1485,usia_min,1)))</f>
        <v/>
      </c>
      <c r="O1485" s="37"/>
      <c r="P1485" s="41"/>
      <c r="Q1485" s="37"/>
      <c r="R1485" s="37"/>
      <c r="S1485" s="40" t="str">
        <f aca="false">IF($G1485="","",$G1485&amp;"#"&amp;COUNTIF($G$4:$G1485,$G1485))</f>
        <v/>
      </c>
      <c r="T1485" s="40" t="str">
        <f aca="false">IF($B1485="","",IF($C1485="","NIK kosong",IF(LEN($C1485)&lt;&gt;16,"NIK bukan 16 digit",IF(COUNTIF($C$4:$C$2003,$C1485&amp;"*")&gt;1,"NIK ganda",IF($E1485="","Kadus kosong",IF($F1485="","RT kosong",IF($H1485="","Jabatan kosong",IF($I1485="","No. HP kosong",IF($J1485="","Alamat kosong",IF(AND($M1485&lt;&gt;"",$M1485&lt;17),"Usia di bawah 17",""))))))))))</f>
        <v/>
      </c>
      <c r="U1485" s="40" t="str">
        <f aca="false">IF($B1485="","",IF(AND(OR(CARI!$C$5="",ISNUMBER(SEARCH(CARI!$C$5,$B1485&amp;" "&amp;$C1485&amp;" "&amp;$I1485&amp;" "&amp;$J1485&amp;" "&amp;$Q1485))),OR(CARI!$C$6="",$E1485=CARI!$C$6),OR(CARI!$C$7="",$F1485=CARI!$C$7),OR(CARI!$C$8="",$O1485=CARI!$C$8)),MAX($U$3:U1484)+1,""))</f>
        <v/>
      </c>
      <c r="V1485" s="40" t="str">
        <f aca="false">IF($T1485="","",MAX($V$3:V1484)+1)</f>
        <v/>
      </c>
      <c r="W1485" s="40" t="str">
        <f aca="false">IF($E1485="","",$E1485&amp;"#"&amp;COUNTIF($E$4:$E1485,$E1485))</f>
        <v/>
      </c>
      <c r="X1485" s="40" t="str">
        <f aca="false">IF($B1485="","",IF(AND(OR(CETAK!$J$10="",$E1485=CETAK!$J$10),OR(CETAK!$J$11="",$F1485=CETAK!$J$11),OR(CETAK!$J$12="",$K1485=CETAK!$J$12),OR(CETAK!$J$13="",$H1485=CETAK!$J$13),OR(CETAK!$J$14="",$O1485=CETAK!$J$14)),MAX($X$3:X1484)+1,""))</f>
        <v/>
      </c>
      <c r="Y1485" s="40" t="str">
        <f aca="false">IF($B1485="","",IF(AND(OR(ABSENSI!$H$10="",$E1485=ABSENSI!$H$10),OR(ABSENSI!$H$11="",$F1485=ABSENSI!$H$11),OR(ABSENSI!$H$12="",$K1485=ABSENSI!$H$12)),MAX($Y$3:Y1484)+1,""))</f>
        <v/>
      </c>
      <c r="Z1485" s="40" t="str">
        <f aca="false">IF($B1485="","",IF(AND(OR(KARTU!$K$6="",$E1485=KARTU!$K$6),OR(KARTU!$K$7="",$F1485=KARTU!$K$7),OR(KARTU!$K$8="",$K1485=KARTU!$K$8)),MAX($Z$3:Z1484)+1,""))</f>
        <v/>
      </c>
    </row>
    <row r="1486" customFormat="false" ht="15" hidden="false" customHeight="false" outlineLevel="0" collapsed="false">
      <c r="A1486" s="36" t="str">
        <f aca="false">IF($B1486="","",COUNTA($B$4:$B1486))</f>
        <v/>
      </c>
      <c r="B1486" s="37"/>
      <c r="C1486" s="38"/>
      <c r="D1486" s="39"/>
      <c r="E1486" s="37"/>
      <c r="F1486" s="39"/>
      <c r="G1486" s="40" t="str">
        <f aca="false">IF(OR($E1486="",$F1486=""),"",$E1486&amp;" - RT "&amp;$F1486)</f>
        <v/>
      </c>
      <c r="H1486" s="37"/>
      <c r="I1486" s="38"/>
      <c r="J1486" s="37"/>
      <c r="K1486" s="39"/>
      <c r="L1486" s="41"/>
      <c r="M1486" s="36" t="str">
        <f aca="true">IF(OR($B1486="",$L1486=""),"",DATEDIF($L1486,TODAY(),"Y"))</f>
        <v/>
      </c>
      <c r="N1486" s="40" t="str">
        <f aca="false">IF($M1486="","",INDEX(usia_label,MATCH($M1486,usia_min,1)))</f>
        <v/>
      </c>
      <c r="O1486" s="37"/>
      <c r="P1486" s="41"/>
      <c r="Q1486" s="37"/>
      <c r="R1486" s="37"/>
      <c r="S1486" s="40" t="str">
        <f aca="false">IF($G1486="","",$G1486&amp;"#"&amp;COUNTIF($G$4:$G1486,$G1486))</f>
        <v/>
      </c>
      <c r="T1486" s="40" t="str">
        <f aca="false">IF($B1486="","",IF($C1486="","NIK kosong",IF(LEN($C1486)&lt;&gt;16,"NIK bukan 16 digit",IF(COUNTIF($C$4:$C$2003,$C1486&amp;"*")&gt;1,"NIK ganda",IF($E1486="","Kadus kosong",IF($F1486="","RT kosong",IF($H1486="","Jabatan kosong",IF($I1486="","No. HP kosong",IF($J1486="","Alamat kosong",IF(AND($M1486&lt;&gt;"",$M1486&lt;17),"Usia di bawah 17",""))))))))))</f>
        <v/>
      </c>
      <c r="U1486" s="40" t="str">
        <f aca="false">IF($B1486="","",IF(AND(OR(CARI!$C$5="",ISNUMBER(SEARCH(CARI!$C$5,$B1486&amp;" "&amp;$C1486&amp;" "&amp;$I1486&amp;" "&amp;$J1486&amp;" "&amp;$Q1486))),OR(CARI!$C$6="",$E1486=CARI!$C$6),OR(CARI!$C$7="",$F1486=CARI!$C$7),OR(CARI!$C$8="",$O1486=CARI!$C$8)),MAX($U$3:U1485)+1,""))</f>
        <v/>
      </c>
      <c r="V1486" s="40" t="str">
        <f aca="false">IF($T1486="","",MAX($V$3:V1485)+1)</f>
        <v/>
      </c>
      <c r="W1486" s="40" t="str">
        <f aca="false">IF($E1486="","",$E1486&amp;"#"&amp;COUNTIF($E$4:$E1486,$E1486))</f>
        <v/>
      </c>
      <c r="X1486" s="40" t="str">
        <f aca="false">IF($B1486="","",IF(AND(OR(CETAK!$J$10="",$E1486=CETAK!$J$10),OR(CETAK!$J$11="",$F1486=CETAK!$J$11),OR(CETAK!$J$12="",$K1486=CETAK!$J$12),OR(CETAK!$J$13="",$H1486=CETAK!$J$13),OR(CETAK!$J$14="",$O1486=CETAK!$J$14)),MAX($X$3:X1485)+1,""))</f>
        <v/>
      </c>
      <c r="Y1486" s="40" t="str">
        <f aca="false">IF($B1486="","",IF(AND(OR(ABSENSI!$H$10="",$E1486=ABSENSI!$H$10),OR(ABSENSI!$H$11="",$F1486=ABSENSI!$H$11),OR(ABSENSI!$H$12="",$K1486=ABSENSI!$H$12)),MAX($Y$3:Y1485)+1,""))</f>
        <v/>
      </c>
      <c r="Z1486" s="40" t="str">
        <f aca="false">IF($B1486="","",IF(AND(OR(KARTU!$K$6="",$E1486=KARTU!$K$6),OR(KARTU!$K$7="",$F1486=KARTU!$K$7),OR(KARTU!$K$8="",$K1486=KARTU!$K$8)),MAX($Z$3:Z1485)+1,""))</f>
        <v/>
      </c>
    </row>
    <row r="1487" customFormat="false" ht="15" hidden="false" customHeight="false" outlineLevel="0" collapsed="false">
      <c r="A1487" s="36" t="str">
        <f aca="false">IF($B1487="","",COUNTA($B$4:$B1487))</f>
        <v/>
      </c>
      <c r="B1487" s="37"/>
      <c r="C1487" s="38"/>
      <c r="D1487" s="39"/>
      <c r="E1487" s="37"/>
      <c r="F1487" s="39"/>
      <c r="G1487" s="40" t="str">
        <f aca="false">IF(OR($E1487="",$F1487=""),"",$E1487&amp;" - RT "&amp;$F1487)</f>
        <v/>
      </c>
      <c r="H1487" s="37"/>
      <c r="I1487" s="38"/>
      <c r="J1487" s="37"/>
      <c r="K1487" s="39"/>
      <c r="L1487" s="41"/>
      <c r="M1487" s="36" t="str">
        <f aca="true">IF(OR($B1487="",$L1487=""),"",DATEDIF($L1487,TODAY(),"Y"))</f>
        <v/>
      </c>
      <c r="N1487" s="40" t="str">
        <f aca="false">IF($M1487="","",INDEX(usia_label,MATCH($M1487,usia_min,1)))</f>
        <v/>
      </c>
      <c r="O1487" s="37"/>
      <c r="P1487" s="41"/>
      <c r="Q1487" s="37"/>
      <c r="R1487" s="37"/>
      <c r="S1487" s="40" t="str">
        <f aca="false">IF($G1487="","",$G1487&amp;"#"&amp;COUNTIF($G$4:$G1487,$G1487))</f>
        <v/>
      </c>
      <c r="T1487" s="40" t="str">
        <f aca="false">IF($B1487="","",IF($C1487="","NIK kosong",IF(LEN($C1487)&lt;&gt;16,"NIK bukan 16 digit",IF(COUNTIF($C$4:$C$2003,$C1487&amp;"*")&gt;1,"NIK ganda",IF($E1487="","Kadus kosong",IF($F1487="","RT kosong",IF($H1487="","Jabatan kosong",IF($I1487="","No. HP kosong",IF($J1487="","Alamat kosong",IF(AND($M1487&lt;&gt;"",$M1487&lt;17),"Usia di bawah 17",""))))))))))</f>
        <v/>
      </c>
      <c r="U1487" s="40" t="str">
        <f aca="false">IF($B1487="","",IF(AND(OR(CARI!$C$5="",ISNUMBER(SEARCH(CARI!$C$5,$B1487&amp;" "&amp;$C1487&amp;" "&amp;$I1487&amp;" "&amp;$J1487&amp;" "&amp;$Q1487))),OR(CARI!$C$6="",$E1487=CARI!$C$6),OR(CARI!$C$7="",$F1487=CARI!$C$7),OR(CARI!$C$8="",$O1487=CARI!$C$8)),MAX($U$3:U1486)+1,""))</f>
        <v/>
      </c>
      <c r="V1487" s="40" t="str">
        <f aca="false">IF($T1487="","",MAX($V$3:V1486)+1)</f>
        <v/>
      </c>
      <c r="W1487" s="40" t="str">
        <f aca="false">IF($E1487="","",$E1487&amp;"#"&amp;COUNTIF($E$4:$E1487,$E1487))</f>
        <v/>
      </c>
      <c r="X1487" s="40" t="str">
        <f aca="false">IF($B1487="","",IF(AND(OR(CETAK!$J$10="",$E1487=CETAK!$J$10),OR(CETAK!$J$11="",$F1487=CETAK!$J$11),OR(CETAK!$J$12="",$K1487=CETAK!$J$12),OR(CETAK!$J$13="",$H1487=CETAK!$J$13),OR(CETAK!$J$14="",$O1487=CETAK!$J$14)),MAX($X$3:X1486)+1,""))</f>
        <v/>
      </c>
      <c r="Y1487" s="40" t="str">
        <f aca="false">IF($B1487="","",IF(AND(OR(ABSENSI!$H$10="",$E1487=ABSENSI!$H$10),OR(ABSENSI!$H$11="",$F1487=ABSENSI!$H$11),OR(ABSENSI!$H$12="",$K1487=ABSENSI!$H$12)),MAX($Y$3:Y1486)+1,""))</f>
        <v/>
      </c>
      <c r="Z1487" s="40" t="str">
        <f aca="false">IF($B1487="","",IF(AND(OR(KARTU!$K$6="",$E1487=KARTU!$K$6),OR(KARTU!$K$7="",$F1487=KARTU!$K$7),OR(KARTU!$K$8="",$K1487=KARTU!$K$8)),MAX($Z$3:Z1486)+1,""))</f>
        <v/>
      </c>
    </row>
    <row r="1488" customFormat="false" ht="15" hidden="false" customHeight="false" outlineLevel="0" collapsed="false">
      <c r="A1488" s="36" t="str">
        <f aca="false">IF($B1488="","",COUNTA($B$4:$B1488))</f>
        <v/>
      </c>
      <c r="B1488" s="37"/>
      <c r="C1488" s="38"/>
      <c r="D1488" s="39"/>
      <c r="E1488" s="37"/>
      <c r="F1488" s="39"/>
      <c r="G1488" s="40" t="str">
        <f aca="false">IF(OR($E1488="",$F1488=""),"",$E1488&amp;" - RT "&amp;$F1488)</f>
        <v/>
      </c>
      <c r="H1488" s="37"/>
      <c r="I1488" s="38"/>
      <c r="J1488" s="37"/>
      <c r="K1488" s="39"/>
      <c r="L1488" s="41"/>
      <c r="M1488" s="36" t="str">
        <f aca="true">IF(OR($B1488="",$L1488=""),"",DATEDIF($L1488,TODAY(),"Y"))</f>
        <v/>
      </c>
      <c r="N1488" s="40" t="str">
        <f aca="false">IF($M1488="","",INDEX(usia_label,MATCH($M1488,usia_min,1)))</f>
        <v/>
      </c>
      <c r="O1488" s="37"/>
      <c r="P1488" s="41"/>
      <c r="Q1488" s="37"/>
      <c r="R1488" s="37"/>
      <c r="S1488" s="40" t="str">
        <f aca="false">IF($G1488="","",$G1488&amp;"#"&amp;COUNTIF($G$4:$G1488,$G1488))</f>
        <v/>
      </c>
      <c r="T1488" s="40" t="str">
        <f aca="false">IF($B1488="","",IF($C1488="","NIK kosong",IF(LEN($C1488)&lt;&gt;16,"NIK bukan 16 digit",IF(COUNTIF($C$4:$C$2003,$C1488&amp;"*")&gt;1,"NIK ganda",IF($E1488="","Kadus kosong",IF($F1488="","RT kosong",IF($H1488="","Jabatan kosong",IF($I1488="","No. HP kosong",IF($J1488="","Alamat kosong",IF(AND($M1488&lt;&gt;"",$M1488&lt;17),"Usia di bawah 17",""))))))))))</f>
        <v/>
      </c>
      <c r="U1488" s="40" t="str">
        <f aca="false">IF($B1488="","",IF(AND(OR(CARI!$C$5="",ISNUMBER(SEARCH(CARI!$C$5,$B1488&amp;" "&amp;$C1488&amp;" "&amp;$I1488&amp;" "&amp;$J1488&amp;" "&amp;$Q1488))),OR(CARI!$C$6="",$E1488=CARI!$C$6),OR(CARI!$C$7="",$F1488=CARI!$C$7),OR(CARI!$C$8="",$O1488=CARI!$C$8)),MAX($U$3:U1487)+1,""))</f>
        <v/>
      </c>
      <c r="V1488" s="40" t="str">
        <f aca="false">IF($T1488="","",MAX($V$3:V1487)+1)</f>
        <v/>
      </c>
      <c r="W1488" s="40" t="str">
        <f aca="false">IF($E1488="","",$E1488&amp;"#"&amp;COUNTIF($E$4:$E1488,$E1488))</f>
        <v/>
      </c>
      <c r="X1488" s="40" t="str">
        <f aca="false">IF($B1488="","",IF(AND(OR(CETAK!$J$10="",$E1488=CETAK!$J$10),OR(CETAK!$J$11="",$F1488=CETAK!$J$11),OR(CETAK!$J$12="",$K1488=CETAK!$J$12),OR(CETAK!$J$13="",$H1488=CETAK!$J$13),OR(CETAK!$J$14="",$O1488=CETAK!$J$14)),MAX($X$3:X1487)+1,""))</f>
        <v/>
      </c>
      <c r="Y1488" s="40" t="str">
        <f aca="false">IF($B1488="","",IF(AND(OR(ABSENSI!$H$10="",$E1488=ABSENSI!$H$10),OR(ABSENSI!$H$11="",$F1488=ABSENSI!$H$11),OR(ABSENSI!$H$12="",$K1488=ABSENSI!$H$12)),MAX($Y$3:Y1487)+1,""))</f>
        <v/>
      </c>
      <c r="Z1488" s="40" t="str">
        <f aca="false">IF($B1488="","",IF(AND(OR(KARTU!$K$6="",$E1488=KARTU!$K$6),OR(KARTU!$K$7="",$F1488=KARTU!$K$7),OR(KARTU!$K$8="",$K1488=KARTU!$K$8)),MAX($Z$3:Z1487)+1,""))</f>
        <v/>
      </c>
    </row>
    <row r="1489" customFormat="false" ht="15" hidden="false" customHeight="false" outlineLevel="0" collapsed="false">
      <c r="A1489" s="36" t="str">
        <f aca="false">IF($B1489="","",COUNTA($B$4:$B1489))</f>
        <v/>
      </c>
      <c r="B1489" s="37"/>
      <c r="C1489" s="38"/>
      <c r="D1489" s="39"/>
      <c r="E1489" s="37"/>
      <c r="F1489" s="39"/>
      <c r="G1489" s="40" t="str">
        <f aca="false">IF(OR($E1489="",$F1489=""),"",$E1489&amp;" - RT "&amp;$F1489)</f>
        <v/>
      </c>
      <c r="H1489" s="37"/>
      <c r="I1489" s="38"/>
      <c r="J1489" s="37"/>
      <c r="K1489" s="39"/>
      <c r="L1489" s="41"/>
      <c r="M1489" s="36" t="str">
        <f aca="true">IF(OR($B1489="",$L1489=""),"",DATEDIF($L1489,TODAY(),"Y"))</f>
        <v/>
      </c>
      <c r="N1489" s="40" t="str">
        <f aca="false">IF($M1489="","",INDEX(usia_label,MATCH($M1489,usia_min,1)))</f>
        <v/>
      </c>
      <c r="O1489" s="37"/>
      <c r="P1489" s="41"/>
      <c r="Q1489" s="37"/>
      <c r="R1489" s="37"/>
      <c r="S1489" s="40" t="str">
        <f aca="false">IF($G1489="","",$G1489&amp;"#"&amp;COUNTIF($G$4:$G1489,$G1489))</f>
        <v/>
      </c>
      <c r="T1489" s="40" t="str">
        <f aca="false">IF($B1489="","",IF($C1489="","NIK kosong",IF(LEN($C1489)&lt;&gt;16,"NIK bukan 16 digit",IF(COUNTIF($C$4:$C$2003,$C1489&amp;"*")&gt;1,"NIK ganda",IF($E1489="","Kadus kosong",IF($F1489="","RT kosong",IF($H1489="","Jabatan kosong",IF($I1489="","No. HP kosong",IF($J1489="","Alamat kosong",IF(AND($M1489&lt;&gt;"",$M1489&lt;17),"Usia di bawah 17",""))))))))))</f>
        <v/>
      </c>
      <c r="U1489" s="40" t="str">
        <f aca="false">IF($B1489="","",IF(AND(OR(CARI!$C$5="",ISNUMBER(SEARCH(CARI!$C$5,$B1489&amp;" "&amp;$C1489&amp;" "&amp;$I1489&amp;" "&amp;$J1489&amp;" "&amp;$Q1489))),OR(CARI!$C$6="",$E1489=CARI!$C$6),OR(CARI!$C$7="",$F1489=CARI!$C$7),OR(CARI!$C$8="",$O1489=CARI!$C$8)),MAX($U$3:U1488)+1,""))</f>
        <v/>
      </c>
      <c r="V1489" s="40" t="str">
        <f aca="false">IF($T1489="","",MAX($V$3:V1488)+1)</f>
        <v/>
      </c>
      <c r="W1489" s="40" t="str">
        <f aca="false">IF($E1489="","",$E1489&amp;"#"&amp;COUNTIF($E$4:$E1489,$E1489))</f>
        <v/>
      </c>
      <c r="X1489" s="40" t="str">
        <f aca="false">IF($B1489="","",IF(AND(OR(CETAK!$J$10="",$E1489=CETAK!$J$10),OR(CETAK!$J$11="",$F1489=CETAK!$J$11),OR(CETAK!$J$12="",$K1489=CETAK!$J$12),OR(CETAK!$J$13="",$H1489=CETAK!$J$13),OR(CETAK!$J$14="",$O1489=CETAK!$J$14)),MAX($X$3:X1488)+1,""))</f>
        <v/>
      </c>
      <c r="Y1489" s="40" t="str">
        <f aca="false">IF($B1489="","",IF(AND(OR(ABSENSI!$H$10="",$E1489=ABSENSI!$H$10),OR(ABSENSI!$H$11="",$F1489=ABSENSI!$H$11),OR(ABSENSI!$H$12="",$K1489=ABSENSI!$H$12)),MAX($Y$3:Y1488)+1,""))</f>
        <v/>
      </c>
      <c r="Z1489" s="40" t="str">
        <f aca="false">IF($B1489="","",IF(AND(OR(KARTU!$K$6="",$E1489=KARTU!$K$6),OR(KARTU!$K$7="",$F1489=KARTU!$K$7),OR(KARTU!$K$8="",$K1489=KARTU!$K$8)),MAX($Z$3:Z1488)+1,""))</f>
        <v/>
      </c>
    </row>
    <row r="1490" customFormat="false" ht="15" hidden="false" customHeight="false" outlineLevel="0" collapsed="false">
      <c r="A1490" s="36" t="str">
        <f aca="false">IF($B1490="","",COUNTA($B$4:$B1490))</f>
        <v/>
      </c>
      <c r="B1490" s="37"/>
      <c r="C1490" s="38"/>
      <c r="D1490" s="39"/>
      <c r="E1490" s="37"/>
      <c r="F1490" s="39"/>
      <c r="G1490" s="40" t="str">
        <f aca="false">IF(OR($E1490="",$F1490=""),"",$E1490&amp;" - RT "&amp;$F1490)</f>
        <v/>
      </c>
      <c r="H1490" s="37"/>
      <c r="I1490" s="38"/>
      <c r="J1490" s="37"/>
      <c r="K1490" s="39"/>
      <c r="L1490" s="41"/>
      <c r="M1490" s="36" t="str">
        <f aca="true">IF(OR($B1490="",$L1490=""),"",DATEDIF($L1490,TODAY(),"Y"))</f>
        <v/>
      </c>
      <c r="N1490" s="40" t="str">
        <f aca="false">IF($M1490="","",INDEX(usia_label,MATCH($M1490,usia_min,1)))</f>
        <v/>
      </c>
      <c r="O1490" s="37"/>
      <c r="P1490" s="41"/>
      <c r="Q1490" s="37"/>
      <c r="R1490" s="37"/>
      <c r="S1490" s="40" t="str">
        <f aca="false">IF($G1490="","",$G1490&amp;"#"&amp;COUNTIF($G$4:$G1490,$G1490))</f>
        <v/>
      </c>
      <c r="T1490" s="40" t="str">
        <f aca="false">IF($B1490="","",IF($C1490="","NIK kosong",IF(LEN($C1490)&lt;&gt;16,"NIK bukan 16 digit",IF(COUNTIF($C$4:$C$2003,$C1490&amp;"*")&gt;1,"NIK ganda",IF($E1490="","Kadus kosong",IF($F1490="","RT kosong",IF($H1490="","Jabatan kosong",IF($I1490="","No. HP kosong",IF($J1490="","Alamat kosong",IF(AND($M1490&lt;&gt;"",$M1490&lt;17),"Usia di bawah 17",""))))))))))</f>
        <v/>
      </c>
      <c r="U1490" s="40" t="str">
        <f aca="false">IF($B1490="","",IF(AND(OR(CARI!$C$5="",ISNUMBER(SEARCH(CARI!$C$5,$B1490&amp;" "&amp;$C1490&amp;" "&amp;$I1490&amp;" "&amp;$J1490&amp;" "&amp;$Q1490))),OR(CARI!$C$6="",$E1490=CARI!$C$6),OR(CARI!$C$7="",$F1490=CARI!$C$7),OR(CARI!$C$8="",$O1490=CARI!$C$8)),MAX($U$3:U1489)+1,""))</f>
        <v/>
      </c>
      <c r="V1490" s="40" t="str">
        <f aca="false">IF($T1490="","",MAX($V$3:V1489)+1)</f>
        <v/>
      </c>
      <c r="W1490" s="40" t="str">
        <f aca="false">IF($E1490="","",$E1490&amp;"#"&amp;COUNTIF($E$4:$E1490,$E1490))</f>
        <v/>
      </c>
      <c r="X1490" s="40" t="str">
        <f aca="false">IF($B1490="","",IF(AND(OR(CETAK!$J$10="",$E1490=CETAK!$J$10),OR(CETAK!$J$11="",$F1490=CETAK!$J$11),OR(CETAK!$J$12="",$K1490=CETAK!$J$12),OR(CETAK!$J$13="",$H1490=CETAK!$J$13),OR(CETAK!$J$14="",$O1490=CETAK!$J$14)),MAX($X$3:X1489)+1,""))</f>
        <v/>
      </c>
      <c r="Y1490" s="40" t="str">
        <f aca="false">IF($B1490="","",IF(AND(OR(ABSENSI!$H$10="",$E1490=ABSENSI!$H$10),OR(ABSENSI!$H$11="",$F1490=ABSENSI!$H$11),OR(ABSENSI!$H$12="",$K1490=ABSENSI!$H$12)),MAX($Y$3:Y1489)+1,""))</f>
        <v/>
      </c>
      <c r="Z1490" s="40" t="str">
        <f aca="false">IF($B1490="","",IF(AND(OR(KARTU!$K$6="",$E1490=KARTU!$K$6),OR(KARTU!$K$7="",$F1490=KARTU!$K$7),OR(KARTU!$K$8="",$K1490=KARTU!$K$8)),MAX($Z$3:Z1489)+1,""))</f>
        <v/>
      </c>
    </row>
    <row r="1491" customFormat="false" ht="15" hidden="false" customHeight="false" outlineLevel="0" collapsed="false">
      <c r="A1491" s="36" t="str">
        <f aca="false">IF($B1491="","",COUNTA($B$4:$B1491))</f>
        <v/>
      </c>
      <c r="B1491" s="37"/>
      <c r="C1491" s="38"/>
      <c r="D1491" s="39"/>
      <c r="E1491" s="37"/>
      <c r="F1491" s="39"/>
      <c r="G1491" s="40" t="str">
        <f aca="false">IF(OR($E1491="",$F1491=""),"",$E1491&amp;" - RT "&amp;$F1491)</f>
        <v/>
      </c>
      <c r="H1491" s="37"/>
      <c r="I1491" s="38"/>
      <c r="J1491" s="37"/>
      <c r="K1491" s="39"/>
      <c r="L1491" s="41"/>
      <c r="M1491" s="36" t="str">
        <f aca="true">IF(OR($B1491="",$L1491=""),"",DATEDIF($L1491,TODAY(),"Y"))</f>
        <v/>
      </c>
      <c r="N1491" s="40" t="str">
        <f aca="false">IF($M1491="","",INDEX(usia_label,MATCH($M1491,usia_min,1)))</f>
        <v/>
      </c>
      <c r="O1491" s="37"/>
      <c r="P1491" s="41"/>
      <c r="Q1491" s="37"/>
      <c r="R1491" s="37"/>
      <c r="S1491" s="40" t="str">
        <f aca="false">IF($G1491="","",$G1491&amp;"#"&amp;COUNTIF($G$4:$G1491,$G1491))</f>
        <v/>
      </c>
      <c r="T1491" s="40" t="str">
        <f aca="false">IF($B1491="","",IF($C1491="","NIK kosong",IF(LEN($C1491)&lt;&gt;16,"NIK bukan 16 digit",IF(COUNTIF($C$4:$C$2003,$C1491&amp;"*")&gt;1,"NIK ganda",IF($E1491="","Kadus kosong",IF($F1491="","RT kosong",IF($H1491="","Jabatan kosong",IF($I1491="","No. HP kosong",IF($J1491="","Alamat kosong",IF(AND($M1491&lt;&gt;"",$M1491&lt;17),"Usia di bawah 17",""))))))))))</f>
        <v/>
      </c>
      <c r="U1491" s="40" t="str">
        <f aca="false">IF($B1491="","",IF(AND(OR(CARI!$C$5="",ISNUMBER(SEARCH(CARI!$C$5,$B1491&amp;" "&amp;$C1491&amp;" "&amp;$I1491&amp;" "&amp;$J1491&amp;" "&amp;$Q1491))),OR(CARI!$C$6="",$E1491=CARI!$C$6),OR(CARI!$C$7="",$F1491=CARI!$C$7),OR(CARI!$C$8="",$O1491=CARI!$C$8)),MAX($U$3:U1490)+1,""))</f>
        <v/>
      </c>
      <c r="V1491" s="40" t="str">
        <f aca="false">IF($T1491="","",MAX($V$3:V1490)+1)</f>
        <v/>
      </c>
      <c r="W1491" s="40" t="str">
        <f aca="false">IF($E1491="","",$E1491&amp;"#"&amp;COUNTIF($E$4:$E1491,$E1491))</f>
        <v/>
      </c>
      <c r="X1491" s="40" t="str">
        <f aca="false">IF($B1491="","",IF(AND(OR(CETAK!$J$10="",$E1491=CETAK!$J$10),OR(CETAK!$J$11="",$F1491=CETAK!$J$11),OR(CETAK!$J$12="",$K1491=CETAK!$J$12),OR(CETAK!$J$13="",$H1491=CETAK!$J$13),OR(CETAK!$J$14="",$O1491=CETAK!$J$14)),MAX($X$3:X1490)+1,""))</f>
        <v/>
      </c>
      <c r="Y1491" s="40" t="str">
        <f aca="false">IF($B1491="","",IF(AND(OR(ABSENSI!$H$10="",$E1491=ABSENSI!$H$10),OR(ABSENSI!$H$11="",$F1491=ABSENSI!$H$11),OR(ABSENSI!$H$12="",$K1491=ABSENSI!$H$12)),MAX($Y$3:Y1490)+1,""))</f>
        <v/>
      </c>
      <c r="Z1491" s="40" t="str">
        <f aca="false">IF($B1491="","",IF(AND(OR(KARTU!$K$6="",$E1491=KARTU!$K$6),OR(KARTU!$K$7="",$F1491=KARTU!$K$7),OR(KARTU!$K$8="",$K1491=KARTU!$K$8)),MAX($Z$3:Z1490)+1,""))</f>
        <v/>
      </c>
    </row>
    <row r="1492" customFormat="false" ht="15" hidden="false" customHeight="false" outlineLevel="0" collapsed="false">
      <c r="A1492" s="36" t="str">
        <f aca="false">IF($B1492="","",COUNTA($B$4:$B1492))</f>
        <v/>
      </c>
      <c r="B1492" s="37"/>
      <c r="C1492" s="38"/>
      <c r="D1492" s="39"/>
      <c r="E1492" s="37"/>
      <c r="F1492" s="39"/>
      <c r="G1492" s="40" t="str">
        <f aca="false">IF(OR($E1492="",$F1492=""),"",$E1492&amp;" - RT "&amp;$F1492)</f>
        <v/>
      </c>
      <c r="H1492" s="37"/>
      <c r="I1492" s="38"/>
      <c r="J1492" s="37"/>
      <c r="K1492" s="39"/>
      <c r="L1492" s="41"/>
      <c r="M1492" s="36" t="str">
        <f aca="true">IF(OR($B1492="",$L1492=""),"",DATEDIF($L1492,TODAY(),"Y"))</f>
        <v/>
      </c>
      <c r="N1492" s="40" t="str">
        <f aca="false">IF($M1492="","",INDEX(usia_label,MATCH($M1492,usia_min,1)))</f>
        <v/>
      </c>
      <c r="O1492" s="37"/>
      <c r="P1492" s="41"/>
      <c r="Q1492" s="37"/>
      <c r="R1492" s="37"/>
      <c r="S1492" s="40" t="str">
        <f aca="false">IF($G1492="","",$G1492&amp;"#"&amp;COUNTIF($G$4:$G1492,$G1492))</f>
        <v/>
      </c>
      <c r="T1492" s="40" t="str">
        <f aca="false">IF($B1492="","",IF($C1492="","NIK kosong",IF(LEN($C1492)&lt;&gt;16,"NIK bukan 16 digit",IF(COUNTIF($C$4:$C$2003,$C1492&amp;"*")&gt;1,"NIK ganda",IF($E1492="","Kadus kosong",IF($F1492="","RT kosong",IF($H1492="","Jabatan kosong",IF($I1492="","No. HP kosong",IF($J1492="","Alamat kosong",IF(AND($M1492&lt;&gt;"",$M1492&lt;17),"Usia di bawah 17",""))))))))))</f>
        <v/>
      </c>
      <c r="U1492" s="40" t="str">
        <f aca="false">IF($B1492="","",IF(AND(OR(CARI!$C$5="",ISNUMBER(SEARCH(CARI!$C$5,$B1492&amp;" "&amp;$C1492&amp;" "&amp;$I1492&amp;" "&amp;$J1492&amp;" "&amp;$Q1492))),OR(CARI!$C$6="",$E1492=CARI!$C$6),OR(CARI!$C$7="",$F1492=CARI!$C$7),OR(CARI!$C$8="",$O1492=CARI!$C$8)),MAX($U$3:U1491)+1,""))</f>
        <v/>
      </c>
      <c r="V1492" s="40" t="str">
        <f aca="false">IF($T1492="","",MAX($V$3:V1491)+1)</f>
        <v/>
      </c>
      <c r="W1492" s="40" t="str">
        <f aca="false">IF($E1492="","",$E1492&amp;"#"&amp;COUNTIF($E$4:$E1492,$E1492))</f>
        <v/>
      </c>
      <c r="X1492" s="40" t="str">
        <f aca="false">IF($B1492="","",IF(AND(OR(CETAK!$J$10="",$E1492=CETAK!$J$10),OR(CETAK!$J$11="",$F1492=CETAK!$J$11),OR(CETAK!$J$12="",$K1492=CETAK!$J$12),OR(CETAK!$J$13="",$H1492=CETAK!$J$13),OR(CETAK!$J$14="",$O1492=CETAK!$J$14)),MAX($X$3:X1491)+1,""))</f>
        <v/>
      </c>
      <c r="Y1492" s="40" t="str">
        <f aca="false">IF($B1492="","",IF(AND(OR(ABSENSI!$H$10="",$E1492=ABSENSI!$H$10),OR(ABSENSI!$H$11="",$F1492=ABSENSI!$H$11),OR(ABSENSI!$H$12="",$K1492=ABSENSI!$H$12)),MAX($Y$3:Y1491)+1,""))</f>
        <v/>
      </c>
      <c r="Z1492" s="40" t="str">
        <f aca="false">IF($B1492="","",IF(AND(OR(KARTU!$K$6="",$E1492=KARTU!$K$6),OR(KARTU!$K$7="",$F1492=KARTU!$K$7),OR(KARTU!$K$8="",$K1492=KARTU!$K$8)),MAX($Z$3:Z1491)+1,""))</f>
        <v/>
      </c>
    </row>
    <row r="1493" customFormat="false" ht="15" hidden="false" customHeight="false" outlineLevel="0" collapsed="false">
      <c r="A1493" s="36" t="str">
        <f aca="false">IF($B1493="","",COUNTA($B$4:$B1493))</f>
        <v/>
      </c>
      <c r="B1493" s="37"/>
      <c r="C1493" s="38"/>
      <c r="D1493" s="39"/>
      <c r="E1493" s="37"/>
      <c r="F1493" s="39"/>
      <c r="G1493" s="40" t="str">
        <f aca="false">IF(OR($E1493="",$F1493=""),"",$E1493&amp;" - RT "&amp;$F1493)</f>
        <v/>
      </c>
      <c r="H1493" s="37"/>
      <c r="I1493" s="38"/>
      <c r="J1493" s="37"/>
      <c r="K1493" s="39"/>
      <c r="L1493" s="41"/>
      <c r="M1493" s="36" t="str">
        <f aca="true">IF(OR($B1493="",$L1493=""),"",DATEDIF($L1493,TODAY(),"Y"))</f>
        <v/>
      </c>
      <c r="N1493" s="40" t="str">
        <f aca="false">IF($M1493="","",INDEX(usia_label,MATCH($M1493,usia_min,1)))</f>
        <v/>
      </c>
      <c r="O1493" s="37"/>
      <c r="P1493" s="41"/>
      <c r="Q1493" s="37"/>
      <c r="R1493" s="37"/>
      <c r="S1493" s="40" t="str">
        <f aca="false">IF($G1493="","",$G1493&amp;"#"&amp;COUNTIF($G$4:$G1493,$G1493))</f>
        <v/>
      </c>
      <c r="T1493" s="40" t="str">
        <f aca="false">IF($B1493="","",IF($C1493="","NIK kosong",IF(LEN($C1493)&lt;&gt;16,"NIK bukan 16 digit",IF(COUNTIF($C$4:$C$2003,$C1493&amp;"*")&gt;1,"NIK ganda",IF($E1493="","Kadus kosong",IF($F1493="","RT kosong",IF($H1493="","Jabatan kosong",IF($I1493="","No. HP kosong",IF($J1493="","Alamat kosong",IF(AND($M1493&lt;&gt;"",$M1493&lt;17),"Usia di bawah 17",""))))))))))</f>
        <v/>
      </c>
      <c r="U1493" s="40" t="str">
        <f aca="false">IF($B1493="","",IF(AND(OR(CARI!$C$5="",ISNUMBER(SEARCH(CARI!$C$5,$B1493&amp;" "&amp;$C1493&amp;" "&amp;$I1493&amp;" "&amp;$J1493&amp;" "&amp;$Q1493))),OR(CARI!$C$6="",$E1493=CARI!$C$6),OR(CARI!$C$7="",$F1493=CARI!$C$7),OR(CARI!$C$8="",$O1493=CARI!$C$8)),MAX($U$3:U1492)+1,""))</f>
        <v/>
      </c>
      <c r="V1493" s="40" t="str">
        <f aca="false">IF($T1493="","",MAX($V$3:V1492)+1)</f>
        <v/>
      </c>
      <c r="W1493" s="40" t="str">
        <f aca="false">IF($E1493="","",$E1493&amp;"#"&amp;COUNTIF($E$4:$E1493,$E1493))</f>
        <v/>
      </c>
      <c r="X1493" s="40" t="str">
        <f aca="false">IF($B1493="","",IF(AND(OR(CETAK!$J$10="",$E1493=CETAK!$J$10),OR(CETAK!$J$11="",$F1493=CETAK!$J$11),OR(CETAK!$J$12="",$K1493=CETAK!$J$12),OR(CETAK!$J$13="",$H1493=CETAK!$J$13),OR(CETAK!$J$14="",$O1493=CETAK!$J$14)),MAX($X$3:X1492)+1,""))</f>
        <v/>
      </c>
      <c r="Y1493" s="40" t="str">
        <f aca="false">IF($B1493="","",IF(AND(OR(ABSENSI!$H$10="",$E1493=ABSENSI!$H$10),OR(ABSENSI!$H$11="",$F1493=ABSENSI!$H$11),OR(ABSENSI!$H$12="",$K1493=ABSENSI!$H$12)),MAX($Y$3:Y1492)+1,""))</f>
        <v/>
      </c>
      <c r="Z1493" s="40" t="str">
        <f aca="false">IF($B1493="","",IF(AND(OR(KARTU!$K$6="",$E1493=KARTU!$K$6),OR(KARTU!$K$7="",$F1493=KARTU!$K$7),OR(KARTU!$K$8="",$K1493=KARTU!$K$8)),MAX($Z$3:Z1492)+1,""))</f>
        <v/>
      </c>
    </row>
    <row r="1494" customFormat="false" ht="15" hidden="false" customHeight="false" outlineLevel="0" collapsed="false">
      <c r="A1494" s="36" t="str">
        <f aca="false">IF($B1494="","",COUNTA($B$4:$B1494))</f>
        <v/>
      </c>
      <c r="B1494" s="37"/>
      <c r="C1494" s="38"/>
      <c r="D1494" s="39"/>
      <c r="E1494" s="37"/>
      <c r="F1494" s="39"/>
      <c r="G1494" s="40" t="str">
        <f aca="false">IF(OR($E1494="",$F1494=""),"",$E1494&amp;" - RT "&amp;$F1494)</f>
        <v/>
      </c>
      <c r="H1494" s="37"/>
      <c r="I1494" s="38"/>
      <c r="J1494" s="37"/>
      <c r="K1494" s="39"/>
      <c r="L1494" s="41"/>
      <c r="M1494" s="36" t="str">
        <f aca="true">IF(OR($B1494="",$L1494=""),"",DATEDIF($L1494,TODAY(),"Y"))</f>
        <v/>
      </c>
      <c r="N1494" s="40" t="str">
        <f aca="false">IF($M1494="","",INDEX(usia_label,MATCH($M1494,usia_min,1)))</f>
        <v/>
      </c>
      <c r="O1494" s="37"/>
      <c r="P1494" s="41"/>
      <c r="Q1494" s="37"/>
      <c r="R1494" s="37"/>
      <c r="S1494" s="40" t="str">
        <f aca="false">IF($G1494="","",$G1494&amp;"#"&amp;COUNTIF($G$4:$G1494,$G1494))</f>
        <v/>
      </c>
      <c r="T1494" s="40" t="str">
        <f aca="false">IF($B1494="","",IF($C1494="","NIK kosong",IF(LEN($C1494)&lt;&gt;16,"NIK bukan 16 digit",IF(COUNTIF($C$4:$C$2003,$C1494&amp;"*")&gt;1,"NIK ganda",IF($E1494="","Kadus kosong",IF($F1494="","RT kosong",IF($H1494="","Jabatan kosong",IF($I1494="","No. HP kosong",IF($J1494="","Alamat kosong",IF(AND($M1494&lt;&gt;"",$M1494&lt;17),"Usia di bawah 17",""))))))))))</f>
        <v/>
      </c>
      <c r="U1494" s="40" t="str">
        <f aca="false">IF($B1494="","",IF(AND(OR(CARI!$C$5="",ISNUMBER(SEARCH(CARI!$C$5,$B1494&amp;" "&amp;$C1494&amp;" "&amp;$I1494&amp;" "&amp;$J1494&amp;" "&amp;$Q1494))),OR(CARI!$C$6="",$E1494=CARI!$C$6),OR(CARI!$C$7="",$F1494=CARI!$C$7),OR(CARI!$C$8="",$O1494=CARI!$C$8)),MAX($U$3:U1493)+1,""))</f>
        <v/>
      </c>
      <c r="V1494" s="40" t="str">
        <f aca="false">IF($T1494="","",MAX($V$3:V1493)+1)</f>
        <v/>
      </c>
      <c r="W1494" s="40" t="str">
        <f aca="false">IF($E1494="","",$E1494&amp;"#"&amp;COUNTIF($E$4:$E1494,$E1494))</f>
        <v/>
      </c>
      <c r="X1494" s="40" t="str">
        <f aca="false">IF($B1494="","",IF(AND(OR(CETAK!$J$10="",$E1494=CETAK!$J$10),OR(CETAK!$J$11="",$F1494=CETAK!$J$11),OR(CETAK!$J$12="",$K1494=CETAK!$J$12),OR(CETAK!$J$13="",$H1494=CETAK!$J$13),OR(CETAK!$J$14="",$O1494=CETAK!$J$14)),MAX($X$3:X1493)+1,""))</f>
        <v/>
      </c>
      <c r="Y1494" s="40" t="str">
        <f aca="false">IF($B1494="","",IF(AND(OR(ABSENSI!$H$10="",$E1494=ABSENSI!$H$10),OR(ABSENSI!$H$11="",$F1494=ABSENSI!$H$11),OR(ABSENSI!$H$12="",$K1494=ABSENSI!$H$12)),MAX($Y$3:Y1493)+1,""))</f>
        <v/>
      </c>
      <c r="Z1494" s="40" t="str">
        <f aca="false">IF($B1494="","",IF(AND(OR(KARTU!$K$6="",$E1494=KARTU!$K$6),OR(KARTU!$K$7="",$F1494=KARTU!$K$7),OR(KARTU!$K$8="",$K1494=KARTU!$K$8)),MAX($Z$3:Z1493)+1,""))</f>
        <v/>
      </c>
    </row>
    <row r="1495" customFormat="false" ht="15" hidden="false" customHeight="false" outlineLevel="0" collapsed="false">
      <c r="A1495" s="36" t="str">
        <f aca="false">IF($B1495="","",COUNTA($B$4:$B1495))</f>
        <v/>
      </c>
      <c r="B1495" s="37"/>
      <c r="C1495" s="38"/>
      <c r="D1495" s="39"/>
      <c r="E1495" s="37"/>
      <c r="F1495" s="39"/>
      <c r="G1495" s="40" t="str">
        <f aca="false">IF(OR($E1495="",$F1495=""),"",$E1495&amp;" - RT "&amp;$F1495)</f>
        <v/>
      </c>
      <c r="H1495" s="37"/>
      <c r="I1495" s="38"/>
      <c r="J1495" s="37"/>
      <c r="K1495" s="39"/>
      <c r="L1495" s="41"/>
      <c r="M1495" s="36" t="str">
        <f aca="true">IF(OR($B1495="",$L1495=""),"",DATEDIF($L1495,TODAY(),"Y"))</f>
        <v/>
      </c>
      <c r="N1495" s="40" t="str">
        <f aca="false">IF($M1495="","",INDEX(usia_label,MATCH($M1495,usia_min,1)))</f>
        <v/>
      </c>
      <c r="O1495" s="37"/>
      <c r="P1495" s="41"/>
      <c r="Q1495" s="37"/>
      <c r="R1495" s="37"/>
      <c r="S1495" s="40" t="str">
        <f aca="false">IF($G1495="","",$G1495&amp;"#"&amp;COUNTIF($G$4:$G1495,$G1495))</f>
        <v/>
      </c>
      <c r="T1495" s="40" t="str">
        <f aca="false">IF($B1495="","",IF($C1495="","NIK kosong",IF(LEN($C1495)&lt;&gt;16,"NIK bukan 16 digit",IF(COUNTIF($C$4:$C$2003,$C1495&amp;"*")&gt;1,"NIK ganda",IF($E1495="","Kadus kosong",IF($F1495="","RT kosong",IF($H1495="","Jabatan kosong",IF($I1495="","No. HP kosong",IF($J1495="","Alamat kosong",IF(AND($M1495&lt;&gt;"",$M1495&lt;17),"Usia di bawah 17",""))))))))))</f>
        <v/>
      </c>
      <c r="U1495" s="40" t="str">
        <f aca="false">IF($B1495="","",IF(AND(OR(CARI!$C$5="",ISNUMBER(SEARCH(CARI!$C$5,$B1495&amp;" "&amp;$C1495&amp;" "&amp;$I1495&amp;" "&amp;$J1495&amp;" "&amp;$Q1495))),OR(CARI!$C$6="",$E1495=CARI!$C$6),OR(CARI!$C$7="",$F1495=CARI!$C$7),OR(CARI!$C$8="",$O1495=CARI!$C$8)),MAX($U$3:U1494)+1,""))</f>
        <v/>
      </c>
      <c r="V1495" s="40" t="str">
        <f aca="false">IF($T1495="","",MAX($V$3:V1494)+1)</f>
        <v/>
      </c>
      <c r="W1495" s="40" t="str">
        <f aca="false">IF($E1495="","",$E1495&amp;"#"&amp;COUNTIF($E$4:$E1495,$E1495))</f>
        <v/>
      </c>
      <c r="X1495" s="40" t="str">
        <f aca="false">IF($B1495="","",IF(AND(OR(CETAK!$J$10="",$E1495=CETAK!$J$10),OR(CETAK!$J$11="",$F1495=CETAK!$J$11),OR(CETAK!$J$12="",$K1495=CETAK!$J$12),OR(CETAK!$J$13="",$H1495=CETAK!$J$13),OR(CETAK!$J$14="",$O1495=CETAK!$J$14)),MAX($X$3:X1494)+1,""))</f>
        <v/>
      </c>
      <c r="Y1495" s="40" t="str">
        <f aca="false">IF($B1495="","",IF(AND(OR(ABSENSI!$H$10="",$E1495=ABSENSI!$H$10),OR(ABSENSI!$H$11="",$F1495=ABSENSI!$H$11),OR(ABSENSI!$H$12="",$K1495=ABSENSI!$H$12)),MAX($Y$3:Y1494)+1,""))</f>
        <v/>
      </c>
      <c r="Z1495" s="40" t="str">
        <f aca="false">IF($B1495="","",IF(AND(OR(KARTU!$K$6="",$E1495=KARTU!$K$6),OR(KARTU!$K$7="",$F1495=KARTU!$K$7),OR(KARTU!$K$8="",$K1495=KARTU!$K$8)),MAX($Z$3:Z1494)+1,""))</f>
        <v/>
      </c>
    </row>
    <row r="1496" customFormat="false" ht="15" hidden="false" customHeight="false" outlineLevel="0" collapsed="false">
      <c r="A1496" s="36" t="str">
        <f aca="false">IF($B1496="","",COUNTA($B$4:$B1496))</f>
        <v/>
      </c>
      <c r="B1496" s="37"/>
      <c r="C1496" s="38"/>
      <c r="D1496" s="39"/>
      <c r="E1496" s="37"/>
      <c r="F1496" s="39"/>
      <c r="G1496" s="40" t="str">
        <f aca="false">IF(OR($E1496="",$F1496=""),"",$E1496&amp;" - RT "&amp;$F1496)</f>
        <v/>
      </c>
      <c r="H1496" s="37"/>
      <c r="I1496" s="38"/>
      <c r="J1496" s="37"/>
      <c r="K1496" s="39"/>
      <c r="L1496" s="41"/>
      <c r="M1496" s="36" t="str">
        <f aca="true">IF(OR($B1496="",$L1496=""),"",DATEDIF($L1496,TODAY(),"Y"))</f>
        <v/>
      </c>
      <c r="N1496" s="40" t="str">
        <f aca="false">IF($M1496="","",INDEX(usia_label,MATCH($M1496,usia_min,1)))</f>
        <v/>
      </c>
      <c r="O1496" s="37"/>
      <c r="P1496" s="41"/>
      <c r="Q1496" s="37"/>
      <c r="R1496" s="37"/>
      <c r="S1496" s="40" t="str">
        <f aca="false">IF($G1496="","",$G1496&amp;"#"&amp;COUNTIF($G$4:$G1496,$G1496))</f>
        <v/>
      </c>
      <c r="T1496" s="40" t="str">
        <f aca="false">IF($B1496="","",IF($C1496="","NIK kosong",IF(LEN($C1496)&lt;&gt;16,"NIK bukan 16 digit",IF(COUNTIF($C$4:$C$2003,$C1496&amp;"*")&gt;1,"NIK ganda",IF($E1496="","Kadus kosong",IF($F1496="","RT kosong",IF($H1496="","Jabatan kosong",IF($I1496="","No. HP kosong",IF($J1496="","Alamat kosong",IF(AND($M1496&lt;&gt;"",$M1496&lt;17),"Usia di bawah 17",""))))))))))</f>
        <v/>
      </c>
      <c r="U1496" s="40" t="str">
        <f aca="false">IF($B1496="","",IF(AND(OR(CARI!$C$5="",ISNUMBER(SEARCH(CARI!$C$5,$B1496&amp;" "&amp;$C1496&amp;" "&amp;$I1496&amp;" "&amp;$J1496&amp;" "&amp;$Q1496))),OR(CARI!$C$6="",$E1496=CARI!$C$6),OR(CARI!$C$7="",$F1496=CARI!$C$7),OR(CARI!$C$8="",$O1496=CARI!$C$8)),MAX($U$3:U1495)+1,""))</f>
        <v/>
      </c>
      <c r="V1496" s="40" t="str">
        <f aca="false">IF($T1496="","",MAX($V$3:V1495)+1)</f>
        <v/>
      </c>
      <c r="W1496" s="40" t="str">
        <f aca="false">IF($E1496="","",$E1496&amp;"#"&amp;COUNTIF($E$4:$E1496,$E1496))</f>
        <v/>
      </c>
      <c r="X1496" s="40" t="str">
        <f aca="false">IF($B1496="","",IF(AND(OR(CETAK!$J$10="",$E1496=CETAK!$J$10),OR(CETAK!$J$11="",$F1496=CETAK!$J$11),OR(CETAK!$J$12="",$K1496=CETAK!$J$12),OR(CETAK!$J$13="",$H1496=CETAK!$J$13),OR(CETAK!$J$14="",$O1496=CETAK!$J$14)),MAX($X$3:X1495)+1,""))</f>
        <v/>
      </c>
      <c r="Y1496" s="40" t="str">
        <f aca="false">IF($B1496="","",IF(AND(OR(ABSENSI!$H$10="",$E1496=ABSENSI!$H$10),OR(ABSENSI!$H$11="",$F1496=ABSENSI!$H$11),OR(ABSENSI!$H$12="",$K1496=ABSENSI!$H$12)),MAX($Y$3:Y1495)+1,""))</f>
        <v/>
      </c>
      <c r="Z1496" s="40" t="str">
        <f aca="false">IF($B1496="","",IF(AND(OR(KARTU!$K$6="",$E1496=KARTU!$K$6),OR(KARTU!$K$7="",$F1496=KARTU!$K$7),OR(KARTU!$K$8="",$K1496=KARTU!$K$8)),MAX($Z$3:Z1495)+1,""))</f>
        <v/>
      </c>
    </row>
    <row r="1497" customFormat="false" ht="15" hidden="false" customHeight="false" outlineLevel="0" collapsed="false">
      <c r="A1497" s="36" t="str">
        <f aca="false">IF($B1497="","",COUNTA($B$4:$B1497))</f>
        <v/>
      </c>
      <c r="B1497" s="37"/>
      <c r="C1497" s="38"/>
      <c r="D1497" s="39"/>
      <c r="E1497" s="37"/>
      <c r="F1497" s="39"/>
      <c r="G1497" s="40" t="str">
        <f aca="false">IF(OR($E1497="",$F1497=""),"",$E1497&amp;" - RT "&amp;$F1497)</f>
        <v/>
      </c>
      <c r="H1497" s="37"/>
      <c r="I1497" s="38"/>
      <c r="J1497" s="37"/>
      <c r="K1497" s="39"/>
      <c r="L1497" s="41"/>
      <c r="M1497" s="36" t="str">
        <f aca="true">IF(OR($B1497="",$L1497=""),"",DATEDIF($L1497,TODAY(),"Y"))</f>
        <v/>
      </c>
      <c r="N1497" s="40" t="str">
        <f aca="false">IF($M1497="","",INDEX(usia_label,MATCH($M1497,usia_min,1)))</f>
        <v/>
      </c>
      <c r="O1497" s="37"/>
      <c r="P1497" s="41"/>
      <c r="Q1497" s="37"/>
      <c r="R1497" s="37"/>
      <c r="S1497" s="40" t="str">
        <f aca="false">IF($G1497="","",$G1497&amp;"#"&amp;COUNTIF($G$4:$G1497,$G1497))</f>
        <v/>
      </c>
      <c r="T1497" s="40" t="str">
        <f aca="false">IF($B1497="","",IF($C1497="","NIK kosong",IF(LEN($C1497)&lt;&gt;16,"NIK bukan 16 digit",IF(COUNTIF($C$4:$C$2003,$C1497&amp;"*")&gt;1,"NIK ganda",IF($E1497="","Kadus kosong",IF($F1497="","RT kosong",IF($H1497="","Jabatan kosong",IF($I1497="","No. HP kosong",IF($J1497="","Alamat kosong",IF(AND($M1497&lt;&gt;"",$M1497&lt;17),"Usia di bawah 17",""))))))))))</f>
        <v/>
      </c>
      <c r="U1497" s="40" t="str">
        <f aca="false">IF($B1497="","",IF(AND(OR(CARI!$C$5="",ISNUMBER(SEARCH(CARI!$C$5,$B1497&amp;" "&amp;$C1497&amp;" "&amp;$I1497&amp;" "&amp;$J1497&amp;" "&amp;$Q1497))),OR(CARI!$C$6="",$E1497=CARI!$C$6),OR(CARI!$C$7="",$F1497=CARI!$C$7),OR(CARI!$C$8="",$O1497=CARI!$C$8)),MAX($U$3:U1496)+1,""))</f>
        <v/>
      </c>
      <c r="V1497" s="40" t="str">
        <f aca="false">IF($T1497="","",MAX($V$3:V1496)+1)</f>
        <v/>
      </c>
      <c r="W1497" s="40" t="str">
        <f aca="false">IF($E1497="","",$E1497&amp;"#"&amp;COUNTIF($E$4:$E1497,$E1497))</f>
        <v/>
      </c>
      <c r="X1497" s="40" t="str">
        <f aca="false">IF($B1497="","",IF(AND(OR(CETAK!$J$10="",$E1497=CETAK!$J$10),OR(CETAK!$J$11="",$F1497=CETAK!$J$11),OR(CETAK!$J$12="",$K1497=CETAK!$J$12),OR(CETAK!$J$13="",$H1497=CETAK!$J$13),OR(CETAK!$J$14="",$O1497=CETAK!$J$14)),MAX($X$3:X1496)+1,""))</f>
        <v/>
      </c>
      <c r="Y1497" s="40" t="str">
        <f aca="false">IF($B1497="","",IF(AND(OR(ABSENSI!$H$10="",$E1497=ABSENSI!$H$10),OR(ABSENSI!$H$11="",$F1497=ABSENSI!$H$11),OR(ABSENSI!$H$12="",$K1497=ABSENSI!$H$12)),MAX($Y$3:Y1496)+1,""))</f>
        <v/>
      </c>
      <c r="Z1497" s="40" t="str">
        <f aca="false">IF($B1497="","",IF(AND(OR(KARTU!$K$6="",$E1497=KARTU!$K$6),OR(KARTU!$K$7="",$F1497=KARTU!$K$7),OR(KARTU!$K$8="",$K1497=KARTU!$K$8)),MAX($Z$3:Z1496)+1,""))</f>
        <v/>
      </c>
    </row>
    <row r="1498" customFormat="false" ht="15" hidden="false" customHeight="false" outlineLevel="0" collapsed="false">
      <c r="A1498" s="36" t="str">
        <f aca="false">IF($B1498="","",COUNTA($B$4:$B1498))</f>
        <v/>
      </c>
      <c r="B1498" s="37"/>
      <c r="C1498" s="38"/>
      <c r="D1498" s="39"/>
      <c r="E1498" s="37"/>
      <c r="F1498" s="39"/>
      <c r="G1498" s="40" t="str">
        <f aca="false">IF(OR($E1498="",$F1498=""),"",$E1498&amp;" - RT "&amp;$F1498)</f>
        <v/>
      </c>
      <c r="H1498" s="37"/>
      <c r="I1498" s="38"/>
      <c r="J1498" s="37"/>
      <c r="K1498" s="39"/>
      <c r="L1498" s="41"/>
      <c r="M1498" s="36" t="str">
        <f aca="true">IF(OR($B1498="",$L1498=""),"",DATEDIF($L1498,TODAY(),"Y"))</f>
        <v/>
      </c>
      <c r="N1498" s="40" t="str">
        <f aca="false">IF($M1498="","",INDEX(usia_label,MATCH($M1498,usia_min,1)))</f>
        <v/>
      </c>
      <c r="O1498" s="37"/>
      <c r="P1498" s="41"/>
      <c r="Q1498" s="37"/>
      <c r="R1498" s="37"/>
      <c r="S1498" s="40" t="str">
        <f aca="false">IF($G1498="","",$G1498&amp;"#"&amp;COUNTIF($G$4:$G1498,$G1498))</f>
        <v/>
      </c>
      <c r="T1498" s="40" t="str">
        <f aca="false">IF($B1498="","",IF($C1498="","NIK kosong",IF(LEN($C1498)&lt;&gt;16,"NIK bukan 16 digit",IF(COUNTIF($C$4:$C$2003,$C1498&amp;"*")&gt;1,"NIK ganda",IF($E1498="","Kadus kosong",IF($F1498="","RT kosong",IF($H1498="","Jabatan kosong",IF($I1498="","No. HP kosong",IF($J1498="","Alamat kosong",IF(AND($M1498&lt;&gt;"",$M1498&lt;17),"Usia di bawah 17",""))))))))))</f>
        <v/>
      </c>
      <c r="U1498" s="40" t="str">
        <f aca="false">IF($B1498="","",IF(AND(OR(CARI!$C$5="",ISNUMBER(SEARCH(CARI!$C$5,$B1498&amp;" "&amp;$C1498&amp;" "&amp;$I1498&amp;" "&amp;$J1498&amp;" "&amp;$Q1498))),OR(CARI!$C$6="",$E1498=CARI!$C$6),OR(CARI!$C$7="",$F1498=CARI!$C$7),OR(CARI!$C$8="",$O1498=CARI!$C$8)),MAX($U$3:U1497)+1,""))</f>
        <v/>
      </c>
      <c r="V1498" s="40" t="str">
        <f aca="false">IF($T1498="","",MAX($V$3:V1497)+1)</f>
        <v/>
      </c>
      <c r="W1498" s="40" t="str">
        <f aca="false">IF($E1498="","",$E1498&amp;"#"&amp;COUNTIF($E$4:$E1498,$E1498))</f>
        <v/>
      </c>
      <c r="X1498" s="40" t="str">
        <f aca="false">IF($B1498="","",IF(AND(OR(CETAK!$J$10="",$E1498=CETAK!$J$10),OR(CETAK!$J$11="",$F1498=CETAK!$J$11),OR(CETAK!$J$12="",$K1498=CETAK!$J$12),OR(CETAK!$J$13="",$H1498=CETAK!$J$13),OR(CETAK!$J$14="",$O1498=CETAK!$J$14)),MAX($X$3:X1497)+1,""))</f>
        <v/>
      </c>
      <c r="Y1498" s="40" t="str">
        <f aca="false">IF($B1498="","",IF(AND(OR(ABSENSI!$H$10="",$E1498=ABSENSI!$H$10),OR(ABSENSI!$H$11="",$F1498=ABSENSI!$H$11),OR(ABSENSI!$H$12="",$K1498=ABSENSI!$H$12)),MAX($Y$3:Y1497)+1,""))</f>
        <v/>
      </c>
      <c r="Z1498" s="40" t="str">
        <f aca="false">IF($B1498="","",IF(AND(OR(KARTU!$K$6="",$E1498=KARTU!$K$6),OR(KARTU!$K$7="",$F1498=KARTU!$K$7),OR(KARTU!$K$8="",$K1498=KARTU!$K$8)),MAX($Z$3:Z1497)+1,""))</f>
        <v/>
      </c>
    </row>
    <row r="1499" customFormat="false" ht="15" hidden="false" customHeight="false" outlineLevel="0" collapsed="false">
      <c r="A1499" s="36" t="str">
        <f aca="false">IF($B1499="","",COUNTA($B$4:$B1499))</f>
        <v/>
      </c>
      <c r="B1499" s="37"/>
      <c r="C1499" s="38"/>
      <c r="D1499" s="39"/>
      <c r="E1499" s="37"/>
      <c r="F1499" s="39"/>
      <c r="G1499" s="40" t="str">
        <f aca="false">IF(OR($E1499="",$F1499=""),"",$E1499&amp;" - RT "&amp;$F1499)</f>
        <v/>
      </c>
      <c r="H1499" s="37"/>
      <c r="I1499" s="38"/>
      <c r="J1499" s="37"/>
      <c r="K1499" s="39"/>
      <c r="L1499" s="41"/>
      <c r="M1499" s="36" t="str">
        <f aca="true">IF(OR($B1499="",$L1499=""),"",DATEDIF($L1499,TODAY(),"Y"))</f>
        <v/>
      </c>
      <c r="N1499" s="40" t="str">
        <f aca="false">IF($M1499="","",INDEX(usia_label,MATCH($M1499,usia_min,1)))</f>
        <v/>
      </c>
      <c r="O1499" s="37"/>
      <c r="P1499" s="41"/>
      <c r="Q1499" s="37"/>
      <c r="R1499" s="37"/>
      <c r="S1499" s="40" t="str">
        <f aca="false">IF($G1499="","",$G1499&amp;"#"&amp;COUNTIF($G$4:$G1499,$G1499))</f>
        <v/>
      </c>
      <c r="T1499" s="40" t="str">
        <f aca="false">IF($B1499="","",IF($C1499="","NIK kosong",IF(LEN($C1499)&lt;&gt;16,"NIK bukan 16 digit",IF(COUNTIF($C$4:$C$2003,$C1499&amp;"*")&gt;1,"NIK ganda",IF($E1499="","Kadus kosong",IF($F1499="","RT kosong",IF($H1499="","Jabatan kosong",IF($I1499="","No. HP kosong",IF($J1499="","Alamat kosong",IF(AND($M1499&lt;&gt;"",$M1499&lt;17),"Usia di bawah 17",""))))))))))</f>
        <v/>
      </c>
      <c r="U1499" s="40" t="str">
        <f aca="false">IF($B1499="","",IF(AND(OR(CARI!$C$5="",ISNUMBER(SEARCH(CARI!$C$5,$B1499&amp;" "&amp;$C1499&amp;" "&amp;$I1499&amp;" "&amp;$J1499&amp;" "&amp;$Q1499))),OR(CARI!$C$6="",$E1499=CARI!$C$6),OR(CARI!$C$7="",$F1499=CARI!$C$7),OR(CARI!$C$8="",$O1499=CARI!$C$8)),MAX($U$3:U1498)+1,""))</f>
        <v/>
      </c>
      <c r="V1499" s="40" t="str">
        <f aca="false">IF($T1499="","",MAX($V$3:V1498)+1)</f>
        <v/>
      </c>
      <c r="W1499" s="40" t="str">
        <f aca="false">IF($E1499="","",$E1499&amp;"#"&amp;COUNTIF($E$4:$E1499,$E1499))</f>
        <v/>
      </c>
      <c r="X1499" s="40" t="str">
        <f aca="false">IF($B1499="","",IF(AND(OR(CETAK!$J$10="",$E1499=CETAK!$J$10),OR(CETAK!$J$11="",$F1499=CETAK!$J$11),OR(CETAK!$J$12="",$K1499=CETAK!$J$12),OR(CETAK!$J$13="",$H1499=CETAK!$J$13),OR(CETAK!$J$14="",$O1499=CETAK!$J$14)),MAX($X$3:X1498)+1,""))</f>
        <v/>
      </c>
      <c r="Y1499" s="40" t="str">
        <f aca="false">IF($B1499="","",IF(AND(OR(ABSENSI!$H$10="",$E1499=ABSENSI!$H$10),OR(ABSENSI!$H$11="",$F1499=ABSENSI!$H$11),OR(ABSENSI!$H$12="",$K1499=ABSENSI!$H$12)),MAX($Y$3:Y1498)+1,""))</f>
        <v/>
      </c>
      <c r="Z1499" s="40" t="str">
        <f aca="false">IF($B1499="","",IF(AND(OR(KARTU!$K$6="",$E1499=KARTU!$K$6),OR(KARTU!$K$7="",$F1499=KARTU!$K$7),OR(KARTU!$K$8="",$K1499=KARTU!$K$8)),MAX($Z$3:Z1498)+1,""))</f>
        <v/>
      </c>
    </row>
    <row r="1500" customFormat="false" ht="15" hidden="false" customHeight="false" outlineLevel="0" collapsed="false">
      <c r="A1500" s="36" t="str">
        <f aca="false">IF($B1500="","",COUNTA($B$4:$B1500))</f>
        <v/>
      </c>
      <c r="B1500" s="37"/>
      <c r="C1500" s="38"/>
      <c r="D1500" s="39"/>
      <c r="E1500" s="37"/>
      <c r="F1500" s="39"/>
      <c r="G1500" s="40" t="str">
        <f aca="false">IF(OR($E1500="",$F1500=""),"",$E1500&amp;" - RT "&amp;$F1500)</f>
        <v/>
      </c>
      <c r="H1500" s="37"/>
      <c r="I1500" s="38"/>
      <c r="J1500" s="37"/>
      <c r="K1500" s="39"/>
      <c r="L1500" s="41"/>
      <c r="M1500" s="36" t="str">
        <f aca="true">IF(OR($B1500="",$L1500=""),"",DATEDIF($L1500,TODAY(),"Y"))</f>
        <v/>
      </c>
      <c r="N1500" s="40" t="str">
        <f aca="false">IF($M1500="","",INDEX(usia_label,MATCH($M1500,usia_min,1)))</f>
        <v/>
      </c>
      <c r="O1500" s="37"/>
      <c r="P1500" s="41"/>
      <c r="Q1500" s="37"/>
      <c r="R1500" s="37"/>
      <c r="S1500" s="40" t="str">
        <f aca="false">IF($G1500="","",$G1500&amp;"#"&amp;COUNTIF($G$4:$G1500,$G1500))</f>
        <v/>
      </c>
      <c r="T1500" s="40" t="str">
        <f aca="false">IF($B1500="","",IF($C1500="","NIK kosong",IF(LEN($C1500)&lt;&gt;16,"NIK bukan 16 digit",IF(COUNTIF($C$4:$C$2003,$C1500&amp;"*")&gt;1,"NIK ganda",IF($E1500="","Kadus kosong",IF($F1500="","RT kosong",IF($H1500="","Jabatan kosong",IF($I1500="","No. HP kosong",IF($J1500="","Alamat kosong",IF(AND($M1500&lt;&gt;"",$M1500&lt;17),"Usia di bawah 17",""))))))))))</f>
        <v/>
      </c>
      <c r="U1500" s="40" t="str">
        <f aca="false">IF($B1500="","",IF(AND(OR(CARI!$C$5="",ISNUMBER(SEARCH(CARI!$C$5,$B1500&amp;" "&amp;$C1500&amp;" "&amp;$I1500&amp;" "&amp;$J1500&amp;" "&amp;$Q1500))),OR(CARI!$C$6="",$E1500=CARI!$C$6),OR(CARI!$C$7="",$F1500=CARI!$C$7),OR(CARI!$C$8="",$O1500=CARI!$C$8)),MAX($U$3:U1499)+1,""))</f>
        <v/>
      </c>
      <c r="V1500" s="40" t="str">
        <f aca="false">IF($T1500="","",MAX($V$3:V1499)+1)</f>
        <v/>
      </c>
      <c r="W1500" s="40" t="str">
        <f aca="false">IF($E1500="","",$E1500&amp;"#"&amp;COUNTIF($E$4:$E1500,$E1500))</f>
        <v/>
      </c>
      <c r="X1500" s="40" t="str">
        <f aca="false">IF($B1500="","",IF(AND(OR(CETAK!$J$10="",$E1500=CETAK!$J$10),OR(CETAK!$J$11="",$F1500=CETAK!$J$11),OR(CETAK!$J$12="",$K1500=CETAK!$J$12),OR(CETAK!$J$13="",$H1500=CETAK!$J$13),OR(CETAK!$J$14="",$O1500=CETAK!$J$14)),MAX($X$3:X1499)+1,""))</f>
        <v/>
      </c>
      <c r="Y1500" s="40" t="str">
        <f aca="false">IF($B1500="","",IF(AND(OR(ABSENSI!$H$10="",$E1500=ABSENSI!$H$10),OR(ABSENSI!$H$11="",$F1500=ABSENSI!$H$11),OR(ABSENSI!$H$12="",$K1500=ABSENSI!$H$12)),MAX($Y$3:Y1499)+1,""))</f>
        <v/>
      </c>
      <c r="Z1500" s="40" t="str">
        <f aca="false">IF($B1500="","",IF(AND(OR(KARTU!$K$6="",$E1500=KARTU!$K$6),OR(KARTU!$K$7="",$F1500=KARTU!$K$7),OR(KARTU!$K$8="",$K1500=KARTU!$K$8)),MAX($Z$3:Z1499)+1,""))</f>
        <v/>
      </c>
    </row>
    <row r="1501" customFormat="false" ht="15" hidden="false" customHeight="false" outlineLevel="0" collapsed="false">
      <c r="A1501" s="36" t="str">
        <f aca="false">IF($B1501="","",COUNTA($B$4:$B1501))</f>
        <v/>
      </c>
      <c r="B1501" s="37"/>
      <c r="C1501" s="38"/>
      <c r="D1501" s="39"/>
      <c r="E1501" s="37"/>
      <c r="F1501" s="39"/>
      <c r="G1501" s="40" t="str">
        <f aca="false">IF(OR($E1501="",$F1501=""),"",$E1501&amp;" - RT "&amp;$F1501)</f>
        <v/>
      </c>
      <c r="H1501" s="37"/>
      <c r="I1501" s="38"/>
      <c r="J1501" s="37"/>
      <c r="K1501" s="39"/>
      <c r="L1501" s="41"/>
      <c r="M1501" s="36" t="str">
        <f aca="true">IF(OR($B1501="",$L1501=""),"",DATEDIF($L1501,TODAY(),"Y"))</f>
        <v/>
      </c>
      <c r="N1501" s="40" t="str">
        <f aca="false">IF($M1501="","",INDEX(usia_label,MATCH($M1501,usia_min,1)))</f>
        <v/>
      </c>
      <c r="O1501" s="37"/>
      <c r="P1501" s="41"/>
      <c r="Q1501" s="37"/>
      <c r="R1501" s="37"/>
      <c r="S1501" s="40" t="str">
        <f aca="false">IF($G1501="","",$G1501&amp;"#"&amp;COUNTIF($G$4:$G1501,$G1501))</f>
        <v/>
      </c>
      <c r="T1501" s="40" t="str">
        <f aca="false">IF($B1501="","",IF($C1501="","NIK kosong",IF(LEN($C1501)&lt;&gt;16,"NIK bukan 16 digit",IF(COUNTIF($C$4:$C$2003,$C1501&amp;"*")&gt;1,"NIK ganda",IF($E1501="","Kadus kosong",IF($F1501="","RT kosong",IF($H1501="","Jabatan kosong",IF($I1501="","No. HP kosong",IF($J1501="","Alamat kosong",IF(AND($M1501&lt;&gt;"",$M1501&lt;17),"Usia di bawah 17",""))))))))))</f>
        <v/>
      </c>
      <c r="U1501" s="40" t="str">
        <f aca="false">IF($B1501="","",IF(AND(OR(CARI!$C$5="",ISNUMBER(SEARCH(CARI!$C$5,$B1501&amp;" "&amp;$C1501&amp;" "&amp;$I1501&amp;" "&amp;$J1501&amp;" "&amp;$Q1501))),OR(CARI!$C$6="",$E1501=CARI!$C$6),OR(CARI!$C$7="",$F1501=CARI!$C$7),OR(CARI!$C$8="",$O1501=CARI!$C$8)),MAX($U$3:U1500)+1,""))</f>
        <v/>
      </c>
      <c r="V1501" s="40" t="str">
        <f aca="false">IF($T1501="","",MAX($V$3:V1500)+1)</f>
        <v/>
      </c>
      <c r="W1501" s="40" t="str">
        <f aca="false">IF($E1501="","",$E1501&amp;"#"&amp;COUNTIF($E$4:$E1501,$E1501))</f>
        <v/>
      </c>
      <c r="X1501" s="40" t="str">
        <f aca="false">IF($B1501="","",IF(AND(OR(CETAK!$J$10="",$E1501=CETAK!$J$10),OR(CETAK!$J$11="",$F1501=CETAK!$J$11),OR(CETAK!$J$12="",$K1501=CETAK!$J$12),OR(CETAK!$J$13="",$H1501=CETAK!$J$13),OR(CETAK!$J$14="",$O1501=CETAK!$J$14)),MAX($X$3:X1500)+1,""))</f>
        <v/>
      </c>
      <c r="Y1501" s="40" t="str">
        <f aca="false">IF($B1501="","",IF(AND(OR(ABSENSI!$H$10="",$E1501=ABSENSI!$H$10),OR(ABSENSI!$H$11="",$F1501=ABSENSI!$H$11),OR(ABSENSI!$H$12="",$K1501=ABSENSI!$H$12)),MAX($Y$3:Y1500)+1,""))</f>
        <v/>
      </c>
      <c r="Z1501" s="40" t="str">
        <f aca="false">IF($B1501="","",IF(AND(OR(KARTU!$K$6="",$E1501=KARTU!$K$6),OR(KARTU!$K$7="",$F1501=KARTU!$K$7),OR(KARTU!$K$8="",$K1501=KARTU!$K$8)),MAX($Z$3:Z1500)+1,""))</f>
        <v/>
      </c>
    </row>
    <row r="1502" customFormat="false" ht="15" hidden="false" customHeight="false" outlineLevel="0" collapsed="false">
      <c r="A1502" s="36" t="str">
        <f aca="false">IF($B1502="","",COUNTA($B$4:$B1502))</f>
        <v/>
      </c>
      <c r="B1502" s="37"/>
      <c r="C1502" s="38"/>
      <c r="D1502" s="39"/>
      <c r="E1502" s="37"/>
      <c r="F1502" s="39"/>
      <c r="G1502" s="40" t="str">
        <f aca="false">IF(OR($E1502="",$F1502=""),"",$E1502&amp;" - RT "&amp;$F1502)</f>
        <v/>
      </c>
      <c r="H1502" s="37"/>
      <c r="I1502" s="38"/>
      <c r="J1502" s="37"/>
      <c r="K1502" s="39"/>
      <c r="L1502" s="41"/>
      <c r="M1502" s="36" t="str">
        <f aca="true">IF(OR($B1502="",$L1502=""),"",DATEDIF($L1502,TODAY(),"Y"))</f>
        <v/>
      </c>
      <c r="N1502" s="40" t="str">
        <f aca="false">IF($M1502="","",INDEX(usia_label,MATCH($M1502,usia_min,1)))</f>
        <v/>
      </c>
      <c r="O1502" s="37"/>
      <c r="P1502" s="41"/>
      <c r="Q1502" s="37"/>
      <c r="R1502" s="37"/>
      <c r="S1502" s="40" t="str">
        <f aca="false">IF($G1502="","",$G1502&amp;"#"&amp;COUNTIF($G$4:$G1502,$G1502))</f>
        <v/>
      </c>
      <c r="T1502" s="40" t="str">
        <f aca="false">IF($B1502="","",IF($C1502="","NIK kosong",IF(LEN($C1502)&lt;&gt;16,"NIK bukan 16 digit",IF(COUNTIF($C$4:$C$2003,$C1502&amp;"*")&gt;1,"NIK ganda",IF($E1502="","Kadus kosong",IF($F1502="","RT kosong",IF($H1502="","Jabatan kosong",IF($I1502="","No. HP kosong",IF($J1502="","Alamat kosong",IF(AND($M1502&lt;&gt;"",$M1502&lt;17),"Usia di bawah 17",""))))))))))</f>
        <v/>
      </c>
      <c r="U1502" s="40" t="str">
        <f aca="false">IF($B1502="","",IF(AND(OR(CARI!$C$5="",ISNUMBER(SEARCH(CARI!$C$5,$B1502&amp;" "&amp;$C1502&amp;" "&amp;$I1502&amp;" "&amp;$J1502&amp;" "&amp;$Q1502))),OR(CARI!$C$6="",$E1502=CARI!$C$6),OR(CARI!$C$7="",$F1502=CARI!$C$7),OR(CARI!$C$8="",$O1502=CARI!$C$8)),MAX($U$3:U1501)+1,""))</f>
        <v/>
      </c>
      <c r="V1502" s="40" t="str">
        <f aca="false">IF($T1502="","",MAX($V$3:V1501)+1)</f>
        <v/>
      </c>
      <c r="W1502" s="40" t="str">
        <f aca="false">IF($E1502="","",$E1502&amp;"#"&amp;COUNTIF($E$4:$E1502,$E1502))</f>
        <v/>
      </c>
      <c r="X1502" s="40" t="str">
        <f aca="false">IF($B1502="","",IF(AND(OR(CETAK!$J$10="",$E1502=CETAK!$J$10),OR(CETAK!$J$11="",$F1502=CETAK!$J$11),OR(CETAK!$J$12="",$K1502=CETAK!$J$12),OR(CETAK!$J$13="",$H1502=CETAK!$J$13),OR(CETAK!$J$14="",$O1502=CETAK!$J$14)),MAX($X$3:X1501)+1,""))</f>
        <v/>
      </c>
      <c r="Y1502" s="40" t="str">
        <f aca="false">IF($B1502="","",IF(AND(OR(ABSENSI!$H$10="",$E1502=ABSENSI!$H$10),OR(ABSENSI!$H$11="",$F1502=ABSENSI!$H$11),OR(ABSENSI!$H$12="",$K1502=ABSENSI!$H$12)),MAX($Y$3:Y1501)+1,""))</f>
        <v/>
      </c>
      <c r="Z1502" s="40" t="str">
        <f aca="false">IF($B1502="","",IF(AND(OR(KARTU!$K$6="",$E1502=KARTU!$K$6),OR(KARTU!$K$7="",$F1502=KARTU!$K$7),OR(KARTU!$K$8="",$K1502=KARTU!$K$8)),MAX($Z$3:Z1501)+1,""))</f>
        <v/>
      </c>
    </row>
    <row r="1503" customFormat="false" ht="15" hidden="false" customHeight="false" outlineLevel="0" collapsed="false">
      <c r="A1503" s="36" t="str">
        <f aca="false">IF($B1503="","",COUNTA($B$4:$B1503))</f>
        <v/>
      </c>
      <c r="B1503" s="37"/>
      <c r="C1503" s="38"/>
      <c r="D1503" s="39"/>
      <c r="E1503" s="37"/>
      <c r="F1503" s="39"/>
      <c r="G1503" s="40" t="str">
        <f aca="false">IF(OR($E1503="",$F1503=""),"",$E1503&amp;" - RT "&amp;$F1503)</f>
        <v/>
      </c>
      <c r="H1503" s="37"/>
      <c r="I1503" s="38"/>
      <c r="J1503" s="37"/>
      <c r="K1503" s="39"/>
      <c r="L1503" s="41"/>
      <c r="M1503" s="36" t="str">
        <f aca="true">IF(OR($B1503="",$L1503=""),"",DATEDIF($L1503,TODAY(),"Y"))</f>
        <v/>
      </c>
      <c r="N1503" s="40" t="str">
        <f aca="false">IF($M1503="","",INDEX(usia_label,MATCH($M1503,usia_min,1)))</f>
        <v/>
      </c>
      <c r="O1503" s="37"/>
      <c r="P1503" s="41"/>
      <c r="Q1503" s="37"/>
      <c r="R1503" s="37"/>
      <c r="S1503" s="40" t="str">
        <f aca="false">IF($G1503="","",$G1503&amp;"#"&amp;COUNTIF($G$4:$G1503,$G1503))</f>
        <v/>
      </c>
      <c r="T1503" s="40" t="str">
        <f aca="false">IF($B1503="","",IF($C1503="","NIK kosong",IF(LEN($C1503)&lt;&gt;16,"NIK bukan 16 digit",IF(COUNTIF($C$4:$C$2003,$C1503&amp;"*")&gt;1,"NIK ganda",IF($E1503="","Kadus kosong",IF($F1503="","RT kosong",IF($H1503="","Jabatan kosong",IF($I1503="","No. HP kosong",IF($J1503="","Alamat kosong",IF(AND($M1503&lt;&gt;"",$M1503&lt;17),"Usia di bawah 17",""))))))))))</f>
        <v/>
      </c>
      <c r="U1503" s="40" t="str">
        <f aca="false">IF($B1503="","",IF(AND(OR(CARI!$C$5="",ISNUMBER(SEARCH(CARI!$C$5,$B1503&amp;" "&amp;$C1503&amp;" "&amp;$I1503&amp;" "&amp;$J1503&amp;" "&amp;$Q1503))),OR(CARI!$C$6="",$E1503=CARI!$C$6),OR(CARI!$C$7="",$F1503=CARI!$C$7),OR(CARI!$C$8="",$O1503=CARI!$C$8)),MAX($U$3:U1502)+1,""))</f>
        <v/>
      </c>
      <c r="V1503" s="40" t="str">
        <f aca="false">IF($T1503="","",MAX($V$3:V1502)+1)</f>
        <v/>
      </c>
      <c r="W1503" s="40" t="str">
        <f aca="false">IF($E1503="","",$E1503&amp;"#"&amp;COUNTIF($E$4:$E1503,$E1503))</f>
        <v/>
      </c>
      <c r="X1503" s="40" t="str">
        <f aca="false">IF($B1503="","",IF(AND(OR(CETAK!$J$10="",$E1503=CETAK!$J$10),OR(CETAK!$J$11="",$F1503=CETAK!$J$11),OR(CETAK!$J$12="",$K1503=CETAK!$J$12),OR(CETAK!$J$13="",$H1503=CETAK!$J$13),OR(CETAK!$J$14="",$O1503=CETAK!$J$14)),MAX($X$3:X1502)+1,""))</f>
        <v/>
      </c>
      <c r="Y1503" s="40" t="str">
        <f aca="false">IF($B1503="","",IF(AND(OR(ABSENSI!$H$10="",$E1503=ABSENSI!$H$10),OR(ABSENSI!$H$11="",$F1503=ABSENSI!$H$11),OR(ABSENSI!$H$12="",$K1503=ABSENSI!$H$12)),MAX($Y$3:Y1502)+1,""))</f>
        <v/>
      </c>
      <c r="Z1503" s="40" t="str">
        <f aca="false">IF($B1503="","",IF(AND(OR(KARTU!$K$6="",$E1503=KARTU!$K$6),OR(KARTU!$K$7="",$F1503=KARTU!$K$7),OR(KARTU!$K$8="",$K1503=KARTU!$K$8)),MAX($Z$3:Z1502)+1,""))</f>
        <v/>
      </c>
    </row>
    <row r="1504" customFormat="false" ht="15" hidden="false" customHeight="false" outlineLevel="0" collapsed="false">
      <c r="A1504" s="36" t="str">
        <f aca="false">IF($B1504="","",COUNTA($B$4:$B1504))</f>
        <v/>
      </c>
      <c r="B1504" s="37"/>
      <c r="C1504" s="38"/>
      <c r="D1504" s="39"/>
      <c r="E1504" s="37"/>
      <c r="F1504" s="39"/>
      <c r="G1504" s="40" t="str">
        <f aca="false">IF(OR($E1504="",$F1504=""),"",$E1504&amp;" - RT "&amp;$F1504)</f>
        <v/>
      </c>
      <c r="H1504" s="37"/>
      <c r="I1504" s="38"/>
      <c r="J1504" s="37"/>
      <c r="K1504" s="39"/>
      <c r="L1504" s="41"/>
      <c r="M1504" s="36" t="str">
        <f aca="true">IF(OR($B1504="",$L1504=""),"",DATEDIF($L1504,TODAY(),"Y"))</f>
        <v/>
      </c>
      <c r="N1504" s="40" t="str">
        <f aca="false">IF($M1504="","",INDEX(usia_label,MATCH($M1504,usia_min,1)))</f>
        <v/>
      </c>
      <c r="O1504" s="37"/>
      <c r="P1504" s="41"/>
      <c r="Q1504" s="37"/>
      <c r="R1504" s="37"/>
      <c r="S1504" s="40" t="str">
        <f aca="false">IF($G1504="","",$G1504&amp;"#"&amp;COUNTIF($G$4:$G1504,$G1504))</f>
        <v/>
      </c>
      <c r="T1504" s="40" t="str">
        <f aca="false">IF($B1504="","",IF($C1504="","NIK kosong",IF(LEN($C1504)&lt;&gt;16,"NIK bukan 16 digit",IF(COUNTIF($C$4:$C$2003,$C1504&amp;"*")&gt;1,"NIK ganda",IF($E1504="","Kadus kosong",IF($F1504="","RT kosong",IF($H1504="","Jabatan kosong",IF($I1504="","No. HP kosong",IF($J1504="","Alamat kosong",IF(AND($M1504&lt;&gt;"",$M1504&lt;17),"Usia di bawah 17",""))))))))))</f>
        <v/>
      </c>
      <c r="U1504" s="40" t="str">
        <f aca="false">IF($B1504="","",IF(AND(OR(CARI!$C$5="",ISNUMBER(SEARCH(CARI!$C$5,$B1504&amp;" "&amp;$C1504&amp;" "&amp;$I1504&amp;" "&amp;$J1504&amp;" "&amp;$Q1504))),OR(CARI!$C$6="",$E1504=CARI!$C$6),OR(CARI!$C$7="",$F1504=CARI!$C$7),OR(CARI!$C$8="",$O1504=CARI!$C$8)),MAX($U$3:U1503)+1,""))</f>
        <v/>
      </c>
      <c r="V1504" s="40" t="str">
        <f aca="false">IF($T1504="","",MAX($V$3:V1503)+1)</f>
        <v/>
      </c>
      <c r="W1504" s="40" t="str">
        <f aca="false">IF($E1504="","",$E1504&amp;"#"&amp;COUNTIF($E$4:$E1504,$E1504))</f>
        <v/>
      </c>
      <c r="X1504" s="40" t="str">
        <f aca="false">IF($B1504="","",IF(AND(OR(CETAK!$J$10="",$E1504=CETAK!$J$10),OR(CETAK!$J$11="",$F1504=CETAK!$J$11),OR(CETAK!$J$12="",$K1504=CETAK!$J$12),OR(CETAK!$J$13="",$H1504=CETAK!$J$13),OR(CETAK!$J$14="",$O1504=CETAK!$J$14)),MAX($X$3:X1503)+1,""))</f>
        <v/>
      </c>
      <c r="Y1504" s="40" t="str">
        <f aca="false">IF($B1504="","",IF(AND(OR(ABSENSI!$H$10="",$E1504=ABSENSI!$H$10),OR(ABSENSI!$H$11="",$F1504=ABSENSI!$H$11),OR(ABSENSI!$H$12="",$K1504=ABSENSI!$H$12)),MAX($Y$3:Y1503)+1,""))</f>
        <v/>
      </c>
      <c r="Z1504" s="40" t="str">
        <f aca="false">IF($B1504="","",IF(AND(OR(KARTU!$K$6="",$E1504=KARTU!$K$6),OR(KARTU!$K$7="",$F1504=KARTU!$K$7),OR(KARTU!$K$8="",$K1504=KARTU!$K$8)),MAX($Z$3:Z1503)+1,""))</f>
        <v/>
      </c>
    </row>
    <row r="1505" customFormat="false" ht="15" hidden="false" customHeight="false" outlineLevel="0" collapsed="false">
      <c r="A1505" s="36" t="str">
        <f aca="false">IF($B1505="","",COUNTA($B$4:$B1505))</f>
        <v/>
      </c>
      <c r="B1505" s="37"/>
      <c r="C1505" s="38"/>
      <c r="D1505" s="39"/>
      <c r="E1505" s="37"/>
      <c r="F1505" s="39"/>
      <c r="G1505" s="40" t="str">
        <f aca="false">IF(OR($E1505="",$F1505=""),"",$E1505&amp;" - RT "&amp;$F1505)</f>
        <v/>
      </c>
      <c r="H1505" s="37"/>
      <c r="I1505" s="38"/>
      <c r="J1505" s="37"/>
      <c r="K1505" s="39"/>
      <c r="L1505" s="41"/>
      <c r="M1505" s="36" t="str">
        <f aca="true">IF(OR($B1505="",$L1505=""),"",DATEDIF($L1505,TODAY(),"Y"))</f>
        <v/>
      </c>
      <c r="N1505" s="40" t="str">
        <f aca="false">IF($M1505="","",INDEX(usia_label,MATCH($M1505,usia_min,1)))</f>
        <v/>
      </c>
      <c r="O1505" s="37"/>
      <c r="P1505" s="41"/>
      <c r="Q1505" s="37"/>
      <c r="R1505" s="37"/>
      <c r="S1505" s="40" t="str">
        <f aca="false">IF($G1505="","",$G1505&amp;"#"&amp;COUNTIF($G$4:$G1505,$G1505))</f>
        <v/>
      </c>
      <c r="T1505" s="40" t="str">
        <f aca="false">IF($B1505="","",IF($C1505="","NIK kosong",IF(LEN($C1505)&lt;&gt;16,"NIK bukan 16 digit",IF(COUNTIF($C$4:$C$2003,$C1505&amp;"*")&gt;1,"NIK ganda",IF($E1505="","Kadus kosong",IF($F1505="","RT kosong",IF($H1505="","Jabatan kosong",IF($I1505="","No. HP kosong",IF($J1505="","Alamat kosong",IF(AND($M1505&lt;&gt;"",$M1505&lt;17),"Usia di bawah 17",""))))))))))</f>
        <v/>
      </c>
      <c r="U1505" s="40" t="str">
        <f aca="false">IF($B1505="","",IF(AND(OR(CARI!$C$5="",ISNUMBER(SEARCH(CARI!$C$5,$B1505&amp;" "&amp;$C1505&amp;" "&amp;$I1505&amp;" "&amp;$J1505&amp;" "&amp;$Q1505))),OR(CARI!$C$6="",$E1505=CARI!$C$6),OR(CARI!$C$7="",$F1505=CARI!$C$7),OR(CARI!$C$8="",$O1505=CARI!$C$8)),MAX($U$3:U1504)+1,""))</f>
        <v/>
      </c>
      <c r="V1505" s="40" t="str">
        <f aca="false">IF($T1505="","",MAX($V$3:V1504)+1)</f>
        <v/>
      </c>
      <c r="W1505" s="40" t="str">
        <f aca="false">IF($E1505="","",$E1505&amp;"#"&amp;COUNTIF($E$4:$E1505,$E1505))</f>
        <v/>
      </c>
      <c r="X1505" s="40" t="str">
        <f aca="false">IF($B1505="","",IF(AND(OR(CETAK!$J$10="",$E1505=CETAK!$J$10),OR(CETAK!$J$11="",$F1505=CETAK!$J$11),OR(CETAK!$J$12="",$K1505=CETAK!$J$12),OR(CETAK!$J$13="",$H1505=CETAK!$J$13),OR(CETAK!$J$14="",$O1505=CETAK!$J$14)),MAX($X$3:X1504)+1,""))</f>
        <v/>
      </c>
      <c r="Y1505" s="40" t="str">
        <f aca="false">IF($B1505="","",IF(AND(OR(ABSENSI!$H$10="",$E1505=ABSENSI!$H$10),OR(ABSENSI!$H$11="",$F1505=ABSENSI!$H$11),OR(ABSENSI!$H$12="",$K1505=ABSENSI!$H$12)),MAX($Y$3:Y1504)+1,""))</f>
        <v/>
      </c>
      <c r="Z1505" s="40" t="str">
        <f aca="false">IF($B1505="","",IF(AND(OR(KARTU!$K$6="",$E1505=KARTU!$K$6),OR(KARTU!$K$7="",$F1505=KARTU!$K$7),OR(KARTU!$K$8="",$K1505=KARTU!$K$8)),MAX($Z$3:Z1504)+1,""))</f>
        <v/>
      </c>
    </row>
    <row r="1506" customFormat="false" ht="15" hidden="false" customHeight="false" outlineLevel="0" collapsed="false">
      <c r="A1506" s="36" t="str">
        <f aca="false">IF($B1506="","",COUNTA($B$4:$B1506))</f>
        <v/>
      </c>
      <c r="B1506" s="37"/>
      <c r="C1506" s="38"/>
      <c r="D1506" s="39"/>
      <c r="E1506" s="37"/>
      <c r="F1506" s="39"/>
      <c r="G1506" s="40" t="str">
        <f aca="false">IF(OR($E1506="",$F1506=""),"",$E1506&amp;" - RT "&amp;$F1506)</f>
        <v/>
      </c>
      <c r="H1506" s="37"/>
      <c r="I1506" s="38"/>
      <c r="J1506" s="37"/>
      <c r="K1506" s="39"/>
      <c r="L1506" s="41"/>
      <c r="M1506" s="36" t="str">
        <f aca="true">IF(OR($B1506="",$L1506=""),"",DATEDIF($L1506,TODAY(),"Y"))</f>
        <v/>
      </c>
      <c r="N1506" s="40" t="str">
        <f aca="false">IF($M1506="","",INDEX(usia_label,MATCH($M1506,usia_min,1)))</f>
        <v/>
      </c>
      <c r="O1506" s="37"/>
      <c r="P1506" s="41"/>
      <c r="Q1506" s="37"/>
      <c r="R1506" s="37"/>
      <c r="S1506" s="40" t="str">
        <f aca="false">IF($G1506="","",$G1506&amp;"#"&amp;COUNTIF($G$4:$G1506,$G1506))</f>
        <v/>
      </c>
      <c r="T1506" s="40" t="str">
        <f aca="false">IF($B1506="","",IF($C1506="","NIK kosong",IF(LEN($C1506)&lt;&gt;16,"NIK bukan 16 digit",IF(COUNTIF($C$4:$C$2003,$C1506&amp;"*")&gt;1,"NIK ganda",IF($E1506="","Kadus kosong",IF($F1506="","RT kosong",IF($H1506="","Jabatan kosong",IF($I1506="","No. HP kosong",IF($J1506="","Alamat kosong",IF(AND($M1506&lt;&gt;"",$M1506&lt;17),"Usia di bawah 17",""))))))))))</f>
        <v/>
      </c>
      <c r="U1506" s="40" t="str">
        <f aca="false">IF($B1506="","",IF(AND(OR(CARI!$C$5="",ISNUMBER(SEARCH(CARI!$C$5,$B1506&amp;" "&amp;$C1506&amp;" "&amp;$I1506&amp;" "&amp;$J1506&amp;" "&amp;$Q1506))),OR(CARI!$C$6="",$E1506=CARI!$C$6),OR(CARI!$C$7="",$F1506=CARI!$C$7),OR(CARI!$C$8="",$O1506=CARI!$C$8)),MAX($U$3:U1505)+1,""))</f>
        <v/>
      </c>
      <c r="V1506" s="40" t="str">
        <f aca="false">IF($T1506="","",MAX($V$3:V1505)+1)</f>
        <v/>
      </c>
      <c r="W1506" s="40" t="str">
        <f aca="false">IF($E1506="","",$E1506&amp;"#"&amp;COUNTIF($E$4:$E1506,$E1506))</f>
        <v/>
      </c>
      <c r="X1506" s="40" t="str">
        <f aca="false">IF($B1506="","",IF(AND(OR(CETAK!$J$10="",$E1506=CETAK!$J$10),OR(CETAK!$J$11="",$F1506=CETAK!$J$11),OR(CETAK!$J$12="",$K1506=CETAK!$J$12),OR(CETAK!$J$13="",$H1506=CETAK!$J$13),OR(CETAK!$J$14="",$O1506=CETAK!$J$14)),MAX($X$3:X1505)+1,""))</f>
        <v/>
      </c>
      <c r="Y1506" s="40" t="str">
        <f aca="false">IF($B1506="","",IF(AND(OR(ABSENSI!$H$10="",$E1506=ABSENSI!$H$10),OR(ABSENSI!$H$11="",$F1506=ABSENSI!$H$11),OR(ABSENSI!$H$12="",$K1506=ABSENSI!$H$12)),MAX($Y$3:Y1505)+1,""))</f>
        <v/>
      </c>
      <c r="Z1506" s="40" t="str">
        <f aca="false">IF($B1506="","",IF(AND(OR(KARTU!$K$6="",$E1506=KARTU!$K$6),OR(KARTU!$K$7="",$F1506=KARTU!$K$7),OR(KARTU!$K$8="",$K1506=KARTU!$K$8)),MAX($Z$3:Z1505)+1,""))</f>
        <v/>
      </c>
    </row>
    <row r="1507" customFormat="false" ht="15" hidden="false" customHeight="false" outlineLevel="0" collapsed="false">
      <c r="A1507" s="36" t="str">
        <f aca="false">IF($B1507="","",COUNTA($B$4:$B1507))</f>
        <v/>
      </c>
      <c r="B1507" s="37"/>
      <c r="C1507" s="38"/>
      <c r="D1507" s="39"/>
      <c r="E1507" s="37"/>
      <c r="F1507" s="39"/>
      <c r="G1507" s="40" t="str">
        <f aca="false">IF(OR($E1507="",$F1507=""),"",$E1507&amp;" - RT "&amp;$F1507)</f>
        <v/>
      </c>
      <c r="H1507" s="37"/>
      <c r="I1507" s="38"/>
      <c r="J1507" s="37"/>
      <c r="K1507" s="39"/>
      <c r="L1507" s="41"/>
      <c r="M1507" s="36" t="str">
        <f aca="true">IF(OR($B1507="",$L1507=""),"",DATEDIF($L1507,TODAY(),"Y"))</f>
        <v/>
      </c>
      <c r="N1507" s="40" t="str">
        <f aca="false">IF($M1507="","",INDEX(usia_label,MATCH($M1507,usia_min,1)))</f>
        <v/>
      </c>
      <c r="O1507" s="37"/>
      <c r="P1507" s="41"/>
      <c r="Q1507" s="37"/>
      <c r="R1507" s="37"/>
      <c r="S1507" s="40" t="str">
        <f aca="false">IF($G1507="","",$G1507&amp;"#"&amp;COUNTIF($G$4:$G1507,$G1507))</f>
        <v/>
      </c>
      <c r="T1507" s="40" t="str">
        <f aca="false">IF($B1507="","",IF($C1507="","NIK kosong",IF(LEN($C1507)&lt;&gt;16,"NIK bukan 16 digit",IF(COUNTIF($C$4:$C$2003,$C1507&amp;"*")&gt;1,"NIK ganda",IF($E1507="","Kadus kosong",IF($F1507="","RT kosong",IF($H1507="","Jabatan kosong",IF($I1507="","No. HP kosong",IF($J1507="","Alamat kosong",IF(AND($M1507&lt;&gt;"",$M1507&lt;17),"Usia di bawah 17",""))))))))))</f>
        <v/>
      </c>
      <c r="U1507" s="40" t="str">
        <f aca="false">IF($B1507="","",IF(AND(OR(CARI!$C$5="",ISNUMBER(SEARCH(CARI!$C$5,$B1507&amp;" "&amp;$C1507&amp;" "&amp;$I1507&amp;" "&amp;$J1507&amp;" "&amp;$Q1507))),OR(CARI!$C$6="",$E1507=CARI!$C$6),OR(CARI!$C$7="",$F1507=CARI!$C$7),OR(CARI!$C$8="",$O1507=CARI!$C$8)),MAX($U$3:U1506)+1,""))</f>
        <v/>
      </c>
      <c r="V1507" s="40" t="str">
        <f aca="false">IF($T1507="","",MAX($V$3:V1506)+1)</f>
        <v/>
      </c>
      <c r="W1507" s="40" t="str">
        <f aca="false">IF($E1507="","",$E1507&amp;"#"&amp;COUNTIF($E$4:$E1507,$E1507))</f>
        <v/>
      </c>
      <c r="X1507" s="40" t="str">
        <f aca="false">IF($B1507="","",IF(AND(OR(CETAK!$J$10="",$E1507=CETAK!$J$10),OR(CETAK!$J$11="",$F1507=CETAK!$J$11),OR(CETAK!$J$12="",$K1507=CETAK!$J$12),OR(CETAK!$J$13="",$H1507=CETAK!$J$13),OR(CETAK!$J$14="",$O1507=CETAK!$J$14)),MAX($X$3:X1506)+1,""))</f>
        <v/>
      </c>
      <c r="Y1507" s="40" t="str">
        <f aca="false">IF($B1507="","",IF(AND(OR(ABSENSI!$H$10="",$E1507=ABSENSI!$H$10),OR(ABSENSI!$H$11="",$F1507=ABSENSI!$H$11),OR(ABSENSI!$H$12="",$K1507=ABSENSI!$H$12)),MAX($Y$3:Y1506)+1,""))</f>
        <v/>
      </c>
      <c r="Z1507" s="40" t="str">
        <f aca="false">IF($B1507="","",IF(AND(OR(KARTU!$K$6="",$E1507=KARTU!$K$6),OR(KARTU!$K$7="",$F1507=KARTU!$K$7),OR(KARTU!$K$8="",$K1507=KARTU!$K$8)),MAX($Z$3:Z1506)+1,""))</f>
        <v/>
      </c>
    </row>
    <row r="1508" customFormat="false" ht="15" hidden="false" customHeight="false" outlineLevel="0" collapsed="false">
      <c r="A1508" s="36" t="str">
        <f aca="false">IF($B1508="","",COUNTA($B$4:$B1508))</f>
        <v/>
      </c>
      <c r="B1508" s="37"/>
      <c r="C1508" s="38"/>
      <c r="D1508" s="39"/>
      <c r="E1508" s="37"/>
      <c r="F1508" s="39"/>
      <c r="G1508" s="40" t="str">
        <f aca="false">IF(OR($E1508="",$F1508=""),"",$E1508&amp;" - RT "&amp;$F1508)</f>
        <v/>
      </c>
      <c r="H1508" s="37"/>
      <c r="I1508" s="38"/>
      <c r="J1508" s="37"/>
      <c r="K1508" s="39"/>
      <c r="L1508" s="41"/>
      <c r="M1508" s="36" t="str">
        <f aca="true">IF(OR($B1508="",$L1508=""),"",DATEDIF($L1508,TODAY(),"Y"))</f>
        <v/>
      </c>
      <c r="N1508" s="40" t="str">
        <f aca="false">IF($M1508="","",INDEX(usia_label,MATCH($M1508,usia_min,1)))</f>
        <v/>
      </c>
      <c r="O1508" s="37"/>
      <c r="P1508" s="41"/>
      <c r="Q1508" s="37"/>
      <c r="R1508" s="37"/>
      <c r="S1508" s="40" t="str">
        <f aca="false">IF($G1508="","",$G1508&amp;"#"&amp;COUNTIF($G$4:$G1508,$G1508))</f>
        <v/>
      </c>
      <c r="T1508" s="40" t="str">
        <f aca="false">IF($B1508="","",IF($C1508="","NIK kosong",IF(LEN($C1508)&lt;&gt;16,"NIK bukan 16 digit",IF(COUNTIF($C$4:$C$2003,$C1508&amp;"*")&gt;1,"NIK ganda",IF($E1508="","Kadus kosong",IF($F1508="","RT kosong",IF($H1508="","Jabatan kosong",IF($I1508="","No. HP kosong",IF($J1508="","Alamat kosong",IF(AND($M1508&lt;&gt;"",$M1508&lt;17),"Usia di bawah 17",""))))))))))</f>
        <v/>
      </c>
      <c r="U1508" s="40" t="str">
        <f aca="false">IF($B1508="","",IF(AND(OR(CARI!$C$5="",ISNUMBER(SEARCH(CARI!$C$5,$B1508&amp;" "&amp;$C1508&amp;" "&amp;$I1508&amp;" "&amp;$J1508&amp;" "&amp;$Q1508))),OR(CARI!$C$6="",$E1508=CARI!$C$6),OR(CARI!$C$7="",$F1508=CARI!$C$7),OR(CARI!$C$8="",$O1508=CARI!$C$8)),MAX($U$3:U1507)+1,""))</f>
        <v/>
      </c>
      <c r="V1508" s="40" t="str">
        <f aca="false">IF($T1508="","",MAX($V$3:V1507)+1)</f>
        <v/>
      </c>
      <c r="W1508" s="40" t="str">
        <f aca="false">IF($E1508="","",$E1508&amp;"#"&amp;COUNTIF($E$4:$E1508,$E1508))</f>
        <v/>
      </c>
      <c r="X1508" s="40" t="str">
        <f aca="false">IF($B1508="","",IF(AND(OR(CETAK!$J$10="",$E1508=CETAK!$J$10),OR(CETAK!$J$11="",$F1508=CETAK!$J$11),OR(CETAK!$J$12="",$K1508=CETAK!$J$12),OR(CETAK!$J$13="",$H1508=CETAK!$J$13),OR(CETAK!$J$14="",$O1508=CETAK!$J$14)),MAX($X$3:X1507)+1,""))</f>
        <v/>
      </c>
      <c r="Y1508" s="40" t="str">
        <f aca="false">IF($B1508="","",IF(AND(OR(ABSENSI!$H$10="",$E1508=ABSENSI!$H$10),OR(ABSENSI!$H$11="",$F1508=ABSENSI!$H$11),OR(ABSENSI!$H$12="",$K1508=ABSENSI!$H$12)),MAX($Y$3:Y1507)+1,""))</f>
        <v/>
      </c>
      <c r="Z1508" s="40" t="str">
        <f aca="false">IF($B1508="","",IF(AND(OR(KARTU!$K$6="",$E1508=KARTU!$K$6),OR(KARTU!$K$7="",$F1508=KARTU!$K$7),OR(KARTU!$K$8="",$K1508=KARTU!$K$8)),MAX($Z$3:Z1507)+1,""))</f>
        <v/>
      </c>
    </row>
    <row r="1509" customFormat="false" ht="15" hidden="false" customHeight="false" outlineLevel="0" collapsed="false">
      <c r="A1509" s="36" t="str">
        <f aca="false">IF($B1509="","",COUNTA($B$4:$B1509))</f>
        <v/>
      </c>
      <c r="B1509" s="37"/>
      <c r="C1509" s="38"/>
      <c r="D1509" s="39"/>
      <c r="E1509" s="37"/>
      <c r="F1509" s="39"/>
      <c r="G1509" s="40" t="str">
        <f aca="false">IF(OR($E1509="",$F1509=""),"",$E1509&amp;" - RT "&amp;$F1509)</f>
        <v/>
      </c>
      <c r="H1509" s="37"/>
      <c r="I1509" s="38"/>
      <c r="J1509" s="37"/>
      <c r="K1509" s="39"/>
      <c r="L1509" s="41"/>
      <c r="M1509" s="36" t="str">
        <f aca="true">IF(OR($B1509="",$L1509=""),"",DATEDIF($L1509,TODAY(),"Y"))</f>
        <v/>
      </c>
      <c r="N1509" s="40" t="str">
        <f aca="false">IF($M1509="","",INDEX(usia_label,MATCH($M1509,usia_min,1)))</f>
        <v/>
      </c>
      <c r="O1509" s="37"/>
      <c r="P1509" s="41"/>
      <c r="Q1509" s="37"/>
      <c r="R1509" s="37"/>
      <c r="S1509" s="40" t="str">
        <f aca="false">IF($G1509="","",$G1509&amp;"#"&amp;COUNTIF($G$4:$G1509,$G1509))</f>
        <v/>
      </c>
      <c r="T1509" s="40" t="str">
        <f aca="false">IF($B1509="","",IF($C1509="","NIK kosong",IF(LEN($C1509)&lt;&gt;16,"NIK bukan 16 digit",IF(COUNTIF($C$4:$C$2003,$C1509&amp;"*")&gt;1,"NIK ganda",IF($E1509="","Kadus kosong",IF($F1509="","RT kosong",IF($H1509="","Jabatan kosong",IF($I1509="","No. HP kosong",IF($J1509="","Alamat kosong",IF(AND($M1509&lt;&gt;"",$M1509&lt;17),"Usia di bawah 17",""))))))))))</f>
        <v/>
      </c>
      <c r="U1509" s="40" t="str">
        <f aca="false">IF($B1509="","",IF(AND(OR(CARI!$C$5="",ISNUMBER(SEARCH(CARI!$C$5,$B1509&amp;" "&amp;$C1509&amp;" "&amp;$I1509&amp;" "&amp;$J1509&amp;" "&amp;$Q1509))),OR(CARI!$C$6="",$E1509=CARI!$C$6),OR(CARI!$C$7="",$F1509=CARI!$C$7),OR(CARI!$C$8="",$O1509=CARI!$C$8)),MAX($U$3:U1508)+1,""))</f>
        <v/>
      </c>
      <c r="V1509" s="40" t="str">
        <f aca="false">IF($T1509="","",MAX($V$3:V1508)+1)</f>
        <v/>
      </c>
      <c r="W1509" s="40" t="str">
        <f aca="false">IF($E1509="","",$E1509&amp;"#"&amp;COUNTIF($E$4:$E1509,$E1509))</f>
        <v/>
      </c>
      <c r="X1509" s="40" t="str">
        <f aca="false">IF($B1509="","",IF(AND(OR(CETAK!$J$10="",$E1509=CETAK!$J$10),OR(CETAK!$J$11="",$F1509=CETAK!$J$11),OR(CETAK!$J$12="",$K1509=CETAK!$J$12),OR(CETAK!$J$13="",$H1509=CETAK!$J$13),OR(CETAK!$J$14="",$O1509=CETAK!$J$14)),MAX($X$3:X1508)+1,""))</f>
        <v/>
      </c>
      <c r="Y1509" s="40" t="str">
        <f aca="false">IF($B1509="","",IF(AND(OR(ABSENSI!$H$10="",$E1509=ABSENSI!$H$10),OR(ABSENSI!$H$11="",$F1509=ABSENSI!$H$11),OR(ABSENSI!$H$12="",$K1509=ABSENSI!$H$12)),MAX($Y$3:Y1508)+1,""))</f>
        <v/>
      </c>
      <c r="Z1509" s="40" t="str">
        <f aca="false">IF($B1509="","",IF(AND(OR(KARTU!$K$6="",$E1509=KARTU!$K$6),OR(KARTU!$K$7="",$F1509=KARTU!$K$7),OR(KARTU!$K$8="",$K1509=KARTU!$K$8)),MAX($Z$3:Z1508)+1,""))</f>
        <v/>
      </c>
    </row>
    <row r="1510" customFormat="false" ht="15" hidden="false" customHeight="false" outlineLevel="0" collapsed="false">
      <c r="A1510" s="36" t="str">
        <f aca="false">IF($B1510="","",COUNTA($B$4:$B1510))</f>
        <v/>
      </c>
      <c r="B1510" s="37"/>
      <c r="C1510" s="38"/>
      <c r="D1510" s="39"/>
      <c r="E1510" s="37"/>
      <c r="F1510" s="39"/>
      <c r="G1510" s="40" t="str">
        <f aca="false">IF(OR($E1510="",$F1510=""),"",$E1510&amp;" - RT "&amp;$F1510)</f>
        <v/>
      </c>
      <c r="H1510" s="37"/>
      <c r="I1510" s="38"/>
      <c r="J1510" s="37"/>
      <c r="K1510" s="39"/>
      <c r="L1510" s="41"/>
      <c r="M1510" s="36" t="str">
        <f aca="true">IF(OR($B1510="",$L1510=""),"",DATEDIF($L1510,TODAY(),"Y"))</f>
        <v/>
      </c>
      <c r="N1510" s="40" t="str">
        <f aca="false">IF($M1510="","",INDEX(usia_label,MATCH($M1510,usia_min,1)))</f>
        <v/>
      </c>
      <c r="O1510" s="37"/>
      <c r="P1510" s="41"/>
      <c r="Q1510" s="37"/>
      <c r="R1510" s="37"/>
      <c r="S1510" s="40" t="str">
        <f aca="false">IF($G1510="","",$G1510&amp;"#"&amp;COUNTIF($G$4:$G1510,$G1510))</f>
        <v/>
      </c>
      <c r="T1510" s="40" t="str">
        <f aca="false">IF($B1510="","",IF($C1510="","NIK kosong",IF(LEN($C1510)&lt;&gt;16,"NIK bukan 16 digit",IF(COUNTIF($C$4:$C$2003,$C1510&amp;"*")&gt;1,"NIK ganda",IF($E1510="","Kadus kosong",IF($F1510="","RT kosong",IF($H1510="","Jabatan kosong",IF($I1510="","No. HP kosong",IF($J1510="","Alamat kosong",IF(AND($M1510&lt;&gt;"",$M1510&lt;17),"Usia di bawah 17",""))))))))))</f>
        <v/>
      </c>
      <c r="U1510" s="40" t="str">
        <f aca="false">IF($B1510="","",IF(AND(OR(CARI!$C$5="",ISNUMBER(SEARCH(CARI!$C$5,$B1510&amp;" "&amp;$C1510&amp;" "&amp;$I1510&amp;" "&amp;$J1510&amp;" "&amp;$Q1510))),OR(CARI!$C$6="",$E1510=CARI!$C$6),OR(CARI!$C$7="",$F1510=CARI!$C$7),OR(CARI!$C$8="",$O1510=CARI!$C$8)),MAX($U$3:U1509)+1,""))</f>
        <v/>
      </c>
      <c r="V1510" s="40" t="str">
        <f aca="false">IF($T1510="","",MAX($V$3:V1509)+1)</f>
        <v/>
      </c>
      <c r="W1510" s="40" t="str">
        <f aca="false">IF($E1510="","",$E1510&amp;"#"&amp;COUNTIF($E$4:$E1510,$E1510))</f>
        <v/>
      </c>
      <c r="X1510" s="40" t="str">
        <f aca="false">IF($B1510="","",IF(AND(OR(CETAK!$J$10="",$E1510=CETAK!$J$10),OR(CETAK!$J$11="",$F1510=CETAK!$J$11),OR(CETAK!$J$12="",$K1510=CETAK!$J$12),OR(CETAK!$J$13="",$H1510=CETAK!$J$13),OR(CETAK!$J$14="",$O1510=CETAK!$J$14)),MAX($X$3:X1509)+1,""))</f>
        <v/>
      </c>
      <c r="Y1510" s="40" t="str">
        <f aca="false">IF($B1510="","",IF(AND(OR(ABSENSI!$H$10="",$E1510=ABSENSI!$H$10),OR(ABSENSI!$H$11="",$F1510=ABSENSI!$H$11),OR(ABSENSI!$H$12="",$K1510=ABSENSI!$H$12)),MAX($Y$3:Y1509)+1,""))</f>
        <v/>
      </c>
      <c r="Z1510" s="40" t="str">
        <f aca="false">IF($B1510="","",IF(AND(OR(KARTU!$K$6="",$E1510=KARTU!$K$6),OR(KARTU!$K$7="",$F1510=KARTU!$K$7),OR(KARTU!$K$8="",$K1510=KARTU!$K$8)),MAX($Z$3:Z1509)+1,""))</f>
        <v/>
      </c>
    </row>
    <row r="1511" customFormat="false" ht="15" hidden="false" customHeight="false" outlineLevel="0" collapsed="false">
      <c r="A1511" s="36" t="str">
        <f aca="false">IF($B1511="","",COUNTA($B$4:$B1511))</f>
        <v/>
      </c>
      <c r="B1511" s="37"/>
      <c r="C1511" s="38"/>
      <c r="D1511" s="39"/>
      <c r="E1511" s="37"/>
      <c r="F1511" s="39"/>
      <c r="G1511" s="40" t="str">
        <f aca="false">IF(OR($E1511="",$F1511=""),"",$E1511&amp;" - RT "&amp;$F1511)</f>
        <v/>
      </c>
      <c r="H1511" s="37"/>
      <c r="I1511" s="38"/>
      <c r="J1511" s="37"/>
      <c r="K1511" s="39"/>
      <c r="L1511" s="41"/>
      <c r="M1511" s="36" t="str">
        <f aca="true">IF(OR($B1511="",$L1511=""),"",DATEDIF($L1511,TODAY(),"Y"))</f>
        <v/>
      </c>
      <c r="N1511" s="40" t="str">
        <f aca="false">IF($M1511="","",INDEX(usia_label,MATCH($M1511,usia_min,1)))</f>
        <v/>
      </c>
      <c r="O1511" s="37"/>
      <c r="P1511" s="41"/>
      <c r="Q1511" s="37"/>
      <c r="R1511" s="37"/>
      <c r="S1511" s="40" t="str">
        <f aca="false">IF($G1511="","",$G1511&amp;"#"&amp;COUNTIF($G$4:$G1511,$G1511))</f>
        <v/>
      </c>
      <c r="T1511" s="40" t="str">
        <f aca="false">IF($B1511="","",IF($C1511="","NIK kosong",IF(LEN($C1511)&lt;&gt;16,"NIK bukan 16 digit",IF(COUNTIF($C$4:$C$2003,$C1511&amp;"*")&gt;1,"NIK ganda",IF($E1511="","Kadus kosong",IF($F1511="","RT kosong",IF($H1511="","Jabatan kosong",IF($I1511="","No. HP kosong",IF($J1511="","Alamat kosong",IF(AND($M1511&lt;&gt;"",$M1511&lt;17),"Usia di bawah 17",""))))))))))</f>
        <v/>
      </c>
      <c r="U1511" s="40" t="str">
        <f aca="false">IF($B1511="","",IF(AND(OR(CARI!$C$5="",ISNUMBER(SEARCH(CARI!$C$5,$B1511&amp;" "&amp;$C1511&amp;" "&amp;$I1511&amp;" "&amp;$J1511&amp;" "&amp;$Q1511))),OR(CARI!$C$6="",$E1511=CARI!$C$6),OR(CARI!$C$7="",$F1511=CARI!$C$7),OR(CARI!$C$8="",$O1511=CARI!$C$8)),MAX($U$3:U1510)+1,""))</f>
        <v/>
      </c>
      <c r="V1511" s="40" t="str">
        <f aca="false">IF($T1511="","",MAX($V$3:V1510)+1)</f>
        <v/>
      </c>
      <c r="W1511" s="40" t="str">
        <f aca="false">IF($E1511="","",$E1511&amp;"#"&amp;COUNTIF($E$4:$E1511,$E1511))</f>
        <v/>
      </c>
      <c r="X1511" s="40" t="str">
        <f aca="false">IF($B1511="","",IF(AND(OR(CETAK!$J$10="",$E1511=CETAK!$J$10),OR(CETAK!$J$11="",$F1511=CETAK!$J$11),OR(CETAK!$J$12="",$K1511=CETAK!$J$12),OR(CETAK!$J$13="",$H1511=CETAK!$J$13),OR(CETAK!$J$14="",$O1511=CETAK!$J$14)),MAX($X$3:X1510)+1,""))</f>
        <v/>
      </c>
      <c r="Y1511" s="40" t="str">
        <f aca="false">IF($B1511="","",IF(AND(OR(ABSENSI!$H$10="",$E1511=ABSENSI!$H$10),OR(ABSENSI!$H$11="",$F1511=ABSENSI!$H$11),OR(ABSENSI!$H$12="",$K1511=ABSENSI!$H$12)),MAX($Y$3:Y1510)+1,""))</f>
        <v/>
      </c>
      <c r="Z1511" s="40" t="str">
        <f aca="false">IF($B1511="","",IF(AND(OR(KARTU!$K$6="",$E1511=KARTU!$K$6),OR(KARTU!$K$7="",$F1511=KARTU!$K$7),OR(KARTU!$K$8="",$K1511=KARTU!$K$8)),MAX($Z$3:Z1510)+1,""))</f>
        <v/>
      </c>
    </row>
    <row r="1512" customFormat="false" ht="15" hidden="false" customHeight="false" outlineLevel="0" collapsed="false">
      <c r="A1512" s="36" t="str">
        <f aca="false">IF($B1512="","",COUNTA($B$4:$B1512))</f>
        <v/>
      </c>
      <c r="B1512" s="37"/>
      <c r="C1512" s="38"/>
      <c r="D1512" s="39"/>
      <c r="E1512" s="37"/>
      <c r="F1512" s="39"/>
      <c r="G1512" s="40" t="str">
        <f aca="false">IF(OR($E1512="",$F1512=""),"",$E1512&amp;" - RT "&amp;$F1512)</f>
        <v/>
      </c>
      <c r="H1512" s="37"/>
      <c r="I1512" s="38"/>
      <c r="J1512" s="37"/>
      <c r="K1512" s="39"/>
      <c r="L1512" s="41"/>
      <c r="M1512" s="36" t="str">
        <f aca="true">IF(OR($B1512="",$L1512=""),"",DATEDIF($L1512,TODAY(),"Y"))</f>
        <v/>
      </c>
      <c r="N1512" s="40" t="str">
        <f aca="false">IF($M1512="","",INDEX(usia_label,MATCH($M1512,usia_min,1)))</f>
        <v/>
      </c>
      <c r="O1512" s="37"/>
      <c r="P1512" s="41"/>
      <c r="Q1512" s="37"/>
      <c r="R1512" s="37"/>
      <c r="S1512" s="40" t="str">
        <f aca="false">IF($G1512="","",$G1512&amp;"#"&amp;COUNTIF($G$4:$G1512,$G1512))</f>
        <v/>
      </c>
      <c r="T1512" s="40" t="str">
        <f aca="false">IF($B1512="","",IF($C1512="","NIK kosong",IF(LEN($C1512)&lt;&gt;16,"NIK bukan 16 digit",IF(COUNTIF($C$4:$C$2003,$C1512&amp;"*")&gt;1,"NIK ganda",IF($E1512="","Kadus kosong",IF($F1512="","RT kosong",IF($H1512="","Jabatan kosong",IF($I1512="","No. HP kosong",IF($J1512="","Alamat kosong",IF(AND($M1512&lt;&gt;"",$M1512&lt;17),"Usia di bawah 17",""))))))))))</f>
        <v/>
      </c>
      <c r="U1512" s="40" t="str">
        <f aca="false">IF($B1512="","",IF(AND(OR(CARI!$C$5="",ISNUMBER(SEARCH(CARI!$C$5,$B1512&amp;" "&amp;$C1512&amp;" "&amp;$I1512&amp;" "&amp;$J1512&amp;" "&amp;$Q1512))),OR(CARI!$C$6="",$E1512=CARI!$C$6),OR(CARI!$C$7="",$F1512=CARI!$C$7),OR(CARI!$C$8="",$O1512=CARI!$C$8)),MAX($U$3:U1511)+1,""))</f>
        <v/>
      </c>
      <c r="V1512" s="40" t="str">
        <f aca="false">IF($T1512="","",MAX($V$3:V1511)+1)</f>
        <v/>
      </c>
      <c r="W1512" s="40" t="str">
        <f aca="false">IF($E1512="","",$E1512&amp;"#"&amp;COUNTIF($E$4:$E1512,$E1512))</f>
        <v/>
      </c>
      <c r="X1512" s="40" t="str">
        <f aca="false">IF($B1512="","",IF(AND(OR(CETAK!$J$10="",$E1512=CETAK!$J$10),OR(CETAK!$J$11="",$F1512=CETAK!$J$11),OR(CETAK!$J$12="",$K1512=CETAK!$J$12),OR(CETAK!$J$13="",$H1512=CETAK!$J$13),OR(CETAK!$J$14="",$O1512=CETAK!$J$14)),MAX($X$3:X1511)+1,""))</f>
        <v/>
      </c>
      <c r="Y1512" s="40" t="str">
        <f aca="false">IF($B1512="","",IF(AND(OR(ABSENSI!$H$10="",$E1512=ABSENSI!$H$10),OR(ABSENSI!$H$11="",$F1512=ABSENSI!$H$11),OR(ABSENSI!$H$12="",$K1512=ABSENSI!$H$12)),MAX($Y$3:Y1511)+1,""))</f>
        <v/>
      </c>
      <c r="Z1512" s="40" t="str">
        <f aca="false">IF($B1512="","",IF(AND(OR(KARTU!$K$6="",$E1512=KARTU!$K$6),OR(KARTU!$K$7="",$F1512=KARTU!$K$7),OR(KARTU!$K$8="",$K1512=KARTU!$K$8)),MAX($Z$3:Z1511)+1,""))</f>
        <v/>
      </c>
    </row>
    <row r="1513" customFormat="false" ht="15" hidden="false" customHeight="false" outlineLevel="0" collapsed="false">
      <c r="A1513" s="36" t="str">
        <f aca="false">IF($B1513="","",COUNTA($B$4:$B1513))</f>
        <v/>
      </c>
      <c r="B1513" s="37"/>
      <c r="C1513" s="38"/>
      <c r="D1513" s="39"/>
      <c r="E1513" s="37"/>
      <c r="F1513" s="39"/>
      <c r="G1513" s="40" t="str">
        <f aca="false">IF(OR($E1513="",$F1513=""),"",$E1513&amp;" - RT "&amp;$F1513)</f>
        <v/>
      </c>
      <c r="H1513" s="37"/>
      <c r="I1513" s="38"/>
      <c r="J1513" s="37"/>
      <c r="K1513" s="39"/>
      <c r="L1513" s="41"/>
      <c r="M1513" s="36" t="str">
        <f aca="true">IF(OR($B1513="",$L1513=""),"",DATEDIF($L1513,TODAY(),"Y"))</f>
        <v/>
      </c>
      <c r="N1513" s="40" t="str">
        <f aca="false">IF($M1513="","",INDEX(usia_label,MATCH($M1513,usia_min,1)))</f>
        <v/>
      </c>
      <c r="O1513" s="37"/>
      <c r="P1513" s="41"/>
      <c r="Q1513" s="37"/>
      <c r="R1513" s="37"/>
      <c r="S1513" s="40" t="str">
        <f aca="false">IF($G1513="","",$G1513&amp;"#"&amp;COUNTIF($G$4:$G1513,$G1513))</f>
        <v/>
      </c>
      <c r="T1513" s="40" t="str">
        <f aca="false">IF($B1513="","",IF($C1513="","NIK kosong",IF(LEN($C1513)&lt;&gt;16,"NIK bukan 16 digit",IF(COUNTIF($C$4:$C$2003,$C1513&amp;"*")&gt;1,"NIK ganda",IF($E1513="","Kadus kosong",IF($F1513="","RT kosong",IF($H1513="","Jabatan kosong",IF($I1513="","No. HP kosong",IF($J1513="","Alamat kosong",IF(AND($M1513&lt;&gt;"",$M1513&lt;17),"Usia di bawah 17",""))))))))))</f>
        <v/>
      </c>
      <c r="U1513" s="40" t="str">
        <f aca="false">IF($B1513="","",IF(AND(OR(CARI!$C$5="",ISNUMBER(SEARCH(CARI!$C$5,$B1513&amp;" "&amp;$C1513&amp;" "&amp;$I1513&amp;" "&amp;$J1513&amp;" "&amp;$Q1513))),OR(CARI!$C$6="",$E1513=CARI!$C$6),OR(CARI!$C$7="",$F1513=CARI!$C$7),OR(CARI!$C$8="",$O1513=CARI!$C$8)),MAX($U$3:U1512)+1,""))</f>
        <v/>
      </c>
      <c r="V1513" s="40" t="str">
        <f aca="false">IF($T1513="","",MAX($V$3:V1512)+1)</f>
        <v/>
      </c>
      <c r="W1513" s="40" t="str">
        <f aca="false">IF($E1513="","",$E1513&amp;"#"&amp;COUNTIF($E$4:$E1513,$E1513))</f>
        <v/>
      </c>
      <c r="X1513" s="40" t="str">
        <f aca="false">IF($B1513="","",IF(AND(OR(CETAK!$J$10="",$E1513=CETAK!$J$10),OR(CETAK!$J$11="",$F1513=CETAK!$J$11),OR(CETAK!$J$12="",$K1513=CETAK!$J$12),OR(CETAK!$J$13="",$H1513=CETAK!$J$13),OR(CETAK!$J$14="",$O1513=CETAK!$J$14)),MAX($X$3:X1512)+1,""))</f>
        <v/>
      </c>
      <c r="Y1513" s="40" t="str">
        <f aca="false">IF($B1513="","",IF(AND(OR(ABSENSI!$H$10="",$E1513=ABSENSI!$H$10),OR(ABSENSI!$H$11="",$F1513=ABSENSI!$H$11),OR(ABSENSI!$H$12="",$K1513=ABSENSI!$H$12)),MAX($Y$3:Y1512)+1,""))</f>
        <v/>
      </c>
      <c r="Z1513" s="40" t="str">
        <f aca="false">IF($B1513="","",IF(AND(OR(KARTU!$K$6="",$E1513=KARTU!$K$6),OR(KARTU!$K$7="",$F1513=KARTU!$K$7),OR(KARTU!$K$8="",$K1513=KARTU!$K$8)),MAX($Z$3:Z1512)+1,""))</f>
        <v/>
      </c>
    </row>
    <row r="1514" customFormat="false" ht="15" hidden="false" customHeight="false" outlineLevel="0" collapsed="false">
      <c r="A1514" s="36" t="str">
        <f aca="false">IF($B1514="","",COUNTA($B$4:$B1514))</f>
        <v/>
      </c>
      <c r="B1514" s="37"/>
      <c r="C1514" s="38"/>
      <c r="D1514" s="39"/>
      <c r="E1514" s="37"/>
      <c r="F1514" s="39"/>
      <c r="G1514" s="40" t="str">
        <f aca="false">IF(OR($E1514="",$F1514=""),"",$E1514&amp;" - RT "&amp;$F1514)</f>
        <v/>
      </c>
      <c r="H1514" s="37"/>
      <c r="I1514" s="38"/>
      <c r="J1514" s="37"/>
      <c r="K1514" s="39"/>
      <c r="L1514" s="41"/>
      <c r="M1514" s="36" t="str">
        <f aca="true">IF(OR($B1514="",$L1514=""),"",DATEDIF($L1514,TODAY(),"Y"))</f>
        <v/>
      </c>
      <c r="N1514" s="40" t="str">
        <f aca="false">IF($M1514="","",INDEX(usia_label,MATCH($M1514,usia_min,1)))</f>
        <v/>
      </c>
      <c r="O1514" s="37"/>
      <c r="P1514" s="41"/>
      <c r="Q1514" s="37"/>
      <c r="R1514" s="37"/>
      <c r="S1514" s="40" t="str">
        <f aca="false">IF($G1514="","",$G1514&amp;"#"&amp;COUNTIF($G$4:$G1514,$G1514))</f>
        <v/>
      </c>
      <c r="T1514" s="40" t="str">
        <f aca="false">IF($B1514="","",IF($C1514="","NIK kosong",IF(LEN($C1514)&lt;&gt;16,"NIK bukan 16 digit",IF(COUNTIF($C$4:$C$2003,$C1514&amp;"*")&gt;1,"NIK ganda",IF($E1514="","Kadus kosong",IF($F1514="","RT kosong",IF($H1514="","Jabatan kosong",IF($I1514="","No. HP kosong",IF($J1514="","Alamat kosong",IF(AND($M1514&lt;&gt;"",$M1514&lt;17),"Usia di bawah 17",""))))))))))</f>
        <v/>
      </c>
      <c r="U1514" s="40" t="str">
        <f aca="false">IF($B1514="","",IF(AND(OR(CARI!$C$5="",ISNUMBER(SEARCH(CARI!$C$5,$B1514&amp;" "&amp;$C1514&amp;" "&amp;$I1514&amp;" "&amp;$J1514&amp;" "&amp;$Q1514))),OR(CARI!$C$6="",$E1514=CARI!$C$6),OR(CARI!$C$7="",$F1514=CARI!$C$7),OR(CARI!$C$8="",$O1514=CARI!$C$8)),MAX($U$3:U1513)+1,""))</f>
        <v/>
      </c>
      <c r="V1514" s="40" t="str">
        <f aca="false">IF($T1514="","",MAX($V$3:V1513)+1)</f>
        <v/>
      </c>
      <c r="W1514" s="40" t="str">
        <f aca="false">IF($E1514="","",$E1514&amp;"#"&amp;COUNTIF($E$4:$E1514,$E1514))</f>
        <v/>
      </c>
      <c r="X1514" s="40" t="str">
        <f aca="false">IF($B1514="","",IF(AND(OR(CETAK!$J$10="",$E1514=CETAK!$J$10),OR(CETAK!$J$11="",$F1514=CETAK!$J$11),OR(CETAK!$J$12="",$K1514=CETAK!$J$12),OR(CETAK!$J$13="",$H1514=CETAK!$J$13),OR(CETAK!$J$14="",$O1514=CETAK!$J$14)),MAX($X$3:X1513)+1,""))</f>
        <v/>
      </c>
      <c r="Y1514" s="40" t="str">
        <f aca="false">IF($B1514="","",IF(AND(OR(ABSENSI!$H$10="",$E1514=ABSENSI!$H$10),OR(ABSENSI!$H$11="",$F1514=ABSENSI!$H$11),OR(ABSENSI!$H$12="",$K1514=ABSENSI!$H$12)),MAX($Y$3:Y1513)+1,""))</f>
        <v/>
      </c>
      <c r="Z1514" s="40" t="str">
        <f aca="false">IF($B1514="","",IF(AND(OR(KARTU!$K$6="",$E1514=KARTU!$K$6),OR(KARTU!$K$7="",$F1514=KARTU!$K$7),OR(KARTU!$K$8="",$K1514=KARTU!$K$8)),MAX($Z$3:Z1513)+1,""))</f>
        <v/>
      </c>
    </row>
    <row r="1515" customFormat="false" ht="15" hidden="false" customHeight="false" outlineLevel="0" collapsed="false">
      <c r="A1515" s="36" t="str">
        <f aca="false">IF($B1515="","",COUNTA($B$4:$B1515))</f>
        <v/>
      </c>
      <c r="B1515" s="37"/>
      <c r="C1515" s="38"/>
      <c r="D1515" s="39"/>
      <c r="E1515" s="37"/>
      <c r="F1515" s="39"/>
      <c r="G1515" s="40" t="str">
        <f aca="false">IF(OR($E1515="",$F1515=""),"",$E1515&amp;" - RT "&amp;$F1515)</f>
        <v/>
      </c>
      <c r="H1515" s="37"/>
      <c r="I1515" s="38"/>
      <c r="J1515" s="37"/>
      <c r="K1515" s="39"/>
      <c r="L1515" s="41"/>
      <c r="M1515" s="36" t="str">
        <f aca="true">IF(OR($B1515="",$L1515=""),"",DATEDIF($L1515,TODAY(),"Y"))</f>
        <v/>
      </c>
      <c r="N1515" s="40" t="str">
        <f aca="false">IF($M1515="","",INDEX(usia_label,MATCH($M1515,usia_min,1)))</f>
        <v/>
      </c>
      <c r="O1515" s="37"/>
      <c r="P1515" s="41"/>
      <c r="Q1515" s="37"/>
      <c r="R1515" s="37"/>
      <c r="S1515" s="40" t="str">
        <f aca="false">IF($G1515="","",$G1515&amp;"#"&amp;COUNTIF($G$4:$G1515,$G1515))</f>
        <v/>
      </c>
      <c r="T1515" s="40" t="str">
        <f aca="false">IF($B1515="","",IF($C1515="","NIK kosong",IF(LEN($C1515)&lt;&gt;16,"NIK bukan 16 digit",IF(COUNTIF($C$4:$C$2003,$C1515&amp;"*")&gt;1,"NIK ganda",IF($E1515="","Kadus kosong",IF($F1515="","RT kosong",IF($H1515="","Jabatan kosong",IF($I1515="","No. HP kosong",IF($J1515="","Alamat kosong",IF(AND($M1515&lt;&gt;"",$M1515&lt;17),"Usia di bawah 17",""))))))))))</f>
        <v/>
      </c>
      <c r="U1515" s="40" t="str">
        <f aca="false">IF($B1515="","",IF(AND(OR(CARI!$C$5="",ISNUMBER(SEARCH(CARI!$C$5,$B1515&amp;" "&amp;$C1515&amp;" "&amp;$I1515&amp;" "&amp;$J1515&amp;" "&amp;$Q1515))),OR(CARI!$C$6="",$E1515=CARI!$C$6),OR(CARI!$C$7="",$F1515=CARI!$C$7),OR(CARI!$C$8="",$O1515=CARI!$C$8)),MAX($U$3:U1514)+1,""))</f>
        <v/>
      </c>
      <c r="V1515" s="40" t="str">
        <f aca="false">IF($T1515="","",MAX($V$3:V1514)+1)</f>
        <v/>
      </c>
      <c r="W1515" s="40" t="str">
        <f aca="false">IF($E1515="","",$E1515&amp;"#"&amp;COUNTIF($E$4:$E1515,$E1515))</f>
        <v/>
      </c>
      <c r="X1515" s="40" t="str">
        <f aca="false">IF($B1515="","",IF(AND(OR(CETAK!$J$10="",$E1515=CETAK!$J$10),OR(CETAK!$J$11="",$F1515=CETAK!$J$11),OR(CETAK!$J$12="",$K1515=CETAK!$J$12),OR(CETAK!$J$13="",$H1515=CETAK!$J$13),OR(CETAK!$J$14="",$O1515=CETAK!$J$14)),MAX($X$3:X1514)+1,""))</f>
        <v/>
      </c>
      <c r="Y1515" s="40" t="str">
        <f aca="false">IF($B1515="","",IF(AND(OR(ABSENSI!$H$10="",$E1515=ABSENSI!$H$10),OR(ABSENSI!$H$11="",$F1515=ABSENSI!$H$11),OR(ABSENSI!$H$12="",$K1515=ABSENSI!$H$12)),MAX($Y$3:Y1514)+1,""))</f>
        <v/>
      </c>
      <c r="Z1515" s="40" t="str">
        <f aca="false">IF($B1515="","",IF(AND(OR(KARTU!$K$6="",$E1515=KARTU!$K$6),OR(KARTU!$K$7="",$F1515=KARTU!$K$7),OR(KARTU!$K$8="",$K1515=KARTU!$K$8)),MAX($Z$3:Z1514)+1,""))</f>
        <v/>
      </c>
    </row>
    <row r="1516" customFormat="false" ht="15" hidden="false" customHeight="false" outlineLevel="0" collapsed="false">
      <c r="A1516" s="36" t="str">
        <f aca="false">IF($B1516="","",COUNTA($B$4:$B1516))</f>
        <v/>
      </c>
      <c r="B1516" s="37"/>
      <c r="C1516" s="38"/>
      <c r="D1516" s="39"/>
      <c r="E1516" s="37"/>
      <c r="F1516" s="39"/>
      <c r="G1516" s="40" t="str">
        <f aca="false">IF(OR($E1516="",$F1516=""),"",$E1516&amp;" - RT "&amp;$F1516)</f>
        <v/>
      </c>
      <c r="H1516" s="37"/>
      <c r="I1516" s="38"/>
      <c r="J1516" s="37"/>
      <c r="K1516" s="39"/>
      <c r="L1516" s="41"/>
      <c r="M1516" s="36" t="str">
        <f aca="true">IF(OR($B1516="",$L1516=""),"",DATEDIF($L1516,TODAY(),"Y"))</f>
        <v/>
      </c>
      <c r="N1516" s="40" t="str">
        <f aca="false">IF($M1516="","",INDEX(usia_label,MATCH($M1516,usia_min,1)))</f>
        <v/>
      </c>
      <c r="O1516" s="37"/>
      <c r="P1516" s="41"/>
      <c r="Q1516" s="37"/>
      <c r="R1516" s="37"/>
      <c r="S1516" s="40" t="str">
        <f aca="false">IF($G1516="","",$G1516&amp;"#"&amp;COUNTIF($G$4:$G1516,$G1516))</f>
        <v/>
      </c>
      <c r="T1516" s="40" t="str">
        <f aca="false">IF($B1516="","",IF($C1516="","NIK kosong",IF(LEN($C1516)&lt;&gt;16,"NIK bukan 16 digit",IF(COUNTIF($C$4:$C$2003,$C1516&amp;"*")&gt;1,"NIK ganda",IF($E1516="","Kadus kosong",IF($F1516="","RT kosong",IF($H1516="","Jabatan kosong",IF($I1516="","No. HP kosong",IF($J1516="","Alamat kosong",IF(AND($M1516&lt;&gt;"",$M1516&lt;17),"Usia di bawah 17",""))))))))))</f>
        <v/>
      </c>
      <c r="U1516" s="40" t="str">
        <f aca="false">IF($B1516="","",IF(AND(OR(CARI!$C$5="",ISNUMBER(SEARCH(CARI!$C$5,$B1516&amp;" "&amp;$C1516&amp;" "&amp;$I1516&amp;" "&amp;$J1516&amp;" "&amp;$Q1516))),OR(CARI!$C$6="",$E1516=CARI!$C$6),OR(CARI!$C$7="",$F1516=CARI!$C$7),OR(CARI!$C$8="",$O1516=CARI!$C$8)),MAX($U$3:U1515)+1,""))</f>
        <v/>
      </c>
      <c r="V1516" s="40" t="str">
        <f aca="false">IF($T1516="","",MAX($V$3:V1515)+1)</f>
        <v/>
      </c>
      <c r="W1516" s="40" t="str">
        <f aca="false">IF($E1516="","",$E1516&amp;"#"&amp;COUNTIF($E$4:$E1516,$E1516))</f>
        <v/>
      </c>
      <c r="X1516" s="40" t="str">
        <f aca="false">IF($B1516="","",IF(AND(OR(CETAK!$J$10="",$E1516=CETAK!$J$10),OR(CETAK!$J$11="",$F1516=CETAK!$J$11),OR(CETAK!$J$12="",$K1516=CETAK!$J$12),OR(CETAK!$J$13="",$H1516=CETAK!$J$13),OR(CETAK!$J$14="",$O1516=CETAK!$J$14)),MAX($X$3:X1515)+1,""))</f>
        <v/>
      </c>
      <c r="Y1516" s="40" t="str">
        <f aca="false">IF($B1516="","",IF(AND(OR(ABSENSI!$H$10="",$E1516=ABSENSI!$H$10),OR(ABSENSI!$H$11="",$F1516=ABSENSI!$H$11),OR(ABSENSI!$H$12="",$K1516=ABSENSI!$H$12)),MAX($Y$3:Y1515)+1,""))</f>
        <v/>
      </c>
      <c r="Z1516" s="40" t="str">
        <f aca="false">IF($B1516="","",IF(AND(OR(KARTU!$K$6="",$E1516=KARTU!$K$6),OR(KARTU!$K$7="",$F1516=KARTU!$K$7),OR(KARTU!$K$8="",$K1516=KARTU!$K$8)),MAX($Z$3:Z1515)+1,""))</f>
        <v/>
      </c>
    </row>
    <row r="1517" customFormat="false" ht="15" hidden="false" customHeight="false" outlineLevel="0" collapsed="false">
      <c r="A1517" s="36" t="str">
        <f aca="false">IF($B1517="","",COUNTA($B$4:$B1517))</f>
        <v/>
      </c>
      <c r="B1517" s="37"/>
      <c r="C1517" s="38"/>
      <c r="D1517" s="39"/>
      <c r="E1517" s="37"/>
      <c r="F1517" s="39"/>
      <c r="G1517" s="40" t="str">
        <f aca="false">IF(OR($E1517="",$F1517=""),"",$E1517&amp;" - RT "&amp;$F1517)</f>
        <v/>
      </c>
      <c r="H1517" s="37"/>
      <c r="I1517" s="38"/>
      <c r="J1517" s="37"/>
      <c r="K1517" s="39"/>
      <c r="L1517" s="41"/>
      <c r="M1517" s="36" t="str">
        <f aca="true">IF(OR($B1517="",$L1517=""),"",DATEDIF($L1517,TODAY(),"Y"))</f>
        <v/>
      </c>
      <c r="N1517" s="40" t="str">
        <f aca="false">IF($M1517="","",INDEX(usia_label,MATCH($M1517,usia_min,1)))</f>
        <v/>
      </c>
      <c r="O1517" s="37"/>
      <c r="P1517" s="41"/>
      <c r="Q1517" s="37"/>
      <c r="R1517" s="37"/>
      <c r="S1517" s="40" t="str">
        <f aca="false">IF($G1517="","",$G1517&amp;"#"&amp;COUNTIF($G$4:$G1517,$G1517))</f>
        <v/>
      </c>
      <c r="T1517" s="40" t="str">
        <f aca="false">IF($B1517="","",IF($C1517="","NIK kosong",IF(LEN($C1517)&lt;&gt;16,"NIK bukan 16 digit",IF(COUNTIF($C$4:$C$2003,$C1517&amp;"*")&gt;1,"NIK ganda",IF($E1517="","Kadus kosong",IF($F1517="","RT kosong",IF($H1517="","Jabatan kosong",IF($I1517="","No. HP kosong",IF($J1517="","Alamat kosong",IF(AND($M1517&lt;&gt;"",$M1517&lt;17),"Usia di bawah 17",""))))))))))</f>
        <v/>
      </c>
      <c r="U1517" s="40" t="str">
        <f aca="false">IF($B1517="","",IF(AND(OR(CARI!$C$5="",ISNUMBER(SEARCH(CARI!$C$5,$B1517&amp;" "&amp;$C1517&amp;" "&amp;$I1517&amp;" "&amp;$J1517&amp;" "&amp;$Q1517))),OR(CARI!$C$6="",$E1517=CARI!$C$6),OR(CARI!$C$7="",$F1517=CARI!$C$7),OR(CARI!$C$8="",$O1517=CARI!$C$8)),MAX($U$3:U1516)+1,""))</f>
        <v/>
      </c>
      <c r="V1517" s="40" t="str">
        <f aca="false">IF($T1517="","",MAX($V$3:V1516)+1)</f>
        <v/>
      </c>
      <c r="W1517" s="40" t="str">
        <f aca="false">IF($E1517="","",$E1517&amp;"#"&amp;COUNTIF($E$4:$E1517,$E1517))</f>
        <v/>
      </c>
      <c r="X1517" s="40" t="str">
        <f aca="false">IF($B1517="","",IF(AND(OR(CETAK!$J$10="",$E1517=CETAK!$J$10),OR(CETAK!$J$11="",$F1517=CETAK!$J$11),OR(CETAK!$J$12="",$K1517=CETAK!$J$12),OR(CETAK!$J$13="",$H1517=CETAK!$J$13),OR(CETAK!$J$14="",$O1517=CETAK!$J$14)),MAX($X$3:X1516)+1,""))</f>
        <v/>
      </c>
      <c r="Y1517" s="40" t="str">
        <f aca="false">IF($B1517="","",IF(AND(OR(ABSENSI!$H$10="",$E1517=ABSENSI!$H$10),OR(ABSENSI!$H$11="",$F1517=ABSENSI!$H$11),OR(ABSENSI!$H$12="",$K1517=ABSENSI!$H$12)),MAX($Y$3:Y1516)+1,""))</f>
        <v/>
      </c>
      <c r="Z1517" s="40" t="str">
        <f aca="false">IF($B1517="","",IF(AND(OR(KARTU!$K$6="",$E1517=KARTU!$K$6),OR(KARTU!$K$7="",$F1517=KARTU!$K$7),OR(KARTU!$K$8="",$K1517=KARTU!$K$8)),MAX($Z$3:Z1516)+1,""))</f>
        <v/>
      </c>
    </row>
    <row r="1518" customFormat="false" ht="15" hidden="false" customHeight="false" outlineLevel="0" collapsed="false">
      <c r="A1518" s="36" t="str">
        <f aca="false">IF($B1518="","",COUNTA($B$4:$B1518))</f>
        <v/>
      </c>
      <c r="B1518" s="37"/>
      <c r="C1518" s="38"/>
      <c r="D1518" s="39"/>
      <c r="E1518" s="37"/>
      <c r="F1518" s="39"/>
      <c r="G1518" s="40" t="str">
        <f aca="false">IF(OR($E1518="",$F1518=""),"",$E1518&amp;" - RT "&amp;$F1518)</f>
        <v/>
      </c>
      <c r="H1518" s="37"/>
      <c r="I1518" s="38"/>
      <c r="J1518" s="37"/>
      <c r="K1518" s="39"/>
      <c r="L1518" s="41"/>
      <c r="M1518" s="36" t="str">
        <f aca="true">IF(OR($B1518="",$L1518=""),"",DATEDIF($L1518,TODAY(),"Y"))</f>
        <v/>
      </c>
      <c r="N1518" s="40" t="str">
        <f aca="false">IF($M1518="","",INDEX(usia_label,MATCH($M1518,usia_min,1)))</f>
        <v/>
      </c>
      <c r="O1518" s="37"/>
      <c r="P1518" s="41"/>
      <c r="Q1518" s="37"/>
      <c r="R1518" s="37"/>
      <c r="S1518" s="40" t="str">
        <f aca="false">IF($G1518="","",$G1518&amp;"#"&amp;COUNTIF($G$4:$G1518,$G1518))</f>
        <v/>
      </c>
      <c r="T1518" s="40" t="str">
        <f aca="false">IF($B1518="","",IF($C1518="","NIK kosong",IF(LEN($C1518)&lt;&gt;16,"NIK bukan 16 digit",IF(COUNTIF($C$4:$C$2003,$C1518&amp;"*")&gt;1,"NIK ganda",IF($E1518="","Kadus kosong",IF($F1518="","RT kosong",IF($H1518="","Jabatan kosong",IF($I1518="","No. HP kosong",IF($J1518="","Alamat kosong",IF(AND($M1518&lt;&gt;"",$M1518&lt;17),"Usia di bawah 17",""))))))))))</f>
        <v/>
      </c>
      <c r="U1518" s="40" t="str">
        <f aca="false">IF($B1518="","",IF(AND(OR(CARI!$C$5="",ISNUMBER(SEARCH(CARI!$C$5,$B1518&amp;" "&amp;$C1518&amp;" "&amp;$I1518&amp;" "&amp;$J1518&amp;" "&amp;$Q1518))),OR(CARI!$C$6="",$E1518=CARI!$C$6),OR(CARI!$C$7="",$F1518=CARI!$C$7),OR(CARI!$C$8="",$O1518=CARI!$C$8)),MAX($U$3:U1517)+1,""))</f>
        <v/>
      </c>
      <c r="V1518" s="40" t="str">
        <f aca="false">IF($T1518="","",MAX($V$3:V1517)+1)</f>
        <v/>
      </c>
      <c r="W1518" s="40" t="str">
        <f aca="false">IF($E1518="","",$E1518&amp;"#"&amp;COUNTIF($E$4:$E1518,$E1518))</f>
        <v/>
      </c>
      <c r="X1518" s="40" t="str">
        <f aca="false">IF($B1518="","",IF(AND(OR(CETAK!$J$10="",$E1518=CETAK!$J$10),OR(CETAK!$J$11="",$F1518=CETAK!$J$11),OR(CETAK!$J$12="",$K1518=CETAK!$J$12),OR(CETAK!$J$13="",$H1518=CETAK!$J$13),OR(CETAK!$J$14="",$O1518=CETAK!$J$14)),MAX($X$3:X1517)+1,""))</f>
        <v/>
      </c>
      <c r="Y1518" s="40" t="str">
        <f aca="false">IF($B1518="","",IF(AND(OR(ABSENSI!$H$10="",$E1518=ABSENSI!$H$10),OR(ABSENSI!$H$11="",$F1518=ABSENSI!$H$11),OR(ABSENSI!$H$12="",$K1518=ABSENSI!$H$12)),MAX($Y$3:Y1517)+1,""))</f>
        <v/>
      </c>
      <c r="Z1518" s="40" t="str">
        <f aca="false">IF($B1518="","",IF(AND(OR(KARTU!$K$6="",$E1518=KARTU!$K$6),OR(KARTU!$K$7="",$F1518=KARTU!$K$7),OR(KARTU!$K$8="",$K1518=KARTU!$K$8)),MAX($Z$3:Z1517)+1,""))</f>
        <v/>
      </c>
    </row>
    <row r="1519" customFormat="false" ht="15" hidden="false" customHeight="false" outlineLevel="0" collapsed="false">
      <c r="A1519" s="36" t="str">
        <f aca="false">IF($B1519="","",COUNTA($B$4:$B1519))</f>
        <v/>
      </c>
      <c r="B1519" s="37"/>
      <c r="C1519" s="38"/>
      <c r="D1519" s="39"/>
      <c r="E1519" s="37"/>
      <c r="F1519" s="39"/>
      <c r="G1519" s="40" t="str">
        <f aca="false">IF(OR($E1519="",$F1519=""),"",$E1519&amp;" - RT "&amp;$F1519)</f>
        <v/>
      </c>
      <c r="H1519" s="37"/>
      <c r="I1519" s="38"/>
      <c r="J1519" s="37"/>
      <c r="K1519" s="39"/>
      <c r="L1519" s="41"/>
      <c r="M1519" s="36" t="str">
        <f aca="true">IF(OR($B1519="",$L1519=""),"",DATEDIF($L1519,TODAY(),"Y"))</f>
        <v/>
      </c>
      <c r="N1519" s="40" t="str">
        <f aca="false">IF($M1519="","",INDEX(usia_label,MATCH($M1519,usia_min,1)))</f>
        <v/>
      </c>
      <c r="O1519" s="37"/>
      <c r="P1519" s="41"/>
      <c r="Q1519" s="37"/>
      <c r="R1519" s="37"/>
      <c r="S1519" s="40" t="str">
        <f aca="false">IF($G1519="","",$G1519&amp;"#"&amp;COUNTIF($G$4:$G1519,$G1519))</f>
        <v/>
      </c>
      <c r="T1519" s="40" t="str">
        <f aca="false">IF($B1519="","",IF($C1519="","NIK kosong",IF(LEN($C1519)&lt;&gt;16,"NIK bukan 16 digit",IF(COUNTIF($C$4:$C$2003,$C1519&amp;"*")&gt;1,"NIK ganda",IF($E1519="","Kadus kosong",IF($F1519="","RT kosong",IF($H1519="","Jabatan kosong",IF($I1519="","No. HP kosong",IF($J1519="","Alamat kosong",IF(AND($M1519&lt;&gt;"",$M1519&lt;17),"Usia di bawah 17",""))))))))))</f>
        <v/>
      </c>
      <c r="U1519" s="40" t="str">
        <f aca="false">IF($B1519="","",IF(AND(OR(CARI!$C$5="",ISNUMBER(SEARCH(CARI!$C$5,$B1519&amp;" "&amp;$C1519&amp;" "&amp;$I1519&amp;" "&amp;$J1519&amp;" "&amp;$Q1519))),OR(CARI!$C$6="",$E1519=CARI!$C$6),OR(CARI!$C$7="",$F1519=CARI!$C$7),OR(CARI!$C$8="",$O1519=CARI!$C$8)),MAX($U$3:U1518)+1,""))</f>
        <v/>
      </c>
      <c r="V1519" s="40" t="str">
        <f aca="false">IF($T1519="","",MAX($V$3:V1518)+1)</f>
        <v/>
      </c>
      <c r="W1519" s="40" t="str">
        <f aca="false">IF($E1519="","",$E1519&amp;"#"&amp;COUNTIF($E$4:$E1519,$E1519))</f>
        <v/>
      </c>
      <c r="X1519" s="40" t="str">
        <f aca="false">IF($B1519="","",IF(AND(OR(CETAK!$J$10="",$E1519=CETAK!$J$10),OR(CETAK!$J$11="",$F1519=CETAK!$J$11),OR(CETAK!$J$12="",$K1519=CETAK!$J$12),OR(CETAK!$J$13="",$H1519=CETAK!$J$13),OR(CETAK!$J$14="",$O1519=CETAK!$J$14)),MAX($X$3:X1518)+1,""))</f>
        <v/>
      </c>
      <c r="Y1519" s="40" t="str">
        <f aca="false">IF($B1519="","",IF(AND(OR(ABSENSI!$H$10="",$E1519=ABSENSI!$H$10),OR(ABSENSI!$H$11="",$F1519=ABSENSI!$H$11),OR(ABSENSI!$H$12="",$K1519=ABSENSI!$H$12)),MAX($Y$3:Y1518)+1,""))</f>
        <v/>
      </c>
      <c r="Z1519" s="40" t="str">
        <f aca="false">IF($B1519="","",IF(AND(OR(KARTU!$K$6="",$E1519=KARTU!$K$6),OR(KARTU!$K$7="",$F1519=KARTU!$K$7),OR(KARTU!$K$8="",$K1519=KARTU!$K$8)),MAX($Z$3:Z1518)+1,""))</f>
        <v/>
      </c>
    </row>
    <row r="1520" customFormat="false" ht="15" hidden="false" customHeight="false" outlineLevel="0" collapsed="false">
      <c r="A1520" s="36" t="str">
        <f aca="false">IF($B1520="","",COUNTA($B$4:$B1520))</f>
        <v/>
      </c>
      <c r="B1520" s="37"/>
      <c r="C1520" s="38"/>
      <c r="D1520" s="39"/>
      <c r="E1520" s="37"/>
      <c r="F1520" s="39"/>
      <c r="G1520" s="40" t="str">
        <f aca="false">IF(OR($E1520="",$F1520=""),"",$E1520&amp;" - RT "&amp;$F1520)</f>
        <v/>
      </c>
      <c r="H1520" s="37"/>
      <c r="I1520" s="38"/>
      <c r="J1520" s="37"/>
      <c r="K1520" s="39"/>
      <c r="L1520" s="41"/>
      <c r="M1520" s="36" t="str">
        <f aca="true">IF(OR($B1520="",$L1520=""),"",DATEDIF($L1520,TODAY(),"Y"))</f>
        <v/>
      </c>
      <c r="N1520" s="40" t="str">
        <f aca="false">IF($M1520="","",INDEX(usia_label,MATCH($M1520,usia_min,1)))</f>
        <v/>
      </c>
      <c r="O1520" s="37"/>
      <c r="P1520" s="41"/>
      <c r="Q1520" s="37"/>
      <c r="R1520" s="37"/>
      <c r="S1520" s="40" t="str">
        <f aca="false">IF($G1520="","",$G1520&amp;"#"&amp;COUNTIF($G$4:$G1520,$G1520))</f>
        <v/>
      </c>
      <c r="T1520" s="40" t="str">
        <f aca="false">IF($B1520="","",IF($C1520="","NIK kosong",IF(LEN($C1520)&lt;&gt;16,"NIK bukan 16 digit",IF(COUNTIF($C$4:$C$2003,$C1520&amp;"*")&gt;1,"NIK ganda",IF($E1520="","Kadus kosong",IF($F1520="","RT kosong",IF($H1520="","Jabatan kosong",IF($I1520="","No. HP kosong",IF($J1520="","Alamat kosong",IF(AND($M1520&lt;&gt;"",$M1520&lt;17),"Usia di bawah 17",""))))))))))</f>
        <v/>
      </c>
      <c r="U1520" s="40" t="str">
        <f aca="false">IF($B1520="","",IF(AND(OR(CARI!$C$5="",ISNUMBER(SEARCH(CARI!$C$5,$B1520&amp;" "&amp;$C1520&amp;" "&amp;$I1520&amp;" "&amp;$J1520&amp;" "&amp;$Q1520))),OR(CARI!$C$6="",$E1520=CARI!$C$6),OR(CARI!$C$7="",$F1520=CARI!$C$7),OR(CARI!$C$8="",$O1520=CARI!$C$8)),MAX($U$3:U1519)+1,""))</f>
        <v/>
      </c>
      <c r="V1520" s="40" t="str">
        <f aca="false">IF($T1520="","",MAX($V$3:V1519)+1)</f>
        <v/>
      </c>
      <c r="W1520" s="40" t="str">
        <f aca="false">IF($E1520="","",$E1520&amp;"#"&amp;COUNTIF($E$4:$E1520,$E1520))</f>
        <v/>
      </c>
      <c r="X1520" s="40" t="str">
        <f aca="false">IF($B1520="","",IF(AND(OR(CETAK!$J$10="",$E1520=CETAK!$J$10),OR(CETAK!$J$11="",$F1520=CETAK!$J$11),OR(CETAK!$J$12="",$K1520=CETAK!$J$12),OR(CETAK!$J$13="",$H1520=CETAK!$J$13),OR(CETAK!$J$14="",$O1520=CETAK!$J$14)),MAX($X$3:X1519)+1,""))</f>
        <v/>
      </c>
      <c r="Y1520" s="40" t="str">
        <f aca="false">IF($B1520="","",IF(AND(OR(ABSENSI!$H$10="",$E1520=ABSENSI!$H$10),OR(ABSENSI!$H$11="",$F1520=ABSENSI!$H$11),OR(ABSENSI!$H$12="",$K1520=ABSENSI!$H$12)),MAX($Y$3:Y1519)+1,""))</f>
        <v/>
      </c>
      <c r="Z1520" s="40" t="str">
        <f aca="false">IF($B1520="","",IF(AND(OR(KARTU!$K$6="",$E1520=KARTU!$K$6),OR(KARTU!$K$7="",$F1520=KARTU!$K$7),OR(KARTU!$K$8="",$K1520=KARTU!$K$8)),MAX($Z$3:Z1519)+1,""))</f>
        <v/>
      </c>
    </row>
    <row r="1521" customFormat="false" ht="15" hidden="false" customHeight="false" outlineLevel="0" collapsed="false">
      <c r="A1521" s="36" t="str">
        <f aca="false">IF($B1521="","",COUNTA($B$4:$B1521))</f>
        <v/>
      </c>
      <c r="B1521" s="37"/>
      <c r="C1521" s="38"/>
      <c r="D1521" s="39"/>
      <c r="E1521" s="37"/>
      <c r="F1521" s="39"/>
      <c r="G1521" s="40" t="str">
        <f aca="false">IF(OR($E1521="",$F1521=""),"",$E1521&amp;" - RT "&amp;$F1521)</f>
        <v/>
      </c>
      <c r="H1521" s="37"/>
      <c r="I1521" s="38"/>
      <c r="J1521" s="37"/>
      <c r="K1521" s="39"/>
      <c r="L1521" s="41"/>
      <c r="M1521" s="36" t="str">
        <f aca="true">IF(OR($B1521="",$L1521=""),"",DATEDIF($L1521,TODAY(),"Y"))</f>
        <v/>
      </c>
      <c r="N1521" s="40" t="str">
        <f aca="false">IF($M1521="","",INDEX(usia_label,MATCH($M1521,usia_min,1)))</f>
        <v/>
      </c>
      <c r="O1521" s="37"/>
      <c r="P1521" s="41"/>
      <c r="Q1521" s="37"/>
      <c r="R1521" s="37"/>
      <c r="S1521" s="40" t="str">
        <f aca="false">IF($G1521="","",$G1521&amp;"#"&amp;COUNTIF($G$4:$G1521,$G1521))</f>
        <v/>
      </c>
      <c r="T1521" s="40" t="str">
        <f aca="false">IF($B1521="","",IF($C1521="","NIK kosong",IF(LEN($C1521)&lt;&gt;16,"NIK bukan 16 digit",IF(COUNTIF($C$4:$C$2003,$C1521&amp;"*")&gt;1,"NIK ganda",IF($E1521="","Kadus kosong",IF($F1521="","RT kosong",IF($H1521="","Jabatan kosong",IF($I1521="","No. HP kosong",IF($J1521="","Alamat kosong",IF(AND($M1521&lt;&gt;"",$M1521&lt;17),"Usia di bawah 17",""))))))))))</f>
        <v/>
      </c>
      <c r="U1521" s="40" t="str">
        <f aca="false">IF($B1521="","",IF(AND(OR(CARI!$C$5="",ISNUMBER(SEARCH(CARI!$C$5,$B1521&amp;" "&amp;$C1521&amp;" "&amp;$I1521&amp;" "&amp;$J1521&amp;" "&amp;$Q1521))),OR(CARI!$C$6="",$E1521=CARI!$C$6),OR(CARI!$C$7="",$F1521=CARI!$C$7),OR(CARI!$C$8="",$O1521=CARI!$C$8)),MAX($U$3:U1520)+1,""))</f>
        <v/>
      </c>
      <c r="V1521" s="40" t="str">
        <f aca="false">IF($T1521="","",MAX($V$3:V1520)+1)</f>
        <v/>
      </c>
      <c r="W1521" s="40" t="str">
        <f aca="false">IF($E1521="","",$E1521&amp;"#"&amp;COUNTIF($E$4:$E1521,$E1521))</f>
        <v/>
      </c>
      <c r="X1521" s="40" t="str">
        <f aca="false">IF($B1521="","",IF(AND(OR(CETAK!$J$10="",$E1521=CETAK!$J$10),OR(CETAK!$J$11="",$F1521=CETAK!$J$11),OR(CETAK!$J$12="",$K1521=CETAK!$J$12),OR(CETAK!$J$13="",$H1521=CETAK!$J$13),OR(CETAK!$J$14="",$O1521=CETAK!$J$14)),MAX($X$3:X1520)+1,""))</f>
        <v/>
      </c>
      <c r="Y1521" s="40" t="str">
        <f aca="false">IF($B1521="","",IF(AND(OR(ABSENSI!$H$10="",$E1521=ABSENSI!$H$10),OR(ABSENSI!$H$11="",$F1521=ABSENSI!$H$11),OR(ABSENSI!$H$12="",$K1521=ABSENSI!$H$12)),MAX($Y$3:Y1520)+1,""))</f>
        <v/>
      </c>
      <c r="Z1521" s="40" t="str">
        <f aca="false">IF($B1521="","",IF(AND(OR(KARTU!$K$6="",$E1521=KARTU!$K$6),OR(KARTU!$K$7="",$F1521=KARTU!$K$7),OR(KARTU!$K$8="",$K1521=KARTU!$K$8)),MAX($Z$3:Z1520)+1,""))</f>
        <v/>
      </c>
    </row>
    <row r="1522" customFormat="false" ht="15" hidden="false" customHeight="false" outlineLevel="0" collapsed="false">
      <c r="A1522" s="36" t="str">
        <f aca="false">IF($B1522="","",COUNTA($B$4:$B1522))</f>
        <v/>
      </c>
      <c r="B1522" s="37"/>
      <c r="C1522" s="38"/>
      <c r="D1522" s="39"/>
      <c r="E1522" s="37"/>
      <c r="F1522" s="39"/>
      <c r="G1522" s="40" t="str">
        <f aca="false">IF(OR($E1522="",$F1522=""),"",$E1522&amp;" - RT "&amp;$F1522)</f>
        <v/>
      </c>
      <c r="H1522" s="37"/>
      <c r="I1522" s="38"/>
      <c r="J1522" s="37"/>
      <c r="K1522" s="39"/>
      <c r="L1522" s="41"/>
      <c r="M1522" s="36" t="str">
        <f aca="true">IF(OR($B1522="",$L1522=""),"",DATEDIF($L1522,TODAY(),"Y"))</f>
        <v/>
      </c>
      <c r="N1522" s="40" t="str">
        <f aca="false">IF($M1522="","",INDEX(usia_label,MATCH($M1522,usia_min,1)))</f>
        <v/>
      </c>
      <c r="O1522" s="37"/>
      <c r="P1522" s="41"/>
      <c r="Q1522" s="37"/>
      <c r="R1522" s="37"/>
      <c r="S1522" s="40" t="str">
        <f aca="false">IF($G1522="","",$G1522&amp;"#"&amp;COUNTIF($G$4:$G1522,$G1522))</f>
        <v/>
      </c>
      <c r="T1522" s="40" t="str">
        <f aca="false">IF($B1522="","",IF($C1522="","NIK kosong",IF(LEN($C1522)&lt;&gt;16,"NIK bukan 16 digit",IF(COUNTIF($C$4:$C$2003,$C1522&amp;"*")&gt;1,"NIK ganda",IF($E1522="","Kadus kosong",IF($F1522="","RT kosong",IF($H1522="","Jabatan kosong",IF($I1522="","No. HP kosong",IF($J1522="","Alamat kosong",IF(AND($M1522&lt;&gt;"",$M1522&lt;17),"Usia di bawah 17",""))))))))))</f>
        <v/>
      </c>
      <c r="U1522" s="40" t="str">
        <f aca="false">IF($B1522="","",IF(AND(OR(CARI!$C$5="",ISNUMBER(SEARCH(CARI!$C$5,$B1522&amp;" "&amp;$C1522&amp;" "&amp;$I1522&amp;" "&amp;$J1522&amp;" "&amp;$Q1522))),OR(CARI!$C$6="",$E1522=CARI!$C$6),OR(CARI!$C$7="",$F1522=CARI!$C$7),OR(CARI!$C$8="",$O1522=CARI!$C$8)),MAX($U$3:U1521)+1,""))</f>
        <v/>
      </c>
      <c r="V1522" s="40" t="str">
        <f aca="false">IF($T1522="","",MAX($V$3:V1521)+1)</f>
        <v/>
      </c>
      <c r="W1522" s="40" t="str">
        <f aca="false">IF($E1522="","",$E1522&amp;"#"&amp;COUNTIF($E$4:$E1522,$E1522))</f>
        <v/>
      </c>
      <c r="X1522" s="40" t="str">
        <f aca="false">IF($B1522="","",IF(AND(OR(CETAK!$J$10="",$E1522=CETAK!$J$10),OR(CETAK!$J$11="",$F1522=CETAK!$J$11),OR(CETAK!$J$12="",$K1522=CETAK!$J$12),OR(CETAK!$J$13="",$H1522=CETAK!$J$13),OR(CETAK!$J$14="",$O1522=CETAK!$J$14)),MAX($X$3:X1521)+1,""))</f>
        <v/>
      </c>
      <c r="Y1522" s="40" t="str">
        <f aca="false">IF($B1522="","",IF(AND(OR(ABSENSI!$H$10="",$E1522=ABSENSI!$H$10),OR(ABSENSI!$H$11="",$F1522=ABSENSI!$H$11),OR(ABSENSI!$H$12="",$K1522=ABSENSI!$H$12)),MAX($Y$3:Y1521)+1,""))</f>
        <v/>
      </c>
      <c r="Z1522" s="40" t="str">
        <f aca="false">IF($B1522="","",IF(AND(OR(KARTU!$K$6="",$E1522=KARTU!$K$6),OR(KARTU!$K$7="",$F1522=KARTU!$K$7),OR(KARTU!$K$8="",$K1522=KARTU!$K$8)),MAX($Z$3:Z1521)+1,""))</f>
        <v/>
      </c>
    </row>
    <row r="1523" customFormat="false" ht="15" hidden="false" customHeight="false" outlineLevel="0" collapsed="false">
      <c r="A1523" s="36" t="str">
        <f aca="false">IF($B1523="","",COUNTA($B$4:$B1523))</f>
        <v/>
      </c>
      <c r="B1523" s="37"/>
      <c r="C1523" s="38"/>
      <c r="D1523" s="39"/>
      <c r="E1523" s="37"/>
      <c r="F1523" s="39"/>
      <c r="G1523" s="40" t="str">
        <f aca="false">IF(OR($E1523="",$F1523=""),"",$E1523&amp;" - RT "&amp;$F1523)</f>
        <v/>
      </c>
      <c r="H1523" s="37"/>
      <c r="I1523" s="38"/>
      <c r="J1523" s="37"/>
      <c r="K1523" s="39"/>
      <c r="L1523" s="41"/>
      <c r="M1523" s="36" t="str">
        <f aca="true">IF(OR($B1523="",$L1523=""),"",DATEDIF($L1523,TODAY(),"Y"))</f>
        <v/>
      </c>
      <c r="N1523" s="40" t="str">
        <f aca="false">IF($M1523="","",INDEX(usia_label,MATCH($M1523,usia_min,1)))</f>
        <v/>
      </c>
      <c r="O1523" s="37"/>
      <c r="P1523" s="41"/>
      <c r="Q1523" s="37"/>
      <c r="R1523" s="37"/>
      <c r="S1523" s="40" t="str">
        <f aca="false">IF($G1523="","",$G1523&amp;"#"&amp;COUNTIF($G$4:$G1523,$G1523))</f>
        <v/>
      </c>
      <c r="T1523" s="40" t="str">
        <f aca="false">IF($B1523="","",IF($C1523="","NIK kosong",IF(LEN($C1523)&lt;&gt;16,"NIK bukan 16 digit",IF(COUNTIF($C$4:$C$2003,$C1523&amp;"*")&gt;1,"NIK ganda",IF($E1523="","Kadus kosong",IF($F1523="","RT kosong",IF($H1523="","Jabatan kosong",IF($I1523="","No. HP kosong",IF($J1523="","Alamat kosong",IF(AND($M1523&lt;&gt;"",$M1523&lt;17),"Usia di bawah 17",""))))))))))</f>
        <v/>
      </c>
      <c r="U1523" s="40" t="str">
        <f aca="false">IF($B1523="","",IF(AND(OR(CARI!$C$5="",ISNUMBER(SEARCH(CARI!$C$5,$B1523&amp;" "&amp;$C1523&amp;" "&amp;$I1523&amp;" "&amp;$J1523&amp;" "&amp;$Q1523))),OR(CARI!$C$6="",$E1523=CARI!$C$6),OR(CARI!$C$7="",$F1523=CARI!$C$7),OR(CARI!$C$8="",$O1523=CARI!$C$8)),MAX($U$3:U1522)+1,""))</f>
        <v/>
      </c>
      <c r="V1523" s="40" t="str">
        <f aca="false">IF($T1523="","",MAX($V$3:V1522)+1)</f>
        <v/>
      </c>
      <c r="W1523" s="40" t="str">
        <f aca="false">IF($E1523="","",$E1523&amp;"#"&amp;COUNTIF($E$4:$E1523,$E1523))</f>
        <v/>
      </c>
      <c r="X1523" s="40" t="str">
        <f aca="false">IF($B1523="","",IF(AND(OR(CETAK!$J$10="",$E1523=CETAK!$J$10),OR(CETAK!$J$11="",$F1523=CETAK!$J$11),OR(CETAK!$J$12="",$K1523=CETAK!$J$12),OR(CETAK!$J$13="",$H1523=CETAK!$J$13),OR(CETAK!$J$14="",$O1523=CETAK!$J$14)),MAX($X$3:X1522)+1,""))</f>
        <v/>
      </c>
      <c r="Y1523" s="40" t="str">
        <f aca="false">IF($B1523="","",IF(AND(OR(ABSENSI!$H$10="",$E1523=ABSENSI!$H$10),OR(ABSENSI!$H$11="",$F1523=ABSENSI!$H$11),OR(ABSENSI!$H$12="",$K1523=ABSENSI!$H$12)),MAX($Y$3:Y1522)+1,""))</f>
        <v/>
      </c>
      <c r="Z1523" s="40" t="str">
        <f aca="false">IF($B1523="","",IF(AND(OR(KARTU!$K$6="",$E1523=KARTU!$K$6),OR(KARTU!$K$7="",$F1523=KARTU!$K$7),OR(KARTU!$K$8="",$K1523=KARTU!$K$8)),MAX($Z$3:Z1522)+1,""))</f>
        <v/>
      </c>
    </row>
    <row r="1524" customFormat="false" ht="15" hidden="false" customHeight="false" outlineLevel="0" collapsed="false">
      <c r="A1524" s="36" t="str">
        <f aca="false">IF($B1524="","",COUNTA($B$4:$B1524))</f>
        <v/>
      </c>
      <c r="B1524" s="37"/>
      <c r="C1524" s="38"/>
      <c r="D1524" s="39"/>
      <c r="E1524" s="37"/>
      <c r="F1524" s="39"/>
      <c r="G1524" s="40" t="str">
        <f aca="false">IF(OR($E1524="",$F1524=""),"",$E1524&amp;" - RT "&amp;$F1524)</f>
        <v/>
      </c>
      <c r="H1524" s="37"/>
      <c r="I1524" s="38"/>
      <c r="J1524" s="37"/>
      <c r="K1524" s="39"/>
      <c r="L1524" s="41"/>
      <c r="M1524" s="36" t="str">
        <f aca="true">IF(OR($B1524="",$L1524=""),"",DATEDIF($L1524,TODAY(),"Y"))</f>
        <v/>
      </c>
      <c r="N1524" s="40" t="str">
        <f aca="false">IF($M1524="","",INDEX(usia_label,MATCH($M1524,usia_min,1)))</f>
        <v/>
      </c>
      <c r="O1524" s="37"/>
      <c r="P1524" s="41"/>
      <c r="Q1524" s="37"/>
      <c r="R1524" s="37"/>
      <c r="S1524" s="40" t="str">
        <f aca="false">IF($G1524="","",$G1524&amp;"#"&amp;COUNTIF($G$4:$G1524,$G1524))</f>
        <v/>
      </c>
      <c r="T1524" s="40" t="str">
        <f aca="false">IF($B1524="","",IF($C1524="","NIK kosong",IF(LEN($C1524)&lt;&gt;16,"NIK bukan 16 digit",IF(COUNTIF($C$4:$C$2003,$C1524&amp;"*")&gt;1,"NIK ganda",IF($E1524="","Kadus kosong",IF($F1524="","RT kosong",IF($H1524="","Jabatan kosong",IF($I1524="","No. HP kosong",IF($J1524="","Alamat kosong",IF(AND($M1524&lt;&gt;"",$M1524&lt;17),"Usia di bawah 17",""))))))))))</f>
        <v/>
      </c>
      <c r="U1524" s="40" t="str">
        <f aca="false">IF($B1524="","",IF(AND(OR(CARI!$C$5="",ISNUMBER(SEARCH(CARI!$C$5,$B1524&amp;" "&amp;$C1524&amp;" "&amp;$I1524&amp;" "&amp;$J1524&amp;" "&amp;$Q1524))),OR(CARI!$C$6="",$E1524=CARI!$C$6),OR(CARI!$C$7="",$F1524=CARI!$C$7),OR(CARI!$C$8="",$O1524=CARI!$C$8)),MAX($U$3:U1523)+1,""))</f>
        <v/>
      </c>
      <c r="V1524" s="40" t="str">
        <f aca="false">IF($T1524="","",MAX($V$3:V1523)+1)</f>
        <v/>
      </c>
      <c r="W1524" s="40" t="str">
        <f aca="false">IF($E1524="","",$E1524&amp;"#"&amp;COUNTIF($E$4:$E1524,$E1524))</f>
        <v/>
      </c>
      <c r="X1524" s="40" t="str">
        <f aca="false">IF($B1524="","",IF(AND(OR(CETAK!$J$10="",$E1524=CETAK!$J$10),OR(CETAK!$J$11="",$F1524=CETAK!$J$11),OR(CETAK!$J$12="",$K1524=CETAK!$J$12),OR(CETAK!$J$13="",$H1524=CETAK!$J$13),OR(CETAK!$J$14="",$O1524=CETAK!$J$14)),MAX($X$3:X1523)+1,""))</f>
        <v/>
      </c>
      <c r="Y1524" s="40" t="str">
        <f aca="false">IF($B1524="","",IF(AND(OR(ABSENSI!$H$10="",$E1524=ABSENSI!$H$10),OR(ABSENSI!$H$11="",$F1524=ABSENSI!$H$11),OR(ABSENSI!$H$12="",$K1524=ABSENSI!$H$12)),MAX($Y$3:Y1523)+1,""))</f>
        <v/>
      </c>
      <c r="Z1524" s="40" t="str">
        <f aca="false">IF($B1524="","",IF(AND(OR(KARTU!$K$6="",$E1524=KARTU!$K$6),OR(KARTU!$K$7="",$F1524=KARTU!$K$7),OR(KARTU!$K$8="",$K1524=KARTU!$K$8)),MAX($Z$3:Z1523)+1,""))</f>
        <v/>
      </c>
    </row>
    <row r="1525" customFormat="false" ht="15" hidden="false" customHeight="false" outlineLevel="0" collapsed="false">
      <c r="A1525" s="36" t="str">
        <f aca="false">IF($B1525="","",COUNTA($B$4:$B1525))</f>
        <v/>
      </c>
      <c r="B1525" s="37"/>
      <c r="C1525" s="38"/>
      <c r="D1525" s="39"/>
      <c r="E1525" s="37"/>
      <c r="F1525" s="39"/>
      <c r="G1525" s="40" t="str">
        <f aca="false">IF(OR($E1525="",$F1525=""),"",$E1525&amp;" - RT "&amp;$F1525)</f>
        <v/>
      </c>
      <c r="H1525" s="37"/>
      <c r="I1525" s="38"/>
      <c r="J1525" s="37"/>
      <c r="K1525" s="39"/>
      <c r="L1525" s="41"/>
      <c r="M1525" s="36" t="str">
        <f aca="true">IF(OR($B1525="",$L1525=""),"",DATEDIF($L1525,TODAY(),"Y"))</f>
        <v/>
      </c>
      <c r="N1525" s="40" t="str">
        <f aca="false">IF($M1525="","",INDEX(usia_label,MATCH($M1525,usia_min,1)))</f>
        <v/>
      </c>
      <c r="O1525" s="37"/>
      <c r="P1525" s="41"/>
      <c r="Q1525" s="37"/>
      <c r="R1525" s="37"/>
      <c r="S1525" s="40" t="str">
        <f aca="false">IF($G1525="","",$G1525&amp;"#"&amp;COUNTIF($G$4:$G1525,$G1525))</f>
        <v/>
      </c>
      <c r="T1525" s="40" t="str">
        <f aca="false">IF($B1525="","",IF($C1525="","NIK kosong",IF(LEN($C1525)&lt;&gt;16,"NIK bukan 16 digit",IF(COUNTIF($C$4:$C$2003,$C1525&amp;"*")&gt;1,"NIK ganda",IF($E1525="","Kadus kosong",IF($F1525="","RT kosong",IF($H1525="","Jabatan kosong",IF($I1525="","No. HP kosong",IF($J1525="","Alamat kosong",IF(AND($M1525&lt;&gt;"",$M1525&lt;17),"Usia di bawah 17",""))))))))))</f>
        <v/>
      </c>
      <c r="U1525" s="40" t="str">
        <f aca="false">IF($B1525="","",IF(AND(OR(CARI!$C$5="",ISNUMBER(SEARCH(CARI!$C$5,$B1525&amp;" "&amp;$C1525&amp;" "&amp;$I1525&amp;" "&amp;$J1525&amp;" "&amp;$Q1525))),OR(CARI!$C$6="",$E1525=CARI!$C$6),OR(CARI!$C$7="",$F1525=CARI!$C$7),OR(CARI!$C$8="",$O1525=CARI!$C$8)),MAX($U$3:U1524)+1,""))</f>
        <v/>
      </c>
      <c r="V1525" s="40" t="str">
        <f aca="false">IF($T1525="","",MAX($V$3:V1524)+1)</f>
        <v/>
      </c>
      <c r="W1525" s="40" t="str">
        <f aca="false">IF($E1525="","",$E1525&amp;"#"&amp;COUNTIF($E$4:$E1525,$E1525))</f>
        <v/>
      </c>
      <c r="X1525" s="40" t="str">
        <f aca="false">IF($B1525="","",IF(AND(OR(CETAK!$J$10="",$E1525=CETAK!$J$10),OR(CETAK!$J$11="",$F1525=CETAK!$J$11),OR(CETAK!$J$12="",$K1525=CETAK!$J$12),OR(CETAK!$J$13="",$H1525=CETAK!$J$13),OR(CETAK!$J$14="",$O1525=CETAK!$J$14)),MAX($X$3:X1524)+1,""))</f>
        <v/>
      </c>
      <c r="Y1525" s="40" t="str">
        <f aca="false">IF($B1525="","",IF(AND(OR(ABSENSI!$H$10="",$E1525=ABSENSI!$H$10),OR(ABSENSI!$H$11="",$F1525=ABSENSI!$H$11),OR(ABSENSI!$H$12="",$K1525=ABSENSI!$H$12)),MAX($Y$3:Y1524)+1,""))</f>
        <v/>
      </c>
      <c r="Z1525" s="40" t="str">
        <f aca="false">IF($B1525="","",IF(AND(OR(KARTU!$K$6="",$E1525=KARTU!$K$6),OR(KARTU!$K$7="",$F1525=KARTU!$K$7),OR(KARTU!$K$8="",$K1525=KARTU!$K$8)),MAX($Z$3:Z1524)+1,""))</f>
        <v/>
      </c>
    </row>
    <row r="1526" customFormat="false" ht="15" hidden="false" customHeight="false" outlineLevel="0" collapsed="false">
      <c r="A1526" s="36" t="str">
        <f aca="false">IF($B1526="","",COUNTA($B$4:$B1526))</f>
        <v/>
      </c>
      <c r="B1526" s="37"/>
      <c r="C1526" s="38"/>
      <c r="D1526" s="39"/>
      <c r="E1526" s="37"/>
      <c r="F1526" s="39"/>
      <c r="G1526" s="40" t="str">
        <f aca="false">IF(OR($E1526="",$F1526=""),"",$E1526&amp;" - RT "&amp;$F1526)</f>
        <v/>
      </c>
      <c r="H1526" s="37"/>
      <c r="I1526" s="38"/>
      <c r="J1526" s="37"/>
      <c r="K1526" s="39"/>
      <c r="L1526" s="41"/>
      <c r="M1526" s="36" t="str">
        <f aca="true">IF(OR($B1526="",$L1526=""),"",DATEDIF($L1526,TODAY(),"Y"))</f>
        <v/>
      </c>
      <c r="N1526" s="40" t="str">
        <f aca="false">IF($M1526="","",INDEX(usia_label,MATCH($M1526,usia_min,1)))</f>
        <v/>
      </c>
      <c r="O1526" s="37"/>
      <c r="P1526" s="41"/>
      <c r="Q1526" s="37"/>
      <c r="R1526" s="37"/>
      <c r="S1526" s="40" t="str">
        <f aca="false">IF($G1526="","",$G1526&amp;"#"&amp;COUNTIF($G$4:$G1526,$G1526))</f>
        <v/>
      </c>
      <c r="T1526" s="40" t="str">
        <f aca="false">IF($B1526="","",IF($C1526="","NIK kosong",IF(LEN($C1526)&lt;&gt;16,"NIK bukan 16 digit",IF(COUNTIF($C$4:$C$2003,$C1526&amp;"*")&gt;1,"NIK ganda",IF($E1526="","Kadus kosong",IF($F1526="","RT kosong",IF($H1526="","Jabatan kosong",IF($I1526="","No. HP kosong",IF($J1526="","Alamat kosong",IF(AND($M1526&lt;&gt;"",$M1526&lt;17),"Usia di bawah 17",""))))))))))</f>
        <v/>
      </c>
      <c r="U1526" s="40" t="str">
        <f aca="false">IF($B1526="","",IF(AND(OR(CARI!$C$5="",ISNUMBER(SEARCH(CARI!$C$5,$B1526&amp;" "&amp;$C1526&amp;" "&amp;$I1526&amp;" "&amp;$J1526&amp;" "&amp;$Q1526))),OR(CARI!$C$6="",$E1526=CARI!$C$6),OR(CARI!$C$7="",$F1526=CARI!$C$7),OR(CARI!$C$8="",$O1526=CARI!$C$8)),MAX($U$3:U1525)+1,""))</f>
        <v/>
      </c>
      <c r="V1526" s="40" t="str">
        <f aca="false">IF($T1526="","",MAX($V$3:V1525)+1)</f>
        <v/>
      </c>
      <c r="W1526" s="40" t="str">
        <f aca="false">IF($E1526="","",$E1526&amp;"#"&amp;COUNTIF($E$4:$E1526,$E1526))</f>
        <v/>
      </c>
      <c r="X1526" s="40" t="str">
        <f aca="false">IF($B1526="","",IF(AND(OR(CETAK!$J$10="",$E1526=CETAK!$J$10),OR(CETAK!$J$11="",$F1526=CETAK!$J$11),OR(CETAK!$J$12="",$K1526=CETAK!$J$12),OR(CETAK!$J$13="",$H1526=CETAK!$J$13),OR(CETAK!$J$14="",$O1526=CETAK!$J$14)),MAX($X$3:X1525)+1,""))</f>
        <v/>
      </c>
      <c r="Y1526" s="40" t="str">
        <f aca="false">IF($B1526="","",IF(AND(OR(ABSENSI!$H$10="",$E1526=ABSENSI!$H$10),OR(ABSENSI!$H$11="",$F1526=ABSENSI!$H$11),OR(ABSENSI!$H$12="",$K1526=ABSENSI!$H$12)),MAX($Y$3:Y1525)+1,""))</f>
        <v/>
      </c>
      <c r="Z1526" s="40" t="str">
        <f aca="false">IF($B1526="","",IF(AND(OR(KARTU!$K$6="",$E1526=KARTU!$K$6),OR(KARTU!$K$7="",$F1526=KARTU!$K$7),OR(KARTU!$K$8="",$K1526=KARTU!$K$8)),MAX($Z$3:Z1525)+1,""))</f>
        <v/>
      </c>
    </row>
    <row r="1527" customFormat="false" ht="15" hidden="false" customHeight="false" outlineLevel="0" collapsed="false">
      <c r="A1527" s="36" t="str">
        <f aca="false">IF($B1527="","",COUNTA($B$4:$B1527))</f>
        <v/>
      </c>
      <c r="B1527" s="37"/>
      <c r="C1527" s="38"/>
      <c r="D1527" s="39"/>
      <c r="E1527" s="37"/>
      <c r="F1527" s="39"/>
      <c r="G1527" s="40" t="str">
        <f aca="false">IF(OR($E1527="",$F1527=""),"",$E1527&amp;" - RT "&amp;$F1527)</f>
        <v/>
      </c>
      <c r="H1527" s="37"/>
      <c r="I1527" s="38"/>
      <c r="J1527" s="37"/>
      <c r="K1527" s="39"/>
      <c r="L1527" s="41"/>
      <c r="M1527" s="36" t="str">
        <f aca="true">IF(OR($B1527="",$L1527=""),"",DATEDIF($L1527,TODAY(),"Y"))</f>
        <v/>
      </c>
      <c r="N1527" s="40" t="str">
        <f aca="false">IF($M1527="","",INDEX(usia_label,MATCH($M1527,usia_min,1)))</f>
        <v/>
      </c>
      <c r="O1527" s="37"/>
      <c r="P1527" s="41"/>
      <c r="Q1527" s="37"/>
      <c r="R1527" s="37"/>
      <c r="S1527" s="40" t="str">
        <f aca="false">IF($G1527="","",$G1527&amp;"#"&amp;COUNTIF($G$4:$G1527,$G1527))</f>
        <v/>
      </c>
      <c r="T1527" s="40" t="str">
        <f aca="false">IF($B1527="","",IF($C1527="","NIK kosong",IF(LEN($C1527)&lt;&gt;16,"NIK bukan 16 digit",IF(COUNTIF($C$4:$C$2003,$C1527&amp;"*")&gt;1,"NIK ganda",IF($E1527="","Kadus kosong",IF($F1527="","RT kosong",IF($H1527="","Jabatan kosong",IF($I1527="","No. HP kosong",IF($J1527="","Alamat kosong",IF(AND($M1527&lt;&gt;"",$M1527&lt;17),"Usia di bawah 17",""))))))))))</f>
        <v/>
      </c>
      <c r="U1527" s="40" t="str">
        <f aca="false">IF($B1527="","",IF(AND(OR(CARI!$C$5="",ISNUMBER(SEARCH(CARI!$C$5,$B1527&amp;" "&amp;$C1527&amp;" "&amp;$I1527&amp;" "&amp;$J1527&amp;" "&amp;$Q1527))),OR(CARI!$C$6="",$E1527=CARI!$C$6),OR(CARI!$C$7="",$F1527=CARI!$C$7),OR(CARI!$C$8="",$O1527=CARI!$C$8)),MAX($U$3:U1526)+1,""))</f>
        <v/>
      </c>
      <c r="V1527" s="40" t="str">
        <f aca="false">IF($T1527="","",MAX($V$3:V1526)+1)</f>
        <v/>
      </c>
      <c r="W1527" s="40" t="str">
        <f aca="false">IF($E1527="","",$E1527&amp;"#"&amp;COUNTIF($E$4:$E1527,$E1527))</f>
        <v/>
      </c>
      <c r="X1527" s="40" t="str">
        <f aca="false">IF($B1527="","",IF(AND(OR(CETAK!$J$10="",$E1527=CETAK!$J$10),OR(CETAK!$J$11="",$F1527=CETAK!$J$11),OR(CETAK!$J$12="",$K1527=CETAK!$J$12),OR(CETAK!$J$13="",$H1527=CETAK!$J$13),OR(CETAK!$J$14="",$O1527=CETAK!$J$14)),MAX($X$3:X1526)+1,""))</f>
        <v/>
      </c>
      <c r="Y1527" s="40" t="str">
        <f aca="false">IF($B1527="","",IF(AND(OR(ABSENSI!$H$10="",$E1527=ABSENSI!$H$10),OR(ABSENSI!$H$11="",$F1527=ABSENSI!$H$11),OR(ABSENSI!$H$12="",$K1527=ABSENSI!$H$12)),MAX($Y$3:Y1526)+1,""))</f>
        <v/>
      </c>
      <c r="Z1527" s="40" t="str">
        <f aca="false">IF($B1527="","",IF(AND(OR(KARTU!$K$6="",$E1527=KARTU!$K$6),OR(KARTU!$K$7="",$F1527=KARTU!$K$7),OR(KARTU!$K$8="",$K1527=KARTU!$K$8)),MAX($Z$3:Z1526)+1,""))</f>
        <v/>
      </c>
    </row>
    <row r="1528" customFormat="false" ht="15" hidden="false" customHeight="false" outlineLevel="0" collapsed="false">
      <c r="A1528" s="36" t="str">
        <f aca="false">IF($B1528="","",COUNTA($B$4:$B1528))</f>
        <v/>
      </c>
      <c r="B1528" s="37"/>
      <c r="C1528" s="38"/>
      <c r="D1528" s="39"/>
      <c r="E1528" s="37"/>
      <c r="F1528" s="39"/>
      <c r="G1528" s="40" t="str">
        <f aca="false">IF(OR($E1528="",$F1528=""),"",$E1528&amp;" - RT "&amp;$F1528)</f>
        <v/>
      </c>
      <c r="H1528" s="37"/>
      <c r="I1528" s="38"/>
      <c r="J1528" s="37"/>
      <c r="K1528" s="39"/>
      <c r="L1528" s="41"/>
      <c r="M1528" s="36" t="str">
        <f aca="true">IF(OR($B1528="",$L1528=""),"",DATEDIF($L1528,TODAY(),"Y"))</f>
        <v/>
      </c>
      <c r="N1528" s="40" t="str">
        <f aca="false">IF($M1528="","",INDEX(usia_label,MATCH($M1528,usia_min,1)))</f>
        <v/>
      </c>
      <c r="O1528" s="37"/>
      <c r="P1528" s="41"/>
      <c r="Q1528" s="37"/>
      <c r="R1528" s="37"/>
      <c r="S1528" s="40" t="str">
        <f aca="false">IF($G1528="","",$G1528&amp;"#"&amp;COUNTIF($G$4:$G1528,$G1528))</f>
        <v/>
      </c>
      <c r="T1528" s="40" t="str">
        <f aca="false">IF($B1528="","",IF($C1528="","NIK kosong",IF(LEN($C1528)&lt;&gt;16,"NIK bukan 16 digit",IF(COUNTIF($C$4:$C$2003,$C1528&amp;"*")&gt;1,"NIK ganda",IF($E1528="","Kadus kosong",IF($F1528="","RT kosong",IF($H1528="","Jabatan kosong",IF($I1528="","No. HP kosong",IF($J1528="","Alamat kosong",IF(AND($M1528&lt;&gt;"",$M1528&lt;17),"Usia di bawah 17",""))))))))))</f>
        <v/>
      </c>
      <c r="U1528" s="40" t="str">
        <f aca="false">IF($B1528="","",IF(AND(OR(CARI!$C$5="",ISNUMBER(SEARCH(CARI!$C$5,$B1528&amp;" "&amp;$C1528&amp;" "&amp;$I1528&amp;" "&amp;$J1528&amp;" "&amp;$Q1528))),OR(CARI!$C$6="",$E1528=CARI!$C$6),OR(CARI!$C$7="",$F1528=CARI!$C$7),OR(CARI!$C$8="",$O1528=CARI!$C$8)),MAX($U$3:U1527)+1,""))</f>
        <v/>
      </c>
      <c r="V1528" s="40" t="str">
        <f aca="false">IF($T1528="","",MAX($V$3:V1527)+1)</f>
        <v/>
      </c>
      <c r="W1528" s="40" t="str">
        <f aca="false">IF($E1528="","",$E1528&amp;"#"&amp;COUNTIF($E$4:$E1528,$E1528))</f>
        <v/>
      </c>
      <c r="X1528" s="40" t="str">
        <f aca="false">IF($B1528="","",IF(AND(OR(CETAK!$J$10="",$E1528=CETAK!$J$10),OR(CETAK!$J$11="",$F1528=CETAK!$J$11),OR(CETAK!$J$12="",$K1528=CETAK!$J$12),OR(CETAK!$J$13="",$H1528=CETAK!$J$13),OR(CETAK!$J$14="",$O1528=CETAK!$J$14)),MAX($X$3:X1527)+1,""))</f>
        <v/>
      </c>
      <c r="Y1528" s="40" t="str">
        <f aca="false">IF($B1528="","",IF(AND(OR(ABSENSI!$H$10="",$E1528=ABSENSI!$H$10),OR(ABSENSI!$H$11="",$F1528=ABSENSI!$H$11),OR(ABSENSI!$H$12="",$K1528=ABSENSI!$H$12)),MAX($Y$3:Y1527)+1,""))</f>
        <v/>
      </c>
      <c r="Z1528" s="40" t="str">
        <f aca="false">IF($B1528="","",IF(AND(OR(KARTU!$K$6="",$E1528=KARTU!$K$6),OR(KARTU!$K$7="",$F1528=KARTU!$K$7),OR(KARTU!$K$8="",$K1528=KARTU!$K$8)),MAX($Z$3:Z1527)+1,""))</f>
        <v/>
      </c>
    </row>
    <row r="1529" customFormat="false" ht="15" hidden="false" customHeight="false" outlineLevel="0" collapsed="false">
      <c r="A1529" s="36" t="str">
        <f aca="false">IF($B1529="","",COUNTA($B$4:$B1529))</f>
        <v/>
      </c>
      <c r="B1529" s="37"/>
      <c r="C1529" s="38"/>
      <c r="D1529" s="39"/>
      <c r="E1529" s="37"/>
      <c r="F1529" s="39"/>
      <c r="G1529" s="40" t="str">
        <f aca="false">IF(OR($E1529="",$F1529=""),"",$E1529&amp;" - RT "&amp;$F1529)</f>
        <v/>
      </c>
      <c r="H1529" s="37"/>
      <c r="I1529" s="38"/>
      <c r="J1529" s="37"/>
      <c r="K1529" s="39"/>
      <c r="L1529" s="41"/>
      <c r="M1529" s="36" t="str">
        <f aca="true">IF(OR($B1529="",$L1529=""),"",DATEDIF($L1529,TODAY(),"Y"))</f>
        <v/>
      </c>
      <c r="N1529" s="40" t="str">
        <f aca="false">IF($M1529="","",INDEX(usia_label,MATCH($M1529,usia_min,1)))</f>
        <v/>
      </c>
      <c r="O1529" s="37"/>
      <c r="P1529" s="41"/>
      <c r="Q1529" s="37"/>
      <c r="R1529" s="37"/>
      <c r="S1529" s="40" t="str">
        <f aca="false">IF($G1529="","",$G1529&amp;"#"&amp;COUNTIF($G$4:$G1529,$G1529))</f>
        <v/>
      </c>
      <c r="T1529" s="40" t="str">
        <f aca="false">IF($B1529="","",IF($C1529="","NIK kosong",IF(LEN($C1529)&lt;&gt;16,"NIK bukan 16 digit",IF(COUNTIF($C$4:$C$2003,$C1529&amp;"*")&gt;1,"NIK ganda",IF($E1529="","Kadus kosong",IF($F1529="","RT kosong",IF($H1529="","Jabatan kosong",IF($I1529="","No. HP kosong",IF($J1529="","Alamat kosong",IF(AND($M1529&lt;&gt;"",$M1529&lt;17),"Usia di bawah 17",""))))))))))</f>
        <v/>
      </c>
      <c r="U1529" s="40" t="str">
        <f aca="false">IF($B1529="","",IF(AND(OR(CARI!$C$5="",ISNUMBER(SEARCH(CARI!$C$5,$B1529&amp;" "&amp;$C1529&amp;" "&amp;$I1529&amp;" "&amp;$J1529&amp;" "&amp;$Q1529))),OR(CARI!$C$6="",$E1529=CARI!$C$6),OR(CARI!$C$7="",$F1529=CARI!$C$7),OR(CARI!$C$8="",$O1529=CARI!$C$8)),MAX($U$3:U1528)+1,""))</f>
        <v/>
      </c>
      <c r="V1529" s="40" t="str">
        <f aca="false">IF($T1529="","",MAX($V$3:V1528)+1)</f>
        <v/>
      </c>
      <c r="W1529" s="40" t="str">
        <f aca="false">IF($E1529="","",$E1529&amp;"#"&amp;COUNTIF($E$4:$E1529,$E1529))</f>
        <v/>
      </c>
      <c r="X1529" s="40" t="str">
        <f aca="false">IF($B1529="","",IF(AND(OR(CETAK!$J$10="",$E1529=CETAK!$J$10),OR(CETAK!$J$11="",$F1529=CETAK!$J$11),OR(CETAK!$J$12="",$K1529=CETAK!$J$12),OR(CETAK!$J$13="",$H1529=CETAK!$J$13),OR(CETAK!$J$14="",$O1529=CETAK!$J$14)),MAX($X$3:X1528)+1,""))</f>
        <v/>
      </c>
      <c r="Y1529" s="40" t="str">
        <f aca="false">IF($B1529="","",IF(AND(OR(ABSENSI!$H$10="",$E1529=ABSENSI!$H$10),OR(ABSENSI!$H$11="",$F1529=ABSENSI!$H$11),OR(ABSENSI!$H$12="",$K1529=ABSENSI!$H$12)),MAX($Y$3:Y1528)+1,""))</f>
        <v/>
      </c>
      <c r="Z1529" s="40" t="str">
        <f aca="false">IF($B1529="","",IF(AND(OR(KARTU!$K$6="",$E1529=KARTU!$K$6),OR(KARTU!$K$7="",$F1529=KARTU!$K$7),OR(KARTU!$K$8="",$K1529=KARTU!$K$8)),MAX($Z$3:Z1528)+1,""))</f>
        <v/>
      </c>
    </row>
    <row r="1530" customFormat="false" ht="15" hidden="false" customHeight="false" outlineLevel="0" collapsed="false">
      <c r="A1530" s="36" t="str">
        <f aca="false">IF($B1530="","",COUNTA($B$4:$B1530))</f>
        <v/>
      </c>
      <c r="B1530" s="37"/>
      <c r="C1530" s="38"/>
      <c r="D1530" s="39"/>
      <c r="E1530" s="37"/>
      <c r="F1530" s="39"/>
      <c r="G1530" s="40" t="str">
        <f aca="false">IF(OR($E1530="",$F1530=""),"",$E1530&amp;" - RT "&amp;$F1530)</f>
        <v/>
      </c>
      <c r="H1530" s="37"/>
      <c r="I1530" s="38"/>
      <c r="J1530" s="37"/>
      <c r="K1530" s="39"/>
      <c r="L1530" s="41"/>
      <c r="M1530" s="36" t="str">
        <f aca="true">IF(OR($B1530="",$L1530=""),"",DATEDIF($L1530,TODAY(),"Y"))</f>
        <v/>
      </c>
      <c r="N1530" s="40" t="str">
        <f aca="false">IF($M1530="","",INDEX(usia_label,MATCH($M1530,usia_min,1)))</f>
        <v/>
      </c>
      <c r="O1530" s="37"/>
      <c r="P1530" s="41"/>
      <c r="Q1530" s="37"/>
      <c r="R1530" s="37"/>
      <c r="S1530" s="40" t="str">
        <f aca="false">IF($G1530="","",$G1530&amp;"#"&amp;COUNTIF($G$4:$G1530,$G1530))</f>
        <v/>
      </c>
      <c r="T1530" s="40" t="str">
        <f aca="false">IF($B1530="","",IF($C1530="","NIK kosong",IF(LEN($C1530)&lt;&gt;16,"NIK bukan 16 digit",IF(COUNTIF($C$4:$C$2003,$C1530&amp;"*")&gt;1,"NIK ganda",IF($E1530="","Kadus kosong",IF($F1530="","RT kosong",IF($H1530="","Jabatan kosong",IF($I1530="","No. HP kosong",IF($J1530="","Alamat kosong",IF(AND($M1530&lt;&gt;"",$M1530&lt;17),"Usia di bawah 17",""))))))))))</f>
        <v/>
      </c>
      <c r="U1530" s="40" t="str">
        <f aca="false">IF($B1530="","",IF(AND(OR(CARI!$C$5="",ISNUMBER(SEARCH(CARI!$C$5,$B1530&amp;" "&amp;$C1530&amp;" "&amp;$I1530&amp;" "&amp;$J1530&amp;" "&amp;$Q1530))),OR(CARI!$C$6="",$E1530=CARI!$C$6),OR(CARI!$C$7="",$F1530=CARI!$C$7),OR(CARI!$C$8="",$O1530=CARI!$C$8)),MAX($U$3:U1529)+1,""))</f>
        <v/>
      </c>
      <c r="V1530" s="40" t="str">
        <f aca="false">IF($T1530="","",MAX($V$3:V1529)+1)</f>
        <v/>
      </c>
      <c r="W1530" s="40" t="str">
        <f aca="false">IF($E1530="","",$E1530&amp;"#"&amp;COUNTIF($E$4:$E1530,$E1530))</f>
        <v/>
      </c>
      <c r="X1530" s="40" t="str">
        <f aca="false">IF($B1530="","",IF(AND(OR(CETAK!$J$10="",$E1530=CETAK!$J$10),OR(CETAK!$J$11="",$F1530=CETAK!$J$11),OR(CETAK!$J$12="",$K1530=CETAK!$J$12),OR(CETAK!$J$13="",$H1530=CETAK!$J$13),OR(CETAK!$J$14="",$O1530=CETAK!$J$14)),MAX($X$3:X1529)+1,""))</f>
        <v/>
      </c>
      <c r="Y1530" s="40" t="str">
        <f aca="false">IF($B1530="","",IF(AND(OR(ABSENSI!$H$10="",$E1530=ABSENSI!$H$10),OR(ABSENSI!$H$11="",$F1530=ABSENSI!$H$11),OR(ABSENSI!$H$12="",$K1530=ABSENSI!$H$12)),MAX($Y$3:Y1529)+1,""))</f>
        <v/>
      </c>
      <c r="Z1530" s="40" t="str">
        <f aca="false">IF($B1530="","",IF(AND(OR(KARTU!$K$6="",$E1530=KARTU!$K$6),OR(KARTU!$K$7="",$F1530=KARTU!$K$7),OR(KARTU!$K$8="",$K1530=KARTU!$K$8)),MAX($Z$3:Z1529)+1,""))</f>
        <v/>
      </c>
    </row>
    <row r="1531" customFormat="false" ht="15" hidden="false" customHeight="false" outlineLevel="0" collapsed="false">
      <c r="A1531" s="36" t="str">
        <f aca="false">IF($B1531="","",COUNTA($B$4:$B1531))</f>
        <v/>
      </c>
      <c r="B1531" s="37"/>
      <c r="C1531" s="38"/>
      <c r="D1531" s="39"/>
      <c r="E1531" s="37"/>
      <c r="F1531" s="39"/>
      <c r="G1531" s="40" t="str">
        <f aca="false">IF(OR($E1531="",$F1531=""),"",$E1531&amp;" - RT "&amp;$F1531)</f>
        <v/>
      </c>
      <c r="H1531" s="37"/>
      <c r="I1531" s="38"/>
      <c r="J1531" s="37"/>
      <c r="K1531" s="39"/>
      <c r="L1531" s="41"/>
      <c r="M1531" s="36" t="str">
        <f aca="true">IF(OR($B1531="",$L1531=""),"",DATEDIF($L1531,TODAY(),"Y"))</f>
        <v/>
      </c>
      <c r="N1531" s="40" t="str">
        <f aca="false">IF($M1531="","",INDEX(usia_label,MATCH($M1531,usia_min,1)))</f>
        <v/>
      </c>
      <c r="O1531" s="37"/>
      <c r="P1531" s="41"/>
      <c r="Q1531" s="37"/>
      <c r="R1531" s="37"/>
      <c r="S1531" s="40" t="str">
        <f aca="false">IF($G1531="","",$G1531&amp;"#"&amp;COUNTIF($G$4:$G1531,$G1531))</f>
        <v/>
      </c>
      <c r="T1531" s="40" t="str">
        <f aca="false">IF($B1531="","",IF($C1531="","NIK kosong",IF(LEN($C1531)&lt;&gt;16,"NIK bukan 16 digit",IF(COUNTIF($C$4:$C$2003,$C1531&amp;"*")&gt;1,"NIK ganda",IF($E1531="","Kadus kosong",IF($F1531="","RT kosong",IF($H1531="","Jabatan kosong",IF($I1531="","No. HP kosong",IF($J1531="","Alamat kosong",IF(AND($M1531&lt;&gt;"",$M1531&lt;17),"Usia di bawah 17",""))))))))))</f>
        <v/>
      </c>
      <c r="U1531" s="40" t="str">
        <f aca="false">IF($B1531="","",IF(AND(OR(CARI!$C$5="",ISNUMBER(SEARCH(CARI!$C$5,$B1531&amp;" "&amp;$C1531&amp;" "&amp;$I1531&amp;" "&amp;$J1531&amp;" "&amp;$Q1531))),OR(CARI!$C$6="",$E1531=CARI!$C$6),OR(CARI!$C$7="",$F1531=CARI!$C$7),OR(CARI!$C$8="",$O1531=CARI!$C$8)),MAX($U$3:U1530)+1,""))</f>
        <v/>
      </c>
      <c r="V1531" s="40" t="str">
        <f aca="false">IF($T1531="","",MAX($V$3:V1530)+1)</f>
        <v/>
      </c>
      <c r="W1531" s="40" t="str">
        <f aca="false">IF($E1531="","",$E1531&amp;"#"&amp;COUNTIF($E$4:$E1531,$E1531))</f>
        <v/>
      </c>
      <c r="X1531" s="40" t="str">
        <f aca="false">IF($B1531="","",IF(AND(OR(CETAK!$J$10="",$E1531=CETAK!$J$10),OR(CETAK!$J$11="",$F1531=CETAK!$J$11),OR(CETAK!$J$12="",$K1531=CETAK!$J$12),OR(CETAK!$J$13="",$H1531=CETAK!$J$13),OR(CETAK!$J$14="",$O1531=CETAK!$J$14)),MAX($X$3:X1530)+1,""))</f>
        <v/>
      </c>
      <c r="Y1531" s="40" t="str">
        <f aca="false">IF($B1531="","",IF(AND(OR(ABSENSI!$H$10="",$E1531=ABSENSI!$H$10),OR(ABSENSI!$H$11="",$F1531=ABSENSI!$H$11),OR(ABSENSI!$H$12="",$K1531=ABSENSI!$H$12)),MAX($Y$3:Y1530)+1,""))</f>
        <v/>
      </c>
      <c r="Z1531" s="40" t="str">
        <f aca="false">IF($B1531="","",IF(AND(OR(KARTU!$K$6="",$E1531=KARTU!$K$6),OR(KARTU!$K$7="",$F1531=KARTU!$K$7),OR(KARTU!$K$8="",$K1531=KARTU!$K$8)),MAX($Z$3:Z1530)+1,""))</f>
        <v/>
      </c>
    </row>
    <row r="1532" customFormat="false" ht="15" hidden="false" customHeight="false" outlineLevel="0" collapsed="false">
      <c r="A1532" s="36" t="str">
        <f aca="false">IF($B1532="","",COUNTA($B$4:$B1532))</f>
        <v/>
      </c>
      <c r="B1532" s="37"/>
      <c r="C1532" s="38"/>
      <c r="D1532" s="39"/>
      <c r="E1532" s="37"/>
      <c r="F1532" s="39"/>
      <c r="G1532" s="40" t="str">
        <f aca="false">IF(OR($E1532="",$F1532=""),"",$E1532&amp;" - RT "&amp;$F1532)</f>
        <v/>
      </c>
      <c r="H1532" s="37"/>
      <c r="I1532" s="38"/>
      <c r="J1532" s="37"/>
      <c r="K1532" s="39"/>
      <c r="L1532" s="41"/>
      <c r="M1532" s="36" t="str">
        <f aca="true">IF(OR($B1532="",$L1532=""),"",DATEDIF($L1532,TODAY(),"Y"))</f>
        <v/>
      </c>
      <c r="N1532" s="40" t="str">
        <f aca="false">IF($M1532="","",INDEX(usia_label,MATCH($M1532,usia_min,1)))</f>
        <v/>
      </c>
      <c r="O1532" s="37"/>
      <c r="P1532" s="41"/>
      <c r="Q1532" s="37"/>
      <c r="R1532" s="37"/>
      <c r="S1532" s="40" t="str">
        <f aca="false">IF($G1532="","",$G1532&amp;"#"&amp;COUNTIF($G$4:$G1532,$G1532))</f>
        <v/>
      </c>
      <c r="T1532" s="40" t="str">
        <f aca="false">IF($B1532="","",IF($C1532="","NIK kosong",IF(LEN($C1532)&lt;&gt;16,"NIK bukan 16 digit",IF(COUNTIF($C$4:$C$2003,$C1532&amp;"*")&gt;1,"NIK ganda",IF($E1532="","Kadus kosong",IF($F1532="","RT kosong",IF($H1532="","Jabatan kosong",IF($I1532="","No. HP kosong",IF($J1532="","Alamat kosong",IF(AND($M1532&lt;&gt;"",$M1532&lt;17),"Usia di bawah 17",""))))))))))</f>
        <v/>
      </c>
      <c r="U1532" s="40" t="str">
        <f aca="false">IF($B1532="","",IF(AND(OR(CARI!$C$5="",ISNUMBER(SEARCH(CARI!$C$5,$B1532&amp;" "&amp;$C1532&amp;" "&amp;$I1532&amp;" "&amp;$J1532&amp;" "&amp;$Q1532))),OR(CARI!$C$6="",$E1532=CARI!$C$6),OR(CARI!$C$7="",$F1532=CARI!$C$7),OR(CARI!$C$8="",$O1532=CARI!$C$8)),MAX($U$3:U1531)+1,""))</f>
        <v/>
      </c>
      <c r="V1532" s="40" t="str">
        <f aca="false">IF($T1532="","",MAX($V$3:V1531)+1)</f>
        <v/>
      </c>
      <c r="W1532" s="40" t="str">
        <f aca="false">IF($E1532="","",$E1532&amp;"#"&amp;COUNTIF($E$4:$E1532,$E1532))</f>
        <v/>
      </c>
      <c r="X1532" s="40" t="str">
        <f aca="false">IF($B1532="","",IF(AND(OR(CETAK!$J$10="",$E1532=CETAK!$J$10),OR(CETAK!$J$11="",$F1532=CETAK!$J$11),OR(CETAK!$J$12="",$K1532=CETAK!$J$12),OR(CETAK!$J$13="",$H1532=CETAK!$J$13),OR(CETAK!$J$14="",$O1532=CETAK!$J$14)),MAX($X$3:X1531)+1,""))</f>
        <v/>
      </c>
      <c r="Y1532" s="40" t="str">
        <f aca="false">IF($B1532="","",IF(AND(OR(ABSENSI!$H$10="",$E1532=ABSENSI!$H$10),OR(ABSENSI!$H$11="",$F1532=ABSENSI!$H$11),OR(ABSENSI!$H$12="",$K1532=ABSENSI!$H$12)),MAX($Y$3:Y1531)+1,""))</f>
        <v/>
      </c>
      <c r="Z1532" s="40" t="str">
        <f aca="false">IF($B1532="","",IF(AND(OR(KARTU!$K$6="",$E1532=KARTU!$K$6),OR(KARTU!$K$7="",$F1532=KARTU!$K$7),OR(KARTU!$K$8="",$K1532=KARTU!$K$8)),MAX($Z$3:Z1531)+1,""))</f>
        <v/>
      </c>
    </row>
    <row r="1533" customFormat="false" ht="15" hidden="false" customHeight="false" outlineLevel="0" collapsed="false">
      <c r="A1533" s="36" t="str">
        <f aca="false">IF($B1533="","",COUNTA($B$4:$B1533))</f>
        <v/>
      </c>
      <c r="B1533" s="37"/>
      <c r="C1533" s="38"/>
      <c r="D1533" s="39"/>
      <c r="E1533" s="37"/>
      <c r="F1533" s="39"/>
      <c r="G1533" s="40" t="str">
        <f aca="false">IF(OR($E1533="",$F1533=""),"",$E1533&amp;" - RT "&amp;$F1533)</f>
        <v/>
      </c>
      <c r="H1533" s="37"/>
      <c r="I1533" s="38"/>
      <c r="J1533" s="37"/>
      <c r="K1533" s="39"/>
      <c r="L1533" s="41"/>
      <c r="M1533" s="36" t="str">
        <f aca="true">IF(OR($B1533="",$L1533=""),"",DATEDIF($L1533,TODAY(),"Y"))</f>
        <v/>
      </c>
      <c r="N1533" s="40" t="str">
        <f aca="false">IF($M1533="","",INDEX(usia_label,MATCH($M1533,usia_min,1)))</f>
        <v/>
      </c>
      <c r="O1533" s="37"/>
      <c r="P1533" s="41"/>
      <c r="Q1533" s="37"/>
      <c r="R1533" s="37"/>
      <c r="S1533" s="40" t="str">
        <f aca="false">IF($G1533="","",$G1533&amp;"#"&amp;COUNTIF($G$4:$G1533,$G1533))</f>
        <v/>
      </c>
      <c r="T1533" s="40" t="str">
        <f aca="false">IF($B1533="","",IF($C1533="","NIK kosong",IF(LEN($C1533)&lt;&gt;16,"NIK bukan 16 digit",IF(COUNTIF($C$4:$C$2003,$C1533&amp;"*")&gt;1,"NIK ganda",IF($E1533="","Kadus kosong",IF($F1533="","RT kosong",IF($H1533="","Jabatan kosong",IF($I1533="","No. HP kosong",IF($J1533="","Alamat kosong",IF(AND($M1533&lt;&gt;"",$M1533&lt;17),"Usia di bawah 17",""))))))))))</f>
        <v/>
      </c>
      <c r="U1533" s="40" t="str">
        <f aca="false">IF($B1533="","",IF(AND(OR(CARI!$C$5="",ISNUMBER(SEARCH(CARI!$C$5,$B1533&amp;" "&amp;$C1533&amp;" "&amp;$I1533&amp;" "&amp;$J1533&amp;" "&amp;$Q1533))),OR(CARI!$C$6="",$E1533=CARI!$C$6),OR(CARI!$C$7="",$F1533=CARI!$C$7),OR(CARI!$C$8="",$O1533=CARI!$C$8)),MAX($U$3:U1532)+1,""))</f>
        <v/>
      </c>
      <c r="V1533" s="40" t="str">
        <f aca="false">IF($T1533="","",MAX($V$3:V1532)+1)</f>
        <v/>
      </c>
      <c r="W1533" s="40" t="str">
        <f aca="false">IF($E1533="","",$E1533&amp;"#"&amp;COUNTIF($E$4:$E1533,$E1533))</f>
        <v/>
      </c>
      <c r="X1533" s="40" t="str">
        <f aca="false">IF($B1533="","",IF(AND(OR(CETAK!$J$10="",$E1533=CETAK!$J$10),OR(CETAK!$J$11="",$F1533=CETAK!$J$11),OR(CETAK!$J$12="",$K1533=CETAK!$J$12),OR(CETAK!$J$13="",$H1533=CETAK!$J$13),OR(CETAK!$J$14="",$O1533=CETAK!$J$14)),MAX($X$3:X1532)+1,""))</f>
        <v/>
      </c>
      <c r="Y1533" s="40" t="str">
        <f aca="false">IF($B1533="","",IF(AND(OR(ABSENSI!$H$10="",$E1533=ABSENSI!$H$10),OR(ABSENSI!$H$11="",$F1533=ABSENSI!$H$11),OR(ABSENSI!$H$12="",$K1533=ABSENSI!$H$12)),MAX($Y$3:Y1532)+1,""))</f>
        <v/>
      </c>
      <c r="Z1533" s="40" t="str">
        <f aca="false">IF($B1533="","",IF(AND(OR(KARTU!$K$6="",$E1533=KARTU!$K$6),OR(KARTU!$K$7="",$F1533=KARTU!$K$7),OR(KARTU!$K$8="",$K1533=KARTU!$K$8)),MAX($Z$3:Z1532)+1,""))</f>
        <v/>
      </c>
    </row>
    <row r="1534" customFormat="false" ht="15" hidden="false" customHeight="false" outlineLevel="0" collapsed="false">
      <c r="A1534" s="36" t="str">
        <f aca="false">IF($B1534="","",COUNTA($B$4:$B1534))</f>
        <v/>
      </c>
      <c r="B1534" s="37"/>
      <c r="C1534" s="38"/>
      <c r="D1534" s="39"/>
      <c r="E1534" s="37"/>
      <c r="F1534" s="39"/>
      <c r="G1534" s="40" t="str">
        <f aca="false">IF(OR($E1534="",$F1534=""),"",$E1534&amp;" - RT "&amp;$F1534)</f>
        <v/>
      </c>
      <c r="H1534" s="37"/>
      <c r="I1534" s="38"/>
      <c r="J1534" s="37"/>
      <c r="K1534" s="39"/>
      <c r="L1534" s="41"/>
      <c r="M1534" s="36" t="str">
        <f aca="true">IF(OR($B1534="",$L1534=""),"",DATEDIF($L1534,TODAY(),"Y"))</f>
        <v/>
      </c>
      <c r="N1534" s="40" t="str">
        <f aca="false">IF($M1534="","",INDEX(usia_label,MATCH($M1534,usia_min,1)))</f>
        <v/>
      </c>
      <c r="O1534" s="37"/>
      <c r="P1534" s="41"/>
      <c r="Q1534" s="37"/>
      <c r="R1534" s="37"/>
      <c r="S1534" s="40" t="str">
        <f aca="false">IF($G1534="","",$G1534&amp;"#"&amp;COUNTIF($G$4:$G1534,$G1534))</f>
        <v/>
      </c>
      <c r="T1534" s="40" t="str">
        <f aca="false">IF($B1534="","",IF($C1534="","NIK kosong",IF(LEN($C1534)&lt;&gt;16,"NIK bukan 16 digit",IF(COUNTIF($C$4:$C$2003,$C1534&amp;"*")&gt;1,"NIK ganda",IF($E1534="","Kadus kosong",IF($F1534="","RT kosong",IF($H1534="","Jabatan kosong",IF($I1534="","No. HP kosong",IF($J1534="","Alamat kosong",IF(AND($M1534&lt;&gt;"",$M1534&lt;17),"Usia di bawah 17",""))))))))))</f>
        <v/>
      </c>
      <c r="U1534" s="40" t="str">
        <f aca="false">IF($B1534="","",IF(AND(OR(CARI!$C$5="",ISNUMBER(SEARCH(CARI!$C$5,$B1534&amp;" "&amp;$C1534&amp;" "&amp;$I1534&amp;" "&amp;$J1534&amp;" "&amp;$Q1534))),OR(CARI!$C$6="",$E1534=CARI!$C$6),OR(CARI!$C$7="",$F1534=CARI!$C$7),OR(CARI!$C$8="",$O1534=CARI!$C$8)),MAX($U$3:U1533)+1,""))</f>
        <v/>
      </c>
      <c r="V1534" s="40" t="str">
        <f aca="false">IF($T1534="","",MAX($V$3:V1533)+1)</f>
        <v/>
      </c>
      <c r="W1534" s="40" t="str">
        <f aca="false">IF($E1534="","",$E1534&amp;"#"&amp;COUNTIF($E$4:$E1534,$E1534))</f>
        <v/>
      </c>
      <c r="X1534" s="40" t="str">
        <f aca="false">IF($B1534="","",IF(AND(OR(CETAK!$J$10="",$E1534=CETAK!$J$10),OR(CETAK!$J$11="",$F1534=CETAK!$J$11),OR(CETAK!$J$12="",$K1534=CETAK!$J$12),OR(CETAK!$J$13="",$H1534=CETAK!$J$13),OR(CETAK!$J$14="",$O1534=CETAK!$J$14)),MAX($X$3:X1533)+1,""))</f>
        <v/>
      </c>
      <c r="Y1534" s="40" t="str">
        <f aca="false">IF($B1534="","",IF(AND(OR(ABSENSI!$H$10="",$E1534=ABSENSI!$H$10),OR(ABSENSI!$H$11="",$F1534=ABSENSI!$H$11),OR(ABSENSI!$H$12="",$K1534=ABSENSI!$H$12)),MAX($Y$3:Y1533)+1,""))</f>
        <v/>
      </c>
      <c r="Z1534" s="40" t="str">
        <f aca="false">IF($B1534="","",IF(AND(OR(KARTU!$K$6="",$E1534=KARTU!$K$6),OR(KARTU!$K$7="",$F1534=KARTU!$K$7),OR(KARTU!$K$8="",$K1534=KARTU!$K$8)),MAX($Z$3:Z1533)+1,""))</f>
        <v/>
      </c>
    </row>
    <row r="1535" customFormat="false" ht="15" hidden="false" customHeight="false" outlineLevel="0" collapsed="false">
      <c r="A1535" s="36" t="str">
        <f aca="false">IF($B1535="","",COUNTA($B$4:$B1535))</f>
        <v/>
      </c>
      <c r="B1535" s="37"/>
      <c r="C1535" s="38"/>
      <c r="D1535" s="39"/>
      <c r="E1535" s="37"/>
      <c r="F1535" s="39"/>
      <c r="G1535" s="40" t="str">
        <f aca="false">IF(OR($E1535="",$F1535=""),"",$E1535&amp;" - RT "&amp;$F1535)</f>
        <v/>
      </c>
      <c r="H1535" s="37"/>
      <c r="I1535" s="38"/>
      <c r="J1535" s="37"/>
      <c r="K1535" s="39"/>
      <c r="L1535" s="41"/>
      <c r="M1535" s="36" t="str">
        <f aca="true">IF(OR($B1535="",$L1535=""),"",DATEDIF($L1535,TODAY(),"Y"))</f>
        <v/>
      </c>
      <c r="N1535" s="40" t="str">
        <f aca="false">IF($M1535="","",INDEX(usia_label,MATCH($M1535,usia_min,1)))</f>
        <v/>
      </c>
      <c r="O1535" s="37"/>
      <c r="P1535" s="41"/>
      <c r="Q1535" s="37"/>
      <c r="R1535" s="37"/>
      <c r="S1535" s="40" t="str">
        <f aca="false">IF($G1535="","",$G1535&amp;"#"&amp;COUNTIF($G$4:$G1535,$G1535))</f>
        <v/>
      </c>
      <c r="T1535" s="40" t="str">
        <f aca="false">IF($B1535="","",IF($C1535="","NIK kosong",IF(LEN($C1535)&lt;&gt;16,"NIK bukan 16 digit",IF(COUNTIF($C$4:$C$2003,$C1535&amp;"*")&gt;1,"NIK ganda",IF($E1535="","Kadus kosong",IF($F1535="","RT kosong",IF($H1535="","Jabatan kosong",IF($I1535="","No. HP kosong",IF($J1535="","Alamat kosong",IF(AND($M1535&lt;&gt;"",$M1535&lt;17),"Usia di bawah 17",""))))))))))</f>
        <v/>
      </c>
      <c r="U1535" s="40" t="str">
        <f aca="false">IF($B1535="","",IF(AND(OR(CARI!$C$5="",ISNUMBER(SEARCH(CARI!$C$5,$B1535&amp;" "&amp;$C1535&amp;" "&amp;$I1535&amp;" "&amp;$J1535&amp;" "&amp;$Q1535))),OR(CARI!$C$6="",$E1535=CARI!$C$6),OR(CARI!$C$7="",$F1535=CARI!$C$7),OR(CARI!$C$8="",$O1535=CARI!$C$8)),MAX($U$3:U1534)+1,""))</f>
        <v/>
      </c>
      <c r="V1535" s="40" t="str">
        <f aca="false">IF($T1535="","",MAX($V$3:V1534)+1)</f>
        <v/>
      </c>
      <c r="W1535" s="40" t="str">
        <f aca="false">IF($E1535="","",$E1535&amp;"#"&amp;COUNTIF($E$4:$E1535,$E1535))</f>
        <v/>
      </c>
      <c r="X1535" s="40" t="str">
        <f aca="false">IF($B1535="","",IF(AND(OR(CETAK!$J$10="",$E1535=CETAK!$J$10),OR(CETAK!$J$11="",$F1535=CETAK!$J$11),OR(CETAK!$J$12="",$K1535=CETAK!$J$12),OR(CETAK!$J$13="",$H1535=CETAK!$J$13),OR(CETAK!$J$14="",$O1535=CETAK!$J$14)),MAX($X$3:X1534)+1,""))</f>
        <v/>
      </c>
      <c r="Y1535" s="40" t="str">
        <f aca="false">IF($B1535="","",IF(AND(OR(ABSENSI!$H$10="",$E1535=ABSENSI!$H$10),OR(ABSENSI!$H$11="",$F1535=ABSENSI!$H$11),OR(ABSENSI!$H$12="",$K1535=ABSENSI!$H$12)),MAX($Y$3:Y1534)+1,""))</f>
        <v/>
      </c>
      <c r="Z1535" s="40" t="str">
        <f aca="false">IF($B1535="","",IF(AND(OR(KARTU!$K$6="",$E1535=KARTU!$K$6),OR(KARTU!$K$7="",$F1535=KARTU!$K$7),OR(KARTU!$K$8="",$K1535=KARTU!$K$8)),MAX($Z$3:Z1534)+1,""))</f>
        <v/>
      </c>
    </row>
    <row r="1536" customFormat="false" ht="15" hidden="false" customHeight="false" outlineLevel="0" collapsed="false">
      <c r="A1536" s="36" t="str">
        <f aca="false">IF($B1536="","",COUNTA($B$4:$B1536))</f>
        <v/>
      </c>
      <c r="B1536" s="37"/>
      <c r="C1536" s="38"/>
      <c r="D1536" s="39"/>
      <c r="E1536" s="37"/>
      <c r="F1536" s="39"/>
      <c r="G1536" s="40" t="str">
        <f aca="false">IF(OR($E1536="",$F1536=""),"",$E1536&amp;" - RT "&amp;$F1536)</f>
        <v/>
      </c>
      <c r="H1536" s="37"/>
      <c r="I1536" s="38"/>
      <c r="J1536" s="37"/>
      <c r="K1536" s="39"/>
      <c r="L1536" s="41"/>
      <c r="M1536" s="36" t="str">
        <f aca="true">IF(OR($B1536="",$L1536=""),"",DATEDIF($L1536,TODAY(),"Y"))</f>
        <v/>
      </c>
      <c r="N1536" s="40" t="str">
        <f aca="false">IF($M1536="","",INDEX(usia_label,MATCH($M1536,usia_min,1)))</f>
        <v/>
      </c>
      <c r="O1536" s="37"/>
      <c r="P1536" s="41"/>
      <c r="Q1536" s="37"/>
      <c r="R1536" s="37"/>
      <c r="S1536" s="40" t="str">
        <f aca="false">IF($G1536="","",$G1536&amp;"#"&amp;COUNTIF($G$4:$G1536,$G1536))</f>
        <v/>
      </c>
      <c r="T1536" s="40" t="str">
        <f aca="false">IF($B1536="","",IF($C1536="","NIK kosong",IF(LEN($C1536)&lt;&gt;16,"NIK bukan 16 digit",IF(COUNTIF($C$4:$C$2003,$C1536&amp;"*")&gt;1,"NIK ganda",IF($E1536="","Kadus kosong",IF($F1536="","RT kosong",IF($H1536="","Jabatan kosong",IF($I1536="","No. HP kosong",IF($J1536="","Alamat kosong",IF(AND($M1536&lt;&gt;"",$M1536&lt;17),"Usia di bawah 17",""))))))))))</f>
        <v/>
      </c>
      <c r="U1536" s="40" t="str">
        <f aca="false">IF($B1536="","",IF(AND(OR(CARI!$C$5="",ISNUMBER(SEARCH(CARI!$C$5,$B1536&amp;" "&amp;$C1536&amp;" "&amp;$I1536&amp;" "&amp;$J1536&amp;" "&amp;$Q1536))),OR(CARI!$C$6="",$E1536=CARI!$C$6),OR(CARI!$C$7="",$F1536=CARI!$C$7),OR(CARI!$C$8="",$O1536=CARI!$C$8)),MAX($U$3:U1535)+1,""))</f>
        <v/>
      </c>
      <c r="V1536" s="40" t="str">
        <f aca="false">IF($T1536="","",MAX($V$3:V1535)+1)</f>
        <v/>
      </c>
      <c r="W1536" s="40" t="str">
        <f aca="false">IF($E1536="","",$E1536&amp;"#"&amp;COUNTIF($E$4:$E1536,$E1536))</f>
        <v/>
      </c>
      <c r="X1536" s="40" t="str">
        <f aca="false">IF($B1536="","",IF(AND(OR(CETAK!$J$10="",$E1536=CETAK!$J$10),OR(CETAK!$J$11="",$F1536=CETAK!$J$11),OR(CETAK!$J$12="",$K1536=CETAK!$J$12),OR(CETAK!$J$13="",$H1536=CETAK!$J$13),OR(CETAK!$J$14="",$O1536=CETAK!$J$14)),MAX($X$3:X1535)+1,""))</f>
        <v/>
      </c>
      <c r="Y1536" s="40" t="str">
        <f aca="false">IF($B1536="","",IF(AND(OR(ABSENSI!$H$10="",$E1536=ABSENSI!$H$10),OR(ABSENSI!$H$11="",$F1536=ABSENSI!$H$11),OR(ABSENSI!$H$12="",$K1536=ABSENSI!$H$12)),MAX($Y$3:Y1535)+1,""))</f>
        <v/>
      </c>
      <c r="Z1536" s="40" t="str">
        <f aca="false">IF($B1536="","",IF(AND(OR(KARTU!$K$6="",$E1536=KARTU!$K$6),OR(KARTU!$K$7="",$F1536=KARTU!$K$7),OR(KARTU!$K$8="",$K1536=KARTU!$K$8)),MAX($Z$3:Z1535)+1,""))</f>
        <v/>
      </c>
    </row>
    <row r="1537" customFormat="false" ht="15" hidden="false" customHeight="false" outlineLevel="0" collapsed="false">
      <c r="A1537" s="36" t="str">
        <f aca="false">IF($B1537="","",COUNTA($B$4:$B1537))</f>
        <v/>
      </c>
      <c r="B1537" s="37"/>
      <c r="C1537" s="38"/>
      <c r="D1537" s="39"/>
      <c r="E1537" s="37"/>
      <c r="F1537" s="39"/>
      <c r="G1537" s="40" t="str">
        <f aca="false">IF(OR($E1537="",$F1537=""),"",$E1537&amp;" - RT "&amp;$F1537)</f>
        <v/>
      </c>
      <c r="H1537" s="37"/>
      <c r="I1537" s="38"/>
      <c r="J1537" s="37"/>
      <c r="K1537" s="39"/>
      <c r="L1537" s="41"/>
      <c r="M1537" s="36" t="str">
        <f aca="true">IF(OR($B1537="",$L1537=""),"",DATEDIF($L1537,TODAY(),"Y"))</f>
        <v/>
      </c>
      <c r="N1537" s="40" t="str">
        <f aca="false">IF($M1537="","",INDEX(usia_label,MATCH($M1537,usia_min,1)))</f>
        <v/>
      </c>
      <c r="O1537" s="37"/>
      <c r="P1537" s="41"/>
      <c r="Q1537" s="37"/>
      <c r="R1537" s="37"/>
      <c r="S1537" s="40" t="str">
        <f aca="false">IF($G1537="","",$G1537&amp;"#"&amp;COUNTIF($G$4:$G1537,$G1537))</f>
        <v/>
      </c>
      <c r="T1537" s="40" t="str">
        <f aca="false">IF($B1537="","",IF($C1537="","NIK kosong",IF(LEN($C1537)&lt;&gt;16,"NIK bukan 16 digit",IF(COUNTIF($C$4:$C$2003,$C1537&amp;"*")&gt;1,"NIK ganda",IF($E1537="","Kadus kosong",IF($F1537="","RT kosong",IF($H1537="","Jabatan kosong",IF($I1537="","No. HP kosong",IF($J1537="","Alamat kosong",IF(AND($M1537&lt;&gt;"",$M1537&lt;17),"Usia di bawah 17",""))))))))))</f>
        <v/>
      </c>
      <c r="U1537" s="40" t="str">
        <f aca="false">IF($B1537="","",IF(AND(OR(CARI!$C$5="",ISNUMBER(SEARCH(CARI!$C$5,$B1537&amp;" "&amp;$C1537&amp;" "&amp;$I1537&amp;" "&amp;$J1537&amp;" "&amp;$Q1537))),OR(CARI!$C$6="",$E1537=CARI!$C$6),OR(CARI!$C$7="",$F1537=CARI!$C$7),OR(CARI!$C$8="",$O1537=CARI!$C$8)),MAX($U$3:U1536)+1,""))</f>
        <v/>
      </c>
      <c r="V1537" s="40" t="str">
        <f aca="false">IF($T1537="","",MAX($V$3:V1536)+1)</f>
        <v/>
      </c>
      <c r="W1537" s="40" t="str">
        <f aca="false">IF($E1537="","",$E1537&amp;"#"&amp;COUNTIF($E$4:$E1537,$E1537))</f>
        <v/>
      </c>
      <c r="X1537" s="40" t="str">
        <f aca="false">IF($B1537="","",IF(AND(OR(CETAK!$J$10="",$E1537=CETAK!$J$10),OR(CETAK!$J$11="",$F1537=CETAK!$J$11),OR(CETAK!$J$12="",$K1537=CETAK!$J$12),OR(CETAK!$J$13="",$H1537=CETAK!$J$13),OR(CETAK!$J$14="",$O1537=CETAK!$J$14)),MAX($X$3:X1536)+1,""))</f>
        <v/>
      </c>
      <c r="Y1537" s="40" t="str">
        <f aca="false">IF($B1537="","",IF(AND(OR(ABSENSI!$H$10="",$E1537=ABSENSI!$H$10),OR(ABSENSI!$H$11="",$F1537=ABSENSI!$H$11),OR(ABSENSI!$H$12="",$K1537=ABSENSI!$H$12)),MAX($Y$3:Y1536)+1,""))</f>
        <v/>
      </c>
      <c r="Z1537" s="40" t="str">
        <f aca="false">IF($B1537="","",IF(AND(OR(KARTU!$K$6="",$E1537=KARTU!$K$6),OR(KARTU!$K$7="",$F1537=KARTU!$K$7),OR(KARTU!$K$8="",$K1537=KARTU!$K$8)),MAX($Z$3:Z1536)+1,""))</f>
        <v/>
      </c>
    </row>
    <row r="1538" customFormat="false" ht="15" hidden="false" customHeight="false" outlineLevel="0" collapsed="false">
      <c r="A1538" s="36" t="str">
        <f aca="false">IF($B1538="","",COUNTA($B$4:$B1538))</f>
        <v/>
      </c>
      <c r="B1538" s="37"/>
      <c r="C1538" s="38"/>
      <c r="D1538" s="39"/>
      <c r="E1538" s="37"/>
      <c r="F1538" s="39"/>
      <c r="G1538" s="40" t="str">
        <f aca="false">IF(OR($E1538="",$F1538=""),"",$E1538&amp;" - RT "&amp;$F1538)</f>
        <v/>
      </c>
      <c r="H1538" s="37"/>
      <c r="I1538" s="38"/>
      <c r="J1538" s="37"/>
      <c r="K1538" s="39"/>
      <c r="L1538" s="41"/>
      <c r="M1538" s="36" t="str">
        <f aca="true">IF(OR($B1538="",$L1538=""),"",DATEDIF($L1538,TODAY(),"Y"))</f>
        <v/>
      </c>
      <c r="N1538" s="40" t="str">
        <f aca="false">IF($M1538="","",INDEX(usia_label,MATCH($M1538,usia_min,1)))</f>
        <v/>
      </c>
      <c r="O1538" s="37"/>
      <c r="P1538" s="41"/>
      <c r="Q1538" s="37"/>
      <c r="R1538" s="37"/>
      <c r="S1538" s="40" t="str">
        <f aca="false">IF($G1538="","",$G1538&amp;"#"&amp;COUNTIF($G$4:$G1538,$G1538))</f>
        <v/>
      </c>
      <c r="T1538" s="40" t="str">
        <f aca="false">IF($B1538="","",IF($C1538="","NIK kosong",IF(LEN($C1538)&lt;&gt;16,"NIK bukan 16 digit",IF(COUNTIF($C$4:$C$2003,$C1538&amp;"*")&gt;1,"NIK ganda",IF($E1538="","Kadus kosong",IF($F1538="","RT kosong",IF($H1538="","Jabatan kosong",IF($I1538="","No. HP kosong",IF($J1538="","Alamat kosong",IF(AND($M1538&lt;&gt;"",$M1538&lt;17),"Usia di bawah 17",""))))))))))</f>
        <v/>
      </c>
      <c r="U1538" s="40" t="str">
        <f aca="false">IF($B1538="","",IF(AND(OR(CARI!$C$5="",ISNUMBER(SEARCH(CARI!$C$5,$B1538&amp;" "&amp;$C1538&amp;" "&amp;$I1538&amp;" "&amp;$J1538&amp;" "&amp;$Q1538))),OR(CARI!$C$6="",$E1538=CARI!$C$6),OR(CARI!$C$7="",$F1538=CARI!$C$7),OR(CARI!$C$8="",$O1538=CARI!$C$8)),MAX($U$3:U1537)+1,""))</f>
        <v/>
      </c>
      <c r="V1538" s="40" t="str">
        <f aca="false">IF($T1538="","",MAX($V$3:V1537)+1)</f>
        <v/>
      </c>
      <c r="W1538" s="40" t="str">
        <f aca="false">IF($E1538="","",$E1538&amp;"#"&amp;COUNTIF($E$4:$E1538,$E1538))</f>
        <v/>
      </c>
      <c r="X1538" s="40" t="str">
        <f aca="false">IF($B1538="","",IF(AND(OR(CETAK!$J$10="",$E1538=CETAK!$J$10),OR(CETAK!$J$11="",$F1538=CETAK!$J$11),OR(CETAK!$J$12="",$K1538=CETAK!$J$12),OR(CETAK!$J$13="",$H1538=CETAK!$J$13),OR(CETAK!$J$14="",$O1538=CETAK!$J$14)),MAX($X$3:X1537)+1,""))</f>
        <v/>
      </c>
      <c r="Y1538" s="40" t="str">
        <f aca="false">IF($B1538="","",IF(AND(OR(ABSENSI!$H$10="",$E1538=ABSENSI!$H$10),OR(ABSENSI!$H$11="",$F1538=ABSENSI!$H$11),OR(ABSENSI!$H$12="",$K1538=ABSENSI!$H$12)),MAX($Y$3:Y1537)+1,""))</f>
        <v/>
      </c>
      <c r="Z1538" s="40" t="str">
        <f aca="false">IF($B1538="","",IF(AND(OR(KARTU!$K$6="",$E1538=KARTU!$K$6),OR(KARTU!$K$7="",$F1538=KARTU!$K$7),OR(KARTU!$K$8="",$K1538=KARTU!$K$8)),MAX($Z$3:Z1537)+1,""))</f>
        <v/>
      </c>
    </row>
    <row r="1539" customFormat="false" ht="15" hidden="false" customHeight="false" outlineLevel="0" collapsed="false">
      <c r="A1539" s="36" t="str">
        <f aca="false">IF($B1539="","",COUNTA($B$4:$B1539))</f>
        <v/>
      </c>
      <c r="B1539" s="37"/>
      <c r="C1539" s="38"/>
      <c r="D1539" s="39"/>
      <c r="E1539" s="37"/>
      <c r="F1539" s="39"/>
      <c r="G1539" s="40" t="str">
        <f aca="false">IF(OR($E1539="",$F1539=""),"",$E1539&amp;" - RT "&amp;$F1539)</f>
        <v/>
      </c>
      <c r="H1539" s="37"/>
      <c r="I1539" s="38"/>
      <c r="J1539" s="37"/>
      <c r="K1539" s="39"/>
      <c r="L1539" s="41"/>
      <c r="M1539" s="36" t="str">
        <f aca="true">IF(OR($B1539="",$L1539=""),"",DATEDIF($L1539,TODAY(),"Y"))</f>
        <v/>
      </c>
      <c r="N1539" s="40" t="str">
        <f aca="false">IF($M1539="","",INDEX(usia_label,MATCH($M1539,usia_min,1)))</f>
        <v/>
      </c>
      <c r="O1539" s="37"/>
      <c r="P1539" s="41"/>
      <c r="Q1539" s="37"/>
      <c r="R1539" s="37"/>
      <c r="S1539" s="40" t="str">
        <f aca="false">IF($G1539="","",$G1539&amp;"#"&amp;COUNTIF($G$4:$G1539,$G1539))</f>
        <v/>
      </c>
      <c r="T1539" s="40" t="str">
        <f aca="false">IF($B1539="","",IF($C1539="","NIK kosong",IF(LEN($C1539)&lt;&gt;16,"NIK bukan 16 digit",IF(COUNTIF($C$4:$C$2003,$C1539&amp;"*")&gt;1,"NIK ganda",IF($E1539="","Kadus kosong",IF($F1539="","RT kosong",IF($H1539="","Jabatan kosong",IF($I1539="","No. HP kosong",IF($J1539="","Alamat kosong",IF(AND($M1539&lt;&gt;"",$M1539&lt;17),"Usia di bawah 17",""))))))))))</f>
        <v/>
      </c>
      <c r="U1539" s="40" t="str">
        <f aca="false">IF($B1539="","",IF(AND(OR(CARI!$C$5="",ISNUMBER(SEARCH(CARI!$C$5,$B1539&amp;" "&amp;$C1539&amp;" "&amp;$I1539&amp;" "&amp;$J1539&amp;" "&amp;$Q1539))),OR(CARI!$C$6="",$E1539=CARI!$C$6),OR(CARI!$C$7="",$F1539=CARI!$C$7),OR(CARI!$C$8="",$O1539=CARI!$C$8)),MAX($U$3:U1538)+1,""))</f>
        <v/>
      </c>
      <c r="V1539" s="40" t="str">
        <f aca="false">IF($T1539="","",MAX($V$3:V1538)+1)</f>
        <v/>
      </c>
      <c r="W1539" s="40" t="str">
        <f aca="false">IF($E1539="","",$E1539&amp;"#"&amp;COUNTIF($E$4:$E1539,$E1539))</f>
        <v/>
      </c>
      <c r="X1539" s="40" t="str">
        <f aca="false">IF($B1539="","",IF(AND(OR(CETAK!$J$10="",$E1539=CETAK!$J$10),OR(CETAK!$J$11="",$F1539=CETAK!$J$11),OR(CETAK!$J$12="",$K1539=CETAK!$J$12),OR(CETAK!$J$13="",$H1539=CETAK!$J$13),OR(CETAK!$J$14="",$O1539=CETAK!$J$14)),MAX($X$3:X1538)+1,""))</f>
        <v/>
      </c>
      <c r="Y1539" s="40" t="str">
        <f aca="false">IF($B1539="","",IF(AND(OR(ABSENSI!$H$10="",$E1539=ABSENSI!$H$10),OR(ABSENSI!$H$11="",$F1539=ABSENSI!$H$11),OR(ABSENSI!$H$12="",$K1539=ABSENSI!$H$12)),MAX($Y$3:Y1538)+1,""))</f>
        <v/>
      </c>
      <c r="Z1539" s="40" t="str">
        <f aca="false">IF($B1539="","",IF(AND(OR(KARTU!$K$6="",$E1539=KARTU!$K$6),OR(KARTU!$K$7="",$F1539=KARTU!$K$7),OR(KARTU!$K$8="",$K1539=KARTU!$K$8)),MAX($Z$3:Z1538)+1,""))</f>
        <v/>
      </c>
    </row>
    <row r="1540" customFormat="false" ht="15" hidden="false" customHeight="false" outlineLevel="0" collapsed="false">
      <c r="A1540" s="36" t="str">
        <f aca="false">IF($B1540="","",COUNTA($B$4:$B1540))</f>
        <v/>
      </c>
      <c r="B1540" s="37"/>
      <c r="C1540" s="38"/>
      <c r="D1540" s="39"/>
      <c r="E1540" s="37"/>
      <c r="F1540" s="39"/>
      <c r="G1540" s="40" t="str">
        <f aca="false">IF(OR($E1540="",$F1540=""),"",$E1540&amp;" - RT "&amp;$F1540)</f>
        <v/>
      </c>
      <c r="H1540" s="37"/>
      <c r="I1540" s="38"/>
      <c r="J1540" s="37"/>
      <c r="K1540" s="39"/>
      <c r="L1540" s="41"/>
      <c r="M1540" s="36" t="str">
        <f aca="true">IF(OR($B1540="",$L1540=""),"",DATEDIF($L1540,TODAY(),"Y"))</f>
        <v/>
      </c>
      <c r="N1540" s="40" t="str">
        <f aca="false">IF($M1540="","",INDEX(usia_label,MATCH($M1540,usia_min,1)))</f>
        <v/>
      </c>
      <c r="O1540" s="37"/>
      <c r="P1540" s="41"/>
      <c r="Q1540" s="37"/>
      <c r="R1540" s="37"/>
      <c r="S1540" s="40" t="str">
        <f aca="false">IF($G1540="","",$G1540&amp;"#"&amp;COUNTIF($G$4:$G1540,$G1540))</f>
        <v/>
      </c>
      <c r="T1540" s="40" t="str">
        <f aca="false">IF($B1540="","",IF($C1540="","NIK kosong",IF(LEN($C1540)&lt;&gt;16,"NIK bukan 16 digit",IF(COUNTIF($C$4:$C$2003,$C1540&amp;"*")&gt;1,"NIK ganda",IF($E1540="","Kadus kosong",IF($F1540="","RT kosong",IF($H1540="","Jabatan kosong",IF($I1540="","No. HP kosong",IF($J1540="","Alamat kosong",IF(AND($M1540&lt;&gt;"",$M1540&lt;17),"Usia di bawah 17",""))))))))))</f>
        <v/>
      </c>
      <c r="U1540" s="40" t="str">
        <f aca="false">IF($B1540="","",IF(AND(OR(CARI!$C$5="",ISNUMBER(SEARCH(CARI!$C$5,$B1540&amp;" "&amp;$C1540&amp;" "&amp;$I1540&amp;" "&amp;$J1540&amp;" "&amp;$Q1540))),OR(CARI!$C$6="",$E1540=CARI!$C$6),OR(CARI!$C$7="",$F1540=CARI!$C$7),OR(CARI!$C$8="",$O1540=CARI!$C$8)),MAX($U$3:U1539)+1,""))</f>
        <v/>
      </c>
      <c r="V1540" s="40" t="str">
        <f aca="false">IF($T1540="","",MAX($V$3:V1539)+1)</f>
        <v/>
      </c>
      <c r="W1540" s="40" t="str">
        <f aca="false">IF($E1540="","",$E1540&amp;"#"&amp;COUNTIF($E$4:$E1540,$E1540))</f>
        <v/>
      </c>
      <c r="X1540" s="40" t="str">
        <f aca="false">IF($B1540="","",IF(AND(OR(CETAK!$J$10="",$E1540=CETAK!$J$10),OR(CETAK!$J$11="",$F1540=CETAK!$J$11),OR(CETAK!$J$12="",$K1540=CETAK!$J$12),OR(CETAK!$J$13="",$H1540=CETAK!$J$13),OR(CETAK!$J$14="",$O1540=CETAK!$J$14)),MAX($X$3:X1539)+1,""))</f>
        <v/>
      </c>
      <c r="Y1540" s="40" t="str">
        <f aca="false">IF($B1540="","",IF(AND(OR(ABSENSI!$H$10="",$E1540=ABSENSI!$H$10),OR(ABSENSI!$H$11="",$F1540=ABSENSI!$H$11),OR(ABSENSI!$H$12="",$K1540=ABSENSI!$H$12)),MAX($Y$3:Y1539)+1,""))</f>
        <v/>
      </c>
      <c r="Z1540" s="40" t="str">
        <f aca="false">IF($B1540="","",IF(AND(OR(KARTU!$K$6="",$E1540=KARTU!$K$6),OR(KARTU!$K$7="",$F1540=KARTU!$K$7),OR(KARTU!$K$8="",$K1540=KARTU!$K$8)),MAX($Z$3:Z1539)+1,""))</f>
        <v/>
      </c>
    </row>
    <row r="1541" customFormat="false" ht="15" hidden="false" customHeight="false" outlineLevel="0" collapsed="false">
      <c r="A1541" s="36" t="str">
        <f aca="false">IF($B1541="","",COUNTA($B$4:$B1541))</f>
        <v/>
      </c>
      <c r="B1541" s="37"/>
      <c r="C1541" s="38"/>
      <c r="D1541" s="39"/>
      <c r="E1541" s="37"/>
      <c r="F1541" s="39"/>
      <c r="G1541" s="40" t="str">
        <f aca="false">IF(OR($E1541="",$F1541=""),"",$E1541&amp;" - RT "&amp;$F1541)</f>
        <v/>
      </c>
      <c r="H1541" s="37"/>
      <c r="I1541" s="38"/>
      <c r="J1541" s="37"/>
      <c r="K1541" s="39"/>
      <c r="L1541" s="41"/>
      <c r="M1541" s="36" t="str">
        <f aca="true">IF(OR($B1541="",$L1541=""),"",DATEDIF($L1541,TODAY(),"Y"))</f>
        <v/>
      </c>
      <c r="N1541" s="40" t="str">
        <f aca="false">IF($M1541="","",INDEX(usia_label,MATCH($M1541,usia_min,1)))</f>
        <v/>
      </c>
      <c r="O1541" s="37"/>
      <c r="P1541" s="41"/>
      <c r="Q1541" s="37"/>
      <c r="R1541" s="37"/>
      <c r="S1541" s="40" t="str">
        <f aca="false">IF($G1541="","",$G1541&amp;"#"&amp;COUNTIF($G$4:$G1541,$G1541))</f>
        <v/>
      </c>
      <c r="T1541" s="40" t="str">
        <f aca="false">IF($B1541="","",IF($C1541="","NIK kosong",IF(LEN($C1541)&lt;&gt;16,"NIK bukan 16 digit",IF(COUNTIF($C$4:$C$2003,$C1541&amp;"*")&gt;1,"NIK ganda",IF($E1541="","Kadus kosong",IF($F1541="","RT kosong",IF($H1541="","Jabatan kosong",IF($I1541="","No. HP kosong",IF($J1541="","Alamat kosong",IF(AND($M1541&lt;&gt;"",$M1541&lt;17),"Usia di bawah 17",""))))))))))</f>
        <v/>
      </c>
      <c r="U1541" s="40" t="str">
        <f aca="false">IF($B1541="","",IF(AND(OR(CARI!$C$5="",ISNUMBER(SEARCH(CARI!$C$5,$B1541&amp;" "&amp;$C1541&amp;" "&amp;$I1541&amp;" "&amp;$J1541&amp;" "&amp;$Q1541))),OR(CARI!$C$6="",$E1541=CARI!$C$6),OR(CARI!$C$7="",$F1541=CARI!$C$7),OR(CARI!$C$8="",$O1541=CARI!$C$8)),MAX($U$3:U1540)+1,""))</f>
        <v/>
      </c>
      <c r="V1541" s="40" t="str">
        <f aca="false">IF($T1541="","",MAX($V$3:V1540)+1)</f>
        <v/>
      </c>
      <c r="W1541" s="40" t="str">
        <f aca="false">IF($E1541="","",$E1541&amp;"#"&amp;COUNTIF($E$4:$E1541,$E1541))</f>
        <v/>
      </c>
      <c r="X1541" s="40" t="str">
        <f aca="false">IF($B1541="","",IF(AND(OR(CETAK!$J$10="",$E1541=CETAK!$J$10),OR(CETAK!$J$11="",$F1541=CETAK!$J$11),OR(CETAK!$J$12="",$K1541=CETAK!$J$12),OR(CETAK!$J$13="",$H1541=CETAK!$J$13),OR(CETAK!$J$14="",$O1541=CETAK!$J$14)),MAX($X$3:X1540)+1,""))</f>
        <v/>
      </c>
      <c r="Y1541" s="40" t="str">
        <f aca="false">IF($B1541="","",IF(AND(OR(ABSENSI!$H$10="",$E1541=ABSENSI!$H$10),OR(ABSENSI!$H$11="",$F1541=ABSENSI!$H$11),OR(ABSENSI!$H$12="",$K1541=ABSENSI!$H$12)),MAX($Y$3:Y1540)+1,""))</f>
        <v/>
      </c>
      <c r="Z1541" s="40" t="str">
        <f aca="false">IF($B1541="","",IF(AND(OR(KARTU!$K$6="",$E1541=KARTU!$K$6),OR(KARTU!$K$7="",$F1541=KARTU!$K$7),OR(KARTU!$K$8="",$K1541=KARTU!$K$8)),MAX($Z$3:Z1540)+1,""))</f>
        <v/>
      </c>
    </row>
    <row r="1542" customFormat="false" ht="15" hidden="false" customHeight="false" outlineLevel="0" collapsed="false">
      <c r="A1542" s="36" t="str">
        <f aca="false">IF($B1542="","",COUNTA($B$4:$B1542))</f>
        <v/>
      </c>
      <c r="B1542" s="37"/>
      <c r="C1542" s="38"/>
      <c r="D1542" s="39"/>
      <c r="E1542" s="37"/>
      <c r="F1542" s="39"/>
      <c r="G1542" s="40" t="str">
        <f aca="false">IF(OR($E1542="",$F1542=""),"",$E1542&amp;" - RT "&amp;$F1542)</f>
        <v/>
      </c>
      <c r="H1542" s="37"/>
      <c r="I1542" s="38"/>
      <c r="J1542" s="37"/>
      <c r="K1542" s="39"/>
      <c r="L1542" s="41"/>
      <c r="M1542" s="36" t="str">
        <f aca="true">IF(OR($B1542="",$L1542=""),"",DATEDIF($L1542,TODAY(),"Y"))</f>
        <v/>
      </c>
      <c r="N1542" s="40" t="str">
        <f aca="false">IF($M1542="","",INDEX(usia_label,MATCH($M1542,usia_min,1)))</f>
        <v/>
      </c>
      <c r="O1542" s="37"/>
      <c r="P1542" s="41"/>
      <c r="Q1542" s="37"/>
      <c r="R1542" s="37"/>
      <c r="S1542" s="40" t="str">
        <f aca="false">IF($G1542="","",$G1542&amp;"#"&amp;COUNTIF($G$4:$G1542,$G1542))</f>
        <v/>
      </c>
      <c r="T1542" s="40" t="str">
        <f aca="false">IF($B1542="","",IF($C1542="","NIK kosong",IF(LEN($C1542)&lt;&gt;16,"NIK bukan 16 digit",IF(COUNTIF($C$4:$C$2003,$C1542&amp;"*")&gt;1,"NIK ganda",IF($E1542="","Kadus kosong",IF($F1542="","RT kosong",IF($H1542="","Jabatan kosong",IF($I1542="","No. HP kosong",IF($J1542="","Alamat kosong",IF(AND($M1542&lt;&gt;"",$M1542&lt;17),"Usia di bawah 17",""))))))))))</f>
        <v/>
      </c>
      <c r="U1542" s="40" t="str">
        <f aca="false">IF($B1542="","",IF(AND(OR(CARI!$C$5="",ISNUMBER(SEARCH(CARI!$C$5,$B1542&amp;" "&amp;$C1542&amp;" "&amp;$I1542&amp;" "&amp;$J1542&amp;" "&amp;$Q1542))),OR(CARI!$C$6="",$E1542=CARI!$C$6),OR(CARI!$C$7="",$F1542=CARI!$C$7),OR(CARI!$C$8="",$O1542=CARI!$C$8)),MAX($U$3:U1541)+1,""))</f>
        <v/>
      </c>
      <c r="V1542" s="40" t="str">
        <f aca="false">IF($T1542="","",MAX($V$3:V1541)+1)</f>
        <v/>
      </c>
      <c r="W1542" s="40" t="str">
        <f aca="false">IF($E1542="","",$E1542&amp;"#"&amp;COUNTIF($E$4:$E1542,$E1542))</f>
        <v/>
      </c>
      <c r="X1542" s="40" t="str">
        <f aca="false">IF($B1542="","",IF(AND(OR(CETAK!$J$10="",$E1542=CETAK!$J$10),OR(CETAK!$J$11="",$F1542=CETAK!$J$11),OR(CETAK!$J$12="",$K1542=CETAK!$J$12),OR(CETAK!$J$13="",$H1542=CETAK!$J$13),OR(CETAK!$J$14="",$O1542=CETAK!$J$14)),MAX($X$3:X1541)+1,""))</f>
        <v/>
      </c>
      <c r="Y1542" s="40" t="str">
        <f aca="false">IF($B1542="","",IF(AND(OR(ABSENSI!$H$10="",$E1542=ABSENSI!$H$10),OR(ABSENSI!$H$11="",$F1542=ABSENSI!$H$11),OR(ABSENSI!$H$12="",$K1542=ABSENSI!$H$12)),MAX($Y$3:Y1541)+1,""))</f>
        <v/>
      </c>
      <c r="Z1542" s="40" t="str">
        <f aca="false">IF($B1542="","",IF(AND(OR(KARTU!$K$6="",$E1542=KARTU!$K$6),OR(KARTU!$K$7="",$F1542=KARTU!$K$7),OR(KARTU!$K$8="",$K1542=KARTU!$K$8)),MAX($Z$3:Z1541)+1,""))</f>
        <v/>
      </c>
    </row>
    <row r="1543" customFormat="false" ht="15" hidden="false" customHeight="false" outlineLevel="0" collapsed="false">
      <c r="A1543" s="36" t="str">
        <f aca="false">IF($B1543="","",COUNTA($B$4:$B1543))</f>
        <v/>
      </c>
      <c r="B1543" s="37"/>
      <c r="C1543" s="38"/>
      <c r="D1543" s="39"/>
      <c r="E1543" s="37"/>
      <c r="F1543" s="39"/>
      <c r="G1543" s="40" t="str">
        <f aca="false">IF(OR($E1543="",$F1543=""),"",$E1543&amp;" - RT "&amp;$F1543)</f>
        <v/>
      </c>
      <c r="H1543" s="37"/>
      <c r="I1543" s="38"/>
      <c r="J1543" s="37"/>
      <c r="K1543" s="39"/>
      <c r="L1543" s="41"/>
      <c r="M1543" s="36" t="str">
        <f aca="true">IF(OR($B1543="",$L1543=""),"",DATEDIF($L1543,TODAY(),"Y"))</f>
        <v/>
      </c>
      <c r="N1543" s="40" t="str">
        <f aca="false">IF($M1543="","",INDEX(usia_label,MATCH($M1543,usia_min,1)))</f>
        <v/>
      </c>
      <c r="O1543" s="37"/>
      <c r="P1543" s="41"/>
      <c r="Q1543" s="37"/>
      <c r="R1543" s="37"/>
      <c r="S1543" s="40" t="str">
        <f aca="false">IF($G1543="","",$G1543&amp;"#"&amp;COUNTIF($G$4:$G1543,$G1543))</f>
        <v/>
      </c>
      <c r="T1543" s="40" t="str">
        <f aca="false">IF($B1543="","",IF($C1543="","NIK kosong",IF(LEN($C1543)&lt;&gt;16,"NIK bukan 16 digit",IF(COUNTIF($C$4:$C$2003,$C1543&amp;"*")&gt;1,"NIK ganda",IF($E1543="","Kadus kosong",IF($F1543="","RT kosong",IF($H1543="","Jabatan kosong",IF($I1543="","No. HP kosong",IF($J1543="","Alamat kosong",IF(AND($M1543&lt;&gt;"",$M1543&lt;17),"Usia di bawah 17",""))))))))))</f>
        <v/>
      </c>
      <c r="U1543" s="40" t="str">
        <f aca="false">IF($B1543="","",IF(AND(OR(CARI!$C$5="",ISNUMBER(SEARCH(CARI!$C$5,$B1543&amp;" "&amp;$C1543&amp;" "&amp;$I1543&amp;" "&amp;$J1543&amp;" "&amp;$Q1543))),OR(CARI!$C$6="",$E1543=CARI!$C$6),OR(CARI!$C$7="",$F1543=CARI!$C$7),OR(CARI!$C$8="",$O1543=CARI!$C$8)),MAX($U$3:U1542)+1,""))</f>
        <v/>
      </c>
      <c r="V1543" s="40" t="str">
        <f aca="false">IF($T1543="","",MAX($V$3:V1542)+1)</f>
        <v/>
      </c>
      <c r="W1543" s="40" t="str">
        <f aca="false">IF($E1543="","",$E1543&amp;"#"&amp;COUNTIF($E$4:$E1543,$E1543))</f>
        <v/>
      </c>
      <c r="X1543" s="40" t="str">
        <f aca="false">IF($B1543="","",IF(AND(OR(CETAK!$J$10="",$E1543=CETAK!$J$10),OR(CETAK!$J$11="",$F1543=CETAK!$J$11),OR(CETAK!$J$12="",$K1543=CETAK!$J$12),OR(CETAK!$J$13="",$H1543=CETAK!$J$13),OR(CETAK!$J$14="",$O1543=CETAK!$J$14)),MAX($X$3:X1542)+1,""))</f>
        <v/>
      </c>
      <c r="Y1543" s="40" t="str">
        <f aca="false">IF($B1543="","",IF(AND(OR(ABSENSI!$H$10="",$E1543=ABSENSI!$H$10),OR(ABSENSI!$H$11="",$F1543=ABSENSI!$H$11),OR(ABSENSI!$H$12="",$K1543=ABSENSI!$H$12)),MAX($Y$3:Y1542)+1,""))</f>
        <v/>
      </c>
      <c r="Z1543" s="40" t="str">
        <f aca="false">IF($B1543="","",IF(AND(OR(KARTU!$K$6="",$E1543=KARTU!$K$6),OR(KARTU!$K$7="",$F1543=KARTU!$K$7),OR(KARTU!$K$8="",$K1543=KARTU!$K$8)),MAX($Z$3:Z1542)+1,""))</f>
        <v/>
      </c>
    </row>
    <row r="1544" customFormat="false" ht="15" hidden="false" customHeight="false" outlineLevel="0" collapsed="false">
      <c r="A1544" s="36" t="str">
        <f aca="false">IF($B1544="","",COUNTA($B$4:$B1544))</f>
        <v/>
      </c>
      <c r="B1544" s="37"/>
      <c r="C1544" s="38"/>
      <c r="D1544" s="39"/>
      <c r="E1544" s="37"/>
      <c r="F1544" s="39"/>
      <c r="G1544" s="40" t="str">
        <f aca="false">IF(OR($E1544="",$F1544=""),"",$E1544&amp;" - RT "&amp;$F1544)</f>
        <v/>
      </c>
      <c r="H1544" s="37"/>
      <c r="I1544" s="38"/>
      <c r="J1544" s="37"/>
      <c r="K1544" s="39"/>
      <c r="L1544" s="41"/>
      <c r="M1544" s="36" t="str">
        <f aca="true">IF(OR($B1544="",$L1544=""),"",DATEDIF($L1544,TODAY(),"Y"))</f>
        <v/>
      </c>
      <c r="N1544" s="40" t="str">
        <f aca="false">IF($M1544="","",INDEX(usia_label,MATCH($M1544,usia_min,1)))</f>
        <v/>
      </c>
      <c r="O1544" s="37"/>
      <c r="P1544" s="41"/>
      <c r="Q1544" s="37"/>
      <c r="R1544" s="37"/>
      <c r="S1544" s="40" t="str">
        <f aca="false">IF($G1544="","",$G1544&amp;"#"&amp;COUNTIF($G$4:$G1544,$G1544))</f>
        <v/>
      </c>
      <c r="T1544" s="40" t="str">
        <f aca="false">IF($B1544="","",IF($C1544="","NIK kosong",IF(LEN($C1544)&lt;&gt;16,"NIK bukan 16 digit",IF(COUNTIF($C$4:$C$2003,$C1544&amp;"*")&gt;1,"NIK ganda",IF($E1544="","Kadus kosong",IF($F1544="","RT kosong",IF($H1544="","Jabatan kosong",IF($I1544="","No. HP kosong",IF($J1544="","Alamat kosong",IF(AND($M1544&lt;&gt;"",$M1544&lt;17),"Usia di bawah 17",""))))))))))</f>
        <v/>
      </c>
      <c r="U1544" s="40" t="str">
        <f aca="false">IF($B1544="","",IF(AND(OR(CARI!$C$5="",ISNUMBER(SEARCH(CARI!$C$5,$B1544&amp;" "&amp;$C1544&amp;" "&amp;$I1544&amp;" "&amp;$J1544&amp;" "&amp;$Q1544))),OR(CARI!$C$6="",$E1544=CARI!$C$6),OR(CARI!$C$7="",$F1544=CARI!$C$7),OR(CARI!$C$8="",$O1544=CARI!$C$8)),MAX($U$3:U1543)+1,""))</f>
        <v/>
      </c>
      <c r="V1544" s="40" t="str">
        <f aca="false">IF($T1544="","",MAX($V$3:V1543)+1)</f>
        <v/>
      </c>
      <c r="W1544" s="40" t="str">
        <f aca="false">IF($E1544="","",$E1544&amp;"#"&amp;COUNTIF($E$4:$E1544,$E1544))</f>
        <v/>
      </c>
      <c r="X1544" s="40" t="str">
        <f aca="false">IF($B1544="","",IF(AND(OR(CETAK!$J$10="",$E1544=CETAK!$J$10),OR(CETAK!$J$11="",$F1544=CETAK!$J$11),OR(CETAK!$J$12="",$K1544=CETAK!$J$12),OR(CETAK!$J$13="",$H1544=CETAK!$J$13),OR(CETAK!$J$14="",$O1544=CETAK!$J$14)),MAX($X$3:X1543)+1,""))</f>
        <v/>
      </c>
      <c r="Y1544" s="40" t="str">
        <f aca="false">IF($B1544="","",IF(AND(OR(ABSENSI!$H$10="",$E1544=ABSENSI!$H$10),OR(ABSENSI!$H$11="",$F1544=ABSENSI!$H$11),OR(ABSENSI!$H$12="",$K1544=ABSENSI!$H$12)),MAX($Y$3:Y1543)+1,""))</f>
        <v/>
      </c>
      <c r="Z1544" s="40" t="str">
        <f aca="false">IF($B1544="","",IF(AND(OR(KARTU!$K$6="",$E1544=KARTU!$K$6),OR(KARTU!$K$7="",$F1544=KARTU!$K$7),OR(KARTU!$K$8="",$K1544=KARTU!$K$8)),MAX($Z$3:Z1543)+1,""))</f>
        <v/>
      </c>
    </row>
    <row r="1545" customFormat="false" ht="15" hidden="false" customHeight="false" outlineLevel="0" collapsed="false">
      <c r="A1545" s="36" t="str">
        <f aca="false">IF($B1545="","",COUNTA($B$4:$B1545))</f>
        <v/>
      </c>
      <c r="B1545" s="37"/>
      <c r="C1545" s="38"/>
      <c r="D1545" s="39"/>
      <c r="E1545" s="37"/>
      <c r="F1545" s="39"/>
      <c r="G1545" s="40" t="str">
        <f aca="false">IF(OR($E1545="",$F1545=""),"",$E1545&amp;" - RT "&amp;$F1545)</f>
        <v/>
      </c>
      <c r="H1545" s="37"/>
      <c r="I1545" s="38"/>
      <c r="J1545" s="37"/>
      <c r="K1545" s="39"/>
      <c r="L1545" s="41"/>
      <c r="M1545" s="36" t="str">
        <f aca="true">IF(OR($B1545="",$L1545=""),"",DATEDIF($L1545,TODAY(),"Y"))</f>
        <v/>
      </c>
      <c r="N1545" s="40" t="str">
        <f aca="false">IF($M1545="","",INDEX(usia_label,MATCH($M1545,usia_min,1)))</f>
        <v/>
      </c>
      <c r="O1545" s="37"/>
      <c r="P1545" s="41"/>
      <c r="Q1545" s="37"/>
      <c r="R1545" s="37"/>
      <c r="S1545" s="40" t="str">
        <f aca="false">IF($G1545="","",$G1545&amp;"#"&amp;COUNTIF($G$4:$G1545,$G1545))</f>
        <v/>
      </c>
      <c r="T1545" s="40" t="str">
        <f aca="false">IF($B1545="","",IF($C1545="","NIK kosong",IF(LEN($C1545)&lt;&gt;16,"NIK bukan 16 digit",IF(COUNTIF($C$4:$C$2003,$C1545&amp;"*")&gt;1,"NIK ganda",IF($E1545="","Kadus kosong",IF($F1545="","RT kosong",IF($H1545="","Jabatan kosong",IF($I1545="","No. HP kosong",IF($J1545="","Alamat kosong",IF(AND($M1545&lt;&gt;"",$M1545&lt;17),"Usia di bawah 17",""))))))))))</f>
        <v/>
      </c>
      <c r="U1545" s="40" t="str">
        <f aca="false">IF($B1545="","",IF(AND(OR(CARI!$C$5="",ISNUMBER(SEARCH(CARI!$C$5,$B1545&amp;" "&amp;$C1545&amp;" "&amp;$I1545&amp;" "&amp;$J1545&amp;" "&amp;$Q1545))),OR(CARI!$C$6="",$E1545=CARI!$C$6),OR(CARI!$C$7="",$F1545=CARI!$C$7),OR(CARI!$C$8="",$O1545=CARI!$C$8)),MAX($U$3:U1544)+1,""))</f>
        <v/>
      </c>
      <c r="V1545" s="40" t="str">
        <f aca="false">IF($T1545="","",MAX($V$3:V1544)+1)</f>
        <v/>
      </c>
      <c r="W1545" s="40" t="str">
        <f aca="false">IF($E1545="","",$E1545&amp;"#"&amp;COUNTIF($E$4:$E1545,$E1545))</f>
        <v/>
      </c>
      <c r="X1545" s="40" t="str">
        <f aca="false">IF($B1545="","",IF(AND(OR(CETAK!$J$10="",$E1545=CETAK!$J$10),OR(CETAK!$J$11="",$F1545=CETAK!$J$11),OR(CETAK!$J$12="",$K1545=CETAK!$J$12),OR(CETAK!$J$13="",$H1545=CETAK!$J$13),OR(CETAK!$J$14="",$O1545=CETAK!$J$14)),MAX($X$3:X1544)+1,""))</f>
        <v/>
      </c>
      <c r="Y1545" s="40" t="str">
        <f aca="false">IF($B1545="","",IF(AND(OR(ABSENSI!$H$10="",$E1545=ABSENSI!$H$10),OR(ABSENSI!$H$11="",$F1545=ABSENSI!$H$11),OR(ABSENSI!$H$12="",$K1545=ABSENSI!$H$12)),MAX($Y$3:Y1544)+1,""))</f>
        <v/>
      </c>
      <c r="Z1545" s="40" t="str">
        <f aca="false">IF($B1545="","",IF(AND(OR(KARTU!$K$6="",$E1545=KARTU!$K$6),OR(KARTU!$K$7="",$F1545=KARTU!$K$7),OR(KARTU!$K$8="",$K1545=KARTU!$K$8)),MAX($Z$3:Z1544)+1,""))</f>
        <v/>
      </c>
    </row>
    <row r="1546" customFormat="false" ht="15" hidden="false" customHeight="false" outlineLevel="0" collapsed="false">
      <c r="A1546" s="36" t="str">
        <f aca="false">IF($B1546="","",COUNTA($B$4:$B1546))</f>
        <v/>
      </c>
      <c r="B1546" s="37"/>
      <c r="C1546" s="38"/>
      <c r="D1546" s="39"/>
      <c r="E1546" s="37"/>
      <c r="F1546" s="39"/>
      <c r="G1546" s="40" t="str">
        <f aca="false">IF(OR($E1546="",$F1546=""),"",$E1546&amp;" - RT "&amp;$F1546)</f>
        <v/>
      </c>
      <c r="H1546" s="37"/>
      <c r="I1546" s="38"/>
      <c r="J1546" s="37"/>
      <c r="K1546" s="39"/>
      <c r="L1546" s="41"/>
      <c r="M1546" s="36" t="str">
        <f aca="true">IF(OR($B1546="",$L1546=""),"",DATEDIF($L1546,TODAY(),"Y"))</f>
        <v/>
      </c>
      <c r="N1546" s="40" t="str">
        <f aca="false">IF($M1546="","",INDEX(usia_label,MATCH($M1546,usia_min,1)))</f>
        <v/>
      </c>
      <c r="O1546" s="37"/>
      <c r="P1546" s="41"/>
      <c r="Q1546" s="37"/>
      <c r="R1546" s="37"/>
      <c r="S1546" s="40" t="str">
        <f aca="false">IF($G1546="","",$G1546&amp;"#"&amp;COUNTIF($G$4:$G1546,$G1546))</f>
        <v/>
      </c>
      <c r="T1546" s="40" t="str">
        <f aca="false">IF($B1546="","",IF($C1546="","NIK kosong",IF(LEN($C1546)&lt;&gt;16,"NIK bukan 16 digit",IF(COUNTIF($C$4:$C$2003,$C1546&amp;"*")&gt;1,"NIK ganda",IF($E1546="","Kadus kosong",IF($F1546="","RT kosong",IF($H1546="","Jabatan kosong",IF($I1546="","No. HP kosong",IF($J1546="","Alamat kosong",IF(AND($M1546&lt;&gt;"",$M1546&lt;17),"Usia di bawah 17",""))))))))))</f>
        <v/>
      </c>
      <c r="U1546" s="40" t="str">
        <f aca="false">IF($B1546="","",IF(AND(OR(CARI!$C$5="",ISNUMBER(SEARCH(CARI!$C$5,$B1546&amp;" "&amp;$C1546&amp;" "&amp;$I1546&amp;" "&amp;$J1546&amp;" "&amp;$Q1546))),OR(CARI!$C$6="",$E1546=CARI!$C$6),OR(CARI!$C$7="",$F1546=CARI!$C$7),OR(CARI!$C$8="",$O1546=CARI!$C$8)),MAX($U$3:U1545)+1,""))</f>
        <v/>
      </c>
      <c r="V1546" s="40" t="str">
        <f aca="false">IF($T1546="","",MAX($V$3:V1545)+1)</f>
        <v/>
      </c>
      <c r="W1546" s="40" t="str">
        <f aca="false">IF($E1546="","",$E1546&amp;"#"&amp;COUNTIF($E$4:$E1546,$E1546))</f>
        <v/>
      </c>
      <c r="X1546" s="40" t="str">
        <f aca="false">IF($B1546="","",IF(AND(OR(CETAK!$J$10="",$E1546=CETAK!$J$10),OR(CETAK!$J$11="",$F1546=CETAK!$J$11),OR(CETAK!$J$12="",$K1546=CETAK!$J$12),OR(CETAK!$J$13="",$H1546=CETAK!$J$13),OR(CETAK!$J$14="",$O1546=CETAK!$J$14)),MAX($X$3:X1545)+1,""))</f>
        <v/>
      </c>
      <c r="Y1546" s="40" t="str">
        <f aca="false">IF($B1546="","",IF(AND(OR(ABSENSI!$H$10="",$E1546=ABSENSI!$H$10),OR(ABSENSI!$H$11="",$F1546=ABSENSI!$H$11),OR(ABSENSI!$H$12="",$K1546=ABSENSI!$H$12)),MAX($Y$3:Y1545)+1,""))</f>
        <v/>
      </c>
      <c r="Z1546" s="40" t="str">
        <f aca="false">IF($B1546="","",IF(AND(OR(KARTU!$K$6="",$E1546=KARTU!$K$6),OR(KARTU!$K$7="",$F1546=KARTU!$K$7),OR(KARTU!$K$8="",$K1546=KARTU!$K$8)),MAX($Z$3:Z1545)+1,""))</f>
        <v/>
      </c>
    </row>
    <row r="1547" customFormat="false" ht="15" hidden="false" customHeight="false" outlineLevel="0" collapsed="false">
      <c r="A1547" s="36" t="str">
        <f aca="false">IF($B1547="","",COUNTA($B$4:$B1547))</f>
        <v/>
      </c>
      <c r="B1547" s="37"/>
      <c r="C1547" s="38"/>
      <c r="D1547" s="39"/>
      <c r="E1547" s="37"/>
      <c r="F1547" s="39"/>
      <c r="G1547" s="40" t="str">
        <f aca="false">IF(OR($E1547="",$F1547=""),"",$E1547&amp;" - RT "&amp;$F1547)</f>
        <v/>
      </c>
      <c r="H1547" s="37"/>
      <c r="I1547" s="38"/>
      <c r="J1547" s="37"/>
      <c r="K1547" s="39"/>
      <c r="L1547" s="41"/>
      <c r="M1547" s="36" t="str">
        <f aca="true">IF(OR($B1547="",$L1547=""),"",DATEDIF($L1547,TODAY(),"Y"))</f>
        <v/>
      </c>
      <c r="N1547" s="40" t="str">
        <f aca="false">IF($M1547="","",INDEX(usia_label,MATCH($M1547,usia_min,1)))</f>
        <v/>
      </c>
      <c r="O1547" s="37"/>
      <c r="P1547" s="41"/>
      <c r="Q1547" s="37"/>
      <c r="R1547" s="37"/>
      <c r="S1547" s="40" t="str">
        <f aca="false">IF($G1547="","",$G1547&amp;"#"&amp;COUNTIF($G$4:$G1547,$G1547))</f>
        <v/>
      </c>
      <c r="T1547" s="40" t="str">
        <f aca="false">IF($B1547="","",IF($C1547="","NIK kosong",IF(LEN($C1547)&lt;&gt;16,"NIK bukan 16 digit",IF(COUNTIF($C$4:$C$2003,$C1547&amp;"*")&gt;1,"NIK ganda",IF($E1547="","Kadus kosong",IF($F1547="","RT kosong",IF($H1547="","Jabatan kosong",IF($I1547="","No. HP kosong",IF($J1547="","Alamat kosong",IF(AND($M1547&lt;&gt;"",$M1547&lt;17),"Usia di bawah 17",""))))))))))</f>
        <v/>
      </c>
      <c r="U1547" s="40" t="str">
        <f aca="false">IF($B1547="","",IF(AND(OR(CARI!$C$5="",ISNUMBER(SEARCH(CARI!$C$5,$B1547&amp;" "&amp;$C1547&amp;" "&amp;$I1547&amp;" "&amp;$J1547&amp;" "&amp;$Q1547))),OR(CARI!$C$6="",$E1547=CARI!$C$6),OR(CARI!$C$7="",$F1547=CARI!$C$7),OR(CARI!$C$8="",$O1547=CARI!$C$8)),MAX($U$3:U1546)+1,""))</f>
        <v/>
      </c>
      <c r="V1547" s="40" t="str">
        <f aca="false">IF($T1547="","",MAX($V$3:V1546)+1)</f>
        <v/>
      </c>
      <c r="W1547" s="40" t="str">
        <f aca="false">IF($E1547="","",$E1547&amp;"#"&amp;COUNTIF($E$4:$E1547,$E1547))</f>
        <v/>
      </c>
      <c r="X1547" s="40" t="str">
        <f aca="false">IF($B1547="","",IF(AND(OR(CETAK!$J$10="",$E1547=CETAK!$J$10),OR(CETAK!$J$11="",$F1547=CETAK!$J$11),OR(CETAK!$J$12="",$K1547=CETAK!$J$12),OR(CETAK!$J$13="",$H1547=CETAK!$J$13),OR(CETAK!$J$14="",$O1547=CETAK!$J$14)),MAX($X$3:X1546)+1,""))</f>
        <v/>
      </c>
      <c r="Y1547" s="40" t="str">
        <f aca="false">IF($B1547="","",IF(AND(OR(ABSENSI!$H$10="",$E1547=ABSENSI!$H$10),OR(ABSENSI!$H$11="",$F1547=ABSENSI!$H$11),OR(ABSENSI!$H$12="",$K1547=ABSENSI!$H$12)),MAX($Y$3:Y1546)+1,""))</f>
        <v/>
      </c>
      <c r="Z1547" s="40" t="str">
        <f aca="false">IF($B1547="","",IF(AND(OR(KARTU!$K$6="",$E1547=KARTU!$K$6),OR(KARTU!$K$7="",$F1547=KARTU!$K$7),OR(KARTU!$K$8="",$K1547=KARTU!$K$8)),MAX($Z$3:Z1546)+1,""))</f>
        <v/>
      </c>
    </row>
    <row r="1548" customFormat="false" ht="15" hidden="false" customHeight="false" outlineLevel="0" collapsed="false">
      <c r="A1548" s="36" t="str">
        <f aca="false">IF($B1548="","",COUNTA($B$4:$B1548))</f>
        <v/>
      </c>
      <c r="B1548" s="37"/>
      <c r="C1548" s="38"/>
      <c r="D1548" s="39"/>
      <c r="E1548" s="37"/>
      <c r="F1548" s="39"/>
      <c r="G1548" s="40" t="str">
        <f aca="false">IF(OR($E1548="",$F1548=""),"",$E1548&amp;" - RT "&amp;$F1548)</f>
        <v/>
      </c>
      <c r="H1548" s="37"/>
      <c r="I1548" s="38"/>
      <c r="J1548" s="37"/>
      <c r="K1548" s="39"/>
      <c r="L1548" s="41"/>
      <c r="M1548" s="36" t="str">
        <f aca="true">IF(OR($B1548="",$L1548=""),"",DATEDIF($L1548,TODAY(),"Y"))</f>
        <v/>
      </c>
      <c r="N1548" s="40" t="str">
        <f aca="false">IF($M1548="","",INDEX(usia_label,MATCH($M1548,usia_min,1)))</f>
        <v/>
      </c>
      <c r="O1548" s="37"/>
      <c r="P1548" s="41"/>
      <c r="Q1548" s="37"/>
      <c r="R1548" s="37"/>
      <c r="S1548" s="40" t="str">
        <f aca="false">IF($G1548="","",$G1548&amp;"#"&amp;COUNTIF($G$4:$G1548,$G1548))</f>
        <v/>
      </c>
      <c r="T1548" s="40" t="str">
        <f aca="false">IF($B1548="","",IF($C1548="","NIK kosong",IF(LEN($C1548)&lt;&gt;16,"NIK bukan 16 digit",IF(COUNTIF($C$4:$C$2003,$C1548&amp;"*")&gt;1,"NIK ganda",IF($E1548="","Kadus kosong",IF($F1548="","RT kosong",IF($H1548="","Jabatan kosong",IF($I1548="","No. HP kosong",IF($J1548="","Alamat kosong",IF(AND($M1548&lt;&gt;"",$M1548&lt;17),"Usia di bawah 17",""))))))))))</f>
        <v/>
      </c>
      <c r="U1548" s="40" t="str">
        <f aca="false">IF($B1548="","",IF(AND(OR(CARI!$C$5="",ISNUMBER(SEARCH(CARI!$C$5,$B1548&amp;" "&amp;$C1548&amp;" "&amp;$I1548&amp;" "&amp;$J1548&amp;" "&amp;$Q1548))),OR(CARI!$C$6="",$E1548=CARI!$C$6),OR(CARI!$C$7="",$F1548=CARI!$C$7),OR(CARI!$C$8="",$O1548=CARI!$C$8)),MAX($U$3:U1547)+1,""))</f>
        <v/>
      </c>
      <c r="V1548" s="40" t="str">
        <f aca="false">IF($T1548="","",MAX($V$3:V1547)+1)</f>
        <v/>
      </c>
      <c r="W1548" s="40" t="str">
        <f aca="false">IF($E1548="","",$E1548&amp;"#"&amp;COUNTIF($E$4:$E1548,$E1548))</f>
        <v/>
      </c>
      <c r="X1548" s="40" t="str">
        <f aca="false">IF($B1548="","",IF(AND(OR(CETAK!$J$10="",$E1548=CETAK!$J$10),OR(CETAK!$J$11="",$F1548=CETAK!$J$11),OR(CETAK!$J$12="",$K1548=CETAK!$J$12),OR(CETAK!$J$13="",$H1548=CETAK!$J$13),OR(CETAK!$J$14="",$O1548=CETAK!$J$14)),MAX($X$3:X1547)+1,""))</f>
        <v/>
      </c>
      <c r="Y1548" s="40" t="str">
        <f aca="false">IF($B1548="","",IF(AND(OR(ABSENSI!$H$10="",$E1548=ABSENSI!$H$10),OR(ABSENSI!$H$11="",$F1548=ABSENSI!$H$11),OR(ABSENSI!$H$12="",$K1548=ABSENSI!$H$12)),MAX($Y$3:Y1547)+1,""))</f>
        <v/>
      </c>
      <c r="Z1548" s="40" t="str">
        <f aca="false">IF($B1548="","",IF(AND(OR(KARTU!$K$6="",$E1548=KARTU!$K$6),OR(KARTU!$K$7="",$F1548=KARTU!$K$7),OR(KARTU!$K$8="",$K1548=KARTU!$K$8)),MAX($Z$3:Z1547)+1,""))</f>
        <v/>
      </c>
    </row>
    <row r="1549" customFormat="false" ht="15" hidden="false" customHeight="false" outlineLevel="0" collapsed="false">
      <c r="A1549" s="36" t="str">
        <f aca="false">IF($B1549="","",COUNTA($B$4:$B1549))</f>
        <v/>
      </c>
      <c r="B1549" s="37"/>
      <c r="C1549" s="38"/>
      <c r="D1549" s="39"/>
      <c r="E1549" s="37"/>
      <c r="F1549" s="39"/>
      <c r="G1549" s="40" t="str">
        <f aca="false">IF(OR($E1549="",$F1549=""),"",$E1549&amp;" - RT "&amp;$F1549)</f>
        <v/>
      </c>
      <c r="H1549" s="37"/>
      <c r="I1549" s="38"/>
      <c r="J1549" s="37"/>
      <c r="K1549" s="39"/>
      <c r="L1549" s="41"/>
      <c r="M1549" s="36" t="str">
        <f aca="true">IF(OR($B1549="",$L1549=""),"",DATEDIF($L1549,TODAY(),"Y"))</f>
        <v/>
      </c>
      <c r="N1549" s="40" t="str">
        <f aca="false">IF($M1549="","",INDEX(usia_label,MATCH($M1549,usia_min,1)))</f>
        <v/>
      </c>
      <c r="O1549" s="37"/>
      <c r="P1549" s="41"/>
      <c r="Q1549" s="37"/>
      <c r="R1549" s="37"/>
      <c r="S1549" s="40" t="str">
        <f aca="false">IF($G1549="","",$G1549&amp;"#"&amp;COUNTIF($G$4:$G1549,$G1549))</f>
        <v/>
      </c>
      <c r="T1549" s="40" t="str">
        <f aca="false">IF($B1549="","",IF($C1549="","NIK kosong",IF(LEN($C1549)&lt;&gt;16,"NIK bukan 16 digit",IF(COUNTIF($C$4:$C$2003,$C1549&amp;"*")&gt;1,"NIK ganda",IF($E1549="","Kadus kosong",IF($F1549="","RT kosong",IF($H1549="","Jabatan kosong",IF($I1549="","No. HP kosong",IF($J1549="","Alamat kosong",IF(AND($M1549&lt;&gt;"",$M1549&lt;17),"Usia di bawah 17",""))))))))))</f>
        <v/>
      </c>
      <c r="U1549" s="40" t="str">
        <f aca="false">IF($B1549="","",IF(AND(OR(CARI!$C$5="",ISNUMBER(SEARCH(CARI!$C$5,$B1549&amp;" "&amp;$C1549&amp;" "&amp;$I1549&amp;" "&amp;$J1549&amp;" "&amp;$Q1549))),OR(CARI!$C$6="",$E1549=CARI!$C$6),OR(CARI!$C$7="",$F1549=CARI!$C$7),OR(CARI!$C$8="",$O1549=CARI!$C$8)),MAX($U$3:U1548)+1,""))</f>
        <v/>
      </c>
      <c r="V1549" s="40" t="str">
        <f aca="false">IF($T1549="","",MAX($V$3:V1548)+1)</f>
        <v/>
      </c>
      <c r="W1549" s="40" t="str">
        <f aca="false">IF($E1549="","",$E1549&amp;"#"&amp;COUNTIF($E$4:$E1549,$E1549))</f>
        <v/>
      </c>
      <c r="X1549" s="40" t="str">
        <f aca="false">IF($B1549="","",IF(AND(OR(CETAK!$J$10="",$E1549=CETAK!$J$10),OR(CETAK!$J$11="",$F1549=CETAK!$J$11),OR(CETAK!$J$12="",$K1549=CETAK!$J$12),OR(CETAK!$J$13="",$H1549=CETAK!$J$13),OR(CETAK!$J$14="",$O1549=CETAK!$J$14)),MAX($X$3:X1548)+1,""))</f>
        <v/>
      </c>
      <c r="Y1549" s="40" t="str">
        <f aca="false">IF($B1549="","",IF(AND(OR(ABSENSI!$H$10="",$E1549=ABSENSI!$H$10),OR(ABSENSI!$H$11="",$F1549=ABSENSI!$H$11),OR(ABSENSI!$H$12="",$K1549=ABSENSI!$H$12)),MAX($Y$3:Y1548)+1,""))</f>
        <v/>
      </c>
      <c r="Z1549" s="40" t="str">
        <f aca="false">IF($B1549="","",IF(AND(OR(KARTU!$K$6="",$E1549=KARTU!$K$6),OR(KARTU!$K$7="",$F1549=KARTU!$K$7),OR(KARTU!$K$8="",$K1549=KARTU!$K$8)),MAX($Z$3:Z1548)+1,""))</f>
        <v/>
      </c>
    </row>
    <row r="1550" customFormat="false" ht="15" hidden="false" customHeight="false" outlineLevel="0" collapsed="false">
      <c r="A1550" s="36" t="str">
        <f aca="false">IF($B1550="","",COUNTA($B$4:$B1550))</f>
        <v/>
      </c>
      <c r="B1550" s="37"/>
      <c r="C1550" s="38"/>
      <c r="D1550" s="39"/>
      <c r="E1550" s="37"/>
      <c r="F1550" s="39"/>
      <c r="G1550" s="40" t="str">
        <f aca="false">IF(OR($E1550="",$F1550=""),"",$E1550&amp;" - RT "&amp;$F1550)</f>
        <v/>
      </c>
      <c r="H1550" s="37"/>
      <c r="I1550" s="38"/>
      <c r="J1550" s="37"/>
      <c r="K1550" s="39"/>
      <c r="L1550" s="41"/>
      <c r="M1550" s="36" t="str">
        <f aca="true">IF(OR($B1550="",$L1550=""),"",DATEDIF($L1550,TODAY(),"Y"))</f>
        <v/>
      </c>
      <c r="N1550" s="40" t="str">
        <f aca="false">IF($M1550="","",INDEX(usia_label,MATCH($M1550,usia_min,1)))</f>
        <v/>
      </c>
      <c r="O1550" s="37"/>
      <c r="P1550" s="41"/>
      <c r="Q1550" s="37"/>
      <c r="R1550" s="37"/>
      <c r="S1550" s="40" t="str">
        <f aca="false">IF($G1550="","",$G1550&amp;"#"&amp;COUNTIF($G$4:$G1550,$G1550))</f>
        <v/>
      </c>
      <c r="T1550" s="40" t="str">
        <f aca="false">IF($B1550="","",IF($C1550="","NIK kosong",IF(LEN($C1550)&lt;&gt;16,"NIK bukan 16 digit",IF(COUNTIF($C$4:$C$2003,$C1550&amp;"*")&gt;1,"NIK ganda",IF($E1550="","Kadus kosong",IF($F1550="","RT kosong",IF($H1550="","Jabatan kosong",IF($I1550="","No. HP kosong",IF($J1550="","Alamat kosong",IF(AND($M1550&lt;&gt;"",$M1550&lt;17),"Usia di bawah 17",""))))))))))</f>
        <v/>
      </c>
      <c r="U1550" s="40" t="str">
        <f aca="false">IF($B1550="","",IF(AND(OR(CARI!$C$5="",ISNUMBER(SEARCH(CARI!$C$5,$B1550&amp;" "&amp;$C1550&amp;" "&amp;$I1550&amp;" "&amp;$J1550&amp;" "&amp;$Q1550))),OR(CARI!$C$6="",$E1550=CARI!$C$6),OR(CARI!$C$7="",$F1550=CARI!$C$7),OR(CARI!$C$8="",$O1550=CARI!$C$8)),MAX($U$3:U1549)+1,""))</f>
        <v/>
      </c>
      <c r="V1550" s="40" t="str">
        <f aca="false">IF($T1550="","",MAX($V$3:V1549)+1)</f>
        <v/>
      </c>
      <c r="W1550" s="40" t="str">
        <f aca="false">IF($E1550="","",$E1550&amp;"#"&amp;COUNTIF($E$4:$E1550,$E1550))</f>
        <v/>
      </c>
      <c r="X1550" s="40" t="str">
        <f aca="false">IF($B1550="","",IF(AND(OR(CETAK!$J$10="",$E1550=CETAK!$J$10),OR(CETAK!$J$11="",$F1550=CETAK!$J$11),OR(CETAK!$J$12="",$K1550=CETAK!$J$12),OR(CETAK!$J$13="",$H1550=CETAK!$J$13),OR(CETAK!$J$14="",$O1550=CETAK!$J$14)),MAX($X$3:X1549)+1,""))</f>
        <v/>
      </c>
      <c r="Y1550" s="40" t="str">
        <f aca="false">IF($B1550="","",IF(AND(OR(ABSENSI!$H$10="",$E1550=ABSENSI!$H$10),OR(ABSENSI!$H$11="",$F1550=ABSENSI!$H$11),OR(ABSENSI!$H$12="",$K1550=ABSENSI!$H$12)),MAX($Y$3:Y1549)+1,""))</f>
        <v/>
      </c>
      <c r="Z1550" s="40" t="str">
        <f aca="false">IF($B1550="","",IF(AND(OR(KARTU!$K$6="",$E1550=KARTU!$K$6),OR(KARTU!$K$7="",$F1550=KARTU!$K$7),OR(KARTU!$K$8="",$K1550=KARTU!$K$8)),MAX($Z$3:Z1549)+1,""))</f>
        <v/>
      </c>
    </row>
    <row r="1551" customFormat="false" ht="15" hidden="false" customHeight="false" outlineLevel="0" collapsed="false">
      <c r="A1551" s="36" t="str">
        <f aca="false">IF($B1551="","",COUNTA($B$4:$B1551))</f>
        <v/>
      </c>
      <c r="B1551" s="37"/>
      <c r="C1551" s="38"/>
      <c r="D1551" s="39"/>
      <c r="E1551" s="37"/>
      <c r="F1551" s="39"/>
      <c r="G1551" s="40" t="str">
        <f aca="false">IF(OR($E1551="",$F1551=""),"",$E1551&amp;" - RT "&amp;$F1551)</f>
        <v/>
      </c>
      <c r="H1551" s="37"/>
      <c r="I1551" s="38"/>
      <c r="J1551" s="37"/>
      <c r="K1551" s="39"/>
      <c r="L1551" s="41"/>
      <c r="M1551" s="36" t="str">
        <f aca="true">IF(OR($B1551="",$L1551=""),"",DATEDIF($L1551,TODAY(),"Y"))</f>
        <v/>
      </c>
      <c r="N1551" s="40" t="str">
        <f aca="false">IF($M1551="","",INDEX(usia_label,MATCH($M1551,usia_min,1)))</f>
        <v/>
      </c>
      <c r="O1551" s="37"/>
      <c r="P1551" s="41"/>
      <c r="Q1551" s="37"/>
      <c r="R1551" s="37"/>
      <c r="S1551" s="40" t="str">
        <f aca="false">IF($G1551="","",$G1551&amp;"#"&amp;COUNTIF($G$4:$G1551,$G1551))</f>
        <v/>
      </c>
      <c r="T1551" s="40" t="str">
        <f aca="false">IF($B1551="","",IF($C1551="","NIK kosong",IF(LEN($C1551)&lt;&gt;16,"NIK bukan 16 digit",IF(COUNTIF($C$4:$C$2003,$C1551&amp;"*")&gt;1,"NIK ganda",IF($E1551="","Kadus kosong",IF($F1551="","RT kosong",IF($H1551="","Jabatan kosong",IF($I1551="","No. HP kosong",IF($J1551="","Alamat kosong",IF(AND($M1551&lt;&gt;"",$M1551&lt;17),"Usia di bawah 17",""))))))))))</f>
        <v/>
      </c>
      <c r="U1551" s="40" t="str">
        <f aca="false">IF($B1551="","",IF(AND(OR(CARI!$C$5="",ISNUMBER(SEARCH(CARI!$C$5,$B1551&amp;" "&amp;$C1551&amp;" "&amp;$I1551&amp;" "&amp;$J1551&amp;" "&amp;$Q1551))),OR(CARI!$C$6="",$E1551=CARI!$C$6),OR(CARI!$C$7="",$F1551=CARI!$C$7),OR(CARI!$C$8="",$O1551=CARI!$C$8)),MAX($U$3:U1550)+1,""))</f>
        <v/>
      </c>
      <c r="V1551" s="40" t="str">
        <f aca="false">IF($T1551="","",MAX($V$3:V1550)+1)</f>
        <v/>
      </c>
      <c r="W1551" s="40" t="str">
        <f aca="false">IF($E1551="","",$E1551&amp;"#"&amp;COUNTIF($E$4:$E1551,$E1551))</f>
        <v/>
      </c>
      <c r="X1551" s="40" t="str">
        <f aca="false">IF($B1551="","",IF(AND(OR(CETAK!$J$10="",$E1551=CETAK!$J$10),OR(CETAK!$J$11="",$F1551=CETAK!$J$11),OR(CETAK!$J$12="",$K1551=CETAK!$J$12),OR(CETAK!$J$13="",$H1551=CETAK!$J$13),OR(CETAK!$J$14="",$O1551=CETAK!$J$14)),MAX($X$3:X1550)+1,""))</f>
        <v/>
      </c>
      <c r="Y1551" s="40" t="str">
        <f aca="false">IF($B1551="","",IF(AND(OR(ABSENSI!$H$10="",$E1551=ABSENSI!$H$10),OR(ABSENSI!$H$11="",$F1551=ABSENSI!$H$11),OR(ABSENSI!$H$12="",$K1551=ABSENSI!$H$12)),MAX($Y$3:Y1550)+1,""))</f>
        <v/>
      </c>
      <c r="Z1551" s="40" t="str">
        <f aca="false">IF($B1551="","",IF(AND(OR(KARTU!$K$6="",$E1551=KARTU!$K$6),OR(KARTU!$K$7="",$F1551=KARTU!$K$7),OR(KARTU!$K$8="",$K1551=KARTU!$K$8)),MAX($Z$3:Z1550)+1,""))</f>
        <v/>
      </c>
    </row>
    <row r="1552" customFormat="false" ht="15" hidden="false" customHeight="false" outlineLevel="0" collapsed="false">
      <c r="A1552" s="36" t="str">
        <f aca="false">IF($B1552="","",COUNTA($B$4:$B1552))</f>
        <v/>
      </c>
      <c r="B1552" s="37"/>
      <c r="C1552" s="38"/>
      <c r="D1552" s="39"/>
      <c r="E1552" s="37"/>
      <c r="F1552" s="39"/>
      <c r="G1552" s="40" t="str">
        <f aca="false">IF(OR($E1552="",$F1552=""),"",$E1552&amp;" - RT "&amp;$F1552)</f>
        <v/>
      </c>
      <c r="H1552" s="37"/>
      <c r="I1552" s="38"/>
      <c r="J1552" s="37"/>
      <c r="K1552" s="39"/>
      <c r="L1552" s="41"/>
      <c r="M1552" s="36" t="str">
        <f aca="true">IF(OR($B1552="",$L1552=""),"",DATEDIF($L1552,TODAY(),"Y"))</f>
        <v/>
      </c>
      <c r="N1552" s="40" t="str">
        <f aca="false">IF($M1552="","",INDEX(usia_label,MATCH($M1552,usia_min,1)))</f>
        <v/>
      </c>
      <c r="O1552" s="37"/>
      <c r="P1552" s="41"/>
      <c r="Q1552" s="37"/>
      <c r="R1552" s="37"/>
      <c r="S1552" s="40" t="str">
        <f aca="false">IF($G1552="","",$G1552&amp;"#"&amp;COUNTIF($G$4:$G1552,$G1552))</f>
        <v/>
      </c>
      <c r="T1552" s="40" t="str">
        <f aca="false">IF($B1552="","",IF($C1552="","NIK kosong",IF(LEN($C1552)&lt;&gt;16,"NIK bukan 16 digit",IF(COUNTIF($C$4:$C$2003,$C1552&amp;"*")&gt;1,"NIK ganda",IF($E1552="","Kadus kosong",IF($F1552="","RT kosong",IF($H1552="","Jabatan kosong",IF($I1552="","No. HP kosong",IF($J1552="","Alamat kosong",IF(AND($M1552&lt;&gt;"",$M1552&lt;17),"Usia di bawah 17",""))))))))))</f>
        <v/>
      </c>
      <c r="U1552" s="40" t="str">
        <f aca="false">IF($B1552="","",IF(AND(OR(CARI!$C$5="",ISNUMBER(SEARCH(CARI!$C$5,$B1552&amp;" "&amp;$C1552&amp;" "&amp;$I1552&amp;" "&amp;$J1552&amp;" "&amp;$Q1552))),OR(CARI!$C$6="",$E1552=CARI!$C$6),OR(CARI!$C$7="",$F1552=CARI!$C$7),OR(CARI!$C$8="",$O1552=CARI!$C$8)),MAX($U$3:U1551)+1,""))</f>
        <v/>
      </c>
      <c r="V1552" s="40" t="str">
        <f aca="false">IF($T1552="","",MAX($V$3:V1551)+1)</f>
        <v/>
      </c>
      <c r="W1552" s="40" t="str">
        <f aca="false">IF($E1552="","",$E1552&amp;"#"&amp;COUNTIF($E$4:$E1552,$E1552))</f>
        <v/>
      </c>
      <c r="X1552" s="40" t="str">
        <f aca="false">IF($B1552="","",IF(AND(OR(CETAK!$J$10="",$E1552=CETAK!$J$10),OR(CETAK!$J$11="",$F1552=CETAK!$J$11),OR(CETAK!$J$12="",$K1552=CETAK!$J$12),OR(CETAK!$J$13="",$H1552=CETAK!$J$13),OR(CETAK!$J$14="",$O1552=CETAK!$J$14)),MAX($X$3:X1551)+1,""))</f>
        <v/>
      </c>
      <c r="Y1552" s="40" t="str">
        <f aca="false">IF($B1552="","",IF(AND(OR(ABSENSI!$H$10="",$E1552=ABSENSI!$H$10),OR(ABSENSI!$H$11="",$F1552=ABSENSI!$H$11),OR(ABSENSI!$H$12="",$K1552=ABSENSI!$H$12)),MAX($Y$3:Y1551)+1,""))</f>
        <v/>
      </c>
      <c r="Z1552" s="40" t="str">
        <f aca="false">IF($B1552="","",IF(AND(OR(KARTU!$K$6="",$E1552=KARTU!$K$6),OR(KARTU!$K$7="",$F1552=KARTU!$K$7),OR(KARTU!$K$8="",$K1552=KARTU!$K$8)),MAX($Z$3:Z1551)+1,""))</f>
        <v/>
      </c>
    </row>
    <row r="1553" customFormat="false" ht="15" hidden="false" customHeight="false" outlineLevel="0" collapsed="false">
      <c r="A1553" s="36" t="str">
        <f aca="false">IF($B1553="","",COUNTA($B$4:$B1553))</f>
        <v/>
      </c>
      <c r="B1553" s="37"/>
      <c r="C1553" s="38"/>
      <c r="D1553" s="39"/>
      <c r="E1553" s="37"/>
      <c r="F1553" s="39"/>
      <c r="G1553" s="40" t="str">
        <f aca="false">IF(OR($E1553="",$F1553=""),"",$E1553&amp;" - RT "&amp;$F1553)</f>
        <v/>
      </c>
      <c r="H1553" s="37"/>
      <c r="I1553" s="38"/>
      <c r="J1553" s="37"/>
      <c r="K1553" s="39"/>
      <c r="L1553" s="41"/>
      <c r="M1553" s="36" t="str">
        <f aca="true">IF(OR($B1553="",$L1553=""),"",DATEDIF($L1553,TODAY(),"Y"))</f>
        <v/>
      </c>
      <c r="N1553" s="40" t="str">
        <f aca="false">IF($M1553="","",INDEX(usia_label,MATCH($M1553,usia_min,1)))</f>
        <v/>
      </c>
      <c r="O1553" s="37"/>
      <c r="P1553" s="41"/>
      <c r="Q1553" s="37"/>
      <c r="R1553" s="37"/>
      <c r="S1553" s="40" t="str">
        <f aca="false">IF($G1553="","",$G1553&amp;"#"&amp;COUNTIF($G$4:$G1553,$G1553))</f>
        <v/>
      </c>
      <c r="T1553" s="40" t="str">
        <f aca="false">IF($B1553="","",IF($C1553="","NIK kosong",IF(LEN($C1553)&lt;&gt;16,"NIK bukan 16 digit",IF(COUNTIF($C$4:$C$2003,$C1553&amp;"*")&gt;1,"NIK ganda",IF($E1553="","Kadus kosong",IF($F1553="","RT kosong",IF($H1553="","Jabatan kosong",IF($I1553="","No. HP kosong",IF($J1553="","Alamat kosong",IF(AND($M1553&lt;&gt;"",$M1553&lt;17),"Usia di bawah 17",""))))))))))</f>
        <v/>
      </c>
      <c r="U1553" s="40" t="str">
        <f aca="false">IF($B1553="","",IF(AND(OR(CARI!$C$5="",ISNUMBER(SEARCH(CARI!$C$5,$B1553&amp;" "&amp;$C1553&amp;" "&amp;$I1553&amp;" "&amp;$J1553&amp;" "&amp;$Q1553))),OR(CARI!$C$6="",$E1553=CARI!$C$6),OR(CARI!$C$7="",$F1553=CARI!$C$7),OR(CARI!$C$8="",$O1553=CARI!$C$8)),MAX($U$3:U1552)+1,""))</f>
        <v/>
      </c>
      <c r="V1553" s="40" t="str">
        <f aca="false">IF($T1553="","",MAX($V$3:V1552)+1)</f>
        <v/>
      </c>
      <c r="W1553" s="40" t="str">
        <f aca="false">IF($E1553="","",$E1553&amp;"#"&amp;COUNTIF($E$4:$E1553,$E1553))</f>
        <v/>
      </c>
      <c r="X1553" s="40" t="str">
        <f aca="false">IF($B1553="","",IF(AND(OR(CETAK!$J$10="",$E1553=CETAK!$J$10),OR(CETAK!$J$11="",$F1553=CETAK!$J$11),OR(CETAK!$J$12="",$K1553=CETAK!$J$12),OR(CETAK!$J$13="",$H1553=CETAK!$J$13),OR(CETAK!$J$14="",$O1553=CETAK!$J$14)),MAX($X$3:X1552)+1,""))</f>
        <v/>
      </c>
      <c r="Y1553" s="40" t="str">
        <f aca="false">IF($B1553="","",IF(AND(OR(ABSENSI!$H$10="",$E1553=ABSENSI!$H$10),OR(ABSENSI!$H$11="",$F1553=ABSENSI!$H$11),OR(ABSENSI!$H$12="",$K1553=ABSENSI!$H$12)),MAX($Y$3:Y1552)+1,""))</f>
        <v/>
      </c>
      <c r="Z1553" s="40" t="str">
        <f aca="false">IF($B1553="","",IF(AND(OR(KARTU!$K$6="",$E1553=KARTU!$K$6),OR(KARTU!$K$7="",$F1553=KARTU!$K$7),OR(KARTU!$K$8="",$K1553=KARTU!$K$8)),MAX($Z$3:Z1552)+1,""))</f>
        <v/>
      </c>
    </row>
    <row r="1554" customFormat="false" ht="15" hidden="false" customHeight="false" outlineLevel="0" collapsed="false">
      <c r="A1554" s="36" t="str">
        <f aca="false">IF($B1554="","",COUNTA($B$4:$B1554))</f>
        <v/>
      </c>
      <c r="B1554" s="37"/>
      <c r="C1554" s="38"/>
      <c r="D1554" s="39"/>
      <c r="E1554" s="37"/>
      <c r="F1554" s="39"/>
      <c r="G1554" s="40" t="str">
        <f aca="false">IF(OR($E1554="",$F1554=""),"",$E1554&amp;" - RT "&amp;$F1554)</f>
        <v/>
      </c>
      <c r="H1554" s="37"/>
      <c r="I1554" s="38"/>
      <c r="J1554" s="37"/>
      <c r="K1554" s="39"/>
      <c r="L1554" s="41"/>
      <c r="M1554" s="36" t="str">
        <f aca="true">IF(OR($B1554="",$L1554=""),"",DATEDIF($L1554,TODAY(),"Y"))</f>
        <v/>
      </c>
      <c r="N1554" s="40" t="str">
        <f aca="false">IF($M1554="","",INDEX(usia_label,MATCH($M1554,usia_min,1)))</f>
        <v/>
      </c>
      <c r="O1554" s="37"/>
      <c r="P1554" s="41"/>
      <c r="Q1554" s="37"/>
      <c r="R1554" s="37"/>
      <c r="S1554" s="40" t="str">
        <f aca="false">IF($G1554="","",$G1554&amp;"#"&amp;COUNTIF($G$4:$G1554,$G1554))</f>
        <v/>
      </c>
      <c r="T1554" s="40" t="str">
        <f aca="false">IF($B1554="","",IF($C1554="","NIK kosong",IF(LEN($C1554)&lt;&gt;16,"NIK bukan 16 digit",IF(COUNTIF($C$4:$C$2003,$C1554&amp;"*")&gt;1,"NIK ganda",IF($E1554="","Kadus kosong",IF($F1554="","RT kosong",IF($H1554="","Jabatan kosong",IF($I1554="","No. HP kosong",IF($J1554="","Alamat kosong",IF(AND($M1554&lt;&gt;"",$M1554&lt;17),"Usia di bawah 17",""))))))))))</f>
        <v/>
      </c>
      <c r="U1554" s="40" t="str">
        <f aca="false">IF($B1554="","",IF(AND(OR(CARI!$C$5="",ISNUMBER(SEARCH(CARI!$C$5,$B1554&amp;" "&amp;$C1554&amp;" "&amp;$I1554&amp;" "&amp;$J1554&amp;" "&amp;$Q1554))),OR(CARI!$C$6="",$E1554=CARI!$C$6),OR(CARI!$C$7="",$F1554=CARI!$C$7),OR(CARI!$C$8="",$O1554=CARI!$C$8)),MAX($U$3:U1553)+1,""))</f>
        <v/>
      </c>
      <c r="V1554" s="40" t="str">
        <f aca="false">IF($T1554="","",MAX($V$3:V1553)+1)</f>
        <v/>
      </c>
      <c r="W1554" s="40" t="str">
        <f aca="false">IF($E1554="","",$E1554&amp;"#"&amp;COUNTIF($E$4:$E1554,$E1554))</f>
        <v/>
      </c>
      <c r="X1554" s="40" t="str">
        <f aca="false">IF($B1554="","",IF(AND(OR(CETAK!$J$10="",$E1554=CETAK!$J$10),OR(CETAK!$J$11="",$F1554=CETAK!$J$11),OR(CETAK!$J$12="",$K1554=CETAK!$J$12),OR(CETAK!$J$13="",$H1554=CETAK!$J$13),OR(CETAK!$J$14="",$O1554=CETAK!$J$14)),MAX($X$3:X1553)+1,""))</f>
        <v/>
      </c>
      <c r="Y1554" s="40" t="str">
        <f aca="false">IF($B1554="","",IF(AND(OR(ABSENSI!$H$10="",$E1554=ABSENSI!$H$10),OR(ABSENSI!$H$11="",$F1554=ABSENSI!$H$11),OR(ABSENSI!$H$12="",$K1554=ABSENSI!$H$12)),MAX($Y$3:Y1553)+1,""))</f>
        <v/>
      </c>
      <c r="Z1554" s="40" t="str">
        <f aca="false">IF($B1554="","",IF(AND(OR(KARTU!$K$6="",$E1554=KARTU!$K$6),OR(KARTU!$K$7="",$F1554=KARTU!$K$7),OR(KARTU!$K$8="",$K1554=KARTU!$K$8)),MAX($Z$3:Z1553)+1,""))</f>
        <v/>
      </c>
    </row>
    <row r="1555" customFormat="false" ht="15" hidden="false" customHeight="false" outlineLevel="0" collapsed="false">
      <c r="A1555" s="36" t="str">
        <f aca="false">IF($B1555="","",COUNTA($B$4:$B1555))</f>
        <v/>
      </c>
      <c r="B1555" s="37"/>
      <c r="C1555" s="38"/>
      <c r="D1555" s="39"/>
      <c r="E1555" s="37"/>
      <c r="F1555" s="39"/>
      <c r="G1555" s="40" t="str">
        <f aca="false">IF(OR($E1555="",$F1555=""),"",$E1555&amp;" - RT "&amp;$F1555)</f>
        <v/>
      </c>
      <c r="H1555" s="37"/>
      <c r="I1555" s="38"/>
      <c r="J1555" s="37"/>
      <c r="K1555" s="39"/>
      <c r="L1555" s="41"/>
      <c r="M1555" s="36" t="str">
        <f aca="true">IF(OR($B1555="",$L1555=""),"",DATEDIF($L1555,TODAY(),"Y"))</f>
        <v/>
      </c>
      <c r="N1555" s="40" t="str">
        <f aca="false">IF($M1555="","",INDEX(usia_label,MATCH($M1555,usia_min,1)))</f>
        <v/>
      </c>
      <c r="O1555" s="37"/>
      <c r="P1555" s="41"/>
      <c r="Q1555" s="37"/>
      <c r="R1555" s="37"/>
      <c r="S1555" s="40" t="str">
        <f aca="false">IF($G1555="","",$G1555&amp;"#"&amp;COUNTIF($G$4:$G1555,$G1555))</f>
        <v/>
      </c>
      <c r="T1555" s="40" t="str">
        <f aca="false">IF($B1555="","",IF($C1555="","NIK kosong",IF(LEN($C1555)&lt;&gt;16,"NIK bukan 16 digit",IF(COUNTIF($C$4:$C$2003,$C1555&amp;"*")&gt;1,"NIK ganda",IF($E1555="","Kadus kosong",IF($F1555="","RT kosong",IF($H1555="","Jabatan kosong",IF($I1555="","No. HP kosong",IF($J1555="","Alamat kosong",IF(AND($M1555&lt;&gt;"",$M1555&lt;17),"Usia di bawah 17",""))))))))))</f>
        <v/>
      </c>
      <c r="U1555" s="40" t="str">
        <f aca="false">IF($B1555="","",IF(AND(OR(CARI!$C$5="",ISNUMBER(SEARCH(CARI!$C$5,$B1555&amp;" "&amp;$C1555&amp;" "&amp;$I1555&amp;" "&amp;$J1555&amp;" "&amp;$Q1555))),OR(CARI!$C$6="",$E1555=CARI!$C$6),OR(CARI!$C$7="",$F1555=CARI!$C$7),OR(CARI!$C$8="",$O1555=CARI!$C$8)),MAX($U$3:U1554)+1,""))</f>
        <v/>
      </c>
      <c r="V1555" s="40" t="str">
        <f aca="false">IF($T1555="","",MAX($V$3:V1554)+1)</f>
        <v/>
      </c>
      <c r="W1555" s="40" t="str">
        <f aca="false">IF($E1555="","",$E1555&amp;"#"&amp;COUNTIF($E$4:$E1555,$E1555))</f>
        <v/>
      </c>
      <c r="X1555" s="40" t="str">
        <f aca="false">IF($B1555="","",IF(AND(OR(CETAK!$J$10="",$E1555=CETAK!$J$10),OR(CETAK!$J$11="",$F1555=CETAK!$J$11),OR(CETAK!$J$12="",$K1555=CETAK!$J$12),OR(CETAK!$J$13="",$H1555=CETAK!$J$13),OR(CETAK!$J$14="",$O1555=CETAK!$J$14)),MAX($X$3:X1554)+1,""))</f>
        <v/>
      </c>
      <c r="Y1555" s="40" t="str">
        <f aca="false">IF($B1555="","",IF(AND(OR(ABSENSI!$H$10="",$E1555=ABSENSI!$H$10),OR(ABSENSI!$H$11="",$F1555=ABSENSI!$H$11),OR(ABSENSI!$H$12="",$K1555=ABSENSI!$H$12)),MAX($Y$3:Y1554)+1,""))</f>
        <v/>
      </c>
      <c r="Z1555" s="40" t="str">
        <f aca="false">IF($B1555="","",IF(AND(OR(KARTU!$K$6="",$E1555=KARTU!$K$6),OR(KARTU!$K$7="",$F1555=KARTU!$K$7),OR(KARTU!$K$8="",$K1555=KARTU!$K$8)),MAX($Z$3:Z1554)+1,""))</f>
        <v/>
      </c>
    </row>
    <row r="1556" customFormat="false" ht="15" hidden="false" customHeight="false" outlineLevel="0" collapsed="false">
      <c r="A1556" s="36" t="str">
        <f aca="false">IF($B1556="","",COUNTA($B$4:$B1556))</f>
        <v/>
      </c>
      <c r="B1556" s="37"/>
      <c r="C1556" s="38"/>
      <c r="D1556" s="39"/>
      <c r="E1556" s="37"/>
      <c r="F1556" s="39"/>
      <c r="G1556" s="40" t="str">
        <f aca="false">IF(OR($E1556="",$F1556=""),"",$E1556&amp;" - RT "&amp;$F1556)</f>
        <v/>
      </c>
      <c r="H1556" s="37"/>
      <c r="I1556" s="38"/>
      <c r="J1556" s="37"/>
      <c r="K1556" s="39"/>
      <c r="L1556" s="41"/>
      <c r="M1556" s="36" t="str">
        <f aca="true">IF(OR($B1556="",$L1556=""),"",DATEDIF($L1556,TODAY(),"Y"))</f>
        <v/>
      </c>
      <c r="N1556" s="40" t="str">
        <f aca="false">IF($M1556="","",INDEX(usia_label,MATCH($M1556,usia_min,1)))</f>
        <v/>
      </c>
      <c r="O1556" s="37"/>
      <c r="P1556" s="41"/>
      <c r="Q1556" s="37"/>
      <c r="R1556" s="37"/>
      <c r="S1556" s="40" t="str">
        <f aca="false">IF($G1556="","",$G1556&amp;"#"&amp;COUNTIF($G$4:$G1556,$G1556))</f>
        <v/>
      </c>
      <c r="T1556" s="40" t="str">
        <f aca="false">IF($B1556="","",IF($C1556="","NIK kosong",IF(LEN($C1556)&lt;&gt;16,"NIK bukan 16 digit",IF(COUNTIF($C$4:$C$2003,$C1556&amp;"*")&gt;1,"NIK ganda",IF($E1556="","Kadus kosong",IF($F1556="","RT kosong",IF($H1556="","Jabatan kosong",IF($I1556="","No. HP kosong",IF($J1556="","Alamat kosong",IF(AND($M1556&lt;&gt;"",$M1556&lt;17),"Usia di bawah 17",""))))))))))</f>
        <v/>
      </c>
      <c r="U1556" s="40" t="str">
        <f aca="false">IF($B1556="","",IF(AND(OR(CARI!$C$5="",ISNUMBER(SEARCH(CARI!$C$5,$B1556&amp;" "&amp;$C1556&amp;" "&amp;$I1556&amp;" "&amp;$J1556&amp;" "&amp;$Q1556))),OR(CARI!$C$6="",$E1556=CARI!$C$6),OR(CARI!$C$7="",$F1556=CARI!$C$7),OR(CARI!$C$8="",$O1556=CARI!$C$8)),MAX($U$3:U1555)+1,""))</f>
        <v/>
      </c>
      <c r="V1556" s="40" t="str">
        <f aca="false">IF($T1556="","",MAX($V$3:V1555)+1)</f>
        <v/>
      </c>
      <c r="W1556" s="40" t="str">
        <f aca="false">IF($E1556="","",$E1556&amp;"#"&amp;COUNTIF($E$4:$E1556,$E1556))</f>
        <v/>
      </c>
      <c r="X1556" s="40" t="str">
        <f aca="false">IF($B1556="","",IF(AND(OR(CETAK!$J$10="",$E1556=CETAK!$J$10),OR(CETAK!$J$11="",$F1556=CETAK!$J$11),OR(CETAK!$J$12="",$K1556=CETAK!$J$12),OR(CETAK!$J$13="",$H1556=CETAK!$J$13),OR(CETAK!$J$14="",$O1556=CETAK!$J$14)),MAX($X$3:X1555)+1,""))</f>
        <v/>
      </c>
      <c r="Y1556" s="40" t="str">
        <f aca="false">IF($B1556="","",IF(AND(OR(ABSENSI!$H$10="",$E1556=ABSENSI!$H$10),OR(ABSENSI!$H$11="",$F1556=ABSENSI!$H$11),OR(ABSENSI!$H$12="",$K1556=ABSENSI!$H$12)),MAX($Y$3:Y1555)+1,""))</f>
        <v/>
      </c>
      <c r="Z1556" s="40" t="str">
        <f aca="false">IF($B1556="","",IF(AND(OR(KARTU!$K$6="",$E1556=KARTU!$K$6),OR(KARTU!$K$7="",$F1556=KARTU!$K$7),OR(KARTU!$K$8="",$K1556=KARTU!$K$8)),MAX($Z$3:Z1555)+1,""))</f>
        <v/>
      </c>
    </row>
    <row r="1557" customFormat="false" ht="15" hidden="false" customHeight="false" outlineLevel="0" collapsed="false">
      <c r="A1557" s="36" t="str">
        <f aca="false">IF($B1557="","",COUNTA($B$4:$B1557))</f>
        <v/>
      </c>
      <c r="B1557" s="37"/>
      <c r="C1557" s="38"/>
      <c r="D1557" s="39"/>
      <c r="E1557" s="37"/>
      <c r="F1557" s="39"/>
      <c r="G1557" s="40" t="str">
        <f aca="false">IF(OR($E1557="",$F1557=""),"",$E1557&amp;" - RT "&amp;$F1557)</f>
        <v/>
      </c>
      <c r="H1557" s="37"/>
      <c r="I1557" s="38"/>
      <c r="J1557" s="37"/>
      <c r="K1557" s="39"/>
      <c r="L1557" s="41"/>
      <c r="M1557" s="36" t="str">
        <f aca="true">IF(OR($B1557="",$L1557=""),"",DATEDIF($L1557,TODAY(),"Y"))</f>
        <v/>
      </c>
      <c r="N1557" s="40" t="str">
        <f aca="false">IF($M1557="","",INDEX(usia_label,MATCH($M1557,usia_min,1)))</f>
        <v/>
      </c>
      <c r="O1557" s="37"/>
      <c r="P1557" s="41"/>
      <c r="Q1557" s="37"/>
      <c r="R1557" s="37"/>
      <c r="S1557" s="40" t="str">
        <f aca="false">IF($G1557="","",$G1557&amp;"#"&amp;COUNTIF($G$4:$G1557,$G1557))</f>
        <v/>
      </c>
      <c r="T1557" s="40" t="str">
        <f aca="false">IF($B1557="","",IF($C1557="","NIK kosong",IF(LEN($C1557)&lt;&gt;16,"NIK bukan 16 digit",IF(COUNTIF($C$4:$C$2003,$C1557&amp;"*")&gt;1,"NIK ganda",IF($E1557="","Kadus kosong",IF($F1557="","RT kosong",IF($H1557="","Jabatan kosong",IF($I1557="","No. HP kosong",IF($J1557="","Alamat kosong",IF(AND($M1557&lt;&gt;"",$M1557&lt;17),"Usia di bawah 17",""))))))))))</f>
        <v/>
      </c>
      <c r="U1557" s="40" t="str">
        <f aca="false">IF($B1557="","",IF(AND(OR(CARI!$C$5="",ISNUMBER(SEARCH(CARI!$C$5,$B1557&amp;" "&amp;$C1557&amp;" "&amp;$I1557&amp;" "&amp;$J1557&amp;" "&amp;$Q1557))),OR(CARI!$C$6="",$E1557=CARI!$C$6),OR(CARI!$C$7="",$F1557=CARI!$C$7),OR(CARI!$C$8="",$O1557=CARI!$C$8)),MAX($U$3:U1556)+1,""))</f>
        <v/>
      </c>
      <c r="V1557" s="40" t="str">
        <f aca="false">IF($T1557="","",MAX($V$3:V1556)+1)</f>
        <v/>
      </c>
      <c r="W1557" s="40" t="str">
        <f aca="false">IF($E1557="","",$E1557&amp;"#"&amp;COUNTIF($E$4:$E1557,$E1557))</f>
        <v/>
      </c>
      <c r="X1557" s="40" t="str">
        <f aca="false">IF($B1557="","",IF(AND(OR(CETAK!$J$10="",$E1557=CETAK!$J$10),OR(CETAK!$J$11="",$F1557=CETAK!$J$11),OR(CETAK!$J$12="",$K1557=CETAK!$J$12),OR(CETAK!$J$13="",$H1557=CETAK!$J$13),OR(CETAK!$J$14="",$O1557=CETAK!$J$14)),MAX($X$3:X1556)+1,""))</f>
        <v/>
      </c>
      <c r="Y1557" s="40" t="str">
        <f aca="false">IF($B1557="","",IF(AND(OR(ABSENSI!$H$10="",$E1557=ABSENSI!$H$10),OR(ABSENSI!$H$11="",$F1557=ABSENSI!$H$11),OR(ABSENSI!$H$12="",$K1557=ABSENSI!$H$12)),MAX($Y$3:Y1556)+1,""))</f>
        <v/>
      </c>
      <c r="Z1557" s="40" t="str">
        <f aca="false">IF($B1557="","",IF(AND(OR(KARTU!$K$6="",$E1557=KARTU!$K$6),OR(KARTU!$K$7="",$F1557=KARTU!$K$7),OR(KARTU!$K$8="",$K1557=KARTU!$K$8)),MAX($Z$3:Z1556)+1,""))</f>
        <v/>
      </c>
    </row>
    <row r="1558" customFormat="false" ht="15" hidden="false" customHeight="false" outlineLevel="0" collapsed="false">
      <c r="A1558" s="36" t="str">
        <f aca="false">IF($B1558="","",COUNTA($B$4:$B1558))</f>
        <v/>
      </c>
      <c r="B1558" s="37"/>
      <c r="C1558" s="38"/>
      <c r="D1558" s="39"/>
      <c r="E1558" s="37"/>
      <c r="F1558" s="39"/>
      <c r="G1558" s="40" t="str">
        <f aca="false">IF(OR($E1558="",$F1558=""),"",$E1558&amp;" - RT "&amp;$F1558)</f>
        <v/>
      </c>
      <c r="H1558" s="37"/>
      <c r="I1558" s="38"/>
      <c r="J1558" s="37"/>
      <c r="K1558" s="39"/>
      <c r="L1558" s="41"/>
      <c r="M1558" s="36" t="str">
        <f aca="true">IF(OR($B1558="",$L1558=""),"",DATEDIF($L1558,TODAY(),"Y"))</f>
        <v/>
      </c>
      <c r="N1558" s="40" t="str">
        <f aca="false">IF($M1558="","",INDEX(usia_label,MATCH($M1558,usia_min,1)))</f>
        <v/>
      </c>
      <c r="O1558" s="37"/>
      <c r="P1558" s="41"/>
      <c r="Q1558" s="37"/>
      <c r="R1558" s="37"/>
      <c r="S1558" s="40" t="str">
        <f aca="false">IF($G1558="","",$G1558&amp;"#"&amp;COUNTIF($G$4:$G1558,$G1558))</f>
        <v/>
      </c>
      <c r="T1558" s="40" t="str">
        <f aca="false">IF($B1558="","",IF($C1558="","NIK kosong",IF(LEN($C1558)&lt;&gt;16,"NIK bukan 16 digit",IF(COUNTIF($C$4:$C$2003,$C1558&amp;"*")&gt;1,"NIK ganda",IF($E1558="","Kadus kosong",IF($F1558="","RT kosong",IF($H1558="","Jabatan kosong",IF($I1558="","No. HP kosong",IF($J1558="","Alamat kosong",IF(AND($M1558&lt;&gt;"",$M1558&lt;17),"Usia di bawah 17",""))))))))))</f>
        <v/>
      </c>
      <c r="U1558" s="40" t="str">
        <f aca="false">IF($B1558="","",IF(AND(OR(CARI!$C$5="",ISNUMBER(SEARCH(CARI!$C$5,$B1558&amp;" "&amp;$C1558&amp;" "&amp;$I1558&amp;" "&amp;$J1558&amp;" "&amp;$Q1558))),OR(CARI!$C$6="",$E1558=CARI!$C$6),OR(CARI!$C$7="",$F1558=CARI!$C$7),OR(CARI!$C$8="",$O1558=CARI!$C$8)),MAX($U$3:U1557)+1,""))</f>
        <v/>
      </c>
      <c r="V1558" s="40" t="str">
        <f aca="false">IF($T1558="","",MAX($V$3:V1557)+1)</f>
        <v/>
      </c>
      <c r="W1558" s="40" t="str">
        <f aca="false">IF($E1558="","",$E1558&amp;"#"&amp;COUNTIF($E$4:$E1558,$E1558))</f>
        <v/>
      </c>
      <c r="X1558" s="40" t="str">
        <f aca="false">IF($B1558="","",IF(AND(OR(CETAK!$J$10="",$E1558=CETAK!$J$10),OR(CETAK!$J$11="",$F1558=CETAK!$J$11),OR(CETAK!$J$12="",$K1558=CETAK!$J$12),OR(CETAK!$J$13="",$H1558=CETAK!$J$13),OR(CETAK!$J$14="",$O1558=CETAK!$J$14)),MAX($X$3:X1557)+1,""))</f>
        <v/>
      </c>
      <c r="Y1558" s="40" t="str">
        <f aca="false">IF($B1558="","",IF(AND(OR(ABSENSI!$H$10="",$E1558=ABSENSI!$H$10),OR(ABSENSI!$H$11="",$F1558=ABSENSI!$H$11),OR(ABSENSI!$H$12="",$K1558=ABSENSI!$H$12)),MAX($Y$3:Y1557)+1,""))</f>
        <v/>
      </c>
      <c r="Z1558" s="40" t="str">
        <f aca="false">IF($B1558="","",IF(AND(OR(KARTU!$K$6="",$E1558=KARTU!$K$6),OR(KARTU!$K$7="",$F1558=KARTU!$K$7),OR(KARTU!$K$8="",$K1558=KARTU!$K$8)),MAX($Z$3:Z1557)+1,""))</f>
        <v/>
      </c>
    </row>
    <row r="1559" customFormat="false" ht="15" hidden="false" customHeight="false" outlineLevel="0" collapsed="false">
      <c r="A1559" s="36" t="str">
        <f aca="false">IF($B1559="","",COUNTA($B$4:$B1559))</f>
        <v/>
      </c>
      <c r="B1559" s="37"/>
      <c r="C1559" s="38"/>
      <c r="D1559" s="39"/>
      <c r="E1559" s="37"/>
      <c r="F1559" s="39"/>
      <c r="G1559" s="40" t="str">
        <f aca="false">IF(OR($E1559="",$F1559=""),"",$E1559&amp;" - RT "&amp;$F1559)</f>
        <v/>
      </c>
      <c r="H1559" s="37"/>
      <c r="I1559" s="38"/>
      <c r="J1559" s="37"/>
      <c r="K1559" s="39"/>
      <c r="L1559" s="41"/>
      <c r="M1559" s="36" t="str">
        <f aca="true">IF(OR($B1559="",$L1559=""),"",DATEDIF($L1559,TODAY(),"Y"))</f>
        <v/>
      </c>
      <c r="N1559" s="40" t="str">
        <f aca="false">IF($M1559="","",INDEX(usia_label,MATCH($M1559,usia_min,1)))</f>
        <v/>
      </c>
      <c r="O1559" s="37"/>
      <c r="P1559" s="41"/>
      <c r="Q1559" s="37"/>
      <c r="R1559" s="37"/>
      <c r="S1559" s="40" t="str">
        <f aca="false">IF($G1559="","",$G1559&amp;"#"&amp;COUNTIF($G$4:$G1559,$G1559))</f>
        <v/>
      </c>
      <c r="T1559" s="40" t="str">
        <f aca="false">IF($B1559="","",IF($C1559="","NIK kosong",IF(LEN($C1559)&lt;&gt;16,"NIK bukan 16 digit",IF(COUNTIF($C$4:$C$2003,$C1559&amp;"*")&gt;1,"NIK ganda",IF($E1559="","Kadus kosong",IF($F1559="","RT kosong",IF($H1559="","Jabatan kosong",IF($I1559="","No. HP kosong",IF($J1559="","Alamat kosong",IF(AND($M1559&lt;&gt;"",$M1559&lt;17),"Usia di bawah 17",""))))))))))</f>
        <v/>
      </c>
      <c r="U1559" s="40" t="str">
        <f aca="false">IF($B1559="","",IF(AND(OR(CARI!$C$5="",ISNUMBER(SEARCH(CARI!$C$5,$B1559&amp;" "&amp;$C1559&amp;" "&amp;$I1559&amp;" "&amp;$J1559&amp;" "&amp;$Q1559))),OR(CARI!$C$6="",$E1559=CARI!$C$6),OR(CARI!$C$7="",$F1559=CARI!$C$7),OR(CARI!$C$8="",$O1559=CARI!$C$8)),MAX($U$3:U1558)+1,""))</f>
        <v/>
      </c>
      <c r="V1559" s="40" t="str">
        <f aca="false">IF($T1559="","",MAX($V$3:V1558)+1)</f>
        <v/>
      </c>
      <c r="W1559" s="40" t="str">
        <f aca="false">IF($E1559="","",$E1559&amp;"#"&amp;COUNTIF($E$4:$E1559,$E1559))</f>
        <v/>
      </c>
      <c r="X1559" s="40" t="str">
        <f aca="false">IF($B1559="","",IF(AND(OR(CETAK!$J$10="",$E1559=CETAK!$J$10),OR(CETAK!$J$11="",$F1559=CETAK!$J$11),OR(CETAK!$J$12="",$K1559=CETAK!$J$12),OR(CETAK!$J$13="",$H1559=CETAK!$J$13),OR(CETAK!$J$14="",$O1559=CETAK!$J$14)),MAX($X$3:X1558)+1,""))</f>
        <v/>
      </c>
      <c r="Y1559" s="40" t="str">
        <f aca="false">IF($B1559="","",IF(AND(OR(ABSENSI!$H$10="",$E1559=ABSENSI!$H$10),OR(ABSENSI!$H$11="",$F1559=ABSENSI!$H$11),OR(ABSENSI!$H$12="",$K1559=ABSENSI!$H$12)),MAX($Y$3:Y1558)+1,""))</f>
        <v/>
      </c>
      <c r="Z1559" s="40" t="str">
        <f aca="false">IF($B1559="","",IF(AND(OR(KARTU!$K$6="",$E1559=KARTU!$K$6),OR(KARTU!$K$7="",$F1559=KARTU!$K$7),OR(KARTU!$K$8="",$K1559=KARTU!$K$8)),MAX($Z$3:Z1558)+1,""))</f>
        <v/>
      </c>
    </row>
    <row r="1560" customFormat="false" ht="15" hidden="false" customHeight="false" outlineLevel="0" collapsed="false">
      <c r="A1560" s="36" t="str">
        <f aca="false">IF($B1560="","",COUNTA($B$4:$B1560))</f>
        <v/>
      </c>
      <c r="B1560" s="37"/>
      <c r="C1560" s="38"/>
      <c r="D1560" s="39"/>
      <c r="E1560" s="37"/>
      <c r="F1560" s="39"/>
      <c r="G1560" s="40" t="str">
        <f aca="false">IF(OR($E1560="",$F1560=""),"",$E1560&amp;" - RT "&amp;$F1560)</f>
        <v/>
      </c>
      <c r="H1560" s="37"/>
      <c r="I1560" s="38"/>
      <c r="J1560" s="37"/>
      <c r="K1560" s="39"/>
      <c r="L1560" s="41"/>
      <c r="M1560" s="36" t="str">
        <f aca="true">IF(OR($B1560="",$L1560=""),"",DATEDIF($L1560,TODAY(),"Y"))</f>
        <v/>
      </c>
      <c r="N1560" s="40" t="str">
        <f aca="false">IF($M1560="","",INDEX(usia_label,MATCH($M1560,usia_min,1)))</f>
        <v/>
      </c>
      <c r="O1560" s="37"/>
      <c r="P1560" s="41"/>
      <c r="Q1560" s="37"/>
      <c r="R1560" s="37"/>
      <c r="S1560" s="40" t="str">
        <f aca="false">IF($G1560="","",$G1560&amp;"#"&amp;COUNTIF($G$4:$G1560,$G1560))</f>
        <v/>
      </c>
      <c r="T1560" s="40" t="str">
        <f aca="false">IF($B1560="","",IF($C1560="","NIK kosong",IF(LEN($C1560)&lt;&gt;16,"NIK bukan 16 digit",IF(COUNTIF($C$4:$C$2003,$C1560&amp;"*")&gt;1,"NIK ganda",IF($E1560="","Kadus kosong",IF($F1560="","RT kosong",IF($H1560="","Jabatan kosong",IF($I1560="","No. HP kosong",IF($J1560="","Alamat kosong",IF(AND($M1560&lt;&gt;"",$M1560&lt;17),"Usia di bawah 17",""))))))))))</f>
        <v/>
      </c>
      <c r="U1560" s="40" t="str">
        <f aca="false">IF($B1560="","",IF(AND(OR(CARI!$C$5="",ISNUMBER(SEARCH(CARI!$C$5,$B1560&amp;" "&amp;$C1560&amp;" "&amp;$I1560&amp;" "&amp;$J1560&amp;" "&amp;$Q1560))),OR(CARI!$C$6="",$E1560=CARI!$C$6),OR(CARI!$C$7="",$F1560=CARI!$C$7),OR(CARI!$C$8="",$O1560=CARI!$C$8)),MAX($U$3:U1559)+1,""))</f>
        <v/>
      </c>
      <c r="V1560" s="40" t="str">
        <f aca="false">IF($T1560="","",MAX($V$3:V1559)+1)</f>
        <v/>
      </c>
      <c r="W1560" s="40" t="str">
        <f aca="false">IF($E1560="","",$E1560&amp;"#"&amp;COUNTIF($E$4:$E1560,$E1560))</f>
        <v/>
      </c>
      <c r="X1560" s="40" t="str">
        <f aca="false">IF($B1560="","",IF(AND(OR(CETAK!$J$10="",$E1560=CETAK!$J$10),OR(CETAK!$J$11="",$F1560=CETAK!$J$11),OR(CETAK!$J$12="",$K1560=CETAK!$J$12),OR(CETAK!$J$13="",$H1560=CETAK!$J$13),OR(CETAK!$J$14="",$O1560=CETAK!$J$14)),MAX($X$3:X1559)+1,""))</f>
        <v/>
      </c>
      <c r="Y1560" s="40" t="str">
        <f aca="false">IF($B1560="","",IF(AND(OR(ABSENSI!$H$10="",$E1560=ABSENSI!$H$10),OR(ABSENSI!$H$11="",$F1560=ABSENSI!$H$11),OR(ABSENSI!$H$12="",$K1560=ABSENSI!$H$12)),MAX($Y$3:Y1559)+1,""))</f>
        <v/>
      </c>
      <c r="Z1560" s="40" t="str">
        <f aca="false">IF($B1560="","",IF(AND(OR(KARTU!$K$6="",$E1560=KARTU!$K$6),OR(KARTU!$K$7="",$F1560=KARTU!$K$7),OR(KARTU!$K$8="",$K1560=KARTU!$K$8)),MAX($Z$3:Z1559)+1,""))</f>
        <v/>
      </c>
    </row>
    <row r="1561" customFormat="false" ht="15" hidden="false" customHeight="false" outlineLevel="0" collapsed="false">
      <c r="A1561" s="36" t="str">
        <f aca="false">IF($B1561="","",COUNTA($B$4:$B1561))</f>
        <v/>
      </c>
      <c r="B1561" s="37"/>
      <c r="C1561" s="38"/>
      <c r="D1561" s="39"/>
      <c r="E1561" s="37"/>
      <c r="F1561" s="39"/>
      <c r="G1561" s="40" t="str">
        <f aca="false">IF(OR($E1561="",$F1561=""),"",$E1561&amp;" - RT "&amp;$F1561)</f>
        <v/>
      </c>
      <c r="H1561" s="37"/>
      <c r="I1561" s="38"/>
      <c r="J1561" s="37"/>
      <c r="K1561" s="39"/>
      <c r="L1561" s="41"/>
      <c r="M1561" s="36" t="str">
        <f aca="true">IF(OR($B1561="",$L1561=""),"",DATEDIF($L1561,TODAY(),"Y"))</f>
        <v/>
      </c>
      <c r="N1561" s="40" t="str">
        <f aca="false">IF($M1561="","",INDEX(usia_label,MATCH($M1561,usia_min,1)))</f>
        <v/>
      </c>
      <c r="O1561" s="37"/>
      <c r="P1561" s="41"/>
      <c r="Q1561" s="37"/>
      <c r="R1561" s="37"/>
      <c r="S1561" s="40" t="str">
        <f aca="false">IF($G1561="","",$G1561&amp;"#"&amp;COUNTIF($G$4:$G1561,$G1561))</f>
        <v/>
      </c>
      <c r="T1561" s="40" t="str">
        <f aca="false">IF($B1561="","",IF($C1561="","NIK kosong",IF(LEN($C1561)&lt;&gt;16,"NIK bukan 16 digit",IF(COUNTIF($C$4:$C$2003,$C1561&amp;"*")&gt;1,"NIK ganda",IF($E1561="","Kadus kosong",IF($F1561="","RT kosong",IF($H1561="","Jabatan kosong",IF($I1561="","No. HP kosong",IF($J1561="","Alamat kosong",IF(AND($M1561&lt;&gt;"",$M1561&lt;17),"Usia di bawah 17",""))))))))))</f>
        <v/>
      </c>
      <c r="U1561" s="40" t="str">
        <f aca="false">IF($B1561="","",IF(AND(OR(CARI!$C$5="",ISNUMBER(SEARCH(CARI!$C$5,$B1561&amp;" "&amp;$C1561&amp;" "&amp;$I1561&amp;" "&amp;$J1561&amp;" "&amp;$Q1561))),OR(CARI!$C$6="",$E1561=CARI!$C$6),OR(CARI!$C$7="",$F1561=CARI!$C$7),OR(CARI!$C$8="",$O1561=CARI!$C$8)),MAX($U$3:U1560)+1,""))</f>
        <v/>
      </c>
      <c r="V1561" s="40" t="str">
        <f aca="false">IF($T1561="","",MAX($V$3:V1560)+1)</f>
        <v/>
      </c>
      <c r="W1561" s="40" t="str">
        <f aca="false">IF($E1561="","",$E1561&amp;"#"&amp;COUNTIF($E$4:$E1561,$E1561))</f>
        <v/>
      </c>
      <c r="X1561" s="40" t="str">
        <f aca="false">IF($B1561="","",IF(AND(OR(CETAK!$J$10="",$E1561=CETAK!$J$10),OR(CETAK!$J$11="",$F1561=CETAK!$J$11),OR(CETAK!$J$12="",$K1561=CETAK!$J$12),OR(CETAK!$J$13="",$H1561=CETAK!$J$13),OR(CETAK!$J$14="",$O1561=CETAK!$J$14)),MAX($X$3:X1560)+1,""))</f>
        <v/>
      </c>
      <c r="Y1561" s="40" t="str">
        <f aca="false">IF($B1561="","",IF(AND(OR(ABSENSI!$H$10="",$E1561=ABSENSI!$H$10),OR(ABSENSI!$H$11="",$F1561=ABSENSI!$H$11),OR(ABSENSI!$H$12="",$K1561=ABSENSI!$H$12)),MAX($Y$3:Y1560)+1,""))</f>
        <v/>
      </c>
      <c r="Z1561" s="40" t="str">
        <f aca="false">IF($B1561="","",IF(AND(OR(KARTU!$K$6="",$E1561=KARTU!$K$6),OR(KARTU!$K$7="",$F1561=KARTU!$K$7),OR(KARTU!$K$8="",$K1561=KARTU!$K$8)),MAX($Z$3:Z1560)+1,""))</f>
        <v/>
      </c>
    </row>
    <row r="1562" customFormat="false" ht="15" hidden="false" customHeight="false" outlineLevel="0" collapsed="false">
      <c r="A1562" s="36" t="str">
        <f aca="false">IF($B1562="","",COUNTA($B$4:$B1562))</f>
        <v/>
      </c>
      <c r="B1562" s="37"/>
      <c r="C1562" s="38"/>
      <c r="D1562" s="39"/>
      <c r="E1562" s="37"/>
      <c r="F1562" s="39"/>
      <c r="G1562" s="40" t="str">
        <f aca="false">IF(OR($E1562="",$F1562=""),"",$E1562&amp;" - RT "&amp;$F1562)</f>
        <v/>
      </c>
      <c r="H1562" s="37"/>
      <c r="I1562" s="38"/>
      <c r="J1562" s="37"/>
      <c r="K1562" s="39"/>
      <c r="L1562" s="41"/>
      <c r="M1562" s="36" t="str">
        <f aca="true">IF(OR($B1562="",$L1562=""),"",DATEDIF($L1562,TODAY(),"Y"))</f>
        <v/>
      </c>
      <c r="N1562" s="40" t="str">
        <f aca="false">IF($M1562="","",INDEX(usia_label,MATCH($M1562,usia_min,1)))</f>
        <v/>
      </c>
      <c r="O1562" s="37"/>
      <c r="P1562" s="41"/>
      <c r="Q1562" s="37"/>
      <c r="R1562" s="37"/>
      <c r="S1562" s="40" t="str">
        <f aca="false">IF($G1562="","",$G1562&amp;"#"&amp;COUNTIF($G$4:$G1562,$G1562))</f>
        <v/>
      </c>
      <c r="T1562" s="40" t="str">
        <f aca="false">IF($B1562="","",IF($C1562="","NIK kosong",IF(LEN($C1562)&lt;&gt;16,"NIK bukan 16 digit",IF(COUNTIF($C$4:$C$2003,$C1562&amp;"*")&gt;1,"NIK ganda",IF($E1562="","Kadus kosong",IF($F1562="","RT kosong",IF($H1562="","Jabatan kosong",IF($I1562="","No. HP kosong",IF($J1562="","Alamat kosong",IF(AND($M1562&lt;&gt;"",$M1562&lt;17),"Usia di bawah 17",""))))))))))</f>
        <v/>
      </c>
      <c r="U1562" s="40" t="str">
        <f aca="false">IF($B1562="","",IF(AND(OR(CARI!$C$5="",ISNUMBER(SEARCH(CARI!$C$5,$B1562&amp;" "&amp;$C1562&amp;" "&amp;$I1562&amp;" "&amp;$J1562&amp;" "&amp;$Q1562))),OR(CARI!$C$6="",$E1562=CARI!$C$6),OR(CARI!$C$7="",$F1562=CARI!$C$7),OR(CARI!$C$8="",$O1562=CARI!$C$8)),MAX($U$3:U1561)+1,""))</f>
        <v/>
      </c>
      <c r="V1562" s="40" t="str">
        <f aca="false">IF($T1562="","",MAX($V$3:V1561)+1)</f>
        <v/>
      </c>
      <c r="W1562" s="40" t="str">
        <f aca="false">IF($E1562="","",$E1562&amp;"#"&amp;COUNTIF($E$4:$E1562,$E1562))</f>
        <v/>
      </c>
      <c r="X1562" s="40" t="str">
        <f aca="false">IF($B1562="","",IF(AND(OR(CETAK!$J$10="",$E1562=CETAK!$J$10),OR(CETAK!$J$11="",$F1562=CETAK!$J$11),OR(CETAK!$J$12="",$K1562=CETAK!$J$12),OR(CETAK!$J$13="",$H1562=CETAK!$J$13),OR(CETAK!$J$14="",$O1562=CETAK!$J$14)),MAX($X$3:X1561)+1,""))</f>
        <v/>
      </c>
      <c r="Y1562" s="40" t="str">
        <f aca="false">IF($B1562="","",IF(AND(OR(ABSENSI!$H$10="",$E1562=ABSENSI!$H$10),OR(ABSENSI!$H$11="",$F1562=ABSENSI!$H$11),OR(ABSENSI!$H$12="",$K1562=ABSENSI!$H$12)),MAX($Y$3:Y1561)+1,""))</f>
        <v/>
      </c>
      <c r="Z1562" s="40" t="str">
        <f aca="false">IF($B1562="","",IF(AND(OR(KARTU!$K$6="",$E1562=KARTU!$K$6),OR(KARTU!$K$7="",$F1562=KARTU!$K$7),OR(KARTU!$K$8="",$K1562=KARTU!$K$8)),MAX($Z$3:Z1561)+1,""))</f>
        <v/>
      </c>
    </row>
    <row r="1563" customFormat="false" ht="15" hidden="false" customHeight="false" outlineLevel="0" collapsed="false">
      <c r="A1563" s="36" t="str">
        <f aca="false">IF($B1563="","",COUNTA($B$4:$B1563))</f>
        <v/>
      </c>
      <c r="B1563" s="37"/>
      <c r="C1563" s="38"/>
      <c r="D1563" s="39"/>
      <c r="E1563" s="37"/>
      <c r="F1563" s="39"/>
      <c r="G1563" s="40" t="str">
        <f aca="false">IF(OR($E1563="",$F1563=""),"",$E1563&amp;" - RT "&amp;$F1563)</f>
        <v/>
      </c>
      <c r="H1563" s="37"/>
      <c r="I1563" s="38"/>
      <c r="J1563" s="37"/>
      <c r="K1563" s="39"/>
      <c r="L1563" s="41"/>
      <c r="M1563" s="36" t="str">
        <f aca="true">IF(OR($B1563="",$L1563=""),"",DATEDIF($L1563,TODAY(),"Y"))</f>
        <v/>
      </c>
      <c r="N1563" s="40" t="str">
        <f aca="false">IF($M1563="","",INDEX(usia_label,MATCH($M1563,usia_min,1)))</f>
        <v/>
      </c>
      <c r="O1563" s="37"/>
      <c r="P1563" s="41"/>
      <c r="Q1563" s="37"/>
      <c r="R1563" s="37"/>
      <c r="S1563" s="40" t="str">
        <f aca="false">IF($G1563="","",$G1563&amp;"#"&amp;COUNTIF($G$4:$G1563,$G1563))</f>
        <v/>
      </c>
      <c r="T1563" s="40" t="str">
        <f aca="false">IF($B1563="","",IF($C1563="","NIK kosong",IF(LEN($C1563)&lt;&gt;16,"NIK bukan 16 digit",IF(COUNTIF($C$4:$C$2003,$C1563&amp;"*")&gt;1,"NIK ganda",IF($E1563="","Kadus kosong",IF($F1563="","RT kosong",IF($H1563="","Jabatan kosong",IF($I1563="","No. HP kosong",IF($J1563="","Alamat kosong",IF(AND($M1563&lt;&gt;"",$M1563&lt;17),"Usia di bawah 17",""))))))))))</f>
        <v/>
      </c>
      <c r="U1563" s="40" t="str">
        <f aca="false">IF($B1563="","",IF(AND(OR(CARI!$C$5="",ISNUMBER(SEARCH(CARI!$C$5,$B1563&amp;" "&amp;$C1563&amp;" "&amp;$I1563&amp;" "&amp;$J1563&amp;" "&amp;$Q1563))),OR(CARI!$C$6="",$E1563=CARI!$C$6),OR(CARI!$C$7="",$F1563=CARI!$C$7),OR(CARI!$C$8="",$O1563=CARI!$C$8)),MAX($U$3:U1562)+1,""))</f>
        <v/>
      </c>
      <c r="V1563" s="40" t="str">
        <f aca="false">IF($T1563="","",MAX($V$3:V1562)+1)</f>
        <v/>
      </c>
      <c r="W1563" s="40" t="str">
        <f aca="false">IF($E1563="","",$E1563&amp;"#"&amp;COUNTIF($E$4:$E1563,$E1563))</f>
        <v/>
      </c>
      <c r="X1563" s="40" t="str">
        <f aca="false">IF($B1563="","",IF(AND(OR(CETAK!$J$10="",$E1563=CETAK!$J$10),OR(CETAK!$J$11="",$F1563=CETAK!$J$11),OR(CETAK!$J$12="",$K1563=CETAK!$J$12),OR(CETAK!$J$13="",$H1563=CETAK!$J$13),OR(CETAK!$J$14="",$O1563=CETAK!$J$14)),MAX($X$3:X1562)+1,""))</f>
        <v/>
      </c>
      <c r="Y1563" s="40" t="str">
        <f aca="false">IF($B1563="","",IF(AND(OR(ABSENSI!$H$10="",$E1563=ABSENSI!$H$10),OR(ABSENSI!$H$11="",$F1563=ABSENSI!$H$11),OR(ABSENSI!$H$12="",$K1563=ABSENSI!$H$12)),MAX($Y$3:Y1562)+1,""))</f>
        <v/>
      </c>
      <c r="Z1563" s="40" t="str">
        <f aca="false">IF($B1563="","",IF(AND(OR(KARTU!$K$6="",$E1563=KARTU!$K$6),OR(KARTU!$K$7="",$F1563=KARTU!$K$7),OR(KARTU!$K$8="",$K1563=KARTU!$K$8)),MAX($Z$3:Z1562)+1,""))</f>
        <v/>
      </c>
    </row>
    <row r="1564" customFormat="false" ht="15" hidden="false" customHeight="false" outlineLevel="0" collapsed="false">
      <c r="A1564" s="36" t="str">
        <f aca="false">IF($B1564="","",COUNTA($B$4:$B1564))</f>
        <v/>
      </c>
      <c r="B1564" s="37"/>
      <c r="C1564" s="38"/>
      <c r="D1564" s="39"/>
      <c r="E1564" s="37"/>
      <c r="F1564" s="39"/>
      <c r="G1564" s="40" t="str">
        <f aca="false">IF(OR($E1564="",$F1564=""),"",$E1564&amp;" - RT "&amp;$F1564)</f>
        <v/>
      </c>
      <c r="H1564" s="37"/>
      <c r="I1564" s="38"/>
      <c r="J1564" s="37"/>
      <c r="K1564" s="39"/>
      <c r="L1564" s="41"/>
      <c r="M1564" s="36" t="str">
        <f aca="true">IF(OR($B1564="",$L1564=""),"",DATEDIF($L1564,TODAY(),"Y"))</f>
        <v/>
      </c>
      <c r="N1564" s="40" t="str">
        <f aca="false">IF($M1564="","",INDEX(usia_label,MATCH($M1564,usia_min,1)))</f>
        <v/>
      </c>
      <c r="O1564" s="37"/>
      <c r="P1564" s="41"/>
      <c r="Q1564" s="37"/>
      <c r="R1564" s="37"/>
      <c r="S1564" s="40" t="str">
        <f aca="false">IF($G1564="","",$G1564&amp;"#"&amp;COUNTIF($G$4:$G1564,$G1564))</f>
        <v/>
      </c>
      <c r="T1564" s="40" t="str">
        <f aca="false">IF($B1564="","",IF($C1564="","NIK kosong",IF(LEN($C1564)&lt;&gt;16,"NIK bukan 16 digit",IF(COUNTIF($C$4:$C$2003,$C1564&amp;"*")&gt;1,"NIK ganda",IF($E1564="","Kadus kosong",IF($F1564="","RT kosong",IF($H1564="","Jabatan kosong",IF($I1564="","No. HP kosong",IF($J1564="","Alamat kosong",IF(AND($M1564&lt;&gt;"",$M1564&lt;17),"Usia di bawah 17",""))))))))))</f>
        <v/>
      </c>
      <c r="U1564" s="40" t="str">
        <f aca="false">IF($B1564="","",IF(AND(OR(CARI!$C$5="",ISNUMBER(SEARCH(CARI!$C$5,$B1564&amp;" "&amp;$C1564&amp;" "&amp;$I1564&amp;" "&amp;$J1564&amp;" "&amp;$Q1564))),OR(CARI!$C$6="",$E1564=CARI!$C$6),OR(CARI!$C$7="",$F1564=CARI!$C$7),OR(CARI!$C$8="",$O1564=CARI!$C$8)),MAX($U$3:U1563)+1,""))</f>
        <v/>
      </c>
      <c r="V1564" s="40" t="str">
        <f aca="false">IF($T1564="","",MAX($V$3:V1563)+1)</f>
        <v/>
      </c>
      <c r="W1564" s="40" t="str">
        <f aca="false">IF($E1564="","",$E1564&amp;"#"&amp;COUNTIF($E$4:$E1564,$E1564))</f>
        <v/>
      </c>
      <c r="X1564" s="40" t="str">
        <f aca="false">IF($B1564="","",IF(AND(OR(CETAK!$J$10="",$E1564=CETAK!$J$10),OR(CETAK!$J$11="",$F1564=CETAK!$J$11),OR(CETAK!$J$12="",$K1564=CETAK!$J$12),OR(CETAK!$J$13="",$H1564=CETAK!$J$13),OR(CETAK!$J$14="",$O1564=CETAK!$J$14)),MAX($X$3:X1563)+1,""))</f>
        <v/>
      </c>
      <c r="Y1564" s="40" t="str">
        <f aca="false">IF($B1564="","",IF(AND(OR(ABSENSI!$H$10="",$E1564=ABSENSI!$H$10),OR(ABSENSI!$H$11="",$F1564=ABSENSI!$H$11),OR(ABSENSI!$H$12="",$K1564=ABSENSI!$H$12)),MAX($Y$3:Y1563)+1,""))</f>
        <v/>
      </c>
      <c r="Z1564" s="40" t="str">
        <f aca="false">IF($B1564="","",IF(AND(OR(KARTU!$K$6="",$E1564=KARTU!$K$6),OR(KARTU!$K$7="",$F1564=KARTU!$K$7),OR(KARTU!$K$8="",$K1564=KARTU!$K$8)),MAX($Z$3:Z1563)+1,""))</f>
        <v/>
      </c>
    </row>
    <row r="1565" customFormat="false" ht="15" hidden="false" customHeight="false" outlineLevel="0" collapsed="false">
      <c r="A1565" s="36" t="str">
        <f aca="false">IF($B1565="","",COUNTA($B$4:$B1565))</f>
        <v/>
      </c>
      <c r="B1565" s="37"/>
      <c r="C1565" s="38"/>
      <c r="D1565" s="39"/>
      <c r="E1565" s="37"/>
      <c r="F1565" s="39"/>
      <c r="G1565" s="40" t="str">
        <f aca="false">IF(OR($E1565="",$F1565=""),"",$E1565&amp;" - RT "&amp;$F1565)</f>
        <v/>
      </c>
      <c r="H1565" s="37"/>
      <c r="I1565" s="38"/>
      <c r="J1565" s="37"/>
      <c r="K1565" s="39"/>
      <c r="L1565" s="41"/>
      <c r="M1565" s="36" t="str">
        <f aca="true">IF(OR($B1565="",$L1565=""),"",DATEDIF($L1565,TODAY(),"Y"))</f>
        <v/>
      </c>
      <c r="N1565" s="40" t="str">
        <f aca="false">IF($M1565="","",INDEX(usia_label,MATCH($M1565,usia_min,1)))</f>
        <v/>
      </c>
      <c r="O1565" s="37"/>
      <c r="P1565" s="41"/>
      <c r="Q1565" s="37"/>
      <c r="R1565" s="37"/>
      <c r="S1565" s="40" t="str">
        <f aca="false">IF($G1565="","",$G1565&amp;"#"&amp;COUNTIF($G$4:$G1565,$G1565))</f>
        <v/>
      </c>
      <c r="T1565" s="40" t="str">
        <f aca="false">IF($B1565="","",IF($C1565="","NIK kosong",IF(LEN($C1565)&lt;&gt;16,"NIK bukan 16 digit",IF(COUNTIF($C$4:$C$2003,$C1565&amp;"*")&gt;1,"NIK ganda",IF($E1565="","Kadus kosong",IF($F1565="","RT kosong",IF($H1565="","Jabatan kosong",IF($I1565="","No. HP kosong",IF($J1565="","Alamat kosong",IF(AND($M1565&lt;&gt;"",$M1565&lt;17),"Usia di bawah 17",""))))))))))</f>
        <v/>
      </c>
      <c r="U1565" s="40" t="str">
        <f aca="false">IF($B1565="","",IF(AND(OR(CARI!$C$5="",ISNUMBER(SEARCH(CARI!$C$5,$B1565&amp;" "&amp;$C1565&amp;" "&amp;$I1565&amp;" "&amp;$J1565&amp;" "&amp;$Q1565))),OR(CARI!$C$6="",$E1565=CARI!$C$6),OR(CARI!$C$7="",$F1565=CARI!$C$7),OR(CARI!$C$8="",$O1565=CARI!$C$8)),MAX($U$3:U1564)+1,""))</f>
        <v/>
      </c>
      <c r="V1565" s="40" t="str">
        <f aca="false">IF($T1565="","",MAX($V$3:V1564)+1)</f>
        <v/>
      </c>
      <c r="W1565" s="40" t="str">
        <f aca="false">IF($E1565="","",$E1565&amp;"#"&amp;COUNTIF($E$4:$E1565,$E1565))</f>
        <v/>
      </c>
      <c r="X1565" s="40" t="str">
        <f aca="false">IF($B1565="","",IF(AND(OR(CETAK!$J$10="",$E1565=CETAK!$J$10),OR(CETAK!$J$11="",$F1565=CETAK!$J$11),OR(CETAK!$J$12="",$K1565=CETAK!$J$12),OR(CETAK!$J$13="",$H1565=CETAK!$J$13),OR(CETAK!$J$14="",$O1565=CETAK!$J$14)),MAX($X$3:X1564)+1,""))</f>
        <v/>
      </c>
      <c r="Y1565" s="40" t="str">
        <f aca="false">IF($B1565="","",IF(AND(OR(ABSENSI!$H$10="",$E1565=ABSENSI!$H$10),OR(ABSENSI!$H$11="",$F1565=ABSENSI!$H$11),OR(ABSENSI!$H$12="",$K1565=ABSENSI!$H$12)),MAX($Y$3:Y1564)+1,""))</f>
        <v/>
      </c>
      <c r="Z1565" s="40" t="str">
        <f aca="false">IF($B1565="","",IF(AND(OR(KARTU!$K$6="",$E1565=KARTU!$K$6),OR(KARTU!$K$7="",$F1565=KARTU!$K$7),OR(KARTU!$K$8="",$K1565=KARTU!$K$8)),MAX($Z$3:Z1564)+1,""))</f>
        <v/>
      </c>
    </row>
    <row r="1566" customFormat="false" ht="15" hidden="false" customHeight="false" outlineLevel="0" collapsed="false">
      <c r="A1566" s="36" t="str">
        <f aca="false">IF($B1566="","",COUNTA($B$4:$B1566))</f>
        <v/>
      </c>
      <c r="B1566" s="37"/>
      <c r="C1566" s="38"/>
      <c r="D1566" s="39"/>
      <c r="E1566" s="37"/>
      <c r="F1566" s="39"/>
      <c r="G1566" s="40" t="str">
        <f aca="false">IF(OR($E1566="",$F1566=""),"",$E1566&amp;" - RT "&amp;$F1566)</f>
        <v/>
      </c>
      <c r="H1566" s="37"/>
      <c r="I1566" s="38"/>
      <c r="J1566" s="37"/>
      <c r="K1566" s="39"/>
      <c r="L1566" s="41"/>
      <c r="M1566" s="36" t="str">
        <f aca="true">IF(OR($B1566="",$L1566=""),"",DATEDIF($L1566,TODAY(),"Y"))</f>
        <v/>
      </c>
      <c r="N1566" s="40" t="str">
        <f aca="false">IF($M1566="","",INDEX(usia_label,MATCH($M1566,usia_min,1)))</f>
        <v/>
      </c>
      <c r="O1566" s="37"/>
      <c r="P1566" s="41"/>
      <c r="Q1566" s="37"/>
      <c r="R1566" s="37"/>
      <c r="S1566" s="40" t="str">
        <f aca="false">IF($G1566="","",$G1566&amp;"#"&amp;COUNTIF($G$4:$G1566,$G1566))</f>
        <v/>
      </c>
      <c r="T1566" s="40" t="str">
        <f aca="false">IF($B1566="","",IF($C1566="","NIK kosong",IF(LEN($C1566)&lt;&gt;16,"NIK bukan 16 digit",IF(COUNTIF($C$4:$C$2003,$C1566&amp;"*")&gt;1,"NIK ganda",IF($E1566="","Kadus kosong",IF($F1566="","RT kosong",IF($H1566="","Jabatan kosong",IF($I1566="","No. HP kosong",IF($J1566="","Alamat kosong",IF(AND($M1566&lt;&gt;"",$M1566&lt;17),"Usia di bawah 17",""))))))))))</f>
        <v/>
      </c>
      <c r="U1566" s="40" t="str">
        <f aca="false">IF($B1566="","",IF(AND(OR(CARI!$C$5="",ISNUMBER(SEARCH(CARI!$C$5,$B1566&amp;" "&amp;$C1566&amp;" "&amp;$I1566&amp;" "&amp;$J1566&amp;" "&amp;$Q1566))),OR(CARI!$C$6="",$E1566=CARI!$C$6),OR(CARI!$C$7="",$F1566=CARI!$C$7),OR(CARI!$C$8="",$O1566=CARI!$C$8)),MAX($U$3:U1565)+1,""))</f>
        <v/>
      </c>
      <c r="V1566" s="40" t="str">
        <f aca="false">IF($T1566="","",MAX($V$3:V1565)+1)</f>
        <v/>
      </c>
      <c r="W1566" s="40" t="str">
        <f aca="false">IF($E1566="","",$E1566&amp;"#"&amp;COUNTIF($E$4:$E1566,$E1566))</f>
        <v/>
      </c>
      <c r="X1566" s="40" t="str">
        <f aca="false">IF($B1566="","",IF(AND(OR(CETAK!$J$10="",$E1566=CETAK!$J$10),OR(CETAK!$J$11="",$F1566=CETAK!$J$11),OR(CETAK!$J$12="",$K1566=CETAK!$J$12),OR(CETAK!$J$13="",$H1566=CETAK!$J$13),OR(CETAK!$J$14="",$O1566=CETAK!$J$14)),MAX($X$3:X1565)+1,""))</f>
        <v/>
      </c>
      <c r="Y1566" s="40" t="str">
        <f aca="false">IF($B1566="","",IF(AND(OR(ABSENSI!$H$10="",$E1566=ABSENSI!$H$10),OR(ABSENSI!$H$11="",$F1566=ABSENSI!$H$11),OR(ABSENSI!$H$12="",$K1566=ABSENSI!$H$12)),MAX($Y$3:Y1565)+1,""))</f>
        <v/>
      </c>
      <c r="Z1566" s="40" t="str">
        <f aca="false">IF($B1566="","",IF(AND(OR(KARTU!$K$6="",$E1566=KARTU!$K$6),OR(KARTU!$K$7="",$F1566=KARTU!$K$7),OR(KARTU!$K$8="",$K1566=KARTU!$K$8)),MAX($Z$3:Z1565)+1,""))</f>
        <v/>
      </c>
    </row>
    <row r="1567" customFormat="false" ht="15" hidden="false" customHeight="false" outlineLevel="0" collapsed="false">
      <c r="A1567" s="36" t="str">
        <f aca="false">IF($B1567="","",COUNTA($B$4:$B1567))</f>
        <v/>
      </c>
      <c r="B1567" s="37"/>
      <c r="C1567" s="38"/>
      <c r="D1567" s="39"/>
      <c r="E1567" s="37"/>
      <c r="F1567" s="39"/>
      <c r="G1567" s="40" t="str">
        <f aca="false">IF(OR($E1567="",$F1567=""),"",$E1567&amp;" - RT "&amp;$F1567)</f>
        <v/>
      </c>
      <c r="H1567" s="37"/>
      <c r="I1567" s="38"/>
      <c r="J1567" s="37"/>
      <c r="K1567" s="39"/>
      <c r="L1567" s="41"/>
      <c r="M1567" s="36" t="str">
        <f aca="true">IF(OR($B1567="",$L1567=""),"",DATEDIF($L1567,TODAY(),"Y"))</f>
        <v/>
      </c>
      <c r="N1567" s="40" t="str">
        <f aca="false">IF($M1567="","",INDEX(usia_label,MATCH($M1567,usia_min,1)))</f>
        <v/>
      </c>
      <c r="O1567" s="37"/>
      <c r="P1567" s="41"/>
      <c r="Q1567" s="37"/>
      <c r="R1567" s="37"/>
      <c r="S1567" s="40" t="str">
        <f aca="false">IF($G1567="","",$G1567&amp;"#"&amp;COUNTIF($G$4:$G1567,$G1567))</f>
        <v/>
      </c>
      <c r="T1567" s="40" t="str">
        <f aca="false">IF($B1567="","",IF($C1567="","NIK kosong",IF(LEN($C1567)&lt;&gt;16,"NIK bukan 16 digit",IF(COUNTIF($C$4:$C$2003,$C1567&amp;"*")&gt;1,"NIK ganda",IF($E1567="","Kadus kosong",IF($F1567="","RT kosong",IF($H1567="","Jabatan kosong",IF($I1567="","No. HP kosong",IF($J1567="","Alamat kosong",IF(AND($M1567&lt;&gt;"",$M1567&lt;17),"Usia di bawah 17",""))))))))))</f>
        <v/>
      </c>
      <c r="U1567" s="40" t="str">
        <f aca="false">IF($B1567="","",IF(AND(OR(CARI!$C$5="",ISNUMBER(SEARCH(CARI!$C$5,$B1567&amp;" "&amp;$C1567&amp;" "&amp;$I1567&amp;" "&amp;$J1567&amp;" "&amp;$Q1567))),OR(CARI!$C$6="",$E1567=CARI!$C$6),OR(CARI!$C$7="",$F1567=CARI!$C$7),OR(CARI!$C$8="",$O1567=CARI!$C$8)),MAX($U$3:U1566)+1,""))</f>
        <v/>
      </c>
      <c r="V1567" s="40" t="str">
        <f aca="false">IF($T1567="","",MAX($V$3:V1566)+1)</f>
        <v/>
      </c>
      <c r="W1567" s="40" t="str">
        <f aca="false">IF($E1567="","",$E1567&amp;"#"&amp;COUNTIF($E$4:$E1567,$E1567))</f>
        <v/>
      </c>
      <c r="X1567" s="40" t="str">
        <f aca="false">IF($B1567="","",IF(AND(OR(CETAK!$J$10="",$E1567=CETAK!$J$10),OR(CETAK!$J$11="",$F1567=CETAK!$J$11),OR(CETAK!$J$12="",$K1567=CETAK!$J$12),OR(CETAK!$J$13="",$H1567=CETAK!$J$13),OR(CETAK!$J$14="",$O1567=CETAK!$J$14)),MAX($X$3:X1566)+1,""))</f>
        <v/>
      </c>
      <c r="Y1567" s="40" t="str">
        <f aca="false">IF($B1567="","",IF(AND(OR(ABSENSI!$H$10="",$E1567=ABSENSI!$H$10),OR(ABSENSI!$H$11="",$F1567=ABSENSI!$H$11),OR(ABSENSI!$H$12="",$K1567=ABSENSI!$H$12)),MAX($Y$3:Y1566)+1,""))</f>
        <v/>
      </c>
      <c r="Z1567" s="40" t="str">
        <f aca="false">IF($B1567="","",IF(AND(OR(KARTU!$K$6="",$E1567=KARTU!$K$6),OR(KARTU!$K$7="",$F1567=KARTU!$K$7),OR(KARTU!$K$8="",$K1567=KARTU!$K$8)),MAX($Z$3:Z1566)+1,""))</f>
        <v/>
      </c>
    </row>
    <row r="1568" customFormat="false" ht="15" hidden="false" customHeight="false" outlineLevel="0" collapsed="false">
      <c r="A1568" s="36" t="str">
        <f aca="false">IF($B1568="","",COUNTA($B$4:$B1568))</f>
        <v/>
      </c>
      <c r="B1568" s="37"/>
      <c r="C1568" s="38"/>
      <c r="D1568" s="39"/>
      <c r="E1568" s="37"/>
      <c r="F1568" s="39"/>
      <c r="G1568" s="40" t="str">
        <f aca="false">IF(OR($E1568="",$F1568=""),"",$E1568&amp;" - RT "&amp;$F1568)</f>
        <v/>
      </c>
      <c r="H1568" s="37"/>
      <c r="I1568" s="38"/>
      <c r="J1568" s="37"/>
      <c r="K1568" s="39"/>
      <c r="L1568" s="41"/>
      <c r="M1568" s="36" t="str">
        <f aca="true">IF(OR($B1568="",$L1568=""),"",DATEDIF($L1568,TODAY(),"Y"))</f>
        <v/>
      </c>
      <c r="N1568" s="40" t="str">
        <f aca="false">IF($M1568="","",INDEX(usia_label,MATCH($M1568,usia_min,1)))</f>
        <v/>
      </c>
      <c r="O1568" s="37"/>
      <c r="P1568" s="41"/>
      <c r="Q1568" s="37"/>
      <c r="R1568" s="37"/>
      <c r="S1568" s="40" t="str">
        <f aca="false">IF($G1568="","",$G1568&amp;"#"&amp;COUNTIF($G$4:$G1568,$G1568))</f>
        <v/>
      </c>
      <c r="T1568" s="40" t="str">
        <f aca="false">IF($B1568="","",IF($C1568="","NIK kosong",IF(LEN($C1568)&lt;&gt;16,"NIK bukan 16 digit",IF(COUNTIF($C$4:$C$2003,$C1568&amp;"*")&gt;1,"NIK ganda",IF($E1568="","Kadus kosong",IF($F1568="","RT kosong",IF($H1568="","Jabatan kosong",IF($I1568="","No. HP kosong",IF($J1568="","Alamat kosong",IF(AND($M1568&lt;&gt;"",$M1568&lt;17),"Usia di bawah 17",""))))))))))</f>
        <v/>
      </c>
      <c r="U1568" s="40" t="str">
        <f aca="false">IF($B1568="","",IF(AND(OR(CARI!$C$5="",ISNUMBER(SEARCH(CARI!$C$5,$B1568&amp;" "&amp;$C1568&amp;" "&amp;$I1568&amp;" "&amp;$J1568&amp;" "&amp;$Q1568))),OR(CARI!$C$6="",$E1568=CARI!$C$6),OR(CARI!$C$7="",$F1568=CARI!$C$7),OR(CARI!$C$8="",$O1568=CARI!$C$8)),MAX($U$3:U1567)+1,""))</f>
        <v/>
      </c>
      <c r="V1568" s="40" t="str">
        <f aca="false">IF($T1568="","",MAX($V$3:V1567)+1)</f>
        <v/>
      </c>
      <c r="W1568" s="40" t="str">
        <f aca="false">IF($E1568="","",$E1568&amp;"#"&amp;COUNTIF($E$4:$E1568,$E1568))</f>
        <v/>
      </c>
      <c r="X1568" s="40" t="str">
        <f aca="false">IF($B1568="","",IF(AND(OR(CETAK!$J$10="",$E1568=CETAK!$J$10),OR(CETAK!$J$11="",$F1568=CETAK!$J$11),OR(CETAK!$J$12="",$K1568=CETAK!$J$12),OR(CETAK!$J$13="",$H1568=CETAK!$J$13),OR(CETAK!$J$14="",$O1568=CETAK!$J$14)),MAX($X$3:X1567)+1,""))</f>
        <v/>
      </c>
      <c r="Y1568" s="40" t="str">
        <f aca="false">IF($B1568="","",IF(AND(OR(ABSENSI!$H$10="",$E1568=ABSENSI!$H$10),OR(ABSENSI!$H$11="",$F1568=ABSENSI!$H$11),OR(ABSENSI!$H$12="",$K1568=ABSENSI!$H$12)),MAX($Y$3:Y1567)+1,""))</f>
        <v/>
      </c>
      <c r="Z1568" s="40" t="str">
        <f aca="false">IF($B1568="","",IF(AND(OR(KARTU!$K$6="",$E1568=KARTU!$K$6),OR(KARTU!$K$7="",$F1568=KARTU!$K$7),OR(KARTU!$K$8="",$K1568=KARTU!$K$8)),MAX($Z$3:Z1567)+1,""))</f>
        <v/>
      </c>
    </row>
    <row r="1569" customFormat="false" ht="15" hidden="false" customHeight="false" outlineLevel="0" collapsed="false">
      <c r="A1569" s="36" t="str">
        <f aca="false">IF($B1569="","",COUNTA($B$4:$B1569))</f>
        <v/>
      </c>
      <c r="B1569" s="37"/>
      <c r="C1569" s="38"/>
      <c r="D1569" s="39"/>
      <c r="E1569" s="37"/>
      <c r="F1569" s="39"/>
      <c r="G1569" s="40" t="str">
        <f aca="false">IF(OR($E1569="",$F1569=""),"",$E1569&amp;" - RT "&amp;$F1569)</f>
        <v/>
      </c>
      <c r="H1569" s="37"/>
      <c r="I1569" s="38"/>
      <c r="J1569" s="37"/>
      <c r="K1569" s="39"/>
      <c r="L1569" s="41"/>
      <c r="M1569" s="36" t="str">
        <f aca="true">IF(OR($B1569="",$L1569=""),"",DATEDIF($L1569,TODAY(),"Y"))</f>
        <v/>
      </c>
      <c r="N1569" s="40" t="str">
        <f aca="false">IF($M1569="","",INDEX(usia_label,MATCH($M1569,usia_min,1)))</f>
        <v/>
      </c>
      <c r="O1569" s="37"/>
      <c r="P1569" s="41"/>
      <c r="Q1569" s="37"/>
      <c r="R1569" s="37"/>
      <c r="S1569" s="40" t="str">
        <f aca="false">IF($G1569="","",$G1569&amp;"#"&amp;COUNTIF($G$4:$G1569,$G1569))</f>
        <v/>
      </c>
      <c r="T1569" s="40" t="str">
        <f aca="false">IF($B1569="","",IF($C1569="","NIK kosong",IF(LEN($C1569)&lt;&gt;16,"NIK bukan 16 digit",IF(COUNTIF($C$4:$C$2003,$C1569&amp;"*")&gt;1,"NIK ganda",IF($E1569="","Kadus kosong",IF($F1569="","RT kosong",IF($H1569="","Jabatan kosong",IF($I1569="","No. HP kosong",IF($J1569="","Alamat kosong",IF(AND($M1569&lt;&gt;"",$M1569&lt;17),"Usia di bawah 17",""))))))))))</f>
        <v/>
      </c>
      <c r="U1569" s="40" t="str">
        <f aca="false">IF($B1569="","",IF(AND(OR(CARI!$C$5="",ISNUMBER(SEARCH(CARI!$C$5,$B1569&amp;" "&amp;$C1569&amp;" "&amp;$I1569&amp;" "&amp;$J1569&amp;" "&amp;$Q1569))),OR(CARI!$C$6="",$E1569=CARI!$C$6),OR(CARI!$C$7="",$F1569=CARI!$C$7),OR(CARI!$C$8="",$O1569=CARI!$C$8)),MAX($U$3:U1568)+1,""))</f>
        <v/>
      </c>
      <c r="V1569" s="40" t="str">
        <f aca="false">IF($T1569="","",MAX($V$3:V1568)+1)</f>
        <v/>
      </c>
      <c r="W1569" s="40" t="str">
        <f aca="false">IF($E1569="","",$E1569&amp;"#"&amp;COUNTIF($E$4:$E1569,$E1569))</f>
        <v/>
      </c>
      <c r="X1569" s="40" t="str">
        <f aca="false">IF($B1569="","",IF(AND(OR(CETAK!$J$10="",$E1569=CETAK!$J$10),OR(CETAK!$J$11="",$F1569=CETAK!$J$11),OR(CETAK!$J$12="",$K1569=CETAK!$J$12),OR(CETAK!$J$13="",$H1569=CETAK!$J$13),OR(CETAK!$J$14="",$O1569=CETAK!$J$14)),MAX($X$3:X1568)+1,""))</f>
        <v/>
      </c>
      <c r="Y1569" s="40" t="str">
        <f aca="false">IF($B1569="","",IF(AND(OR(ABSENSI!$H$10="",$E1569=ABSENSI!$H$10),OR(ABSENSI!$H$11="",$F1569=ABSENSI!$H$11),OR(ABSENSI!$H$12="",$K1569=ABSENSI!$H$12)),MAX($Y$3:Y1568)+1,""))</f>
        <v/>
      </c>
      <c r="Z1569" s="40" t="str">
        <f aca="false">IF($B1569="","",IF(AND(OR(KARTU!$K$6="",$E1569=KARTU!$K$6),OR(KARTU!$K$7="",$F1569=KARTU!$K$7),OR(KARTU!$K$8="",$K1569=KARTU!$K$8)),MAX($Z$3:Z1568)+1,""))</f>
        <v/>
      </c>
    </row>
    <row r="1570" customFormat="false" ht="15" hidden="false" customHeight="false" outlineLevel="0" collapsed="false">
      <c r="A1570" s="36" t="str">
        <f aca="false">IF($B1570="","",COUNTA($B$4:$B1570))</f>
        <v/>
      </c>
      <c r="B1570" s="37"/>
      <c r="C1570" s="38"/>
      <c r="D1570" s="39"/>
      <c r="E1570" s="37"/>
      <c r="F1570" s="39"/>
      <c r="G1570" s="40" t="str">
        <f aca="false">IF(OR($E1570="",$F1570=""),"",$E1570&amp;" - RT "&amp;$F1570)</f>
        <v/>
      </c>
      <c r="H1570" s="37"/>
      <c r="I1570" s="38"/>
      <c r="J1570" s="37"/>
      <c r="K1570" s="39"/>
      <c r="L1570" s="41"/>
      <c r="M1570" s="36" t="str">
        <f aca="true">IF(OR($B1570="",$L1570=""),"",DATEDIF($L1570,TODAY(),"Y"))</f>
        <v/>
      </c>
      <c r="N1570" s="40" t="str">
        <f aca="false">IF($M1570="","",INDEX(usia_label,MATCH($M1570,usia_min,1)))</f>
        <v/>
      </c>
      <c r="O1570" s="37"/>
      <c r="P1570" s="41"/>
      <c r="Q1570" s="37"/>
      <c r="R1570" s="37"/>
      <c r="S1570" s="40" t="str">
        <f aca="false">IF($G1570="","",$G1570&amp;"#"&amp;COUNTIF($G$4:$G1570,$G1570))</f>
        <v/>
      </c>
      <c r="T1570" s="40" t="str">
        <f aca="false">IF($B1570="","",IF($C1570="","NIK kosong",IF(LEN($C1570)&lt;&gt;16,"NIK bukan 16 digit",IF(COUNTIF($C$4:$C$2003,$C1570&amp;"*")&gt;1,"NIK ganda",IF($E1570="","Kadus kosong",IF($F1570="","RT kosong",IF($H1570="","Jabatan kosong",IF($I1570="","No. HP kosong",IF($J1570="","Alamat kosong",IF(AND($M1570&lt;&gt;"",$M1570&lt;17),"Usia di bawah 17",""))))))))))</f>
        <v/>
      </c>
      <c r="U1570" s="40" t="str">
        <f aca="false">IF($B1570="","",IF(AND(OR(CARI!$C$5="",ISNUMBER(SEARCH(CARI!$C$5,$B1570&amp;" "&amp;$C1570&amp;" "&amp;$I1570&amp;" "&amp;$J1570&amp;" "&amp;$Q1570))),OR(CARI!$C$6="",$E1570=CARI!$C$6),OR(CARI!$C$7="",$F1570=CARI!$C$7),OR(CARI!$C$8="",$O1570=CARI!$C$8)),MAX($U$3:U1569)+1,""))</f>
        <v/>
      </c>
      <c r="V1570" s="40" t="str">
        <f aca="false">IF($T1570="","",MAX($V$3:V1569)+1)</f>
        <v/>
      </c>
      <c r="W1570" s="40" t="str">
        <f aca="false">IF($E1570="","",$E1570&amp;"#"&amp;COUNTIF($E$4:$E1570,$E1570))</f>
        <v/>
      </c>
      <c r="X1570" s="40" t="str">
        <f aca="false">IF($B1570="","",IF(AND(OR(CETAK!$J$10="",$E1570=CETAK!$J$10),OR(CETAK!$J$11="",$F1570=CETAK!$J$11),OR(CETAK!$J$12="",$K1570=CETAK!$J$12),OR(CETAK!$J$13="",$H1570=CETAK!$J$13),OR(CETAK!$J$14="",$O1570=CETAK!$J$14)),MAX($X$3:X1569)+1,""))</f>
        <v/>
      </c>
      <c r="Y1570" s="40" t="str">
        <f aca="false">IF($B1570="","",IF(AND(OR(ABSENSI!$H$10="",$E1570=ABSENSI!$H$10),OR(ABSENSI!$H$11="",$F1570=ABSENSI!$H$11),OR(ABSENSI!$H$12="",$K1570=ABSENSI!$H$12)),MAX($Y$3:Y1569)+1,""))</f>
        <v/>
      </c>
      <c r="Z1570" s="40" t="str">
        <f aca="false">IF($B1570="","",IF(AND(OR(KARTU!$K$6="",$E1570=KARTU!$K$6),OR(KARTU!$K$7="",$F1570=KARTU!$K$7),OR(KARTU!$K$8="",$K1570=KARTU!$K$8)),MAX($Z$3:Z1569)+1,""))</f>
        <v/>
      </c>
    </row>
    <row r="1571" customFormat="false" ht="15" hidden="false" customHeight="false" outlineLevel="0" collapsed="false">
      <c r="A1571" s="36" t="str">
        <f aca="false">IF($B1571="","",COUNTA($B$4:$B1571))</f>
        <v/>
      </c>
      <c r="B1571" s="37"/>
      <c r="C1571" s="38"/>
      <c r="D1571" s="39"/>
      <c r="E1571" s="37"/>
      <c r="F1571" s="39"/>
      <c r="G1571" s="40" t="str">
        <f aca="false">IF(OR($E1571="",$F1571=""),"",$E1571&amp;" - RT "&amp;$F1571)</f>
        <v/>
      </c>
      <c r="H1571" s="37"/>
      <c r="I1571" s="38"/>
      <c r="J1571" s="37"/>
      <c r="K1571" s="39"/>
      <c r="L1571" s="41"/>
      <c r="M1571" s="36" t="str">
        <f aca="true">IF(OR($B1571="",$L1571=""),"",DATEDIF($L1571,TODAY(),"Y"))</f>
        <v/>
      </c>
      <c r="N1571" s="40" t="str">
        <f aca="false">IF($M1571="","",INDEX(usia_label,MATCH($M1571,usia_min,1)))</f>
        <v/>
      </c>
      <c r="O1571" s="37"/>
      <c r="P1571" s="41"/>
      <c r="Q1571" s="37"/>
      <c r="R1571" s="37"/>
      <c r="S1571" s="40" t="str">
        <f aca="false">IF($G1571="","",$G1571&amp;"#"&amp;COUNTIF($G$4:$G1571,$G1571))</f>
        <v/>
      </c>
      <c r="T1571" s="40" t="str">
        <f aca="false">IF($B1571="","",IF($C1571="","NIK kosong",IF(LEN($C1571)&lt;&gt;16,"NIK bukan 16 digit",IF(COUNTIF($C$4:$C$2003,$C1571&amp;"*")&gt;1,"NIK ganda",IF($E1571="","Kadus kosong",IF($F1571="","RT kosong",IF($H1571="","Jabatan kosong",IF($I1571="","No. HP kosong",IF($J1571="","Alamat kosong",IF(AND($M1571&lt;&gt;"",$M1571&lt;17),"Usia di bawah 17",""))))))))))</f>
        <v/>
      </c>
      <c r="U1571" s="40" t="str">
        <f aca="false">IF($B1571="","",IF(AND(OR(CARI!$C$5="",ISNUMBER(SEARCH(CARI!$C$5,$B1571&amp;" "&amp;$C1571&amp;" "&amp;$I1571&amp;" "&amp;$J1571&amp;" "&amp;$Q1571))),OR(CARI!$C$6="",$E1571=CARI!$C$6),OR(CARI!$C$7="",$F1571=CARI!$C$7),OR(CARI!$C$8="",$O1571=CARI!$C$8)),MAX($U$3:U1570)+1,""))</f>
        <v/>
      </c>
      <c r="V1571" s="40" t="str">
        <f aca="false">IF($T1571="","",MAX($V$3:V1570)+1)</f>
        <v/>
      </c>
      <c r="W1571" s="40" t="str">
        <f aca="false">IF($E1571="","",$E1571&amp;"#"&amp;COUNTIF($E$4:$E1571,$E1571))</f>
        <v/>
      </c>
      <c r="X1571" s="40" t="str">
        <f aca="false">IF($B1571="","",IF(AND(OR(CETAK!$J$10="",$E1571=CETAK!$J$10),OR(CETAK!$J$11="",$F1571=CETAK!$J$11),OR(CETAK!$J$12="",$K1571=CETAK!$J$12),OR(CETAK!$J$13="",$H1571=CETAK!$J$13),OR(CETAK!$J$14="",$O1571=CETAK!$J$14)),MAX($X$3:X1570)+1,""))</f>
        <v/>
      </c>
      <c r="Y1571" s="40" t="str">
        <f aca="false">IF($B1571="","",IF(AND(OR(ABSENSI!$H$10="",$E1571=ABSENSI!$H$10),OR(ABSENSI!$H$11="",$F1571=ABSENSI!$H$11),OR(ABSENSI!$H$12="",$K1571=ABSENSI!$H$12)),MAX($Y$3:Y1570)+1,""))</f>
        <v/>
      </c>
      <c r="Z1571" s="40" t="str">
        <f aca="false">IF($B1571="","",IF(AND(OR(KARTU!$K$6="",$E1571=KARTU!$K$6),OR(KARTU!$K$7="",$F1571=KARTU!$K$7),OR(KARTU!$K$8="",$K1571=KARTU!$K$8)),MAX($Z$3:Z1570)+1,""))</f>
        <v/>
      </c>
    </row>
    <row r="1572" customFormat="false" ht="15" hidden="false" customHeight="false" outlineLevel="0" collapsed="false">
      <c r="A1572" s="36" t="str">
        <f aca="false">IF($B1572="","",COUNTA($B$4:$B1572))</f>
        <v/>
      </c>
      <c r="B1572" s="37"/>
      <c r="C1572" s="38"/>
      <c r="D1572" s="39"/>
      <c r="E1572" s="37"/>
      <c r="F1572" s="39"/>
      <c r="G1572" s="40" t="str">
        <f aca="false">IF(OR($E1572="",$F1572=""),"",$E1572&amp;" - RT "&amp;$F1572)</f>
        <v/>
      </c>
      <c r="H1572" s="37"/>
      <c r="I1572" s="38"/>
      <c r="J1572" s="37"/>
      <c r="K1572" s="39"/>
      <c r="L1572" s="41"/>
      <c r="M1572" s="36" t="str">
        <f aca="true">IF(OR($B1572="",$L1572=""),"",DATEDIF($L1572,TODAY(),"Y"))</f>
        <v/>
      </c>
      <c r="N1572" s="40" t="str">
        <f aca="false">IF($M1572="","",INDEX(usia_label,MATCH($M1572,usia_min,1)))</f>
        <v/>
      </c>
      <c r="O1572" s="37"/>
      <c r="P1572" s="41"/>
      <c r="Q1572" s="37"/>
      <c r="R1572" s="37"/>
      <c r="S1572" s="40" t="str">
        <f aca="false">IF($G1572="","",$G1572&amp;"#"&amp;COUNTIF($G$4:$G1572,$G1572))</f>
        <v/>
      </c>
      <c r="T1572" s="40" t="str">
        <f aca="false">IF($B1572="","",IF($C1572="","NIK kosong",IF(LEN($C1572)&lt;&gt;16,"NIK bukan 16 digit",IF(COUNTIF($C$4:$C$2003,$C1572&amp;"*")&gt;1,"NIK ganda",IF($E1572="","Kadus kosong",IF($F1572="","RT kosong",IF($H1572="","Jabatan kosong",IF($I1572="","No. HP kosong",IF($J1572="","Alamat kosong",IF(AND($M1572&lt;&gt;"",$M1572&lt;17),"Usia di bawah 17",""))))))))))</f>
        <v/>
      </c>
      <c r="U1572" s="40" t="str">
        <f aca="false">IF($B1572="","",IF(AND(OR(CARI!$C$5="",ISNUMBER(SEARCH(CARI!$C$5,$B1572&amp;" "&amp;$C1572&amp;" "&amp;$I1572&amp;" "&amp;$J1572&amp;" "&amp;$Q1572))),OR(CARI!$C$6="",$E1572=CARI!$C$6),OR(CARI!$C$7="",$F1572=CARI!$C$7),OR(CARI!$C$8="",$O1572=CARI!$C$8)),MAX($U$3:U1571)+1,""))</f>
        <v/>
      </c>
      <c r="V1572" s="40" t="str">
        <f aca="false">IF($T1572="","",MAX($V$3:V1571)+1)</f>
        <v/>
      </c>
      <c r="W1572" s="40" t="str">
        <f aca="false">IF($E1572="","",$E1572&amp;"#"&amp;COUNTIF($E$4:$E1572,$E1572))</f>
        <v/>
      </c>
      <c r="X1572" s="40" t="str">
        <f aca="false">IF($B1572="","",IF(AND(OR(CETAK!$J$10="",$E1572=CETAK!$J$10),OR(CETAK!$J$11="",$F1572=CETAK!$J$11),OR(CETAK!$J$12="",$K1572=CETAK!$J$12),OR(CETAK!$J$13="",$H1572=CETAK!$J$13),OR(CETAK!$J$14="",$O1572=CETAK!$J$14)),MAX($X$3:X1571)+1,""))</f>
        <v/>
      </c>
      <c r="Y1572" s="40" t="str">
        <f aca="false">IF($B1572="","",IF(AND(OR(ABSENSI!$H$10="",$E1572=ABSENSI!$H$10),OR(ABSENSI!$H$11="",$F1572=ABSENSI!$H$11),OR(ABSENSI!$H$12="",$K1572=ABSENSI!$H$12)),MAX($Y$3:Y1571)+1,""))</f>
        <v/>
      </c>
      <c r="Z1572" s="40" t="str">
        <f aca="false">IF($B1572="","",IF(AND(OR(KARTU!$K$6="",$E1572=KARTU!$K$6),OR(KARTU!$K$7="",$F1572=KARTU!$K$7),OR(KARTU!$K$8="",$K1572=KARTU!$K$8)),MAX($Z$3:Z1571)+1,""))</f>
        <v/>
      </c>
    </row>
    <row r="1573" customFormat="false" ht="15" hidden="false" customHeight="false" outlineLevel="0" collapsed="false">
      <c r="A1573" s="36" t="str">
        <f aca="false">IF($B1573="","",COUNTA($B$4:$B1573))</f>
        <v/>
      </c>
      <c r="B1573" s="37"/>
      <c r="C1573" s="38"/>
      <c r="D1573" s="39"/>
      <c r="E1573" s="37"/>
      <c r="F1573" s="39"/>
      <c r="G1573" s="40" t="str">
        <f aca="false">IF(OR($E1573="",$F1573=""),"",$E1573&amp;" - RT "&amp;$F1573)</f>
        <v/>
      </c>
      <c r="H1573" s="37"/>
      <c r="I1573" s="38"/>
      <c r="J1573" s="37"/>
      <c r="K1573" s="39"/>
      <c r="L1573" s="41"/>
      <c r="M1573" s="36" t="str">
        <f aca="true">IF(OR($B1573="",$L1573=""),"",DATEDIF($L1573,TODAY(),"Y"))</f>
        <v/>
      </c>
      <c r="N1573" s="40" t="str">
        <f aca="false">IF($M1573="","",INDEX(usia_label,MATCH($M1573,usia_min,1)))</f>
        <v/>
      </c>
      <c r="O1573" s="37"/>
      <c r="P1573" s="41"/>
      <c r="Q1573" s="37"/>
      <c r="R1573" s="37"/>
      <c r="S1573" s="40" t="str">
        <f aca="false">IF($G1573="","",$G1573&amp;"#"&amp;COUNTIF($G$4:$G1573,$G1573))</f>
        <v/>
      </c>
      <c r="T1573" s="40" t="str">
        <f aca="false">IF($B1573="","",IF($C1573="","NIK kosong",IF(LEN($C1573)&lt;&gt;16,"NIK bukan 16 digit",IF(COUNTIF($C$4:$C$2003,$C1573&amp;"*")&gt;1,"NIK ganda",IF($E1573="","Kadus kosong",IF($F1573="","RT kosong",IF($H1573="","Jabatan kosong",IF($I1573="","No. HP kosong",IF($J1573="","Alamat kosong",IF(AND($M1573&lt;&gt;"",$M1573&lt;17),"Usia di bawah 17",""))))))))))</f>
        <v/>
      </c>
      <c r="U1573" s="40" t="str">
        <f aca="false">IF($B1573="","",IF(AND(OR(CARI!$C$5="",ISNUMBER(SEARCH(CARI!$C$5,$B1573&amp;" "&amp;$C1573&amp;" "&amp;$I1573&amp;" "&amp;$J1573&amp;" "&amp;$Q1573))),OR(CARI!$C$6="",$E1573=CARI!$C$6),OR(CARI!$C$7="",$F1573=CARI!$C$7),OR(CARI!$C$8="",$O1573=CARI!$C$8)),MAX($U$3:U1572)+1,""))</f>
        <v/>
      </c>
      <c r="V1573" s="40" t="str">
        <f aca="false">IF($T1573="","",MAX($V$3:V1572)+1)</f>
        <v/>
      </c>
      <c r="W1573" s="40" t="str">
        <f aca="false">IF($E1573="","",$E1573&amp;"#"&amp;COUNTIF($E$4:$E1573,$E1573))</f>
        <v/>
      </c>
      <c r="X1573" s="40" t="str">
        <f aca="false">IF($B1573="","",IF(AND(OR(CETAK!$J$10="",$E1573=CETAK!$J$10),OR(CETAK!$J$11="",$F1573=CETAK!$J$11),OR(CETAK!$J$12="",$K1573=CETAK!$J$12),OR(CETAK!$J$13="",$H1573=CETAK!$J$13),OR(CETAK!$J$14="",$O1573=CETAK!$J$14)),MAX($X$3:X1572)+1,""))</f>
        <v/>
      </c>
      <c r="Y1573" s="40" t="str">
        <f aca="false">IF($B1573="","",IF(AND(OR(ABSENSI!$H$10="",$E1573=ABSENSI!$H$10),OR(ABSENSI!$H$11="",$F1573=ABSENSI!$H$11),OR(ABSENSI!$H$12="",$K1573=ABSENSI!$H$12)),MAX($Y$3:Y1572)+1,""))</f>
        <v/>
      </c>
      <c r="Z1573" s="40" t="str">
        <f aca="false">IF($B1573="","",IF(AND(OR(KARTU!$K$6="",$E1573=KARTU!$K$6),OR(KARTU!$K$7="",$F1573=KARTU!$K$7),OR(KARTU!$K$8="",$K1573=KARTU!$K$8)),MAX($Z$3:Z1572)+1,""))</f>
        <v/>
      </c>
    </row>
    <row r="1574" customFormat="false" ht="15" hidden="false" customHeight="false" outlineLevel="0" collapsed="false">
      <c r="A1574" s="36" t="str">
        <f aca="false">IF($B1574="","",COUNTA($B$4:$B1574))</f>
        <v/>
      </c>
      <c r="B1574" s="37"/>
      <c r="C1574" s="38"/>
      <c r="D1574" s="39"/>
      <c r="E1574" s="37"/>
      <c r="F1574" s="39"/>
      <c r="G1574" s="40" t="str">
        <f aca="false">IF(OR($E1574="",$F1574=""),"",$E1574&amp;" - RT "&amp;$F1574)</f>
        <v/>
      </c>
      <c r="H1574" s="37"/>
      <c r="I1574" s="38"/>
      <c r="J1574" s="37"/>
      <c r="K1574" s="39"/>
      <c r="L1574" s="41"/>
      <c r="M1574" s="36" t="str">
        <f aca="true">IF(OR($B1574="",$L1574=""),"",DATEDIF($L1574,TODAY(),"Y"))</f>
        <v/>
      </c>
      <c r="N1574" s="40" t="str">
        <f aca="false">IF($M1574="","",INDEX(usia_label,MATCH($M1574,usia_min,1)))</f>
        <v/>
      </c>
      <c r="O1574" s="37"/>
      <c r="P1574" s="41"/>
      <c r="Q1574" s="37"/>
      <c r="R1574" s="37"/>
      <c r="S1574" s="40" t="str">
        <f aca="false">IF($G1574="","",$G1574&amp;"#"&amp;COUNTIF($G$4:$G1574,$G1574))</f>
        <v/>
      </c>
      <c r="T1574" s="40" t="str">
        <f aca="false">IF($B1574="","",IF($C1574="","NIK kosong",IF(LEN($C1574)&lt;&gt;16,"NIK bukan 16 digit",IF(COUNTIF($C$4:$C$2003,$C1574&amp;"*")&gt;1,"NIK ganda",IF($E1574="","Kadus kosong",IF($F1574="","RT kosong",IF($H1574="","Jabatan kosong",IF($I1574="","No. HP kosong",IF($J1574="","Alamat kosong",IF(AND($M1574&lt;&gt;"",$M1574&lt;17),"Usia di bawah 17",""))))))))))</f>
        <v/>
      </c>
      <c r="U1574" s="40" t="str">
        <f aca="false">IF($B1574="","",IF(AND(OR(CARI!$C$5="",ISNUMBER(SEARCH(CARI!$C$5,$B1574&amp;" "&amp;$C1574&amp;" "&amp;$I1574&amp;" "&amp;$J1574&amp;" "&amp;$Q1574))),OR(CARI!$C$6="",$E1574=CARI!$C$6),OR(CARI!$C$7="",$F1574=CARI!$C$7),OR(CARI!$C$8="",$O1574=CARI!$C$8)),MAX($U$3:U1573)+1,""))</f>
        <v/>
      </c>
      <c r="V1574" s="40" t="str">
        <f aca="false">IF($T1574="","",MAX($V$3:V1573)+1)</f>
        <v/>
      </c>
      <c r="W1574" s="40" t="str">
        <f aca="false">IF($E1574="","",$E1574&amp;"#"&amp;COUNTIF($E$4:$E1574,$E1574))</f>
        <v/>
      </c>
      <c r="X1574" s="40" t="str">
        <f aca="false">IF($B1574="","",IF(AND(OR(CETAK!$J$10="",$E1574=CETAK!$J$10),OR(CETAK!$J$11="",$F1574=CETAK!$J$11),OR(CETAK!$J$12="",$K1574=CETAK!$J$12),OR(CETAK!$J$13="",$H1574=CETAK!$J$13),OR(CETAK!$J$14="",$O1574=CETAK!$J$14)),MAX($X$3:X1573)+1,""))</f>
        <v/>
      </c>
      <c r="Y1574" s="40" t="str">
        <f aca="false">IF($B1574="","",IF(AND(OR(ABSENSI!$H$10="",$E1574=ABSENSI!$H$10),OR(ABSENSI!$H$11="",$F1574=ABSENSI!$H$11),OR(ABSENSI!$H$12="",$K1574=ABSENSI!$H$12)),MAX($Y$3:Y1573)+1,""))</f>
        <v/>
      </c>
      <c r="Z1574" s="40" t="str">
        <f aca="false">IF($B1574="","",IF(AND(OR(KARTU!$K$6="",$E1574=KARTU!$K$6),OR(KARTU!$K$7="",$F1574=KARTU!$K$7),OR(KARTU!$K$8="",$K1574=KARTU!$K$8)),MAX($Z$3:Z1573)+1,""))</f>
        <v/>
      </c>
    </row>
    <row r="1575" customFormat="false" ht="15" hidden="false" customHeight="false" outlineLevel="0" collapsed="false">
      <c r="A1575" s="36" t="str">
        <f aca="false">IF($B1575="","",COUNTA($B$4:$B1575))</f>
        <v/>
      </c>
      <c r="B1575" s="37"/>
      <c r="C1575" s="38"/>
      <c r="D1575" s="39"/>
      <c r="E1575" s="37"/>
      <c r="F1575" s="39"/>
      <c r="G1575" s="40" t="str">
        <f aca="false">IF(OR($E1575="",$F1575=""),"",$E1575&amp;" - RT "&amp;$F1575)</f>
        <v/>
      </c>
      <c r="H1575" s="37"/>
      <c r="I1575" s="38"/>
      <c r="J1575" s="37"/>
      <c r="K1575" s="39"/>
      <c r="L1575" s="41"/>
      <c r="M1575" s="36" t="str">
        <f aca="true">IF(OR($B1575="",$L1575=""),"",DATEDIF($L1575,TODAY(),"Y"))</f>
        <v/>
      </c>
      <c r="N1575" s="40" t="str">
        <f aca="false">IF($M1575="","",INDEX(usia_label,MATCH($M1575,usia_min,1)))</f>
        <v/>
      </c>
      <c r="O1575" s="37"/>
      <c r="P1575" s="41"/>
      <c r="Q1575" s="37"/>
      <c r="R1575" s="37"/>
      <c r="S1575" s="40" t="str">
        <f aca="false">IF($G1575="","",$G1575&amp;"#"&amp;COUNTIF($G$4:$G1575,$G1575))</f>
        <v/>
      </c>
      <c r="T1575" s="40" t="str">
        <f aca="false">IF($B1575="","",IF($C1575="","NIK kosong",IF(LEN($C1575)&lt;&gt;16,"NIK bukan 16 digit",IF(COUNTIF($C$4:$C$2003,$C1575&amp;"*")&gt;1,"NIK ganda",IF($E1575="","Kadus kosong",IF($F1575="","RT kosong",IF($H1575="","Jabatan kosong",IF($I1575="","No. HP kosong",IF($J1575="","Alamat kosong",IF(AND($M1575&lt;&gt;"",$M1575&lt;17),"Usia di bawah 17",""))))))))))</f>
        <v/>
      </c>
      <c r="U1575" s="40" t="str">
        <f aca="false">IF($B1575="","",IF(AND(OR(CARI!$C$5="",ISNUMBER(SEARCH(CARI!$C$5,$B1575&amp;" "&amp;$C1575&amp;" "&amp;$I1575&amp;" "&amp;$J1575&amp;" "&amp;$Q1575))),OR(CARI!$C$6="",$E1575=CARI!$C$6),OR(CARI!$C$7="",$F1575=CARI!$C$7),OR(CARI!$C$8="",$O1575=CARI!$C$8)),MAX($U$3:U1574)+1,""))</f>
        <v/>
      </c>
      <c r="V1575" s="40" t="str">
        <f aca="false">IF($T1575="","",MAX($V$3:V1574)+1)</f>
        <v/>
      </c>
      <c r="W1575" s="40" t="str">
        <f aca="false">IF($E1575="","",$E1575&amp;"#"&amp;COUNTIF($E$4:$E1575,$E1575))</f>
        <v/>
      </c>
      <c r="X1575" s="40" t="str">
        <f aca="false">IF($B1575="","",IF(AND(OR(CETAK!$J$10="",$E1575=CETAK!$J$10),OR(CETAK!$J$11="",$F1575=CETAK!$J$11),OR(CETAK!$J$12="",$K1575=CETAK!$J$12),OR(CETAK!$J$13="",$H1575=CETAK!$J$13),OR(CETAK!$J$14="",$O1575=CETAK!$J$14)),MAX($X$3:X1574)+1,""))</f>
        <v/>
      </c>
      <c r="Y1575" s="40" t="str">
        <f aca="false">IF($B1575="","",IF(AND(OR(ABSENSI!$H$10="",$E1575=ABSENSI!$H$10),OR(ABSENSI!$H$11="",$F1575=ABSENSI!$H$11),OR(ABSENSI!$H$12="",$K1575=ABSENSI!$H$12)),MAX($Y$3:Y1574)+1,""))</f>
        <v/>
      </c>
      <c r="Z1575" s="40" t="str">
        <f aca="false">IF($B1575="","",IF(AND(OR(KARTU!$K$6="",$E1575=KARTU!$K$6),OR(KARTU!$K$7="",$F1575=KARTU!$K$7),OR(KARTU!$K$8="",$K1575=KARTU!$K$8)),MAX($Z$3:Z1574)+1,""))</f>
        <v/>
      </c>
    </row>
    <row r="1576" customFormat="false" ht="15" hidden="false" customHeight="false" outlineLevel="0" collapsed="false">
      <c r="A1576" s="36" t="str">
        <f aca="false">IF($B1576="","",COUNTA($B$4:$B1576))</f>
        <v/>
      </c>
      <c r="B1576" s="37"/>
      <c r="C1576" s="38"/>
      <c r="D1576" s="39"/>
      <c r="E1576" s="37"/>
      <c r="F1576" s="39"/>
      <c r="G1576" s="40" t="str">
        <f aca="false">IF(OR($E1576="",$F1576=""),"",$E1576&amp;" - RT "&amp;$F1576)</f>
        <v/>
      </c>
      <c r="H1576" s="37"/>
      <c r="I1576" s="38"/>
      <c r="J1576" s="37"/>
      <c r="K1576" s="39"/>
      <c r="L1576" s="41"/>
      <c r="M1576" s="36" t="str">
        <f aca="true">IF(OR($B1576="",$L1576=""),"",DATEDIF($L1576,TODAY(),"Y"))</f>
        <v/>
      </c>
      <c r="N1576" s="40" t="str">
        <f aca="false">IF($M1576="","",INDEX(usia_label,MATCH($M1576,usia_min,1)))</f>
        <v/>
      </c>
      <c r="O1576" s="37"/>
      <c r="P1576" s="41"/>
      <c r="Q1576" s="37"/>
      <c r="R1576" s="37"/>
      <c r="S1576" s="40" t="str">
        <f aca="false">IF($G1576="","",$G1576&amp;"#"&amp;COUNTIF($G$4:$G1576,$G1576))</f>
        <v/>
      </c>
      <c r="T1576" s="40" t="str">
        <f aca="false">IF($B1576="","",IF($C1576="","NIK kosong",IF(LEN($C1576)&lt;&gt;16,"NIK bukan 16 digit",IF(COUNTIF($C$4:$C$2003,$C1576&amp;"*")&gt;1,"NIK ganda",IF($E1576="","Kadus kosong",IF($F1576="","RT kosong",IF($H1576="","Jabatan kosong",IF($I1576="","No. HP kosong",IF($J1576="","Alamat kosong",IF(AND($M1576&lt;&gt;"",$M1576&lt;17),"Usia di bawah 17",""))))))))))</f>
        <v/>
      </c>
      <c r="U1576" s="40" t="str">
        <f aca="false">IF($B1576="","",IF(AND(OR(CARI!$C$5="",ISNUMBER(SEARCH(CARI!$C$5,$B1576&amp;" "&amp;$C1576&amp;" "&amp;$I1576&amp;" "&amp;$J1576&amp;" "&amp;$Q1576))),OR(CARI!$C$6="",$E1576=CARI!$C$6),OR(CARI!$C$7="",$F1576=CARI!$C$7),OR(CARI!$C$8="",$O1576=CARI!$C$8)),MAX($U$3:U1575)+1,""))</f>
        <v/>
      </c>
      <c r="V1576" s="40" t="str">
        <f aca="false">IF($T1576="","",MAX($V$3:V1575)+1)</f>
        <v/>
      </c>
      <c r="W1576" s="40" t="str">
        <f aca="false">IF($E1576="","",$E1576&amp;"#"&amp;COUNTIF($E$4:$E1576,$E1576))</f>
        <v/>
      </c>
      <c r="X1576" s="40" t="str">
        <f aca="false">IF($B1576="","",IF(AND(OR(CETAK!$J$10="",$E1576=CETAK!$J$10),OR(CETAK!$J$11="",$F1576=CETAK!$J$11),OR(CETAK!$J$12="",$K1576=CETAK!$J$12),OR(CETAK!$J$13="",$H1576=CETAK!$J$13),OR(CETAK!$J$14="",$O1576=CETAK!$J$14)),MAX($X$3:X1575)+1,""))</f>
        <v/>
      </c>
      <c r="Y1576" s="40" t="str">
        <f aca="false">IF($B1576="","",IF(AND(OR(ABSENSI!$H$10="",$E1576=ABSENSI!$H$10),OR(ABSENSI!$H$11="",$F1576=ABSENSI!$H$11),OR(ABSENSI!$H$12="",$K1576=ABSENSI!$H$12)),MAX($Y$3:Y1575)+1,""))</f>
        <v/>
      </c>
      <c r="Z1576" s="40" t="str">
        <f aca="false">IF($B1576="","",IF(AND(OR(KARTU!$K$6="",$E1576=KARTU!$K$6),OR(KARTU!$K$7="",$F1576=KARTU!$K$7),OR(KARTU!$K$8="",$K1576=KARTU!$K$8)),MAX($Z$3:Z1575)+1,""))</f>
        <v/>
      </c>
    </row>
    <row r="1577" customFormat="false" ht="15" hidden="false" customHeight="false" outlineLevel="0" collapsed="false">
      <c r="A1577" s="36" t="str">
        <f aca="false">IF($B1577="","",COUNTA($B$4:$B1577))</f>
        <v/>
      </c>
      <c r="B1577" s="37"/>
      <c r="C1577" s="38"/>
      <c r="D1577" s="39"/>
      <c r="E1577" s="37"/>
      <c r="F1577" s="39"/>
      <c r="G1577" s="40" t="str">
        <f aca="false">IF(OR($E1577="",$F1577=""),"",$E1577&amp;" - RT "&amp;$F1577)</f>
        <v/>
      </c>
      <c r="H1577" s="37"/>
      <c r="I1577" s="38"/>
      <c r="J1577" s="37"/>
      <c r="K1577" s="39"/>
      <c r="L1577" s="41"/>
      <c r="M1577" s="36" t="str">
        <f aca="true">IF(OR($B1577="",$L1577=""),"",DATEDIF($L1577,TODAY(),"Y"))</f>
        <v/>
      </c>
      <c r="N1577" s="40" t="str">
        <f aca="false">IF($M1577="","",INDEX(usia_label,MATCH($M1577,usia_min,1)))</f>
        <v/>
      </c>
      <c r="O1577" s="37"/>
      <c r="P1577" s="41"/>
      <c r="Q1577" s="37"/>
      <c r="R1577" s="37"/>
      <c r="S1577" s="40" t="str">
        <f aca="false">IF($G1577="","",$G1577&amp;"#"&amp;COUNTIF($G$4:$G1577,$G1577))</f>
        <v/>
      </c>
      <c r="T1577" s="40" t="str">
        <f aca="false">IF($B1577="","",IF($C1577="","NIK kosong",IF(LEN($C1577)&lt;&gt;16,"NIK bukan 16 digit",IF(COUNTIF($C$4:$C$2003,$C1577&amp;"*")&gt;1,"NIK ganda",IF($E1577="","Kadus kosong",IF($F1577="","RT kosong",IF($H1577="","Jabatan kosong",IF($I1577="","No. HP kosong",IF($J1577="","Alamat kosong",IF(AND($M1577&lt;&gt;"",$M1577&lt;17),"Usia di bawah 17",""))))))))))</f>
        <v/>
      </c>
      <c r="U1577" s="40" t="str">
        <f aca="false">IF($B1577="","",IF(AND(OR(CARI!$C$5="",ISNUMBER(SEARCH(CARI!$C$5,$B1577&amp;" "&amp;$C1577&amp;" "&amp;$I1577&amp;" "&amp;$J1577&amp;" "&amp;$Q1577))),OR(CARI!$C$6="",$E1577=CARI!$C$6),OR(CARI!$C$7="",$F1577=CARI!$C$7),OR(CARI!$C$8="",$O1577=CARI!$C$8)),MAX($U$3:U1576)+1,""))</f>
        <v/>
      </c>
      <c r="V1577" s="40" t="str">
        <f aca="false">IF($T1577="","",MAX($V$3:V1576)+1)</f>
        <v/>
      </c>
      <c r="W1577" s="40" t="str">
        <f aca="false">IF($E1577="","",$E1577&amp;"#"&amp;COUNTIF($E$4:$E1577,$E1577))</f>
        <v/>
      </c>
      <c r="X1577" s="40" t="str">
        <f aca="false">IF($B1577="","",IF(AND(OR(CETAK!$J$10="",$E1577=CETAK!$J$10),OR(CETAK!$J$11="",$F1577=CETAK!$J$11),OR(CETAK!$J$12="",$K1577=CETAK!$J$12),OR(CETAK!$J$13="",$H1577=CETAK!$J$13),OR(CETAK!$J$14="",$O1577=CETAK!$J$14)),MAX($X$3:X1576)+1,""))</f>
        <v/>
      </c>
      <c r="Y1577" s="40" t="str">
        <f aca="false">IF($B1577="","",IF(AND(OR(ABSENSI!$H$10="",$E1577=ABSENSI!$H$10),OR(ABSENSI!$H$11="",$F1577=ABSENSI!$H$11),OR(ABSENSI!$H$12="",$K1577=ABSENSI!$H$12)),MAX($Y$3:Y1576)+1,""))</f>
        <v/>
      </c>
      <c r="Z1577" s="40" t="str">
        <f aca="false">IF($B1577="","",IF(AND(OR(KARTU!$K$6="",$E1577=KARTU!$K$6),OR(KARTU!$K$7="",$F1577=KARTU!$K$7),OR(KARTU!$K$8="",$K1577=KARTU!$K$8)),MAX($Z$3:Z1576)+1,""))</f>
        <v/>
      </c>
    </row>
    <row r="1578" customFormat="false" ht="15" hidden="false" customHeight="false" outlineLevel="0" collapsed="false">
      <c r="A1578" s="36" t="str">
        <f aca="false">IF($B1578="","",COUNTA($B$4:$B1578))</f>
        <v/>
      </c>
      <c r="B1578" s="37"/>
      <c r="C1578" s="38"/>
      <c r="D1578" s="39"/>
      <c r="E1578" s="37"/>
      <c r="F1578" s="39"/>
      <c r="G1578" s="40" t="str">
        <f aca="false">IF(OR($E1578="",$F1578=""),"",$E1578&amp;" - RT "&amp;$F1578)</f>
        <v/>
      </c>
      <c r="H1578" s="37"/>
      <c r="I1578" s="38"/>
      <c r="J1578" s="37"/>
      <c r="K1578" s="39"/>
      <c r="L1578" s="41"/>
      <c r="M1578" s="36" t="str">
        <f aca="true">IF(OR($B1578="",$L1578=""),"",DATEDIF($L1578,TODAY(),"Y"))</f>
        <v/>
      </c>
      <c r="N1578" s="40" t="str">
        <f aca="false">IF($M1578="","",INDEX(usia_label,MATCH($M1578,usia_min,1)))</f>
        <v/>
      </c>
      <c r="O1578" s="37"/>
      <c r="P1578" s="41"/>
      <c r="Q1578" s="37"/>
      <c r="R1578" s="37"/>
      <c r="S1578" s="40" t="str">
        <f aca="false">IF($G1578="","",$G1578&amp;"#"&amp;COUNTIF($G$4:$G1578,$G1578))</f>
        <v/>
      </c>
      <c r="T1578" s="40" t="str">
        <f aca="false">IF($B1578="","",IF($C1578="","NIK kosong",IF(LEN($C1578)&lt;&gt;16,"NIK bukan 16 digit",IF(COUNTIF($C$4:$C$2003,$C1578&amp;"*")&gt;1,"NIK ganda",IF($E1578="","Kadus kosong",IF($F1578="","RT kosong",IF($H1578="","Jabatan kosong",IF($I1578="","No. HP kosong",IF($J1578="","Alamat kosong",IF(AND($M1578&lt;&gt;"",$M1578&lt;17),"Usia di bawah 17",""))))))))))</f>
        <v/>
      </c>
      <c r="U1578" s="40" t="str">
        <f aca="false">IF($B1578="","",IF(AND(OR(CARI!$C$5="",ISNUMBER(SEARCH(CARI!$C$5,$B1578&amp;" "&amp;$C1578&amp;" "&amp;$I1578&amp;" "&amp;$J1578&amp;" "&amp;$Q1578))),OR(CARI!$C$6="",$E1578=CARI!$C$6),OR(CARI!$C$7="",$F1578=CARI!$C$7),OR(CARI!$C$8="",$O1578=CARI!$C$8)),MAX($U$3:U1577)+1,""))</f>
        <v/>
      </c>
      <c r="V1578" s="40" t="str">
        <f aca="false">IF($T1578="","",MAX($V$3:V1577)+1)</f>
        <v/>
      </c>
      <c r="W1578" s="40" t="str">
        <f aca="false">IF($E1578="","",$E1578&amp;"#"&amp;COUNTIF($E$4:$E1578,$E1578))</f>
        <v/>
      </c>
      <c r="X1578" s="40" t="str">
        <f aca="false">IF($B1578="","",IF(AND(OR(CETAK!$J$10="",$E1578=CETAK!$J$10),OR(CETAK!$J$11="",$F1578=CETAK!$J$11),OR(CETAK!$J$12="",$K1578=CETAK!$J$12),OR(CETAK!$J$13="",$H1578=CETAK!$J$13),OR(CETAK!$J$14="",$O1578=CETAK!$J$14)),MAX($X$3:X1577)+1,""))</f>
        <v/>
      </c>
      <c r="Y1578" s="40" t="str">
        <f aca="false">IF($B1578="","",IF(AND(OR(ABSENSI!$H$10="",$E1578=ABSENSI!$H$10),OR(ABSENSI!$H$11="",$F1578=ABSENSI!$H$11),OR(ABSENSI!$H$12="",$K1578=ABSENSI!$H$12)),MAX($Y$3:Y1577)+1,""))</f>
        <v/>
      </c>
      <c r="Z1578" s="40" t="str">
        <f aca="false">IF($B1578="","",IF(AND(OR(KARTU!$K$6="",$E1578=KARTU!$K$6),OR(KARTU!$K$7="",$F1578=KARTU!$K$7),OR(KARTU!$K$8="",$K1578=KARTU!$K$8)),MAX($Z$3:Z1577)+1,""))</f>
        <v/>
      </c>
    </row>
    <row r="1579" customFormat="false" ht="15" hidden="false" customHeight="false" outlineLevel="0" collapsed="false">
      <c r="A1579" s="36" t="str">
        <f aca="false">IF($B1579="","",COUNTA($B$4:$B1579))</f>
        <v/>
      </c>
      <c r="B1579" s="37"/>
      <c r="C1579" s="38"/>
      <c r="D1579" s="39"/>
      <c r="E1579" s="37"/>
      <c r="F1579" s="39"/>
      <c r="G1579" s="40" t="str">
        <f aca="false">IF(OR($E1579="",$F1579=""),"",$E1579&amp;" - RT "&amp;$F1579)</f>
        <v/>
      </c>
      <c r="H1579" s="37"/>
      <c r="I1579" s="38"/>
      <c r="J1579" s="37"/>
      <c r="K1579" s="39"/>
      <c r="L1579" s="41"/>
      <c r="M1579" s="36" t="str">
        <f aca="true">IF(OR($B1579="",$L1579=""),"",DATEDIF($L1579,TODAY(),"Y"))</f>
        <v/>
      </c>
      <c r="N1579" s="40" t="str">
        <f aca="false">IF($M1579="","",INDEX(usia_label,MATCH($M1579,usia_min,1)))</f>
        <v/>
      </c>
      <c r="O1579" s="37"/>
      <c r="P1579" s="41"/>
      <c r="Q1579" s="37"/>
      <c r="R1579" s="37"/>
      <c r="S1579" s="40" t="str">
        <f aca="false">IF($G1579="","",$G1579&amp;"#"&amp;COUNTIF($G$4:$G1579,$G1579))</f>
        <v/>
      </c>
      <c r="T1579" s="40" t="str">
        <f aca="false">IF($B1579="","",IF($C1579="","NIK kosong",IF(LEN($C1579)&lt;&gt;16,"NIK bukan 16 digit",IF(COUNTIF($C$4:$C$2003,$C1579&amp;"*")&gt;1,"NIK ganda",IF($E1579="","Kadus kosong",IF($F1579="","RT kosong",IF($H1579="","Jabatan kosong",IF($I1579="","No. HP kosong",IF($J1579="","Alamat kosong",IF(AND($M1579&lt;&gt;"",$M1579&lt;17),"Usia di bawah 17",""))))))))))</f>
        <v/>
      </c>
      <c r="U1579" s="40" t="str">
        <f aca="false">IF($B1579="","",IF(AND(OR(CARI!$C$5="",ISNUMBER(SEARCH(CARI!$C$5,$B1579&amp;" "&amp;$C1579&amp;" "&amp;$I1579&amp;" "&amp;$J1579&amp;" "&amp;$Q1579))),OR(CARI!$C$6="",$E1579=CARI!$C$6),OR(CARI!$C$7="",$F1579=CARI!$C$7),OR(CARI!$C$8="",$O1579=CARI!$C$8)),MAX($U$3:U1578)+1,""))</f>
        <v/>
      </c>
      <c r="V1579" s="40" t="str">
        <f aca="false">IF($T1579="","",MAX($V$3:V1578)+1)</f>
        <v/>
      </c>
      <c r="W1579" s="40" t="str">
        <f aca="false">IF($E1579="","",$E1579&amp;"#"&amp;COUNTIF($E$4:$E1579,$E1579))</f>
        <v/>
      </c>
      <c r="X1579" s="40" t="str">
        <f aca="false">IF($B1579="","",IF(AND(OR(CETAK!$J$10="",$E1579=CETAK!$J$10),OR(CETAK!$J$11="",$F1579=CETAK!$J$11),OR(CETAK!$J$12="",$K1579=CETAK!$J$12),OR(CETAK!$J$13="",$H1579=CETAK!$J$13),OR(CETAK!$J$14="",$O1579=CETAK!$J$14)),MAX($X$3:X1578)+1,""))</f>
        <v/>
      </c>
      <c r="Y1579" s="40" t="str">
        <f aca="false">IF($B1579="","",IF(AND(OR(ABSENSI!$H$10="",$E1579=ABSENSI!$H$10),OR(ABSENSI!$H$11="",$F1579=ABSENSI!$H$11),OR(ABSENSI!$H$12="",$K1579=ABSENSI!$H$12)),MAX($Y$3:Y1578)+1,""))</f>
        <v/>
      </c>
      <c r="Z1579" s="40" t="str">
        <f aca="false">IF($B1579="","",IF(AND(OR(KARTU!$K$6="",$E1579=KARTU!$K$6),OR(KARTU!$K$7="",$F1579=KARTU!$K$7),OR(KARTU!$K$8="",$K1579=KARTU!$K$8)),MAX($Z$3:Z1578)+1,""))</f>
        <v/>
      </c>
    </row>
    <row r="1580" customFormat="false" ht="15" hidden="false" customHeight="false" outlineLevel="0" collapsed="false">
      <c r="A1580" s="36" t="str">
        <f aca="false">IF($B1580="","",COUNTA($B$4:$B1580))</f>
        <v/>
      </c>
      <c r="B1580" s="37"/>
      <c r="C1580" s="38"/>
      <c r="D1580" s="39"/>
      <c r="E1580" s="37"/>
      <c r="F1580" s="39"/>
      <c r="G1580" s="40" t="str">
        <f aca="false">IF(OR($E1580="",$F1580=""),"",$E1580&amp;" - RT "&amp;$F1580)</f>
        <v/>
      </c>
      <c r="H1580" s="37"/>
      <c r="I1580" s="38"/>
      <c r="J1580" s="37"/>
      <c r="K1580" s="39"/>
      <c r="L1580" s="41"/>
      <c r="M1580" s="36" t="str">
        <f aca="true">IF(OR($B1580="",$L1580=""),"",DATEDIF($L1580,TODAY(),"Y"))</f>
        <v/>
      </c>
      <c r="N1580" s="40" t="str">
        <f aca="false">IF($M1580="","",INDEX(usia_label,MATCH($M1580,usia_min,1)))</f>
        <v/>
      </c>
      <c r="O1580" s="37"/>
      <c r="P1580" s="41"/>
      <c r="Q1580" s="37"/>
      <c r="R1580" s="37"/>
      <c r="S1580" s="40" t="str">
        <f aca="false">IF($G1580="","",$G1580&amp;"#"&amp;COUNTIF($G$4:$G1580,$G1580))</f>
        <v/>
      </c>
      <c r="T1580" s="40" t="str">
        <f aca="false">IF($B1580="","",IF($C1580="","NIK kosong",IF(LEN($C1580)&lt;&gt;16,"NIK bukan 16 digit",IF(COUNTIF($C$4:$C$2003,$C1580&amp;"*")&gt;1,"NIK ganda",IF($E1580="","Kadus kosong",IF($F1580="","RT kosong",IF($H1580="","Jabatan kosong",IF($I1580="","No. HP kosong",IF($J1580="","Alamat kosong",IF(AND($M1580&lt;&gt;"",$M1580&lt;17),"Usia di bawah 17",""))))))))))</f>
        <v/>
      </c>
      <c r="U1580" s="40" t="str">
        <f aca="false">IF($B1580="","",IF(AND(OR(CARI!$C$5="",ISNUMBER(SEARCH(CARI!$C$5,$B1580&amp;" "&amp;$C1580&amp;" "&amp;$I1580&amp;" "&amp;$J1580&amp;" "&amp;$Q1580))),OR(CARI!$C$6="",$E1580=CARI!$C$6),OR(CARI!$C$7="",$F1580=CARI!$C$7),OR(CARI!$C$8="",$O1580=CARI!$C$8)),MAX($U$3:U1579)+1,""))</f>
        <v/>
      </c>
      <c r="V1580" s="40" t="str">
        <f aca="false">IF($T1580="","",MAX($V$3:V1579)+1)</f>
        <v/>
      </c>
      <c r="W1580" s="40" t="str">
        <f aca="false">IF($E1580="","",$E1580&amp;"#"&amp;COUNTIF($E$4:$E1580,$E1580))</f>
        <v/>
      </c>
      <c r="X1580" s="40" t="str">
        <f aca="false">IF($B1580="","",IF(AND(OR(CETAK!$J$10="",$E1580=CETAK!$J$10),OR(CETAK!$J$11="",$F1580=CETAK!$J$11),OR(CETAK!$J$12="",$K1580=CETAK!$J$12),OR(CETAK!$J$13="",$H1580=CETAK!$J$13),OR(CETAK!$J$14="",$O1580=CETAK!$J$14)),MAX($X$3:X1579)+1,""))</f>
        <v/>
      </c>
      <c r="Y1580" s="40" t="str">
        <f aca="false">IF($B1580="","",IF(AND(OR(ABSENSI!$H$10="",$E1580=ABSENSI!$H$10),OR(ABSENSI!$H$11="",$F1580=ABSENSI!$H$11),OR(ABSENSI!$H$12="",$K1580=ABSENSI!$H$12)),MAX($Y$3:Y1579)+1,""))</f>
        <v/>
      </c>
      <c r="Z1580" s="40" t="str">
        <f aca="false">IF($B1580="","",IF(AND(OR(KARTU!$K$6="",$E1580=KARTU!$K$6),OR(KARTU!$K$7="",$F1580=KARTU!$K$7),OR(KARTU!$K$8="",$K1580=KARTU!$K$8)),MAX($Z$3:Z1579)+1,""))</f>
        <v/>
      </c>
    </row>
    <row r="1581" customFormat="false" ht="15" hidden="false" customHeight="false" outlineLevel="0" collapsed="false">
      <c r="A1581" s="36" t="str">
        <f aca="false">IF($B1581="","",COUNTA($B$4:$B1581))</f>
        <v/>
      </c>
      <c r="B1581" s="37"/>
      <c r="C1581" s="38"/>
      <c r="D1581" s="39"/>
      <c r="E1581" s="37"/>
      <c r="F1581" s="39"/>
      <c r="G1581" s="40" t="str">
        <f aca="false">IF(OR($E1581="",$F1581=""),"",$E1581&amp;" - RT "&amp;$F1581)</f>
        <v/>
      </c>
      <c r="H1581" s="37"/>
      <c r="I1581" s="38"/>
      <c r="J1581" s="37"/>
      <c r="K1581" s="39"/>
      <c r="L1581" s="41"/>
      <c r="M1581" s="36" t="str">
        <f aca="true">IF(OR($B1581="",$L1581=""),"",DATEDIF($L1581,TODAY(),"Y"))</f>
        <v/>
      </c>
      <c r="N1581" s="40" t="str">
        <f aca="false">IF($M1581="","",INDEX(usia_label,MATCH($M1581,usia_min,1)))</f>
        <v/>
      </c>
      <c r="O1581" s="37"/>
      <c r="P1581" s="41"/>
      <c r="Q1581" s="37"/>
      <c r="R1581" s="37"/>
      <c r="S1581" s="40" t="str">
        <f aca="false">IF($G1581="","",$G1581&amp;"#"&amp;COUNTIF($G$4:$G1581,$G1581))</f>
        <v/>
      </c>
      <c r="T1581" s="40" t="str">
        <f aca="false">IF($B1581="","",IF($C1581="","NIK kosong",IF(LEN($C1581)&lt;&gt;16,"NIK bukan 16 digit",IF(COUNTIF($C$4:$C$2003,$C1581&amp;"*")&gt;1,"NIK ganda",IF($E1581="","Kadus kosong",IF($F1581="","RT kosong",IF($H1581="","Jabatan kosong",IF($I1581="","No. HP kosong",IF($J1581="","Alamat kosong",IF(AND($M1581&lt;&gt;"",$M1581&lt;17),"Usia di bawah 17",""))))))))))</f>
        <v/>
      </c>
      <c r="U1581" s="40" t="str">
        <f aca="false">IF($B1581="","",IF(AND(OR(CARI!$C$5="",ISNUMBER(SEARCH(CARI!$C$5,$B1581&amp;" "&amp;$C1581&amp;" "&amp;$I1581&amp;" "&amp;$J1581&amp;" "&amp;$Q1581))),OR(CARI!$C$6="",$E1581=CARI!$C$6),OR(CARI!$C$7="",$F1581=CARI!$C$7),OR(CARI!$C$8="",$O1581=CARI!$C$8)),MAX($U$3:U1580)+1,""))</f>
        <v/>
      </c>
      <c r="V1581" s="40" t="str">
        <f aca="false">IF($T1581="","",MAX($V$3:V1580)+1)</f>
        <v/>
      </c>
      <c r="W1581" s="40" t="str">
        <f aca="false">IF($E1581="","",$E1581&amp;"#"&amp;COUNTIF($E$4:$E1581,$E1581))</f>
        <v/>
      </c>
      <c r="X1581" s="40" t="str">
        <f aca="false">IF($B1581="","",IF(AND(OR(CETAK!$J$10="",$E1581=CETAK!$J$10),OR(CETAK!$J$11="",$F1581=CETAK!$J$11),OR(CETAK!$J$12="",$K1581=CETAK!$J$12),OR(CETAK!$J$13="",$H1581=CETAK!$J$13),OR(CETAK!$J$14="",$O1581=CETAK!$J$14)),MAX($X$3:X1580)+1,""))</f>
        <v/>
      </c>
      <c r="Y1581" s="40" t="str">
        <f aca="false">IF($B1581="","",IF(AND(OR(ABSENSI!$H$10="",$E1581=ABSENSI!$H$10),OR(ABSENSI!$H$11="",$F1581=ABSENSI!$H$11),OR(ABSENSI!$H$12="",$K1581=ABSENSI!$H$12)),MAX($Y$3:Y1580)+1,""))</f>
        <v/>
      </c>
      <c r="Z1581" s="40" t="str">
        <f aca="false">IF($B1581="","",IF(AND(OR(KARTU!$K$6="",$E1581=KARTU!$K$6),OR(KARTU!$K$7="",$F1581=KARTU!$K$7),OR(KARTU!$K$8="",$K1581=KARTU!$K$8)),MAX($Z$3:Z1580)+1,""))</f>
        <v/>
      </c>
    </row>
    <row r="1582" customFormat="false" ht="15" hidden="false" customHeight="false" outlineLevel="0" collapsed="false">
      <c r="A1582" s="36" t="str">
        <f aca="false">IF($B1582="","",COUNTA($B$4:$B1582))</f>
        <v/>
      </c>
      <c r="B1582" s="37"/>
      <c r="C1582" s="38"/>
      <c r="D1582" s="39"/>
      <c r="E1582" s="37"/>
      <c r="F1582" s="39"/>
      <c r="G1582" s="40" t="str">
        <f aca="false">IF(OR($E1582="",$F1582=""),"",$E1582&amp;" - RT "&amp;$F1582)</f>
        <v/>
      </c>
      <c r="H1582" s="37"/>
      <c r="I1582" s="38"/>
      <c r="J1582" s="37"/>
      <c r="K1582" s="39"/>
      <c r="L1582" s="41"/>
      <c r="M1582" s="36" t="str">
        <f aca="true">IF(OR($B1582="",$L1582=""),"",DATEDIF($L1582,TODAY(),"Y"))</f>
        <v/>
      </c>
      <c r="N1582" s="40" t="str">
        <f aca="false">IF($M1582="","",INDEX(usia_label,MATCH($M1582,usia_min,1)))</f>
        <v/>
      </c>
      <c r="O1582" s="37"/>
      <c r="P1582" s="41"/>
      <c r="Q1582" s="37"/>
      <c r="R1582" s="37"/>
      <c r="S1582" s="40" t="str">
        <f aca="false">IF($G1582="","",$G1582&amp;"#"&amp;COUNTIF($G$4:$G1582,$G1582))</f>
        <v/>
      </c>
      <c r="T1582" s="40" t="str">
        <f aca="false">IF($B1582="","",IF($C1582="","NIK kosong",IF(LEN($C1582)&lt;&gt;16,"NIK bukan 16 digit",IF(COUNTIF($C$4:$C$2003,$C1582&amp;"*")&gt;1,"NIK ganda",IF($E1582="","Kadus kosong",IF($F1582="","RT kosong",IF($H1582="","Jabatan kosong",IF($I1582="","No. HP kosong",IF($J1582="","Alamat kosong",IF(AND($M1582&lt;&gt;"",$M1582&lt;17),"Usia di bawah 17",""))))))))))</f>
        <v/>
      </c>
      <c r="U1582" s="40" t="str">
        <f aca="false">IF($B1582="","",IF(AND(OR(CARI!$C$5="",ISNUMBER(SEARCH(CARI!$C$5,$B1582&amp;" "&amp;$C1582&amp;" "&amp;$I1582&amp;" "&amp;$J1582&amp;" "&amp;$Q1582))),OR(CARI!$C$6="",$E1582=CARI!$C$6),OR(CARI!$C$7="",$F1582=CARI!$C$7),OR(CARI!$C$8="",$O1582=CARI!$C$8)),MAX($U$3:U1581)+1,""))</f>
        <v/>
      </c>
      <c r="V1582" s="40" t="str">
        <f aca="false">IF($T1582="","",MAX($V$3:V1581)+1)</f>
        <v/>
      </c>
      <c r="W1582" s="40" t="str">
        <f aca="false">IF($E1582="","",$E1582&amp;"#"&amp;COUNTIF($E$4:$E1582,$E1582))</f>
        <v/>
      </c>
      <c r="X1582" s="40" t="str">
        <f aca="false">IF($B1582="","",IF(AND(OR(CETAK!$J$10="",$E1582=CETAK!$J$10),OR(CETAK!$J$11="",$F1582=CETAK!$J$11),OR(CETAK!$J$12="",$K1582=CETAK!$J$12),OR(CETAK!$J$13="",$H1582=CETAK!$J$13),OR(CETAK!$J$14="",$O1582=CETAK!$J$14)),MAX($X$3:X1581)+1,""))</f>
        <v/>
      </c>
      <c r="Y1582" s="40" t="str">
        <f aca="false">IF($B1582="","",IF(AND(OR(ABSENSI!$H$10="",$E1582=ABSENSI!$H$10),OR(ABSENSI!$H$11="",$F1582=ABSENSI!$H$11),OR(ABSENSI!$H$12="",$K1582=ABSENSI!$H$12)),MAX($Y$3:Y1581)+1,""))</f>
        <v/>
      </c>
      <c r="Z1582" s="40" t="str">
        <f aca="false">IF($B1582="","",IF(AND(OR(KARTU!$K$6="",$E1582=KARTU!$K$6),OR(KARTU!$K$7="",$F1582=KARTU!$K$7),OR(KARTU!$K$8="",$K1582=KARTU!$K$8)),MAX($Z$3:Z1581)+1,""))</f>
        <v/>
      </c>
    </row>
    <row r="1583" customFormat="false" ht="15" hidden="false" customHeight="false" outlineLevel="0" collapsed="false">
      <c r="A1583" s="36" t="str">
        <f aca="false">IF($B1583="","",COUNTA($B$4:$B1583))</f>
        <v/>
      </c>
      <c r="B1583" s="37"/>
      <c r="C1583" s="38"/>
      <c r="D1583" s="39"/>
      <c r="E1583" s="37"/>
      <c r="F1583" s="39"/>
      <c r="G1583" s="40" t="str">
        <f aca="false">IF(OR($E1583="",$F1583=""),"",$E1583&amp;" - RT "&amp;$F1583)</f>
        <v/>
      </c>
      <c r="H1583" s="37"/>
      <c r="I1583" s="38"/>
      <c r="J1583" s="37"/>
      <c r="K1583" s="39"/>
      <c r="L1583" s="41"/>
      <c r="M1583" s="36" t="str">
        <f aca="true">IF(OR($B1583="",$L1583=""),"",DATEDIF($L1583,TODAY(),"Y"))</f>
        <v/>
      </c>
      <c r="N1583" s="40" t="str">
        <f aca="false">IF($M1583="","",INDEX(usia_label,MATCH($M1583,usia_min,1)))</f>
        <v/>
      </c>
      <c r="O1583" s="37"/>
      <c r="P1583" s="41"/>
      <c r="Q1583" s="37"/>
      <c r="R1583" s="37"/>
      <c r="S1583" s="40" t="str">
        <f aca="false">IF($G1583="","",$G1583&amp;"#"&amp;COUNTIF($G$4:$G1583,$G1583))</f>
        <v/>
      </c>
      <c r="T1583" s="40" t="str">
        <f aca="false">IF($B1583="","",IF($C1583="","NIK kosong",IF(LEN($C1583)&lt;&gt;16,"NIK bukan 16 digit",IF(COUNTIF($C$4:$C$2003,$C1583&amp;"*")&gt;1,"NIK ganda",IF($E1583="","Kadus kosong",IF($F1583="","RT kosong",IF($H1583="","Jabatan kosong",IF($I1583="","No. HP kosong",IF($J1583="","Alamat kosong",IF(AND($M1583&lt;&gt;"",$M1583&lt;17),"Usia di bawah 17",""))))))))))</f>
        <v/>
      </c>
      <c r="U1583" s="40" t="str">
        <f aca="false">IF($B1583="","",IF(AND(OR(CARI!$C$5="",ISNUMBER(SEARCH(CARI!$C$5,$B1583&amp;" "&amp;$C1583&amp;" "&amp;$I1583&amp;" "&amp;$J1583&amp;" "&amp;$Q1583))),OR(CARI!$C$6="",$E1583=CARI!$C$6),OR(CARI!$C$7="",$F1583=CARI!$C$7),OR(CARI!$C$8="",$O1583=CARI!$C$8)),MAX($U$3:U1582)+1,""))</f>
        <v/>
      </c>
      <c r="V1583" s="40" t="str">
        <f aca="false">IF($T1583="","",MAX($V$3:V1582)+1)</f>
        <v/>
      </c>
      <c r="W1583" s="40" t="str">
        <f aca="false">IF($E1583="","",$E1583&amp;"#"&amp;COUNTIF($E$4:$E1583,$E1583))</f>
        <v/>
      </c>
      <c r="X1583" s="40" t="str">
        <f aca="false">IF($B1583="","",IF(AND(OR(CETAK!$J$10="",$E1583=CETAK!$J$10),OR(CETAK!$J$11="",$F1583=CETAK!$J$11),OR(CETAK!$J$12="",$K1583=CETAK!$J$12),OR(CETAK!$J$13="",$H1583=CETAK!$J$13),OR(CETAK!$J$14="",$O1583=CETAK!$J$14)),MAX($X$3:X1582)+1,""))</f>
        <v/>
      </c>
      <c r="Y1583" s="40" t="str">
        <f aca="false">IF($B1583="","",IF(AND(OR(ABSENSI!$H$10="",$E1583=ABSENSI!$H$10),OR(ABSENSI!$H$11="",$F1583=ABSENSI!$H$11),OR(ABSENSI!$H$12="",$K1583=ABSENSI!$H$12)),MAX($Y$3:Y1582)+1,""))</f>
        <v/>
      </c>
      <c r="Z1583" s="40" t="str">
        <f aca="false">IF($B1583="","",IF(AND(OR(KARTU!$K$6="",$E1583=KARTU!$K$6),OR(KARTU!$K$7="",$F1583=KARTU!$K$7),OR(KARTU!$K$8="",$K1583=KARTU!$K$8)),MAX($Z$3:Z1582)+1,""))</f>
        <v/>
      </c>
    </row>
    <row r="1584" customFormat="false" ht="15" hidden="false" customHeight="false" outlineLevel="0" collapsed="false">
      <c r="A1584" s="36" t="str">
        <f aca="false">IF($B1584="","",COUNTA($B$4:$B1584))</f>
        <v/>
      </c>
      <c r="B1584" s="37"/>
      <c r="C1584" s="38"/>
      <c r="D1584" s="39"/>
      <c r="E1584" s="37"/>
      <c r="F1584" s="39"/>
      <c r="G1584" s="40" t="str">
        <f aca="false">IF(OR($E1584="",$F1584=""),"",$E1584&amp;" - RT "&amp;$F1584)</f>
        <v/>
      </c>
      <c r="H1584" s="37"/>
      <c r="I1584" s="38"/>
      <c r="J1584" s="37"/>
      <c r="K1584" s="39"/>
      <c r="L1584" s="41"/>
      <c r="M1584" s="36" t="str">
        <f aca="true">IF(OR($B1584="",$L1584=""),"",DATEDIF($L1584,TODAY(),"Y"))</f>
        <v/>
      </c>
      <c r="N1584" s="40" t="str">
        <f aca="false">IF($M1584="","",INDEX(usia_label,MATCH($M1584,usia_min,1)))</f>
        <v/>
      </c>
      <c r="O1584" s="37"/>
      <c r="P1584" s="41"/>
      <c r="Q1584" s="37"/>
      <c r="R1584" s="37"/>
      <c r="S1584" s="40" t="str">
        <f aca="false">IF($G1584="","",$G1584&amp;"#"&amp;COUNTIF($G$4:$G1584,$G1584))</f>
        <v/>
      </c>
      <c r="T1584" s="40" t="str">
        <f aca="false">IF($B1584="","",IF($C1584="","NIK kosong",IF(LEN($C1584)&lt;&gt;16,"NIK bukan 16 digit",IF(COUNTIF($C$4:$C$2003,$C1584&amp;"*")&gt;1,"NIK ganda",IF($E1584="","Kadus kosong",IF($F1584="","RT kosong",IF($H1584="","Jabatan kosong",IF($I1584="","No. HP kosong",IF($J1584="","Alamat kosong",IF(AND($M1584&lt;&gt;"",$M1584&lt;17),"Usia di bawah 17",""))))))))))</f>
        <v/>
      </c>
      <c r="U1584" s="40" t="str">
        <f aca="false">IF($B1584="","",IF(AND(OR(CARI!$C$5="",ISNUMBER(SEARCH(CARI!$C$5,$B1584&amp;" "&amp;$C1584&amp;" "&amp;$I1584&amp;" "&amp;$J1584&amp;" "&amp;$Q1584))),OR(CARI!$C$6="",$E1584=CARI!$C$6),OR(CARI!$C$7="",$F1584=CARI!$C$7),OR(CARI!$C$8="",$O1584=CARI!$C$8)),MAX($U$3:U1583)+1,""))</f>
        <v/>
      </c>
      <c r="V1584" s="40" t="str">
        <f aca="false">IF($T1584="","",MAX($V$3:V1583)+1)</f>
        <v/>
      </c>
      <c r="W1584" s="40" t="str">
        <f aca="false">IF($E1584="","",$E1584&amp;"#"&amp;COUNTIF($E$4:$E1584,$E1584))</f>
        <v/>
      </c>
      <c r="X1584" s="40" t="str">
        <f aca="false">IF($B1584="","",IF(AND(OR(CETAK!$J$10="",$E1584=CETAK!$J$10),OR(CETAK!$J$11="",$F1584=CETAK!$J$11),OR(CETAK!$J$12="",$K1584=CETAK!$J$12),OR(CETAK!$J$13="",$H1584=CETAK!$J$13),OR(CETAK!$J$14="",$O1584=CETAK!$J$14)),MAX($X$3:X1583)+1,""))</f>
        <v/>
      </c>
      <c r="Y1584" s="40" t="str">
        <f aca="false">IF($B1584="","",IF(AND(OR(ABSENSI!$H$10="",$E1584=ABSENSI!$H$10),OR(ABSENSI!$H$11="",$F1584=ABSENSI!$H$11),OR(ABSENSI!$H$12="",$K1584=ABSENSI!$H$12)),MAX($Y$3:Y1583)+1,""))</f>
        <v/>
      </c>
      <c r="Z1584" s="40" t="str">
        <f aca="false">IF($B1584="","",IF(AND(OR(KARTU!$K$6="",$E1584=KARTU!$K$6),OR(KARTU!$K$7="",$F1584=KARTU!$K$7),OR(KARTU!$K$8="",$K1584=KARTU!$K$8)),MAX($Z$3:Z1583)+1,""))</f>
        <v/>
      </c>
    </row>
    <row r="1585" customFormat="false" ht="15" hidden="false" customHeight="false" outlineLevel="0" collapsed="false">
      <c r="A1585" s="36" t="str">
        <f aca="false">IF($B1585="","",COUNTA($B$4:$B1585))</f>
        <v/>
      </c>
      <c r="B1585" s="37"/>
      <c r="C1585" s="38"/>
      <c r="D1585" s="39"/>
      <c r="E1585" s="37"/>
      <c r="F1585" s="39"/>
      <c r="G1585" s="40" t="str">
        <f aca="false">IF(OR($E1585="",$F1585=""),"",$E1585&amp;" - RT "&amp;$F1585)</f>
        <v/>
      </c>
      <c r="H1585" s="37"/>
      <c r="I1585" s="38"/>
      <c r="J1585" s="37"/>
      <c r="K1585" s="39"/>
      <c r="L1585" s="41"/>
      <c r="M1585" s="36" t="str">
        <f aca="true">IF(OR($B1585="",$L1585=""),"",DATEDIF($L1585,TODAY(),"Y"))</f>
        <v/>
      </c>
      <c r="N1585" s="40" t="str">
        <f aca="false">IF($M1585="","",INDEX(usia_label,MATCH($M1585,usia_min,1)))</f>
        <v/>
      </c>
      <c r="O1585" s="37"/>
      <c r="P1585" s="41"/>
      <c r="Q1585" s="37"/>
      <c r="R1585" s="37"/>
      <c r="S1585" s="40" t="str">
        <f aca="false">IF($G1585="","",$G1585&amp;"#"&amp;COUNTIF($G$4:$G1585,$G1585))</f>
        <v/>
      </c>
      <c r="T1585" s="40" t="str">
        <f aca="false">IF($B1585="","",IF($C1585="","NIK kosong",IF(LEN($C1585)&lt;&gt;16,"NIK bukan 16 digit",IF(COUNTIF($C$4:$C$2003,$C1585&amp;"*")&gt;1,"NIK ganda",IF($E1585="","Kadus kosong",IF($F1585="","RT kosong",IF($H1585="","Jabatan kosong",IF($I1585="","No. HP kosong",IF($J1585="","Alamat kosong",IF(AND($M1585&lt;&gt;"",$M1585&lt;17),"Usia di bawah 17",""))))))))))</f>
        <v/>
      </c>
      <c r="U1585" s="40" t="str">
        <f aca="false">IF($B1585="","",IF(AND(OR(CARI!$C$5="",ISNUMBER(SEARCH(CARI!$C$5,$B1585&amp;" "&amp;$C1585&amp;" "&amp;$I1585&amp;" "&amp;$J1585&amp;" "&amp;$Q1585))),OR(CARI!$C$6="",$E1585=CARI!$C$6),OR(CARI!$C$7="",$F1585=CARI!$C$7),OR(CARI!$C$8="",$O1585=CARI!$C$8)),MAX($U$3:U1584)+1,""))</f>
        <v/>
      </c>
      <c r="V1585" s="40" t="str">
        <f aca="false">IF($T1585="","",MAX($V$3:V1584)+1)</f>
        <v/>
      </c>
      <c r="W1585" s="40" t="str">
        <f aca="false">IF($E1585="","",$E1585&amp;"#"&amp;COUNTIF($E$4:$E1585,$E1585))</f>
        <v/>
      </c>
      <c r="X1585" s="40" t="str">
        <f aca="false">IF($B1585="","",IF(AND(OR(CETAK!$J$10="",$E1585=CETAK!$J$10),OR(CETAK!$J$11="",$F1585=CETAK!$J$11),OR(CETAK!$J$12="",$K1585=CETAK!$J$12),OR(CETAK!$J$13="",$H1585=CETAK!$J$13),OR(CETAK!$J$14="",$O1585=CETAK!$J$14)),MAX($X$3:X1584)+1,""))</f>
        <v/>
      </c>
      <c r="Y1585" s="40" t="str">
        <f aca="false">IF($B1585="","",IF(AND(OR(ABSENSI!$H$10="",$E1585=ABSENSI!$H$10),OR(ABSENSI!$H$11="",$F1585=ABSENSI!$H$11),OR(ABSENSI!$H$12="",$K1585=ABSENSI!$H$12)),MAX($Y$3:Y1584)+1,""))</f>
        <v/>
      </c>
      <c r="Z1585" s="40" t="str">
        <f aca="false">IF($B1585="","",IF(AND(OR(KARTU!$K$6="",$E1585=KARTU!$K$6),OR(KARTU!$K$7="",$F1585=KARTU!$K$7),OR(KARTU!$K$8="",$K1585=KARTU!$K$8)),MAX($Z$3:Z1584)+1,""))</f>
        <v/>
      </c>
    </row>
    <row r="1586" customFormat="false" ht="15" hidden="false" customHeight="false" outlineLevel="0" collapsed="false">
      <c r="A1586" s="36" t="str">
        <f aca="false">IF($B1586="","",COUNTA($B$4:$B1586))</f>
        <v/>
      </c>
      <c r="B1586" s="37"/>
      <c r="C1586" s="38"/>
      <c r="D1586" s="39"/>
      <c r="E1586" s="37"/>
      <c r="F1586" s="39"/>
      <c r="G1586" s="40" t="str">
        <f aca="false">IF(OR($E1586="",$F1586=""),"",$E1586&amp;" - RT "&amp;$F1586)</f>
        <v/>
      </c>
      <c r="H1586" s="37"/>
      <c r="I1586" s="38"/>
      <c r="J1586" s="37"/>
      <c r="K1586" s="39"/>
      <c r="L1586" s="41"/>
      <c r="M1586" s="36" t="str">
        <f aca="true">IF(OR($B1586="",$L1586=""),"",DATEDIF($L1586,TODAY(),"Y"))</f>
        <v/>
      </c>
      <c r="N1586" s="40" t="str">
        <f aca="false">IF($M1586="","",INDEX(usia_label,MATCH($M1586,usia_min,1)))</f>
        <v/>
      </c>
      <c r="O1586" s="37"/>
      <c r="P1586" s="41"/>
      <c r="Q1586" s="37"/>
      <c r="R1586" s="37"/>
      <c r="S1586" s="40" t="str">
        <f aca="false">IF($G1586="","",$G1586&amp;"#"&amp;COUNTIF($G$4:$G1586,$G1586))</f>
        <v/>
      </c>
      <c r="T1586" s="40" t="str">
        <f aca="false">IF($B1586="","",IF($C1586="","NIK kosong",IF(LEN($C1586)&lt;&gt;16,"NIK bukan 16 digit",IF(COUNTIF($C$4:$C$2003,$C1586&amp;"*")&gt;1,"NIK ganda",IF($E1586="","Kadus kosong",IF($F1586="","RT kosong",IF($H1586="","Jabatan kosong",IF($I1586="","No. HP kosong",IF($J1586="","Alamat kosong",IF(AND($M1586&lt;&gt;"",$M1586&lt;17),"Usia di bawah 17",""))))))))))</f>
        <v/>
      </c>
      <c r="U1586" s="40" t="str">
        <f aca="false">IF($B1586="","",IF(AND(OR(CARI!$C$5="",ISNUMBER(SEARCH(CARI!$C$5,$B1586&amp;" "&amp;$C1586&amp;" "&amp;$I1586&amp;" "&amp;$J1586&amp;" "&amp;$Q1586))),OR(CARI!$C$6="",$E1586=CARI!$C$6),OR(CARI!$C$7="",$F1586=CARI!$C$7),OR(CARI!$C$8="",$O1586=CARI!$C$8)),MAX($U$3:U1585)+1,""))</f>
        <v/>
      </c>
      <c r="V1586" s="40" t="str">
        <f aca="false">IF($T1586="","",MAX($V$3:V1585)+1)</f>
        <v/>
      </c>
      <c r="W1586" s="40" t="str">
        <f aca="false">IF($E1586="","",$E1586&amp;"#"&amp;COUNTIF($E$4:$E1586,$E1586))</f>
        <v/>
      </c>
      <c r="X1586" s="40" t="str">
        <f aca="false">IF($B1586="","",IF(AND(OR(CETAK!$J$10="",$E1586=CETAK!$J$10),OR(CETAK!$J$11="",$F1586=CETAK!$J$11),OR(CETAK!$J$12="",$K1586=CETAK!$J$12),OR(CETAK!$J$13="",$H1586=CETAK!$J$13),OR(CETAK!$J$14="",$O1586=CETAK!$J$14)),MAX($X$3:X1585)+1,""))</f>
        <v/>
      </c>
      <c r="Y1586" s="40" t="str">
        <f aca="false">IF($B1586="","",IF(AND(OR(ABSENSI!$H$10="",$E1586=ABSENSI!$H$10),OR(ABSENSI!$H$11="",$F1586=ABSENSI!$H$11),OR(ABSENSI!$H$12="",$K1586=ABSENSI!$H$12)),MAX($Y$3:Y1585)+1,""))</f>
        <v/>
      </c>
      <c r="Z1586" s="40" t="str">
        <f aca="false">IF($B1586="","",IF(AND(OR(KARTU!$K$6="",$E1586=KARTU!$K$6),OR(KARTU!$K$7="",$F1586=KARTU!$K$7),OR(KARTU!$K$8="",$K1586=KARTU!$K$8)),MAX($Z$3:Z1585)+1,""))</f>
        <v/>
      </c>
    </row>
    <row r="1587" customFormat="false" ht="15" hidden="false" customHeight="false" outlineLevel="0" collapsed="false">
      <c r="A1587" s="36" t="str">
        <f aca="false">IF($B1587="","",COUNTA($B$4:$B1587))</f>
        <v/>
      </c>
      <c r="B1587" s="37"/>
      <c r="C1587" s="38"/>
      <c r="D1587" s="39"/>
      <c r="E1587" s="37"/>
      <c r="F1587" s="39"/>
      <c r="G1587" s="40" t="str">
        <f aca="false">IF(OR($E1587="",$F1587=""),"",$E1587&amp;" - RT "&amp;$F1587)</f>
        <v/>
      </c>
      <c r="H1587" s="37"/>
      <c r="I1587" s="38"/>
      <c r="J1587" s="37"/>
      <c r="K1587" s="39"/>
      <c r="L1587" s="41"/>
      <c r="M1587" s="36" t="str">
        <f aca="true">IF(OR($B1587="",$L1587=""),"",DATEDIF($L1587,TODAY(),"Y"))</f>
        <v/>
      </c>
      <c r="N1587" s="40" t="str">
        <f aca="false">IF($M1587="","",INDEX(usia_label,MATCH($M1587,usia_min,1)))</f>
        <v/>
      </c>
      <c r="O1587" s="37"/>
      <c r="P1587" s="41"/>
      <c r="Q1587" s="37"/>
      <c r="R1587" s="37"/>
      <c r="S1587" s="40" t="str">
        <f aca="false">IF($G1587="","",$G1587&amp;"#"&amp;COUNTIF($G$4:$G1587,$G1587))</f>
        <v/>
      </c>
      <c r="T1587" s="40" t="str">
        <f aca="false">IF($B1587="","",IF($C1587="","NIK kosong",IF(LEN($C1587)&lt;&gt;16,"NIK bukan 16 digit",IF(COUNTIF($C$4:$C$2003,$C1587&amp;"*")&gt;1,"NIK ganda",IF($E1587="","Kadus kosong",IF($F1587="","RT kosong",IF($H1587="","Jabatan kosong",IF($I1587="","No. HP kosong",IF($J1587="","Alamat kosong",IF(AND($M1587&lt;&gt;"",$M1587&lt;17),"Usia di bawah 17",""))))))))))</f>
        <v/>
      </c>
      <c r="U1587" s="40" t="str">
        <f aca="false">IF($B1587="","",IF(AND(OR(CARI!$C$5="",ISNUMBER(SEARCH(CARI!$C$5,$B1587&amp;" "&amp;$C1587&amp;" "&amp;$I1587&amp;" "&amp;$J1587&amp;" "&amp;$Q1587))),OR(CARI!$C$6="",$E1587=CARI!$C$6),OR(CARI!$C$7="",$F1587=CARI!$C$7),OR(CARI!$C$8="",$O1587=CARI!$C$8)),MAX($U$3:U1586)+1,""))</f>
        <v/>
      </c>
      <c r="V1587" s="40" t="str">
        <f aca="false">IF($T1587="","",MAX($V$3:V1586)+1)</f>
        <v/>
      </c>
      <c r="W1587" s="40" t="str">
        <f aca="false">IF($E1587="","",$E1587&amp;"#"&amp;COUNTIF($E$4:$E1587,$E1587))</f>
        <v/>
      </c>
      <c r="X1587" s="40" t="str">
        <f aca="false">IF($B1587="","",IF(AND(OR(CETAK!$J$10="",$E1587=CETAK!$J$10),OR(CETAK!$J$11="",$F1587=CETAK!$J$11),OR(CETAK!$J$12="",$K1587=CETAK!$J$12),OR(CETAK!$J$13="",$H1587=CETAK!$J$13),OR(CETAK!$J$14="",$O1587=CETAK!$J$14)),MAX($X$3:X1586)+1,""))</f>
        <v/>
      </c>
      <c r="Y1587" s="40" t="str">
        <f aca="false">IF($B1587="","",IF(AND(OR(ABSENSI!$H$10="",$E1587=ABSENSI!$H$10),OR(ABSENSI!$H$11="",$F1587=ABSENSI!$H$11),OR(ABSENSI!$H$12="",$K1587=ABSENSI!$H$12)),MAX($Y$3:Y1586)+1,""))</f>
        <v/>
      </c>
      <c r="Z1587" s="40" t="str">
        <f aca="false">IF($B1587="","",IF(AND(OR(KARTU!$K$6="",$E1587=KARTU!$K$6),OR(KARTU!$K$7="",$F1587=KARTU!$K$7),OR(KARTU!$K$8="",$K1587=KARTU!$K$8)),MAX($Z$3:Z1586)+1,""))</f>
        <v/>
      </c>
    </row>
    <row r="1588" customFormat="false" ht="15" hidden="false" customHeight="false" outlineLevel="0" collapsed="false">
      <c r="A1588" s="36" t="str">
        <f aca="false">IF($B1588="","",COUNTA($B$4:$B1588))</f>
        <v/>
      </c>
      <c r="B1588" s="37"/>
      <c r="C1588" s="38"/>
      <c r="D1588" s="39"/>
      <c r="E1588" s="37"/>
      <c r="F1588" s="39"/>
      <c r="G1588" s="40" t="str">
        <f aca="false">IF(OR($E1588="",$F1588=""),"",$E1588&amp;" - RT "&amp;$F1588)</f>
        <v/>
      </c>
      <c r="H1588" s="37"/>
      <c r="I1588" s="38"/>
      <c r="J1588" s="37"/>
      <c r="K1588" s="39"/>
      <c r="L1588" s="41"/>
      <c r="M1588" s="36" t="str">
        <f aca="true">IF(OR($B1588="",$L1588=""),"",DATEDIF($L1588,TODAY(),"Y"))</f>
        <v/>
      </c>
      <c r="N1588" s="40" t="str">
        <f aca="false">IF($M1588="","",INDEX(usia_label,MATCH($M1588,usia_min,1)))</f>
        <v/>
      </c>
      <c r="O1588" s="37"/>
      <c r="P1588" s="41"/>
      <c r="Q1588" s="37"/>
      <c r="R1588" s="37"/>
      <c r="S1588" s="40" t="str">
        <f aca="false">IF($G1588="","",$G1588&amp;"#"&amp;COUNTIF($G$4:$G1588,$G1588))</f>
        <v/>
      </c>
      <c r="T1588" s="40" t="str">
        <f aca="false">IF($B1588="","",IF($C1588="","NIK kosong",IF(LEN($C1588)&lt;&gt;16,"NIK bukan 16 digit",IF(COUNTIF($C$4:$C$2003,$C1588&amp;"*")&gt;1,"NIK ganda",IF($E1588="","Kadus kosong",IF($F1588="","RT kosong",IF($H1588="","Jabatan kosong",IF($I1588="","No. HP kosong",IF($J1588="","Alamat kosong",IF(AND($M1588&lt;&gt;"",$M1588&lt;17),"Usia di bawah 17",""))))))))))</f>
        <v/>
      </c>
      <c r="U1588" s="40" t="str">
        <f aca="false">IF($B1588="","",IF(AND(OR(CARI!$C$5="",ISNUMBER(SEARCH(CARI!$C$5,$B1588&amp;" "&amp;$C1588&amp;" "&amp;$I1588&amp;" "&amp;$J1588&amp;" "&amp;$Q1588))),OR(CARI!$C$6="",$E1588=CARI!$C$6),OR(CARI!$C$7="",$F1588=CARI!$C$7),OR(CARI!$C$8="",$O1588=CARI!$C$8)),MAX($U$3:U1587)+1,""))</f>
        <v/>
      </c>
      <c r="V1588" s="40" t="str">
        <f aca="false">IF($T1588="","",MAX($V$3:V1587)+1)</f>
        <v/>
      </c>
      <c r="W1588" s="40" t="str">
        <f aca="false">IF($E1588="","",$E1588&amp;"#"&amp;COUNTIF($E$4:$E1588,$E1588))</f>
        <v/>
      </c>
      <c r="X1588" s="40" t="str">
        <f aca="false">IF($B1588="","",IF(AND(OR(CETAK!$J$10="",$E1588=CETAK!$J$10),OR(CETAK!$J$11="",$F1588=CETAK!$J$11),OR(CETAK!$J$12="",$K1588=CETAK!$J$12),OR(CETAK!$J$13="",$H1588=CETAK!$J$13),OR(CETAK!$J$14="",$O1588=CETAK!$J$14)),MAX($X$3:X1587)+1,""))</f>
        <v/>
      </c>
      <c r="Y1588" s="40" t="str">
        <f aca="false">IF($B1588="","",IF(AND(OR(ABSENSI!$H$10="",$E1588=ABSENSI!$H$10),OR(ABSENSI!$H$11="",$F1588=ABSENSI!$H$11),OR(ABSENSI!$H$12="",$K1588=ABSENSI!$H$12)),MAX($Y$3:Y1587)+1,""))</f>
        <v/>
      </c>
      <c r="Z1588" s="40" t="str">
        <f aca="false">IF($B1588="","",IF(AND(OR(KARTU!$K$6="",$E1588=KARTU!$K$6),OR(KARTU!$K$7="",$F1588=KARTU!$K$7),OR(KARTU!$K$8="",$K1588=KARTU!$K$8)),MAX($Z$3:Z1587)+1,""))</f>
        <v/>
      </c>
    </row>
    <row r="1589" customFormat="false" ht="15" hidden="false" customHeight="false" outlineLevel="0" collapsed="false">
      <c r="A1589" s="36" t="str">
        <f aca="false">IF($B1589="","",COUNTA($B$4:$B1589))</f>
        <v/>
      </c>
      <c r="B1589" s="37"/>
      <c r="C1589" s="38"/>
      <c r="D1589" s="39"/>
      <c r="E1589" s="37"/>
      <c r="F1589" s="39"/>
      <c r="G1589" s="40" t="str">
        <f aca="false">IF(OR($E1589="",$F1589=""),"",$E1589&amp;" - RT "&amp;$F1589)</f>
        <v/>
      </c>
      <c r="H1589" s="37"/>
      <c r="I1589" s="38"/>
      <c r="J1589" s="37"/>
      <c r="K1589" s="39"/>
      <c r="L1589" s="41"/>
      <c r="M1589" s="36" t="str">
        <f aca="true">IF(OR($B1589="",$L1589=""),"",DATEDIF($L1589,TODAY(),"Y"))</f>
        <v/>
      </c>
      <c r="N1589" s="40" t="str">
        <f aca="false">IF($M1589="","",INDEX(usia_label,MATCH($M1589,usia_min,1)))</f>
        <v/>
      </c>
      <c r="O1589" s="37"/>
      <c r="P1589" s="41"/>
      <c r="Q1589" s="37"/>
      <c r="R1589" s="37"/>
      <c r="S1589" s="40" t="str">
        <f aca="false">IF($G1589="","",$G1589&amp;"#"&amp;COUNTIF($G$4:$G1589,$G1589))</f>
        <v/>
      </c>
      <c r="T1589" s="40" t="str">
        <f aca="false">IF($B1589="","",IF($C1589="","NIK kosong",IF(LEN($C1589)&lt;&gt;16,"NIK bukan 16 digit",IF(COUNTIF($C$4:$C$2003,$C1589&amp;"*")&gt;1,"NIK ganda",IF($E1589="","Kadus kosong",IF($F1589="","RT kosong",IF($H1589="","Jabatan kosong",IF($I1589="","No. HP kosong",IF($J1589="","Alamat kosong",IF(AND($M1589&lt;&gt;"",$M1589&lt;17),"Usia di bawah 17",""))))))))))</f>
        <v/>
      </c>
      <c r="U1589" s="40" t="str">
        <f aca="false">IF($B1589="","",IF(AND(OR(CARI!$C$5="",ISNUMBER(SEARCH(CARI!$C$5,$B1589&amp;" "&amp;$C1589&amp;" "&amp;$I1589&amp;" "&amp;$J1589&amp;" "&amp;$Q1589))),OR(CARI!$C$6="",$E1589=CARI!$C$6),OR(CARI!$C$7="",$F1589=CARI!$C$7),OR(CARI!$C$8="",$O1589=CARI!$C$8)),MAX($U$3:U1588)+1,""))</f>
        <v/>
      </c>
      <c r="V1589" s="40" t="str">
        <f aca="false">IF($T1589="","",MAX($V$3:V1588)+1)</f>
        <v/>
      </c>
      <c r="W1589" s="40" t="str">
        <f aca="false">IF($E1589="","",$E1589&amp;"#"&amp;COUNTIF($E$4:$E1589,$E1589))</f>
        <v/>
      </c>
      <c r="X1589" s="40" t="str">
        <f aca="false">IF($B1589="","",IF(AND(OR(CETAK!$J$10="",$E1589=CETAK!$J$10),OR(CETAK!$J$11="",$F1589=CETAK!$J$11),OR(CETAK!$J$12="",$K1589=CETAK!$J$12),OR(CETAK!$J$13="",$H1589=CETAK!$J$13),OR(CETAK!$J$14="",$O1589=CETAK!$J$14)),MAX($X$3:X1588)+1,""))</f>
        <v/>
      </c>
      <c r="Y1589" s="40" t="str">
        <f aca="false">IF($B1589="","",IF(AND(OR(ABSENSI!$H$10="",$E1589=ABSENSI!$H$10),OR(ABSENSI!$H$11="",$F1589=ABSENSI!$H$11),OR(ABSENSI!$H$12="",$K1589=ABSENSI!$H$12)),MAX($Y$3:Y1588)+1,""))</f>
        <v/>
      </c>
      <c r="Z1589" s="40" t="str">
        <f aca="false">IF($B1589="","",IF(AND(OR(KARTU!$K$6="",$E1589=KARTU!$K$6),OR(KARTU!$K$7="",$F1589=KARTU!$K$7),OR(KARTU!$K$8="",$K1589=KARTU!$K$8)),MAX($Z$3:Z1588)+1,""))</f>
        <v/>
      </c>
    </row>
    <row r="1590" customFormat="false" ht="15" hidden="false" customHeight="false" outlineLevel="0" collapsed="false">
      <c r="A1590" s="36" t="str">
        <f aca="false">IF($B1590="","",COUNTA($B$4:$B1590))</f>
        <v/>
      </c>
      <c r="B1590" s="37"/>
      <c r="C1590" s="38"/>
      <c r="D1590" s="39"/>
      <c r="E1590" s="37"/>
      <c r="F1590" s="39"/>
      <c r="G1590" s="40" t="str">
        <f aca="false">IF(OR($E1590="",$F1590=""),"",$E1590&amp;" - RT "&amp;$F1590)</f>
        <v/>
      </c>
      <c r="H1590" s="37"/>
      <c r="I1590" s="38"/>
      <c r="J1590" s="37"/>
      <c r="K1590" s="39"/>
      <c r="L1590" s="41"/>
      <c r="M1590" s="36" t="str">
        <f aca="true">IF(OR($B1590="",$L1590=""),"",DATEDIF($L1590,TODAY(),"Y"))</f>
        <v/>
      </c>
      <c r="N1590" s="40" t="str">
        <f aca="false">IF($M1590="","",INDEX(usia_label,MATCH($M1590,usia_min,1)))</f>
        <v/>
      </c>
      <c r="O1590" s="37"/>
      <c r="P1590" s="41"/>
      <c r="Q1590" s="37"/>
      <c r="R1590" s="37"/>
      <c r="S1590" s="40" t="str">
        <f aca="false">IF($G1590="","",$G1590&amp;"#"&amp;COUNTIF($G$4:$G1590,$G1590))</f>
        <v/>
      </c>
      <c r="T1590" s="40" t="str">
        <f aca="false">IF($B1590="","",IF($C1590="","NIK kosong",IF(LEN($C1590)&lt;&gt;16,"NIK bukan 16 digit",IF(COUNTIF($C$4:$C$2003,$C1590&amp;"*")&gt;1,"NIK ganda",IF($E1590="","Kadus kosong",IF($F1590="","RT kosong",IF($H1590="","Jabatan kosong",IF($I1590="","No. HP kosong",IF($J1590="","Alamat kosong",IF(AND($M1590&lt;&gt;"",$M1590&lt;17),"Usia di bawah 17",""))))))))))</f>
        <v/>
      </c>
      <c r="U1590" s="40" t="str">
        <f aca="false">IF($B1590="","",IF(AND(OR(CARI!$C$5="",ISNUMBER(SEARCH(CARI!$C$5,$B1590&amp;" "&amp;$C1590&amp;" "&amp;$I1590&amp;" "&amp;$J1590&amp;" "&amp;$Q1590))),OR(CARI!$C$6="",$E1590=CARI!$C$6),OR(CARI!$C$7="",$F1590=CARI!$C$7),OR(CARI!$C$8="",$O1590=CARI!$C$8)),MAX($U$3:U1589)+1,""))</f>
        <v/>
      </c>
      <c r="V1590" s="40" t="str">
        <f aca="false">IF($T1590="","",MAX($V$3:V1589)+1)</f>
        <v/>
      </c>
      <c r="W1590" s="40" t="str">
        <f aca="false">IF($E1590="","",$E1590&amp;"#"&amp;COUNTIF($E$4:$E1590,$E1590))</f>
        <v/>
      </c>
      <c r="X1590" s="40" t="str">
        <f aca="false">IF($B1590="","",IF(AND(OR(CETAK!$J$10="",$E1590=CETAK!$J$10),OR(CETAK!$J$11="",$F1590=CETAK!$J$11),OR(CETAK!$J$12="",$K1590=CETAK!$J$12),OR(CETAK!$J$13="",$H1590=CETAK!$J$13),OR(CETAK!$J$14="",$O1590=CETAK!$J$14)),MAX($X$3:X1589)+1,""))</f>
        <v/>
      </c>
      <c r="Y1590" s="40" t="str">
        <f aca="false">IF($B1590="","",IF(AND(OR(ABSENSI!$H$10="",$E1590=ABSENSI!$H$10),OR(ABSENSI!$H$11="",$F1590=ABSENSI!$H$11),OR(ABSENSI!$H$12="",$K1590=ABSENSI!$H$12)),MAX($Y$3:Y1589)+1,""))</f>
        <v/>
      </c>
      <c r="Z1590" s="40" t="str">
        <f aca="false">IF($B1590="","",IF(AND(OR(KARTU!$K$6="",$E1590=KARTU!$K$6),OR(KARTU!$K$7="",$F1590=KARTU!$K$7),OR(KARTU!$K$8="",$K1590=KARTU!$K$8)),MAX($Z$3:Z1589)+1,""))</f>
        <v/>
      </c>
    </row>
    <row r="1591" customFormat="false" ht="15" hidden="false" customHeight="false" outlineLevel="0" collapsed="false">
      <c r="A1591" s="36" t="str">
        <f aca="false">IF($B1591="","",COUNTA($B$4:$B1591))</f>
        <v/>
      </c>
      <c r="B1591" s="37"/>
      <c r="C1591" s="38"/>
      <c r="D1591" s="39"/>
      <c r="E1591" s="37"/>
      <c r="F1591" s="39"/>
      <c r="G1591" s="40" t="str">
        <f aca="false">IF(OR($E1591="",$F1591=""),"",$E1591&amp;" - RT "&amp;$F1591)</f>
        <v/>
      </c>
      <c r="H1591" s="37"/>
      <c r="I1591" s="38"/>
      <c r="J1591" s="37"/>
      <c r="K1591" s="39"/>
      <c r="L1591" s="41"/>
      <c r="M1591" s="36" t="str">
        <f aca="true">IF(OR($B1591="",$L1591=""),"",DATEDIF($L1591,TODAY(),"Y"))</f>
        <v/>
      </c>
      <c r="N1591" s="40" t="str">
        <f aca="false">IF($M1591="","",INDEX(usia_label,MATCH($M1591,usia_min,1)))</f>
        <v/>
      </c>
      <c r="O1591" s="37"/>
      <c r="P1591" s="41"/>
      <c r="Q1591" s="37"/>
      <c r="R1591" s="37"/>
      <c r="S1591" s="40" t="str">
        <f aca="false">IF($G1591="","",$G1591&amp;"#"&amp;COUNTIF($G$4:$G1591,$G1591))</f>
        <v/>
      </c>
      <c r="T1591" s="40" t="str">
        <f aca="false">IF($B1591="","",IF($C1591="","NIK kosong",IF(LEN($C1591)&lt;&gt;16,"NIK bukan 16 digit",IF(COUNTIF($C$4:$C$2003,$C1591&amp;"*")&gt;1,"NIK ganda",IF($E1591="","Kadus kosong",IF($F1591="","RT kosong",IF($H1591="","Jabatan kosong",IF($I1591="","No. HP kosong",IF($J1591="","Alamat kosong",IF(AND($M1591&lt;&gt;"",$M1591&lt;17),"Usia di bawah 17",""))))))))))</f>
        <v/>
      </c>
      <c r="U1591" s="40" t="str">
        <f aca="false">IF($B1591="","",IF(AND(OR(CARI!$C$5="",ISNUMBER(SEARCH(CARI!$C$5,$B1591&amp;" "&amp;$C1591&amp;" "&amp;$I1591&amp;" "&amp;$J1591&amp;" "&amp;$Q1591))),OR(CARI!$C$6="",$E1591=CARI!$C$6),OR(CARI!$C$7="",$F1591=CARI!$C$7),OR(CARI!$C$8="",$O1591=CARI!$C$8)),MAX($U$3:U1590)+1,""))</f>
        <v/>
      </c>
      <c r="V1591" s="40" t="str">
        <f aca="false">IF($T1591="","",MAX($V$3:V1590)+1)</f>
        <v/>
      </c>
      <c r="W1591" s="40" t="str">
        <f aca="false">IF($E1591="","",$E1591&amp;"#"&amp;COUNTIF($E$4:$E1591,$E1591))</f>
        <v/>
      </c>
      <c r="X1591" s="40" t="str">
        <f aca="false">IF($B1591="","",IF(AND(OR(CETAK!$J$10="",$E1591=CETAK!$J$10),OR(CETAK!$J$11="",$F1591=CETAK!$J$11),OR(CETAK!$J$12="",$K1591=CETAK!$J$12),OR(CETAK!$J$13="",$H1591=CETAK!$J$13),OR(CETAK!$J$14="",$O1591=CETAK!$J$14)),MAX($X$3:X1590)+1,""))</f>
        <v/>
      </c>
      <c r="Y1591" s="40" t="str">
        <f aca="false">IF($B1591="","",IF(AND(OR(ABSENSI!$H$10="",$E1591=ABSENSI!$H$10),OR(ABSENSI!$H$11="",$F1591=ABSENSI!$H$11),OR(ABSENSI!$H$12="",$K1591=ABSENSI!$H$12)),MAX($Y$3:Y1590)+1,""))</f>
        <v/>
      </c>
      <c r="Z1591" s="40" t="str">
        <f aca="false">IF($B1591="","",IF(AND(OR(KARTU!$K$6="",$E1591=KARTU!$K$6),OR(KARTU!$K$7="",$F1591=KARTU!$K$7),OR(KARTU!$K$8="",$K1591=KARTU!$K$8)),MAX($Z$3:Z1590)+1,""))</f>
        <v/>
      </c>
    </row>
    <row r="1592" customFormat="false" ht="15" hidden="false" customHeight="false" outlineLevel="0" collapsed="false">
      <c r="A1592" s="36" t="str">
        <f aca="false">IF($B1592="","",COUNTA($B$4:$B1592))</f>
        <v/>
      </c>
      <c r="B1592" s="37"/>
      <c r="C1592" s="38"/>
      <c r="D1592" s="39"/>
      <c r="E1592" s="37"/>
      <c r="F1592" s="39"/>
      <c r="G1592" s="40" t="str">
        <f aca="false">IF(OR($E1592="",$F1592=""),"",$E1592&amp;" - RT "&amp;$F1592)</f>
        <v/>
      </c>
      <c r="H1592" s="37"/>
      <c r="I1592" s="38"/>
      <c r="J1592" s="37"/>
      <c r="K1592" s="39"/>
      <c r="L1592" s="41"/>
      <c r="M1592" s="36" t="str">
        <f aca="true">IF(OR($B1592="",$L1592=""),"",DATEDIF($L1592,TODAY(),"Y"))</f>
        <v/>
      </c>
      <c r="N1592" s="40" t="str">
        <f aca="false">IF($M1592="","",INDEX(usia_label,MATCH($M1592,usia_min,1)))</f>
        <v/>
      </c>
      <c r="O1592" s="37"/>
      <c r="P1592" s="41"/>
      <c r="Q1592" s="37"/>
      <c r="R1592" s="37"/>
      <c r="S1592" s="40" t="str">
        <f aca="false">IF($G1592="","",$G1592&amp;"#"&amp;COUNTIF($G$4:$G1592,$G1592))</f>
        <v/>
      </c>
      <c r="T1592" s="40" t="str">
        <f aca="false">IF($B1592="","",IF($C1592="","NIK kosong",IF(LEN($C1592)&lt;&gt;16,"NIK bukan 16 digit",IF(COUNTIF($C$4:$C$2003,$C1592&amp;"*")&gt;1,"NIK ganda",IF($E1592="","Kadus kosong",IF($F1592="","RT kosong",IF($H1592="","Jabatan kosong",IF($I1592="","No. HP kosong",IF($J1592="","Alamat kosong",IF(AND($M1592&lt;&gt;"",$M1592&lt;17),"Usia di bawah 17",""))))))))))</f>
        <v/>
      </c>
      <c r="U1592" s="40" t="str">
        <f aca="false">IF($B1592="","",IF(AND(OR(CARI!$C$5="",ISNUMBER(SEARCH(CARI!$C$5,$B1592&amp;" "&amp;$C1592&amp;" "&amp;$I1592&amp;" "&amp;$J1592&amp;" "&amp;$Q1592))),OR(CARI!$C$6="",$E1592=CARI!$C$6),OR(CARI!$C$7="",$F1592=CARI!$C$7),OR(CARI!$C$8="",$O1592=CARI!$C$8)),MAX($U$3:U1591)+1,""))</f>
        <v/>
      </c>
      <c r="V1592" s="40" t="str">
        <f aca="false">IF($T1592="","",MAX($V$3:V1591)+1)</f>
        <v/>
      </c>
      <c r="W1592" s="40" t="str">
        <f aca="false">IF($E1592="","",$E1592&amp;"#"&amp;COUNTIF($E$4:$E1592,$E1592))</f>
        <v/>
      </c>
      <c r="X1592" s="40" t="str">
        <f aca="false">IF($B1592="","",IF(AND(OR(CETAK!$J$10="",$E1592=CETAK!$J$10),OR(CETAK!$J$11="",$F1592=CETAK!$J$11),OR(CETAK!$J$12="",$K1592=CETAK!$J$12),OR(CETAK!$J$13="",$H1592=CETAK!$J$13),OR(CETAK!$J$14="",$O1592=CETAK!$J$14)),MAX($X$3:X1591)+1,""))</f>
        <v/>
      </c>
      <c r="Y1592" s="40" t="str">
        <f aca="false">IF($B1592="","",IF(AND(OR(ABSENSI!$H$10="",$E1592=ABSENSI!$H$10),OR(ABSENSI!$H$11="",$F1592=ABSENSI!$H$11),OR(ABSENSI!$H$12="",$K1592=ABSENSI!$H$12)),MAX($Y$3:Y1591)+1,""))</f>
        <v/>
      </c>
      <c r="Z1592" s="40" t="str">
        <f aca="false">IF($B1592="","",IF(AND(OR(KARTU!$K$6="",$E1592=KARTU!$K$6),OR(KARTU!$K$7="",$F1592=KARTU!$K$7),OR(KARTU!$K$8="",$K1592=KARTU!$K$8)),MAX($Z$3:Z1591)+1,""))</f>
        <v/>
      </c>
    </row>
    <row r="1593" customFormat="false" ht="15" hidden="false" customHeight="false" outlineLevel="0" collapsed="false">
      <c r="A1593" s="36" t="str">
        <f aca="false">IF($B1593="","",COUNTA($B$4:$B1593))</f>
        <v/>
      </c>
      <c r="B1593" s="37"/>
      <c r="C1593" s="38"/>
      <c r="D1593" s="39"/>
      <c r="E1593" s="37"/>
      <c r="F1593" s="39"/>
      <c r="G1593" s="40" t="str">
        <f aca="false">IF(OR($E1593="",$F1593=""),"",$E1593&amp;" - RT "&amp;$F1593)</f>
        <v/>
      </c>
      <c r="H1593" s="37"/>
      <c r="I1593" s="38"/>
      <c r="J1593" s="37"/>
      <c r="K1593" s="39"/>
      <c r="L1593" s="41"/>
      <c r="M1593" s="36" t="str">
        <f aca="true">IF(OR($B1593="",$L1593=""),"",DATEDIF($L1593,TODAY(),"Y"))</f>
        <v/>
      </c>
      <c r="N1593" s="40" t="str">
        <f aca="false">IF($M1593="","",INDEX(usia_label,MATCH($M1593,usia_min,1)))</f>
        <v/>
      </c>
      <c r="O1593" s="37"/>
      <c r="P1593" s="41"/>
      <c r="Q1593" s="37"/>
      <c r="R1593" s="37"/>
      <c r="S1593" s="40" t="str">
        <f aca="false">IF($G1593="","",$G1593&amp;"#"&amp;COUNTIF($G$4:$G1593,$G1593))</f>
        <v/>
      </c>
      <c r="T1593" s="40" t="str">
        <f aca="false">IF($B1593="","",IF($C1593="","NIK kosong",IF(LEN($C1593)&lt;&gt;16,"NIK bukan 16 digit",IF(COUNTIF($C$4:$C$2003,$C1593&amp;"*")&gt;1,"NIK ganda",IF($E1593="","Kadus kosong",IF($F1593="","RT kosong",IF($H1593="","Jabatan kosong",IF($I1593="","No. HP kosong",IF($J1593="","Alamat kosong",IF(AND($M1593&lt;&gt;"",$M1593&lt;17),"Usia di bawah 17",""))))))))))</f>
        <v/>
      </c>
      <c r="U1593" s="40" t="str">
        <f aca="false">IF($B1593="","",IF(AND(OR(CARI!$C$5="",ISNUMBER(SEARCH(CARI!$C$5,$B1593&amp;" "&amp;$C1593&amp;" "&amp;$I1593&amp;" "&amp;$J1593&amp;" "&amp;$Q1593))),OR(CARI!$C$6="",$E1593=CARI!$C$6),OR(CARI!$C$7="",$F1593=CARI!$C$7),OR(CARI!$C$8="",$O1593=CARI!$C$8)),MAX($U$3:U1592)+1,""))</f>
        <v/>
      </c>
      <c r="V1593" s="40" t="str">
        <f aca="false">IF($T1593="","",MAX($V$3:V1592)+1)</f>
        <v/>
      </c>
      <c r="W1593" s="40" t="str">
        <f aca="false">IF($E1593="","",$E1593&amp;"#"&amp;COUNTIF($E$4:$E1593,$E1593))</f>
        <v/>
      </c>
      <c r="X1593" s="40" t="str">
        <f aca="false">IF($B1593="","",IF(AND(OR(CETAK!$J$10="",$E1593=CETAK!$J$10),OR(CETAK!$J$11="",$F1593=CETAK!$J$11),OR(CETAK!$J$12="",$K1593=CETAK!$J$12),OR(CETAK!$J$13="",$H1593=CETAK!$J$13),OR(CETAK!$J$14="",$O1593=CETAK!$J$14)),MAX($X$3:X1592)+1,""))</f>
        <v/>
      </c>
      <c r="Y1593" s="40" t="str">
        <f aca="false">IF($B1593="","",IF(AND(OR(ABSENSI!$H$10="",$E1593=ABSENSI!$H$10),OR(ABSENSI!$H$11="",$F1593=ABSENSI!$H$11),OR(ABSENSI!$H$12="",$K1593=ABSENSI!$H$12)),MAX($Y$3:Y1592)+1,""))</f>
        <v/>
      </c>
      <c r="Z1593" s="40" t="str">
        <f aca="false">IF($B1593="","",IF(AND(OR(KARTU!$K$6="",$E1593=KARTU!$K$6),OR(KARTU!$K$7="",$F1593=KARTU!$K$7),OR(KARTU!$K$8="",$K1593=KARTU!$K$8)),MAX($Z$3:Z1592)+1,""))</f>
        <v/>
      </c>
    </row>
    <row r="1594" customFormat="false" ht="15" hidden="false" customHeight="false" outlineLevel="0" collapsed="false">
      <c r="A1594" s="36" t="str">
        <f aca="false">IF($B1594="","",COUNTA($B$4:$B1594))</f>
        <v/>
      </c>
      <c r="B1594" s="37"/>
      <c r="C1594" s="38"/>
      <c r="D1594" s="39"/>
      <c r="E1594" s="37"/>
      <c r="F1594" s="39"/>
      <c r="G1594" s="40" t="str">
        <f aca="false">IF(OR($E1594="",$F1594=""),"",$E1594&amp;" - RT "&amp;$F1594)</f>
        <v/>
      </c>
      <c r="H1594" s="37"/>
      <c r="I1594" s="38"/>
      <c r="J1594" s="37"/>
      <c r="K1594" s="39"/>
      <c r="L1594" s="41"/>
      <c r="M1594" s="36" t="str">
        <f aca="true">IF(OR($B1594="",$L1594=""),"",DATEDIF($L1594,TODAY(),"Y"))</f>
        <v/>
      </c>
      <c r="N1594" s="40" t="str">
        <f aca="false">IF($M1594="","",INDEX(usia_label,MATCH($M1594,usia_min,1)))</f>
        <v/>
      </c>
      <c r="O1594" s="37"/>
      <c r="P1594" s="41"/>
      <c r="Q1594" s="37"/>
      <c r="R1594" s="37"/>
      <c r="S1594" s="40" t="str">
        <f aca="false">IF($G1594="","",$G1594&amp;"#"&amp;COUNTIF($G$4:$G1594,$G1594))</f>
        <v/>
      </c>
      <c r="T1594" s="40" t="str">
        <f aca="false">IF($B1594="","",IF($C1594="","NIK kosong",IF(LEN($C1594)&lt;&gt;16,"NIK bukan 16 digit",IF(COUNTIF($C$4:$C$2003,$C1594&amp;"*")&gt;1,"NIK ganda",IF($E1594="","Kadus kosong",IF($F1594="","RT kosong",IF($H1594="","Jabatan kosong",IF($I1594="","No. HP kosong",IF($J1594="","Alamat kosong",IF(AND($M1594&lt;&gt;"",$M1594&lt;17),"Usia di bawah 17",""))))))))))</f>
        <v/>
      </c>
      <c r="U1594" s="40" t="str">
        <f aca="false">IF($B1594="","",IF(AND(OR(CARI!$C$5="",ISNUMBER(SEARCH(CARI!$C$5,$B1594&amp;" "&amp;$C1594&amp;" "&amp;$I1594&amp;" "&amp;$J1594&amp;" "&amp;$Q1594))),OR(CARI!$C$6="",$E1594=CARI!$C$6),OR(CARI!$C$7="",$F1594=CARI!$C$7),OR(CARI!$C$8="",$O1594=CARI!$C$8)),MAX($U$3:U1593)+1,""))</f>
        <v/>
      </c>
      <c r="V1594" s="40" t="str">
        <f aca="false">IF($T1594="","",MAX($V$3:V1593)+1)</f>
        <v/>
      </c>
      <c r="W1594" s="40" t="str">
        <f aca="false">IF($E1594="","",$E1594&amp;"#"&amp;COUNTIF($E$4:$E1594,$E1594))</f>
        <v/>
      </c>
      <c r="X1594" s="40" t="str">
        <f aca="false">IF($B1594="","",IF(AND(OR(CETAK!$J$10="",$E1594=CETAK!$J$10),OR(CETAK!$J$11="",$F1594=CETAK!$J$11),OR(CETAK!$J$12="",$K1594=CETAK!$J$12),OR(CETAK!$J$13="",$H1594=CETAK!$J$13),OR(CETAK!$J$14="",$O1594=CETAK!$J$14)),MAX($X$3:X1593)+1,""))</f>
        <v/>
      </c>
      <c r="Y1594" s="40" t="str">
        <f aca="false">IF($B1594="","",IF(AND(OR(ABSENSI!$H$10="",$E1594=ABSENSI!$H$10),OR(ABSENSI!$H$11="",$F1594=ABSENSI!$H$11),OR(ABSENSI!$H$12="",$K1594=ABSENSI!$H$12)),MAX($Y$3:Y1593)+1,""))</f>
        <v/>
      </c>
      <c r="Z1594" s="40" t="str">
        <f aca="false">IF($B1594="","",IF(AND(OR(KARTU!$K$6="",$E1594=KARTU!$K$6),OR(KARTU!$K$7="",$F1594=KARTU!$K$7),OR(KARTU!$K$8="",$K1594=KARTU!$K$8)),MAX($Z$3:Z1593)+1,""))</f>
        <v/>
      </c>
    </row>
    <row r="1595" customFormat="false" ht="15" hidden="false" customHeight="false" outlineLevel="0" collapsed="false">
      <c r="A1595" s="36" t="str">
        <f aca="false">IF($B1595="","",COUNTA($B$4:$B1595))</f>
        <v/>
      </c>
      <c r="B1595" s="37"/>
      <c r="C1595" s="38"/>
      <c r="D1595" s="39"/>
      <c r="E1595" s="37"/>
      <c r="F1595" s="39"/>
      <c r="G1595" s="40" t="str">
        <f aca="false">IF(OR($E1595="",$F1595=""),"",$E1595&amp;" - RT "&amp;$F1595)</f>
        <v/>
      </c>
      <c r="H1595" s="37"/>
      <c r="I1595" s="38"/>
      <c r="J1595" s="37"/>
      <c r="K1595" s="39"/>
      <c r="L1595" s="41"/>
      <c r="M1595" s="36" t="str">
        <f aca="true">IF(OR($B1595="",$L1595=""),"",DATEDIF($L1595,TODAY(),"Y"))</f>
        <v/>
      </c>
      <c r="N1595" s="40" t="str">
        <f aca="false">IF($M1595="","",INDEX(usia_label,MATCH($M1595,usia_min,1)))</f>
        <v/>
      </c>
      <c r="O1595" s="37"/>
      <c r="P1595" s="41"/>
      <c r="Q1595" s="37"/>
      <c r="R1595" s="37"/>
      <c r="S1595" s="40" t="str">
        <f aca="false">IF($G1595="","",$G1595&amp;"#"&amp;COUNTIF($G$4:$G1595,$G1595))</f>
        <v/>
      </c>
      <c r="T1595" s="40" t="str">
        <f aca="false">IF($B1595="","",IF($C1595="","NIK kosong",IF(LEN($C1595)&lt;&gt;16,"NIK bukan 16 digit",IF(COUNTIF($C$4:$C$2003,$C1595&amp;"*")&gt;1,"NIK ganda",IF($E1595="","Kadus kosong",IF($F1595="","RT kosong",IF($H1595="","Jabatan kosong",IF($I1595="","No. HP kosong",IF($J1595="","Alamat kosong",IF(AND($M1595&lt;&gt;"",$M1595&lt;17),"Usia di bawah 17",""))))))))))</f>
        <v/>
      </c>
      <c r="U1595" s="40" t="str">
        <f aca="false">IF($B1595="","",IF(AND(OR(CARI!$C$5="",ISNUMBER(SEARCH(CARI!$C$5,$B1595&amp;" "&amp;$C1595&amp;" "&amp;$I1595&amp;" "&amp;$J1595&amp;" "&amp;$Q1595))),OR(CARI!$C$6="",$E1595=CARI!$C$6),OR(CARI!$C$7="",$F1595=CARI!$C$7),OR(CARI!$C$8="",$O1595=CARI!$C$8)),MAX($U$3:U1594)+1,""))</f>
        <v/>
      </c>
      <c r="V1595" s="40" t="str">
        <f aca="false">IF($T1595="","",MAX($V$3:V1594)+1)</f>
        <v/>
      </c>
      <c r="W1595" s="40" t="str">
        <f aca="false">IF($E1595="","",$E1595&amp;"#"&amp;COUNTIF($E$4:$E1595,$E1595))</f>
        <v/>
      </c>
      <c r="X1595" s="40" t="str">
        <f aca="false">IF($B1595="","",IF(AND(OR(CETAK!$J$10="",$E1595=CETAK!$J$10),OR(CETAK!$J$11="",$F1595=CETAK!$J$11),OR(CETAK!$J$12="",$K1595=CETAK!$J$12),OR(CETAK!$J$13="",$H1595=CETAK!$J$13),OR(CETAK!$J$14="",$O1595=CETAK!$J$14)),MAX($X$3:X1594)+1,""))</f>
        <v/>
      </c>
      <c r="Y1595" s="40" t="str">
        <f aca="false">IF($B1595="","",IF(AND(OR(ABSENSI!$H$10="",$E1595=ABSENSI!$H$10),OR(ABSENSI!$H$11="",$F1595=ABSENSI!$H$11),OR(ABSENSI!$H$12="",$K1595=ABSENSI!$H$12)),MAX($Y$3:Y1594)+1,""))</f>
        <v/>
      </c>
      <c r="Z1595" s="40" t="str">
        <f aca="false">IF($B1595="","",IF(AND(OR(KARTU!$K$6="",$E1595=KARTU!$K$6),OR(KARTU!$K$7="",$F1595=KARTU!$K$7),OR(KARTU!$K$8="",$K1595=KARTU!$K$8)),MAX($Z$3:Z1594)+1,""))</f>
        <v/>
      </c>
    </row>
    <row r="1596" customFormat="false" ht="15" hidden="false" customHeight="false" outlineLevel="0" collapsed="false">
      <c r="A1596" s="36" t="str">
        <f aca="false">IF($B1596="","",COUNTA($B$4:$B1596))</f>
        <v/>
      </c>
      <c r="B1596" s="37"/>
      <c r="C1596" s="38"/>
      <c r="D1596" s="39"/>
      <c r="E1596" s="37"/>
      <c r="F1596" s="39"/>
      <c r="G1596" s="40" t="str">
        <f aca="false">IF(OR($E1596="",$F1596=""),"",$E1596&amp;" - RT "&amp;$F1596)</f>
        <v/>
      </c>
      <c r="H1596" s="37"/>
      <c r="I1596" s="38"/>
      <c r="J1596" s="37"/>
      <c r="K1596" s="39"/>
      <c r="L1596" s="41"/>
      <c r="M1596" s="36" t="str">
        <f aca="true">IF(OR($B1596="",$L1596=""),"",DATEDIF($L1596,TODAY(),"Y"))</f>
        <v/>
      </c>
      <c r="N1596" s="40" t="str">
        <f aca="false">IF($M1596="","",INDEX(usia_label,MATCH($M1596,usia_min,1)))</f>
        <v/>
      </c>
      <c r="O1596" s="37"/>
      <c r="P1596" s="41"/>
      <c r="Q1596" s="37"/>
      <c r="R1596" s="37"/>
      <c r="S1596" s="40" t="str">
        <f aca="false">IF($G1596="","",$G1596&amp;"#"&amp;COUNTIF($G$4:$G1596,$G1596))</f>
        <v/>
      </c>
      <c r="T1596" s="40" t="str">
        <f aca="false">IF($B1596="","",IF($C1596="","NIK kosong",IF(LEN($C1596)&lt;&gt;16,"NIK bukan 16 digit",IF(COUNTIF($C$4:$C$2003,$C1596&amp;"*")&gt;1,"NIK ganda",IF($E1596="","Kadus kosong",IF($F1596="","RT kosong",IF($H1596="","Jabatan kosong",IF($I1596="","No. HP kosong",IF($J1596="","Alamat kosong",IF(AND($M1596&lt;&gt;"",$M1596&lt;17),"Usia di bawah 17",""))))))))))</f>
        <v/>
      </c>
      <c r="U1596" s="40" t="str">
        <f aca="false">IF($B1596="","",IF(AND(OR(CARI!$C$5="",ISNUMBER(SEARCH(CARI!$C$5,$B1596&amp;" "&amp;$C1596&amp;" "&amp;$I1596&amp;" "&amp;$J1596&amp;" "&amp;$Q1596))),OR(CARI!$C$6="",$E1596=CARI!$C$6),OR(CARI!$C$7="",$F1596=CARI!$C$7),OR(CARI!$C$8="",$O1596=CARI!$C$8)),MAX($U$3:U1595)+1,""))</f>
        <v/>
      </c>
      <c r="V1596" s="40" t="str">
        <f aca="false">IF($T1596="","",MAX($V$3:V1595)+1)</f>
        <v/>
      </c>
      <c r="W1596" s="40" t="str">
        <f aca="false">IF($E1596="","",$E1596&amp;"#"&amp;COUNTIF($E$4:$E1596,$E1596))</f>
        <v/>
      </c>
      <c r="X1596" s="40" t="str">
        <f aca="false">IF($B1596="","",IF(AND(OR(CETAK!$J$10="",$E1596=CETAK!$J$10),OR(CETAK!$J$11="",$F1596=CETAK!$J$11),OR(CETAK!$J$12="",$K1596=CETAK!$J$12),OR(CETAK!$J$13="",$H1596=CETAK!$J$13),OR(CETAK!$J$14="",$O1596=CETAK!$J$14)),MAX($X$3:X1595)+1,""))</f>
        <v/>
      </c>
      <c r="Y1596" s="40" t="str">
        <f aca="false">IF($B1596="","",IF(AND(OR(ABSENSI!$H$10="",$E1596=ABSENSI!$H$10),OR(ABSENSI!$H$11="",$F1596=ABSENSI!$H$11),OR(ABSENSI!$H$12="",$K1596=ABSENSI!$H$12)),MAX($Y$3:Y1595)+1,""))</f>
        <v/>
      </c>
      <c r="Z1596" s="40" t="str">
        <f aca="false">IF($B1596="","",IF(AND(OR(KARTU!$K$6="",$E1596=KARTU!$K$6),OR(KARTU!$K$7="",$F1596=KARTU!$K$7),OR(KARTU!$K$8="",$K1596=KARTU!$K$8)),MAX($Z$3:Z1595)+1,""))</f>
        <v/>
      </c>
    </row>
    <row r="1597" customFormat="false" ht="15" hidden="false" customHeight="false" outlineLevel="0" collapsed="false">
      <c r="A1597" s="36" t="str">
        <f aca="false">IF($B1597="","",COUNTA($B$4:$B1597))</f>
        <v/>
      </c>
      <c r="B1597" s="37"/>
      <c r="C1597" s="38"/>
      <c r="D1597" s="39"/>
      <c r="E1597" s="37"/>
      <c r="F1597" s="39"/>
      <c r="G1597" s="40" t="str">
        <f aca="false">IF(OR($E1597="",$F1597=""),"",$E1597&amp;" - RT "&amp;$F1597)</f>
        <v/>
      </c>
      <c r="H1597" s="37"/>
      <c r="I1597" s="38"/>
      <c r="J1597" s="37"/>
      <c r="K1597" s="39"/>
      <c r="L1597" s="41"/>
      <c r="M1597" s="36" t="str">
        <f aca="true">IF(OR($B1597="",$L1597=""),"",DATEDIF($L1597,TODAY(),"Y"))</f>
        <v/>
      </c>
      <c r="N1597" s="40" t="str">
        <f aca="false">IF($M1597="","",INDEX(usia_label,MATCH($M1597,usia_min,1)))</f>
        <v/>
      </c>
      <c r="O1597" s="37"/>
      <c r="P1597" s="41"/>
      <c r="Q1597" s="37"/>
      <c r="R1597" s="37"/>
      <c r="S1597" s="40" t="str">
        <f aca="false">IF($G1597="","",$G1597&amp;"#"&amp;COUNTIF($G$4:$G1597,$G1597))</f>
        <v/>
      </c>
      <c r="T1597" s="40" t="str">
        <f aca="false">IF($B1597="","",IF($C1597="","NIK kosong",IF(LEN($C1597)&lt;&gt;16,"NIK bukan 16 digit",IF(COUNTIF($C$4:$C$2003,$C1597&amp;"*")&gt;1,"NIK ganda",IF($E1597="","Kadus kosong",IF($F1597="","RT kosong",IF($H1597="","Jabatan kosong",IF($I1597="","No. HP kosong",IF($J1597="","Alamat kosong",IF(AND($M1597&lt;&gt;"",$M1597&lt;17),"Usia di bawah 17",""))))))))))</f>
        <v/>
      </c>
      <c r="U1597" s="40" t="str">
        <f aca="false">IF($B1597="","",IF(AND(OR(CARI!$C$5="",ISNUMBER(SEARCH(CARI!$C$5,$B1597&amp;" "&amp;$C1597&amp;" "&amp;$I1597&amp;" "&amp;$J1597&amp;" "&amp;$Q1597))),OR(CARI!$C$6="",$E1597=CARI!$C$6),OR(CARI!$C$7="",$F1597=CARI!$C$7),OR(CARI!$C$8="",$O1597=CARI!$C$8)),MAX($U$3:U1596)+1,""))</f>
        <v/>
      </c>
      <c r="V1597" s="40" t="str">
        <f aca="false">IF($T1597="","",MAX($V$3:V1596)+1)</f>
        <v/>
      </c>
      <c r="W1597" s="40" t="str">
        <f aca="false">IF($E1597="","",$E1597&amp;"#"&amp;COUNTIF($E$4:$E1597,$E1597))</f>
        <v/>
      </c>
      <c r="X1597" s="40" t="str">
        <f aca="false">IF($B1597="","",IF(AND(OR(CETAK!$J$10="",$E1597=CETAK!$J$10),OR(CETAK!$J$11="",$F1597=CETAK!$J$11),OR(CETAK!$J$12="",$K1597=CETAK!$J$12),OR(CETAK!$J$13="",$H1597=CETAK!$J$13),OR(CETAK!$J$14="",$O1597=CETAK!$J$14)),MAX($X$3:X1596)+1,""))</f>
        <v/>
      </c>
      <c r="Y1597" s="40" t="str">
        <f aca="false">IF($B1597="","",IF(AND(OR(ABSENSI!$H$10="",$E1597=ABSENSI!$H$10),OR(ABSENSI!$H$11="",$F1597=ABSENSI!$H$11),OR(ABSENSI!$H$12="",$K1597=ABSENSI!$H$12)),MAX($Y$3:Y1596)+1,""))</f>
        <v/>
      </c>
      <c r="Z1597" s="40" t="str">
        <f aca="false">IF($B1597="","",IF(AND(OR(KARTU!$K$6="",$E1597=KARTU!$K$6),OR(KARTU!$K$7="",$F1597=KARTU!$K$7),OR(KARTU!$K$8="",$K1597=KARTU!$K$8)),MAX($Z$3:Z1596)+1,""))</f>
        <v/>
      </c>
    </row>
    <row r="1598" customFormat="false" ht="15" hidden="false" customHeight="false" outlineLevel="0" collapsed="false">
      <c r="A1598" s="36" t="str">
        <f aca="false">IF($B1598="","",COUNTA($B$4:$B1598))</f>
        <v/>
      </c>
      <c r="B1598" s="37"/>
      <c r="C1598" s="38"/>
      <c r="D1598" s="39"/>
      <c r="E1598" s="37"/>
      <c r="F1598" s="39"/>
      <c r="G1598" s="40" t="str">
        <f aca="false">IF(OR($E1598="",$F1598=""),"",$E1598&amp;" - RT "&amp;$F1598)</f>
        <v/>
      </c>
      <c r="H1598" s="37"/>
      <c r="I1598" s="38"/>
      <c r="J1598" s="37"/>
      <c r="K1598" s="39"/>
      <c r="L1598" s="41"/>
      <c r="M1598" s="36" t="str">
        <f aca="true">IF(OR($B1598="",$L1598=""),"",DATEDIF($L1598,TODAY(),"Y"))</f>
        <v/>
      </c>
      <c r="N1598" s="40" t="str">
        <f aca="false">IF($M1598="","",INDEX(usia_label,MATCH($M1598,usia_min,1)))</f>
        <v/>
      </c>
      <c r="O1598" s="37"/>
      <c r="P1598" s="41"/>
      <c r="Q1598" s="37"/>
      <c r="R1598" s="37"/>
      <c r="S1598" s="40" t="str">
        <f aca="false">IF($G1598="","",$G1598&amp;"#"&amp;COUNTIF($G$4:$G1598,$G1598))</f>
        <v/>
      </c>
      <c r="T1598" s="40" t="str">
        <f aca="false">IF($B1598="","",IF($C1598="","NIK kosong",IF(LEN($C1598)&lt;&gt;16,"NIK bukan 16 digit",IF(COUNTIF($C$4:$C$2003,$C1598&amp;"*")&gt;1,"NIK ganda",IF($E1598="","Kadus kosong",IF($F1598="","RT kosong",IF($H1598="","Jabatan kosong",IF($I1598="","No. HP kosong",IF($J1598="","Alamat kosong",IF(AND($M1598&lt;&gt;"",$M1598&lt;17),"Usia di bawah 17",""))))))))))</f>
        <v/>
      </c>
      <c r="U1598" s="40" t="str">
        <f aca="false">IF($B1598="","",IF(AND(OR(CARI!$C$5="",ISNUMBER(SEARCH(CARI!$C$5,$B1598&amp;" "&amp;$C1598&amp;" "&amp;$I1598&amp;" "&amp;$J1598&amp;" "&amp;$Q1598))),OR(CARI!$C$6="",$E1598=CARI!$C$6),OR(CARI!$C$7="",$F1598=CARI!$C$7),OR(CARI!$C$8="",$O1598=CARI!$C$8)),MAX($U$3:U1597)+1,""))</f>
        <v/>
      </c>
      <c r="V1598" s="40" t="str">
        <f aca="false">IF($T1598="","",MAX($V$3:V1597)+1)</f>
        <v/>
      </c>
      <c r="W1598" s="40" t="str">
        <f aca="false">IF($E1598="","",$E1598&amp;"#"&amp;COUNTIF($E$4:$E1598,$E1598))</f>
        <v/>
      </c>
      <c r="X1598" s="40" t="str">
        <f aca="false">IF($B1598="","",IF(AND(OR(CETAK!$J$10="",$E1598=CETAK!$J$10),OR(CETAK!$J$11="",$F1598=CETAK!$J$11),OR(CETAK!$J$12="",$K1598=CETAK!$J$12),OR(CETAK!$J$13="",$H1598=CETAK!$J$13),OR(CETAK!$J$14="",$O1598=CETAK!$J$14)),MAX($X$3:X1597)+1,""))</f>
        <v/>
      </c>
      <c r="Y1598" s="40" t="str">
        <f aca="false">IF($B1598="","",IF(AND(OR(ABSENSI!$H$10="",$E1598=ABSENSI!$H$10),OR(ABSENSI!$H$11="",$F1598=ABSENSI!$H$11),OR(ABSENSI!$H$12="",$K1598=ABSENSI!$H$12)),MAX($Y$3:Y1597)+1,""))</f>
        <v/>
      </c>
      <c r="Z1598" s="40" t="str">
        <f aca="false">IF($B1598="","",IF(AND(OR(KARTU!$K$6="",$E1598=KARTU!$K$6),OR(KARTU!$K$7="",$F1598=KARTU!$K$7),OR(KARTU!$K$8="",$K1598=KARTU!$K$8)),MAX($Z$3:Z1597)+1,""))</f>
        <v/>
      </c>
    </row>
    <row r="1599" customFormat="false" ht="15" hidden="false" customHeight="false" outlineLevel="0" collapsed="false">
      <c r="A1599" s="36" t="str">
        <f aca="false">IF($B1599="","",COUNTA($B$4:$B1599))</f>
        <v/>
      </c>
      <c r="B1599" s="37"/>
      <c r="C1599" s="38"/>
      <c r="D1599" s="39"/>
      <c r="E1599" s="37"/>
      <c r="F1599" s="39"/>
      <c r="G1599" s="40" t="str">
        <f aca="false">IF(OR($E1599="",$F1599=""),"",$E1599&amp;" - RT "&amp;$F1599)</f>
        <v/>
      </c>
      <c r="H1599" s="37"/>
      <c r="I1599" s="38"/>
      <c r="J1599" s="37"/>
      <c r="K1599" s="39"/>
      <c r="L1599" s="41"/>
      <c r="M1599" s="36" t="str">
        <f aca="true">IF(OR($B1599="",$L1599=""),"",DATEDIF($L1599,TODAY(),"Y"))</f>
        <v/>
      </c>
      <c r="N1599" s="40" t="str">
        <f aca="false">IF($M1599="","",INDEX(usia_label,MATCH($M1599,usia_min,1)))</f>
        <v/>
      </c>
      <c r="O1599" s="37"/>
      <c r="P1599" s="41"/>
      <c r="Q1599" s="37"/>
      <c r="R1599" s="37"/>
      <c r="S1599" s="40" t="str">
        <f aca="false">IF($G1599="","",$G1599&amp;"#"&amp;COUNTIF($G$4:$G1599,$G1599))</f>
        <v/>
      </c>
      <c r="T1599" s="40" t="str">
        <f aca="false">IF($B1599="","",IF($C1599="","NIK kosong",IF(LEN($C1599)&lt;&gt;16,"NIK bukan 16 digit",IF(COUNTIF($C$4:$C$2003,$C1599&amp;"*")&gt;1,"NIK ganda",IF($E1599="","Kadus kosong",IF($F1599="","RT kosong",IF($H1599="","Jabatan kosong",IF($I1599="","No. HP kosong",IF($J1599="","Alamat kosong",IF(AND($M1599&lt;&gt;"",$M1599&lt;17),"Usia di bawah 17",""))))))))))</f>
        <v/>
      </c>
      <c r="U1599" s="40" t="str">
        <f aca="false">IF($B1599="","",IF(AND(OR(CARI!$C$5="",ISNUMBER(SEARCH(CARI!$C$5,$B1599&amp;" "&amp;$C1599&amp;" "&amp;$I1599&amp;" "&amp;$J1599&amp;" "&amp;$Q1599))),OR(CARI!$C$6="",$E1599=CARI!$C$6),OR(CARI!$C$7="",$F1599=CARI!$C$7),OR(CARI!$C$8="",$O1599=CARI!$C$8)),MAX($U$3:U1598)+1,""))</f>
        <v/>
      </c>
      <c r="V1599" s="40" t="str">
        <f aca="false">IF($T1599="","",MAX($V$3:V1598)+1)</f>
        <v/>
      </c>
      <c r="W1599" s="40" t="str">
        <f aca="false">IF($E1599="","",$E1599&amp;"#"&amp;COUNTIF($E$4:$E1599,$E1599))</f>
        <v/>
      </c>
      <c r="X1599" s="40" t="str">
        <f aca="false">IF($B1599="","",IF(AND(OR(CETAK!$J$10="",$E1599=CETAK!$J$10),OR(CETAK!$J$11="",$F1599=CETAK!$J$11),OR(CETAK!$J$12="",$K1599=CETAK!$J$12),OR(CETAK!$J$13="",$H1599=CETAK!$J$13),OR(CETAK!$J$14="",$O1599=CETAK!$J$14)),MAX($X$3:X1598)+1,""))</f>
        <v/>
      </c>
      <c r="Y1599" s="40" t="str">
        <f aca="false">IF($B1599="","",IF(AND(OR(ABSENSI!$H$10="",$E1599=ABSENSI!$H$10),OR(ABSENSI!$H$11="",$F1599=ABSENSI!$H$11),OR(ABSENSI!$H$12="",$K1599=ABSENSI!$H$12)),MAX($Y$3:Y1598)+1,""))</f>
        <v/>
      </c>
      <c r="Z1599" s="40" t="str">
        <f aca="false">IF($B1599="","",IF(AND(OR(KARTU!$K$6="",$E1599=KARTU!$K$6),OR(KARTU!$K$7="",$F1599=KARTU!$K$7),OR(KARTU!$K$8="",$K1599=KARTU!$K$8)),MAX($Z$3:Z1598)+1,""))</f>
        <v/>
      </c>
    </row>
    <row r="1600" customFormat="false" ht="15" hidden="false" customHeight="false" outlineLevel="0" collapsed="false">
      <c r="A1600" s="36" t="str">
        <f aca="false">IF($B1600="","",COUNTA($B$4:$B1600))</f>
        <v/>
      </c>
      <c r="B1600" s="37"/>
      <c r="C1600" s="38"/>
      <c r="D1600" s="39"/>
      <c r="E1600" s="37"/>
      <c r="F1600" s="39"/>
      <c r="G1600" s="40" t="str">
        <f aca="false">IF(OR($E1600="",$F1600=""),"",$E1600&amp;" - RT "&amp;$F1600)</f>
        <v/>
      </c>
      <c r="H1600" s="37"/>
      <c r="I1600" s="38"/>
      <c r="J1600" s="37"/>
      <c r="K1600" s="39"/>
      <c r="L1600" s="41"/>
      <c r="M1600" s="36" t="str">
        <f aca="true">IF(OR($B1600="",$L1600=""),"",DATEDIF($L1600,TODAY(),"Y"))</f>
        <v/>
      </c>
      <c r="N1600" s="40" t="str">
        <f aca="false">IF($M1600="","",INDEX(usia_label,MATCH($M1600,usia_min,1)))</f>
        <v/>
      </c>
      <c r="O1600" s="37"/>
      <c r="P1600" s="41"/>
      <c r="Q1600" s="37"/>
      <c r="R1600" s="37"/>
      <c r="S1600" s="40" t="str">
        <f aca="false">IF($G1600="","",$G1600&amp;"#"&amp;COUNTIF($G$4:$G1600,$G1600))</f>
        <v/>
      </c>
      <c r="T1600" s="40" t="str">
        <f aca="false">IF($B1600="","",IF($C1600="","NIK kosong",IF(LEN($C1600)&lt;&gt;16,"NIK bukan 16 digit",IF(COUNTIF($C$4:$C$2003,$C1600&amp;"*")&gt;1,"NIK ganda",IF($E1600="","Kadus kosong",IF($F1600="","RT kosong",IF($H1600="","Jabatan kosong",IF($I1600="","No. HP kosong",IF($J1600="","Alamat kosong",IF(AND($M1600&lt;&gt;"",$M1600&lt;17),"Usia di bawah 17",""))))))))))</f>
        <v/>
      </c>
      <c r="U1600" s="40" t="str">
        <f aca="false">IF($B1600="","",IF(AND(OR(CARI!$C$5="",ISNUMBER(SEARCH(CARI!$C$5,$B1600&amp;" "&amp;$C1600&amp;" "&amp;$I1600&amp;" "&amp;$J1600&amp;" "&amp;$Q1600))),OR(CARI!$C$6="",$E1600=CARI!$C$6),OR(CARI!$C$7="",$F1600=CARI!$C$7),OR(CARI!$C$8="",$O1600=CARI!$C$8)),MAX($U$3:U1599)+1,""))</f>
        <v/>
      </c>
      <c r="V1600" s="40" t="str">
        <f aca="false">IF($T1600="","",MAX($V$3:V1599)+1)</f>
        <v/>
      </c>
      <c r="W1600" s="40" t="str">
        <f aca="false">IF($E1600="","",$E1600&amp;"#"&amp;COUNTIF($E$4:$E1600,$E1600))</f>
        <v/>
      </c>
      <c r="X1600" s="40" t="str">
        <f aca="false">IF($B1600="","",IF(AND(OR(CETAK!$J$10="",$E1600=CETAK!$J$10),OR(CETAK!$J$11="",$F1600=CETAK!$J$11),OR(CETAK!$J$12="",$K1600=CETAK!$J$12),OR(CETAK!$J$13="",$H1600=CETAK!$J$13),OR(CETAK!$J$14="",$O1600=CETAK!$J$14)),MAX($X$3:X1599)+1,""))</f>
        <v/>
      </c>
      <c r="Y1600" s="40" t="str">
        <f aca="false">IF($B1600="","",IF(AND(OR(ABSENSI!$H$10="",$E1600=ABSENSI!$H$10),OR(ABSENSI!$H$11="",$F1600=ABSENSI!$H$11),OR(ABSENSI!$H$12="",$K1600=ABSENSI!$H$12)),MAX($Y$3:Y1599)+1,""))</f>
        <v/>
      </c>
      <c r="Z1600" s="40" t="str">
        <f aca="false">IF($B1600="","",IF(AND(OR(KARTU!$K$6="",$E1600=KARTU!$K$6),OR(KARTU!$K$7="",$F1600=KARTU!$K$7),OR(KARTU!$K$8="",$K1600=KARTU!$K$8)),MAX($Z$3:Z1599)+1,""))</f>
        <v/>
      </c>
    </row>
    <row r="1601" customFormat="false" ht="15" hidden="false" customHeight="false" outlineLevel="0" collapsed="false">
      <c r="A1601" s="36" t="str">
        <f aca="false">IF($B1601="","",COUNTA($B$4:$B1601))</f>
        <v/>
      </c>
      <c r="B1601" s="37"/>
      <c r="C1601" s="38"/>
      <c r="D1601" s="39"/>
      <c r="E1601" s="37"/>
      <c r="F1601" s="39"/>
      <c r="G1601" s="40" t="str">
        <f aca="false">IF(OR($E1601="",$F1601=""),"",$E1601&amp;" - RT "&amp;$F1601)</f>
        <v/>
      </c>
      <c r="H1601" s="37"/>
      <c r="I1601" s="38"/>
      <c r="J1601" s="37"/>
      <c r="K1601" s="39"/>
      <c r="L1601" s="41"/>
      <c r="M1601" s="36" t="str">
        <f aca="true">IF(OR($B1601="",$L1601=""),"",DATEDIF($L1601,TODAY(),"Y"))</f>
        <v/>
      </c>
      <c r="N1601" s="40" t="str">
        <f aca="false">IF($M1601="","",INDEX(usia_label,MATCH($M1601,usia_min,1)))</f>
        <v/>
      </c>
      <c r="O1601" s="37"/>
      <c r="P1601" s="41"/>
      <c r="Q1601" s="37"/>
      <c r="R1601" s="37"/>
      <c r="S1601" s="40" t="str">
        <f aca="false">IF($G1601="","",$G1601&amp;"#"&amp;COUNTIF($G$4:$G1601,$G1601))</f>
        <v/>
      </c>
      <c r="T1601" s="40" t="str">
        <f aca="false">IF($B1601="","",IF($C1601="","NIK kosong",IF(LEN($C1601)&lt;&gt;16,"NIK bukan 16 digit",IF(COUNTIF($C$4:$C$2003,$C1601&amp;"*")&gt;1,"NIK ganda",IF($E1601="","Kadus kosong",IF($F1601="","RT kosong",IF($H1601="","Jabatan kosong",IF($I1601="","No. HP kosong",IF($J1601="","Alamat kosong",IF(AND($M1601&lt;&gt;"",$M1601&lt;17),"Usia di bawah 17",""))))))))))</f>
        <v/>
      </c>
      <c r="U1601" s="40" t="str">
        <f aca="false">IF($B1601="","",IF(AND(OR(CARI!$C$5="",ISNUMBER(SEARCH(CARI!$C$5,$B1601&amp;" "&amp;$C1601&amp;" "&amp;$I1601&amp;" "&amp;$J1601&amp;" "&amp;$Q1601))),OR(CARI!$C$6="",$E1601=CARI!$C$6),OR(CARI!$C$7="",$F1601=CARI!$C$7),OR(CARI!$C$8="",$O1601=CARI!$C$8)),MAX($U$3:U1600)+1,""))</f>
        <v/>
      </c>
      <c r="V1601" s="40" t="str">
        <f aca="false">IF($T1601="","",MAX($V$3:V1600)+1)</f>
        <v/>
      </c>
      <c r="W1601" s="40" t="str">
        <f aca="false">IF($E1601="","",$E1601&amp;"#"&amp;COUNTIF($E$4:$E1601,$E1601))</f>
        <v/>
      </c>
      <c r="X1601" s="40" t="str">
        <f aca="false">IF($B1601="","",IF(AND(OR(CETAK!$J$10="",$E1601=CETAK!$J$10),OR(CETAK!$J$11="",$F1601=CETAK!$J$11),OR(CETAK!$J$12="",$K1601=CETAK!$J$12),OR(CETAK!$J$13="",$H1601=CETAK!$J$13),OR(CETAK!$J$14="",$O1601=CETAK!$J$14)),MAX($X$3:X1600)+1,""))</f>
        <v/>
      </c>
      <c r="Y1601" s="40" t="str">
        <f aca="false">IF($B1601="","",IF(AND(OR(ABSENSI!$H$10="",$E1601=ABSENSI!$H$10),OR(ABSENSI!$H$11="",$F1601=ABSENSI!$H$11),OR(ABSENSI!$H$12="",$K1601=ABSENSI!$H$12)),MAX($Y$3:Y1600)+1,""))</f>
        <v/>
      </c>
      <c r="Z1601" s="40" t="str">
        <f aca="false">IF($B1601="","",IF(AND(OR(KARTU!$K$6="",$E1601=KARTU!$K$6),OR(KARTU!$K$7="",$F1601=KARTU!$K$7),OR(KARTU!$K$8="",$K1601=KARTU!$K$8)),MAX($Z$3:Z1600)+1,""))</f>
        <v/>
      </c>
    </row>
    <row r="1602" customFormat="false" ht="15" hidden="false" customHeight="false" outlineLevel="0" collapsed="false">
      <c r="A1602" s="36" t="str">
        <f aca="false">IF($B1602="","",COUNTA($B$4:$B1602))</f>
        <v/>
      </c>
      <c r="B1602" s="37"/>
      <c r="C1602" s="38"/>
      <c r="D1602" s="39"/>
      <c r="E1602" s="37"/>
      <c r="F1602" s="39"/>
      <c r="G1602" s="40" t="str">
        <f aca="false">IF(OR($E1602="",$F1602=""),"",$E1602&amp;" - RT "&amp;$F1602)</f>
        <v/>
      </c>
      <c r="H1602" s="37"/>
      <c r="I1602" s="38"/>
      <c r="J1602" s="37"/>
      <c r="K1602" s="39"/>
      <c r="L1602" s="41"/>
      <c r="M1602" s="36" t="str">
        <f aca="true">IF(OR($B1602="",$L1602=""),"",DATEDIF($L1602,TODAY(),"Y"))</f>
        <v/>
      </c>
      <c r="N1602" s="40" t="str">
        <f aca="false">IF($M1602="","",INDEX(usia_label,MATCH($M1602,usia_min,1)))</f>
        <v/>
      </c>
      <c r="O1602" s="37"/>
      <c r="P1602" s="41"/>
      <c r="Q1602" s="37"/>
      <c r="R1602" s="37"/>
      <c r="S1602" s="40" t="str">
        <f aca="false">IF($G1602="","",$G1602&amp;"#"&amp;COUNTIF($G$4:$G1602,$G1602))</f>
        <v/>
      </c>
      <c r="T1602" s="40" t="str">
        <f aca="false">IF($B1602="","",IF($C1602="","NIK kosong",IF(LEN($C1602)&lt;&gt;16,"NIK bukan 16 digit",IF(COUNTIF($C$4:$C$2003,$C1602&amp;"*")&gt;1,"NIK ganda",IF($E1602="","Kadus kosong",IF($F1602="","RT kosong",IF($H1602="","Jabatan kosong",IF($I1602="","No. HP kosong",IF($J1602="","Alamat kosong",IF(AND($M1602&lt;&gt;"",$M1602&lt;17),"Usia di bawah 17",""))))))))))</f>
        <v/>
      </c>
      <c r="U1602" s="40" t="str">
        <f aca="false">IF($B1602="","",IF(AND(OR(CARI!$C$5="",ISNUMBER(SEARCH(CARI!$C$5,$B1602&amp;" "&amp;$C1602&amp;" "&amp;$I1602&amp;" "&amp;$J1602&amp;" "&amp;$Q1602))),OR(CARI!$C$6="",$E1602=CARI!$C$6),OR(CARI!$C$7="",$F1602=CARI!$C$7),OR(CARI!$C$8="",$O1602=CARI!$C$8)),MAX($U$3:U1601)+1,""))</f>
        <v/>
      </c>
      <c r="V1602" s="40" t="str">
        <f aca="false">IF($T1602="","",MAX($V$3:V1601)+1)</f>
        <v/>
      </c>
      <c r="W1602" s="40" t="str">
        <f aca="false">IF($E1602="","",$E1602&amp;"#"&amp;COUNTIF($E$4:$E1602,$E1602))</f>
        <v/>
      </c>
      <c r="X1602" s="40" t="str">
        <f aca="false">IF($B1602="","",IF(AND(OR(CETAK!$J$10="",$E1602=CETAK!$J$10),OR(CETAK!$J$11="",$F1602=CETAK!$J$11),OR(CETAK!$J$12="",$K1602=CETAK!$J$12),OR(CETAK!$J$13="",$H1602=CETAK!$J$13),OR(CETAK!$J$14="",$O1602=CETAK!$J$14)),MAX($X$3:X1601)+1,""))</f>
        <v/>
      </c>
      <c r="Y1602" s="40" t="str">
        <f aca="false">IF($B1602="","",IF(AND(OR(ABSENSI!$H$10="",$E1602=ABSENSI!$H$10),OR(ABSENSI!$H$11="",$F1602=ABSENSI!$H$11),OR(ABSENSI!$H$12="",$K1602=ABSENSI!$H$12)),MAX($Y$3:Y1601)+1,""))</f>
        <v/>
      </c>
      <c r="Z1602" s="40" t="str">
        <f aca="false">IF($B1602="","",IF(AND(OR(KARTU!$K$6="",$E1602=KARTU!$K$6),OR(KARTU!$K$7="",$F1602=KARTU!$K$7),OR(KARTU!$K$8="",$K1602=KARTU!$K$8)),MAX($Z$3:Z1601)+1,""))</f>
        <v/>
      </c>
    </row>
    <row r="1603" customFormat="false" ht="15" hidden="false" customHeight="false" outlineLevel="0" collapsed="false">
      <c r="A1603" s="36" t="str">
        <f aca="false">IF($B1603="","",COUNTA($B$4:$B1603))</f>
        <v/>
      </c>
      <c r="B1603" s="37"/>
      <c r="C1603" s="38"/>
      <c r="D1603" s="39"/>
      <c r="E1603" s="37"/>
      <c r="F1603" s="39"/>
      <c r="G1603" s="40" t="str">
        <f aca="false">IF(OR($E1603="",$F1603=""),"",$E1603&amp;" - RT "&amp;$F1603)</f>
        <v/>
      </c>
      <c r="H1603" s="37"/>
      <c r="I1603" s="38"/>
      <c r="J1603" s="37"/>
      <c r="K1603" s="39"/>
      <c r="L1603" s="41"/>
      <c r="M1603" s="36" t="str">
        <f aca="true">IF(OR($B1603="",$L1603=""),"",DATEDIF($L1603,TODAY(),"Y"))</f>
        <v/>
      </c>
      <c r="N1603" s="40" t="str">
        <f aca="false">IF($M1603="","",INDEX(usia_label,MATCH($M1603,usia_min,1)))</f>
        <v/>
      </c>
      <c r="O1603" s="37"/>
      <c r="P1603" s="41"/>
      <c r="Q1603" s="37"/>
      <c r="R1603" s="37"/>
      <c r="S1603" s="40" t="str">
        <f aca="false">IF($G1603="","",$G1603&amp;"#"&amp;COUNTIF($G$4:$G1603,$G1603))</f>
        <v/>
      </c>
      <c r="T1603" s="40" t="str">
        <f aca="false">IF($B1603="","",IF($C1603="","NIK kosong",IF(LEN($C1603)&lt;&gt;16,"NIK bukan 16 digit",IF(COUNTIF($C$4:$C$2003,$C1603&amp;"*")&gt;1,"NIK ganda",IF($E1603="","Kadus kosong",IF($F1603="","RT kosong",IF($H1603="","Jabatan kosong",IF($I1603="","No. HP kosong",IF($J1603="","Alamat kosong",IF(AND($M1603&lt;&gt;"",$M1603&lt;17),"Usia di bawah 17",""))))))))))</f>
        <v/>
      </c>
      <c r="U1603" s="40" t="str">
        <f aca="false">IF($B1603="","",IF(AND(OR(CARI!$C$5="",ISNUMBER(SEARCH(CARI!$C$5,$B1603&amp;" "&amp;$C1603&amp;" "&amp;$I1603&amp;" "&amp;$J1603&amp;" "&amp;$Q1603))),OR(CARI!$C$6="",$E1603=CARI!$C$6),OR(CARI!$C$7="",$F1603=CARI!$C$7),OR(CARI!$C$8="",$O1603=CARI!$C$8)),MAX($U$3:U1602)+1,""))</f>
        <v/>
      </c>
      <c r="V1603" s="40" t="str">
        <f aca="false">IF($T1603="","",MAX($V$3:V1602)+1)</f>
        <v/>
      </c>
      <c r="W1603" s="40" t="str">
        <f aca="false">IF($E1603="","",$E1603&amp;"#"&amp;COUNTIF($E$4:$E1603,$E1603))</f>
        <v/>
      </c>
      <c r="X1603" s="40" t="str">
        <f aca="false">IF($B1603="","",IF(AND(OR(CETAK!$J$10="",$E1603=CETAK!$J$10),OR(CETAK!$J$11="",$F1603=CETAK!$J$11),OR(CETAK!$J$12="",$K1603=CETAK!$J$12),OR(CETAK!$J$13="",$H1603=CETAK!$J$13),OR(CETAK!$J$14="",$O1603=CETAK!$J$14)),MAX($X$3:X1602)+1,""))</f>
        <v/>
      </c>
      <c r="Y1603" s="40" t="str">
        <f aca="false">IF($B1603="","",IF(AND(OR(ABSENSI!$H$10="",$E1603=ABSENSI!$H$10),OR(ABSENSI!$H$11="",$F1603=ABSENSI!$H$11),OR(ABSENSI!$H$12="",$K1603=ABSENSI!$H$12)),MAX($Y$3:Y1602)+1,""))</f>
        <v/>
      </c>
      <c r="Z1603" s="40" t="str">
        <f aca="false">IF($B1603="","",IF(AND(OR(KARTU!$K$6="",$E1603=KARTU!$K$6),OR(KARTU!$K$7="",$F1603=KARTU!$K$7),OR(KARTU!$K$8="",$K1603=KARTU!$K$8)),MAX($Z$3:Z1602)+1,""))</f>
        <v/>
      </c>
    </row>
    <row r="1604" customFormat="false" ht="15" hidden="false" customHeight="false" outlineLevel="0" collapsed="false">
      <c r="A1604" s="36" t="str">
        <f aca="false">IF($B1604="","",COUNTA($B$4:$B1604))</f>
        <v/>
      </c>
      <c r="B1604" s="37"/>
      <c r="C1604" s="38"/>
      <c r="D1604" s="39"/>
      <c r="E1604" s="37"/>
      <c r="F1604" s="39"/>
      <c r="G1604" s="40" t="str">
        <f aca="false">IF(OR($E1604="",$F1604=""),"",$E1604&amp;" - RT "&amp;$F1604)</f>
        <v/>
      </c>
      <c r="H1604" s="37"/>
      <c r="I1604" s="38"/>
      <c r="J1604" s="37"/>
      <c r="K1604" s="39"/>
      <c r="L1604" s="41"/>
      <c r="M1604" s="36" t="str">
        <f aca="true">IF(OR($B1604="",$L1604=""),"",DATEDIF($L1604,TODAY(),"Y"))</f>
        <v/>
      </c>
      <c r="N1604" s="40" t="str">
        <f aca="false">IF($M1604="","",INDEX(usia_label,MATCH($M1604,usia_min,1)))</f>
        <v/>
      </c>
      <c r="O1604" s="37"/>
      <c r="P1604" s="41"/>
      <c r="Q1604" s="37"/>
      <c r="R1604" s="37"/>
      <c r="S1604" s="40" t="str">
        <f aca="false">IF($G1604="","",$G1604&amp;"#"&amp;COUNTIF($G$4:$G1604,$G1604))</f>
        <v/>
      </c>
      <c r="T1604" s="40" t="str">
        <f aca="false">IF($B1604="","",IF($C1604="","NIK kosong",IF(LEN($C1604)&lt;&gt;16,"NIK bukan 16 digit",IF(COUNTIF($C$4:$C$2003,$C1604&amp;"*")&gt;1,"NIK ganda",IF($E1604="","Kadus kosong",IF($F1604="","RT kosong",IF($H1604="","Jabatan kosong",IF($I1604="","No. HP kosong",IF($J1604="","Alamat kosong",IF(AND($M1604&lt;&gt;"",$M1604&lt;17),"Usia di bawah 17",""))))))))))</f>
        <v/>
      </c>
      <c r="U1604" s="40" t="str">
        <f aca="false">IF($B1604="","",IF(AND(OR(CARI!$C$5="",ISNUMBER(SEARCH(CARI!$C$5,$B1604&amp;" "&amp;$C1604&amp;" "&amp;$I1604&amp;" "&amp;$J1604&amp;" "&amp;$Q1604))),OR(CARI!$C$6="",$E1604=CARI!$C$6),OR(CARI!$C$7="",$F1604=CARI!$C$7),OR(CARI!$C$8="",$O1604=CARI!$C$8)),MAX($U$3:U1603)+1,""))</f>
        <v/>
      </c>
      <c r="V1604" s="40" t="str">
        <f aca="false">IF($T1604="","",MAX($V$3:V1603)+1)</f>
        <v/>
      </c>
      <c r="W1604" s="40" t="str">
        <f aca="false">IF($E1604="","",$E1604&amp;"#"&amp;COUNTIF($E$4:$E1604,$E1604))</f>
        <v/>
      </c>
      <c r="X1604" s="40" t="str">
        <f aca="false">IF($B1604="","",IF(AND(OR(CETAK!$J$10="",$E1604=CETAK!$J$10),OR(CETAK!$J$11="",$F1604=CETAK!$J$11),OR(CETAK!$J$12="",$K1604=CETAK!$J$12),OR(CETAK!$J$13="",$H1604=CETAK!$J$13),OR(CETAK!$J$14="",$O1604=CETAK!$J$14)),MAX($X$3:X1603)+1,""))</f>
        <v/>
      </c>
      <c r="Y1604" s="40" t="str">
        <f aca="false">IF($B1604="","",IF(AND(OR(ABSENSI!$H$10="",$E1604=ABSENSI!$H$10),OR(ABSENSI!$H$11="",$F1604=ABSENSI!$H$11),OR(ABSENSI!$H$12="",$K1604=ABSENSI!$H$12)),MAX($Y$3:Y1603)+1,""))</f>
        <v/>
      </c>
      <c r="Z1604" s="40" t="str">
        <f aca="false">IF($B1604="","",IF(AND(OR(KARTU!$K$6="",$E1604=KARTU!$K$6),OR(KARTU!$K$7="",$F1604=KARTU!$K$7),OR(KARTU!$K$8="",$K1604=KARTU!$K$8)),MAX($Z$3:Z1603)+1,""))</f>
        <v/>
      </c>
    </row>
    <row r="1605" customFormat="false" ht="15" hidden="false" customHeight="false" outlineLevel="0" collapsed="false">
      <c r="A1605" s="36" t="str">
        <f aca="false">IF($B1605="","",COUNTA($B$4:$B1605))</f>
        <v/>
      </c>
      <c r="B1605" s="37"/>
      <c r="C1605" s="38"/>
      <c r="D1605" s="39"/>
      <c r="E1605" s="37"/>
      <c r="F1605" s="39"/>
      <c r="G1605" s="40" t="str">
        <f aca="false">IF(OR($E1605="",$F1605=""),"",$E1605&amp;" - RT "&amp;$F1605)</f>
        <v/>
      </c>
      <c r="H1605" s="37"/>
      <c r="I1605" s="38"/>
      <c r="J1605" s="37"/>
      <c r="K1605" s="39"/>
      <c r="L1605" s="41"/>
      <c r="M1605" s="36" t="str">
        <f aca="true">IF(OR($B1605="",$L1605=""),"",DATEDIF($L1605,TODAY(),"Y"))</f>
        <v/>
      </c>
      <c r="N1605" s="40" t="str">
        <f aca="false">IF($M1605="","",INDEX(usia_label,MATCH($M1605,usia_min,1)))</f>
        <v/>
      </c>
      <c r="O1605" s="37"/>
      <c r="P1605" s="41"/>
      <c r="Q1605" s="37"/>
      <c r="R1605" s="37"/>
      <c r="S1605" s="40" t="str">
        <f aca="false">IF($G1605="","",$G1605&amp;"#"&amp;COUNTIF($G$4:$G1605,$G1605))</f>
        <v/>
      </c>
      <c r="T1605" s="40" t="str">
        <f aca="false">IF($B1605="","",IF($C1605="","NIK kosong",IF(LEN($C1605)&lt;&gt;16,"NIK bukan 16 digit",IF(COUNTIF($C$4:$C$2003,$C1605&amp;"*")&gt;1,"NIK ganda",IF($E1605="","Kadus kosong",IF($F1605="","RT kosong",IF($H1605="","Jabatan kosong",IF($I1605="","No. HP kosong",IF($J1605="","Alamat kosong",IF(AND($M1605&lt;&gt;"",$M1605&lt;17),"Usia di bawah 17",""))))))))))</f>
        <v/>
      </c>
      <c r="U1605" s="40" t="str">
        <f aca="false">IF($B1605="","",IF(AND(OR(CARI!$C$5="",ISNUMBER(SEARCH(CARI!$C$5,$B1605&amp;" "&amp;$C1605&amp;" "&amp;$I1605&amp;" "&amp;$J1605&amp;" "&amp;$Q1605))),OR(CARI!$C$6="",$E1605=CARI!$C$6),OR(CARI!$C$7="",$F1605=CARI!$C$7),OR(CARI!$C$8="",$O1605=CARI!$C$8)),MAX($U$3:U1604)+1,""))</f>
        <v/>
      </c>
      <c r="V1605" s="40" t="str">
        <f aca="false">IF($T1605="","",MAX($V$3:V1604)+1)</f>
        <v/>
      </c>
      <c r="W1605" s="40" t="str">
        <f aca="false">IF($E1605="","",$E1605&amp;"#"&amp;COUNTIF($E$4:$E1605,$E1605))</f>
        <v/>
      </c>
      <c r="X1605" s="40" t="str">
        <f aca="false">IF($B1605="","",IF(AND(OR(CETAK!$J$10="",$E1605=CETAK!$J$10),OR(CETAK!$J$11="",$F1605=CETAK!$J$11),OR(CETAK!$J$12="",$K1605=CETAK!$J$12),OR(CETAK!$J$13="",$H1605=CETAK!$J$13),OR(CETAK!$J$14="",$O1605=CETAK!$J$14)),MAX($X$3:X1604)+1,""))</f>
        <v/>
      </c>
      <c r="Y1605" s="40" t="str">
        <f aca="false">IF($B1605="","",IF(AND(OR(ABSENSI!$H$10="",$E1605=ABSENSI!$H$10),OR(ABSENSI!$H$11="",$F1605=ABSENSI!$H$11),OR(ABSENSI!$H$12="",$K1605=ABSENSI!$H$12)),MAX($Y$3:Y1604)+1,""))</f>
        <v/>
      </c>
      <c r="Z1605" s="40" t="str">
        <f aca="false">IF($B1605="","",IF(AND(OR(KARTU!$K$6="",$E1605=KARTU!$K$6),OR(KARTU!$K$7="",$F1605=KARTU!$K$7),OR(KARTU!$K$8="",$K1605=KARTU!$K$8)),MAX($Z$3:Z1604)+1,""))</f>
        <v/>
      </c>
    </row>
    <row r="1606" customFormat="false" ht="15" hidden="false" customHeight="false" outlineLevel="0" collapsed="false">
      <c r="A1606" s="36" t="str">
        <f aca="false">IF($B1606="","",COUNTA($B$4:$B1606))</f>
        <v/>
      </c>
      <c r="B1606" s="37"/>
      <c r="C1606" s="38"/>
      <c r="D1606" s="39"/>
      <c r="E1606" s="37"/>
      <c r="F1606" s="39"/>
      <c r="G1606" s="40" t="str">
        <f aca="false">IF(OR($E1606="",$F1606=""),"",$E1606&amp;" - RT "&amp;$F1606)</f>
        <v/>
      </c>
      <c r="H1606" s="37"/>
      <c r="I1606" s="38"/>
      <c r="J1606" s="37"/>
      <c r="K1606" s="39"/>
      <c r="L1606" s="41"/>
      <c r="M1606" s="36" t="str">
        <f aca="true">IF(OR($B1606="",$L1606=""),"",DATEDIF($L1606,TODAY(),"Y"))</f>
        <v/>
      </c>
      <c r="N1606" s="40" t="str">
        <f aca="false">IF($M1606="","",INDEX(usia_label,MATCH($M1606,usia_min,1)))</f>
        <v/>
      </c>
      <c r="O1606" s="37"/>
      <c r="P1606" s="41"/>
      <c r="Q1606" s="37"/>
      <c r="R1606" s="37"/>
      <c r="S1606" s="40" t="str">
        <f aca="false">IF($G1606="","",$G1606&amp;"#"&amp;COUNTIF($G$4:$G1606,$G1606))</f>
        <v/>
      </c>
      <c r="T1606" s="40" t="str">
        <f aca="false">IF($B1606="","",IF($C1606="","NIK kosong",IF(LEN($C1606)&lt;&gt;16,"NIK bukan 16 digit",IF(COUNTIF($C$4:$C$2003,$C1606&amp;"*")&gt;1,"NIK ganda",IF($E1606="","Kadus kosong",IF($F1606="","RT kosong",IF($H1606="","Jabatan kosong",IF($I1606="","No. HP kosong",IF($J1606="","Alamat kosong",IF(AND($M1606&lt;&gt;"",$M1606&lt;17),"Usia di bawah 17",""))))))))))</f>
        <v/>
      </c>
      <c r="U1606" s="40" t="str">
        <f aca="false">IF($B1606="","",IF(AND(OR(CARI!$C$5="",ISNUMBER(SEARCH(CARI!$C$5,$B1606&amp;" "&amp;$C1606&amp;" "&amp;$I1606&amp;" "&amp;$J1606&amp;" "&amp;$Q1606))),OR(CARI!$C$6="",$E1606=CARI!$C$6),OR(CARI!$C$7="",$F1606=CARI!$C$7),OR(CARI!$C$8="",$O1606=CARI!$C$8)),MAX($U$3:U1605)+1,""))</f>
        <v/>
      </c>
      <c r="V1606" s="40" t="str">
        <f aca="false">IF($T1606="","",MAX($V$3:V1605)+1)</f>
        <v/>
      </c>
      <c r="W1606" s="40" t="str">
        <f aca="false">IF($E1606="","",$E1606&amp;"#"&amp;COUNTIF($E$4:$E1606,$E1606))</f>
        <v/>
      </c>
      <c r="X1606" s="40" t="str">
        <f aca="false">IF($B1606="","",IF(AND(OR(CETAK!$J$10="",$E1606=CETAK!$J$10),OR(CETAK!$J$11="",$F1606=CETAK!$J$11),OR(CETAK!$J$12="",$K1606=CETAK!$J$12),OR(CETAK!$J$13="",$H1606=CETAK!$J$13),OR(CETAK!$J$14="",$O1606=CETAK!$J$14)),MAX($X$3:X1605)+1,""))</f>
        <v/>
      </c>
      <c r="Y1606" s="40" t="str">
        <f aca="false">IF($B1606="","",IF(AND(OR(ABSENSI!$H$10="",$E1606=ABSENSI!$H$10),OR(ABSENSI!$H$11="",$F1606=ABSENSI!$H$11),OR(ABSENSI!$H$12="",$K1606=ABSENSI!$H$12)),MAX($Y$3:Y1605)+1,""))</f>
        <v/>
      </c>
      <c r="Z1606" s="40" t="str">
        <f aca="false">IF($B1606="","",IF(AND(OR(KARTU!$K$6="",$E1606=KARTU!$K$6),OR(KARTU!$K$7="",$F1606=KARTU!$K$7),OR(KARTU!$K$8="",$K1606=KARTU!$K$8)),MAX($Z$3:Z1605)+1,""))</f>
        <v/>
      </c>
    </row>
    <row r="1607" customFormat="false" ht="15" hidden="false" customHeight="false" outlineLevel="0" collapsed="false">
      <c r="A1607" s="36" t="str">
        <f aca="false">IF($B1607="","",COUNTA($B$4:$B1607))</f>
        <v/>
      </c>
      <c r="B1607" s="37"/>
      <c r="C1607" s="38"/>
      <c r="D1607" s="39"/>
      <c r="E1607" s="37"/>
      <c r="F1607" s="39"/>
      <c r="G1607" s="40" t="str">
        <f aca="false">IF(OR($E1607="",$F1607=""),"",$E1607&amp;" - RT "&amp;$F1607)</f>
        <v/>
      </c>
      <c r="H1607" s="37"/>
      <c r="I1607" s="38"/>
      <c r="J1607" s="37"/>
      <c r="K1607" s="39"/>
      <c r="L1607" s="41"/>
      <c r="M1607" s="36" t="str">
        <f aca="true">IF(OR($B1607="",$L1607=""),"",DATEDIF($L1607,TODAY(),"Y"))</f>
        <v/>
      </c>
      <c r="N1607" s="40" t="str">
        <f aca="false">IF($M1607="","",INDEX(usia_label,MATCH($M1607,usia_min,1)))</f>
        <v/>
      </c>
      <c r="O1607" s="37"/>
      <c r="P1607" s="41"/>
      <c r="Q1607" s="37"/>
      <c r="R1607" s="37"/>
      <c r="S1607" s="40" t="str">
        <f aca="false">IF($G1607="","",$G1607&amp;"#"&amp;COUNTIF($G$4:$G1607,$G1607))</f>
        <v/>
      </c>
      <c r="T1607" s="40" t="str">
        <f aca="false">IF($B1607="","",IF($C1607="","NIK kosong",IF(LEN($C1607)&lt;&gt;16,"NIK bukan 16 digit",IF(COUNTIF($C$4:$C$2003,$C1607&amp;"*")&gt;1,"NIK ganda",IF($E1607="","Kadus kosong",IF($F1607="","RT kosong",IF($H1607="","Jabatan kosong",IF($I1607="","No. HP kosong",IF($J1607="","Alamat kosong",IF(AND($M1607&lt;&gt;"",$M1607&lt;17),"Usia di bawah 17",""))))))))))</f>
        <v/>
      </c>
      <c r="U1607" s="40" t="str">
        <f aca="false">IF($B1607="","",IF(AND(OR(CARI!$C$5="",ISNUMBER(SEARCH(CARI!$C$5,$B1607&amp;" "&amp;$C1607&amp;" "&amp;$I1607&amp;" "&amp;$J1607&amp;" "&amp;$Q1607))),OR(CARI!$C$6="",$E1607=CARI!$C$6),OR(CARI!$C$7="",$F1607=CARI!$C$7),OR(CARI!$C$8="",$O1607=CARI!$C$8)),MAX($U$3:U1606)+1,""))</f>
        <v/>
      </c>
      <c r="V1607" s="40" t="str">
        <f aca="false">IF($T1607="","",MAX($V$3:V1606)+1)</f>
        <v/>
      </c>
      <c r="W1607" s="40" t="str">
        <f aca="false">IF($E1607="","",$E1607&amp;"#"&amp;COUNTIF($E$4:$E1607,$E1607))</f>
        <v/>
      </c>
      <c r="X1607" s="40" t="str">
        <f aca="false">IF($B1607="","",IF(AND(OR(CETAK!$J$10="",$E1607=CETAK!$J$10),OR(CETAK!$J$11="",$F1607=CETAK!$J$11),OR(CETAK!$J$12="",$K1607=CETAK!$J$12),OR(CETAK!$J$13="",$H1607=CETAK!$J$13),OR(CETAK!$J$14="",$O1607=CETAK!$J$14)),MAX($X$3:X1606)+1,""))</f>
        <v/>
      </c>
      <c r="Y1607" s="40" t="str">
        <f aca="false">IF($B1607="","",IF(AND(OR(ABSENSI!$H$10="",$E1607=ABSENSI!$H$10),OR(ABSENSI!$H$11="",$F1607=ABSENSI!$H$11),OR(ABSENSI!$H$12="",$K1607=ABSENSI!$H$12)),MAX($Y$3:Y1606)+1,""))</f>
        <v/>
      </c>
      <c r="Z1607" s="40" t="str">
        <f aca="false">IF($B1607="","",IF(AND(OR(KARTU!$K$6="",$E1607=KARTU!$K$6),OR(KARTU!$K$7="",$F1607=KARTU!$K$7),OR(KARTU!$K$8="",$K1607=KARTU!$K$8)),MAX($Z$3:Z1606)+1,""))</f>
        <v/>
      </c>
    </row>
    <row r="1608" customFormat="false" ht="15" hidden="false" customHeight="false" outlineLevel="0" collapsed="false">
      <c r="A1608" s="36" t="str">
        <f aca="false">IF($B1608="","",COUNTA($B$4:$B1608))</f>
        <v/>
      </c>
      <c r="B1608" s="37"/>
      <c r="C1608" s="38"/>
      <c r="D1608" s="39"/>
      <c r="E1608" s="37"/>
      <c r="F1608" s="39"/>
      <c r="G1608" s="40" t="str">
        <f aca="false">IF(OR($E1608="",$F1608=""),"",$E1608&amp;" - RT "&amp;$F1608)</f>
        <v/>
      </c>
      <c r="H1608" s="37"/>
      <c r="I1608" s="38"/>
      <c r="J1608" s="37"/>
      <c r="K1608" s="39"/>
      <c r="L1608" s="41"/>
      <c r="M1608" s="36" t="str">
        <f aca="true">IF(OR($B1608="",$L1608=""),"",DATEDIF($L1608,TODAY(),"Y"))</f>
        <v/>
      </c>
      <c r="N1608" s="40" t="str">
        <f aca="false">IF($M1608="","",INDEX(usia_label,MATCH($M1608,usia_min,1)))</f>
        <v/>
      </c>
      <c r="O1608" s="37"/>
      <c r="P1608" s="41"/>
      <c r="Q1608" s="37"/>
      <c r="R1608" s="37"/>
      <c r="S1608" s="40" t="str">
        <f aca="false">IF($G1608="","",$G1608&amp;"#"&amp;COUNTIF($G$4:$G1608,$G1608))</f>
        <v/>
      </c>
      <c r="T1608" s="40" t="str">
        <f aca="false">IF($B1608="","",IF($C1608="","NIK kosong",IF(LEN($C1608)&lt;&gt;16,"NIK bukan 16 digit",IF(COUNTIF($C$4:$C$2003,$C1608&amp;"*")&gt;1,"NIK ganda",IF($E1608="","Kadus kosong",IF($F1608="","RT kosong",IF($H1608="","Jabatan kosong",IF($I1608="","No. HP kosong",IF($J1608="","Alamat kosong",IF(AND($M1608&lt;&gt;"",$M1608&lt;17),"Usia di bawah 17",""))))))))))</f>
        <v/>
      </c>
      <c r="U1608" s="40" t="str">
        <f aca="false">IF($B1608="","",IF(AND(OR(CARI!$C$5="",ISNUMBER(SEARCH(CARI!$C$5,$B1608&amp;" "&amp;$C1608&amp;" "&amp;$I1608&amp;" "&amp;$J1608&amp;" "&amp;$Q1608))),OR(CARI!$C$6="",$E1608=CARI!$C$6),OR(CARI!$C$7="",$F1608=CARI!$C$7),OR(CARI!$C$8="",$O1608=CARI!$C$8)),MAX($U$3:U1607)+1,""))</f>
        <v/>
      </c>
      <c r="V1608" s="40" t="str">
        <f aca="false">IF($T1608="","",MAX($V$3:V1607)+1)</f>
        <v/>
      </c>
      <c r="W1608" s="40" t="str">
        <f aca="false">IF($E1608="","",$E1608&amp;"#"&amp;COUNTIF($E$4:$E1608,$E1608))</f>
        <v/>
      </c>
      <c r="X1608" s="40" t="str">
        <f aca="false">IF($B1608="","",IF(AND(OR(CETAK!$J$10="",$E1608=CETAK!$J$10),OR(CETAK!$J$11="",$F1608=CETAK!$J$11),OR(CETAK!$J$12="",$K1608=CETAK!$J$12),OR(CETAK!$J$13="",$H1608=CETAK!$J$13),OR(CETAK!$J$14="",$O1608=CETAK!$J$14)),MAX($X$3:X1607)+1,""))</f>
        <v/>
      </c>
      <c r="Y1608" s="40" t="str">
        <f aca="false">IF($B1608="","",IF(AND(OR(ABSENSI!$H$10="",$E1608=ABSENSI!$H$10),OR(ABSENSI!$H$11="",$F1608=ABSENSI!$H$11),OR(ABSENSI!$H$12="",$K1608=ABSENSI!$H$12)),MAX($Y$3:Y1607)+1,""))</f>
        <v/>
      </c>
      <c r="Z1608" s="40" t="str">
        <f aca="false">IF($B1608="","",IF(AND(OR(KARTU!$K$6="",$E1608=KARTU!$K$6),OR(KARTU!$K$7="",$F1608=KARTU!$K$7),OR(KARTU!$K$8="",$K1608=KARTU!$K$8)),MAX($Z$3:Z1607)+1,""))</f>
        <v/>
      </c>
    </row>
    <row r="1609" customFormat="false" ht="15" hidden="false" customHeight="false" outlineLevel="0" collapsed="false">
      <c r="A1609" s="36" t="str">
        <f aca="false">IF($B1609="","",COUNTA($B$4:$B1609))</f>
        <v/>
      </c>
      <c r="B1609" s="37"/>
      <c r="C1609" s="38"/>
      <c r="D1609" s="39"/>
      <c r="E1609" s="37"/>
      <c r="F1609" s="39"/>
      <c r="G1609" s="40" t="str">
        <f aca="false">IF(OR($E1609="",$F1609=""),"",$E1609&amp;" - RT "&amp;$F1609)</f>
        <v/>
      </c>
      <c r="H1609" s="37"/>
      <c r="I1609" s="38"/>
      <c r="J1609" s="37"/>
      <c r="K1609" s="39"/>
      <c r="L1609" s="41"/>
      <c r="M1609" s="36" t="str">
        <f aca="true">IF(OR($B1609="",$L1609=""),"",DATEDIF($L1609,TODAY(),"Y"))</f>
        <v/>
      </c>
      <c r="N1609" s="40" t="str">
        <f aca="false">IF($M1609="","",INDEX(usia_label,MATCH($M1609,usia_min,1)))</f>
        <v/>
      </c>
      <c r="O1609" s="37"/>
      <c r="P1609" s="41"/>
      <c r="Q1609" s="37"/>
      <c r="R1609" s="37"/>
      <c r="S1609" s="40" t="str">
        <f aca="false">IF($G1609="","",$G1609&amp;"#"&amp;COUNTIF($G$4:$G1609,$G1609))</f>
        <v/>
      </c>
      <c r="T1609" s="40" t="str">
        <f aca="false">IF($B1609="","",IF($C1609="","NIK kosong",IF(LEN($C1609)&lt;&gt;16,"NIK bukan 16 digit",IF(COUNTIF($C$4:$C$2003,$C1609&amp;"*")&gt;1,"NIK ganda",IF($E1609="","Kadus kosong",IF($F1609="","RT kosong",IF($H1609="","Jabatan kosong",IF($I1609="","No. HP kosong",IF($J1609="","Alamat kosong",IF(AND($M1609&lt;&gt;"",$M1609&lt;17),"Usia di bawah 17",""))))))))))</f>
        <v/>
      </c>
      <c r="U1609" s="40" t="str">
        <f aca="false">IF($B1609="","",IF(AND(OR(CARI!$C$5="",ISNUMBER(SEARCH(CARI!$C$5,$B1609&amp;" "&amp;$C1609&amp;" "&amp;$I1609&amp;" "&amp;$J1609&amp;" "&amp;$Q1609))),OR(CARI!$C$6="",$E1609=CARI!$C$6),OR(CARI!$C$7="",$F1609=CARI!$C$7),OR(CARI!$C$8="",$O1609=CARI!$C$8)),MAX($U$3:U1608)+1,""))</f>
        <v/>
      </c>
      <c r="V1609" s="40" t="str">
        <f aca="false">IF($T1609="","",MAX($V$3:V1608)+1)</f>
        <v/>
      </c>
      <c r="W1609" s="40" t="str">
        <f aca="false">IF($E1609="","",$E1609&amp;"#"&amp;COUNTIF($E$4:$E1609,$E1609))</f>
        <v/>
      </c>
      <c r="X1609" s="40" t="str">
        <f aca="false">IF($B1609="","",IF(AND(OR(CETAK!$J$10="",$E1609=CETAK!$J$10),OR(CETAK!$J$11="",$F1609=CETAK!$J$11),OR(CETAK!$J$12="",$K1609=CETAK!$J$12),OR(CETAK!$J$13="",$H1609=CETAK!$J$13),OR(CETAK!$J$14="",$O1609=CETAK!$J$14)),MAX($X$3:X1608)+1,""))</f>
        <v/>
      </c>
      <c r="Y1609" s="40" t="str">
        <f aca="false">IF($B1609="","",IF(AND(OR(ABSENSI!$H$10="",$E1609=ABSENSI!$H$10),OR(ABSENSI!$H$11="",$F1609=ABSENSI!$H$11),OR(ABSENSI!$H$12="",$K1609=ABSENSI!$H$12)),MAX($Y$3:Y1608)+1,""))</f>
        <v/>
      </c>
      <c r="Z1609" s="40" t="str">
        <f aca="false">IF($B1609="","",IF(AND(OR(KARTU!$K$6="",$E1609=KARTU!$K$6),OR(KARTU!$K$7="",$F1609=KARTU!$K$7),OR(KARTU!$K$8="",$K1609=KARTU!$K$8)),MAX($Z$3:Z1608)+1,""))</f>
        <v/>
      </c>
    </row>
    <row r="1610" customFormat="false" ht="15" hidden="false" customHeight="false" outlineLevel="0" collapsed="false">
      <c r="A1610" s="36" t="str">
        <f aca="false">IF($B1610="","",COUNTA($B$4:$B1610))</f>
        <v/>
      </c>
      <c r="B1610" s="37"/>
      <c r="C1610" s="38"/>
      <c r="D1610" s="39"/>
      <c r="E1610" s="37"/>
      <c r="F1610" s="39"/>
      <c r="G1610" s="40" t="str">
        <f aca="false">IF(OR($E1610="",$F1610=""),"",$E1610&amp;" - RT "&amp;$F1610)</f>
        <v/>
      </c>
      <c r="H1610" s="37"/>
      <c r="I1610" s="38"/>
      <c r="J1610" s="37"/>
      <c r="K1610" s="39"/>
      <c r="L1610" s="41"/>
      <c r="M1610" s="36" t="str">
        <f aca="true">IF(OR($B1610="",$L1610=""),"",DATEDIF($L1610,TODAY(),"Y"))</f>
        <v/>
      </c>
      <c r="N1610" s="40" t="str">
        <f aca="false">IF($M1610="","",INDEX(usia_label,MATCH($M1610,usia_min,1)))</f>
        <v/>
      </c>
      <c r="O1610" s="37"/>
      <c r="P1610" s="41"/>
      <c r="Q1610" s="37"/>
      <c r="R1610" s="37"/>
      <c r="S1610" s="40" t="str">
        <f aca="false">IF($G1610="","",$G1610&amp;"#"&amp;COUNTIF($G$4:$G1610,$G1610))</f>
        <v/>
      </c>
      <c r="T1610" s="40" t="str">
        <f aca="false">IF($B1610="","",IF($C1610="","NIK kosong",IF(LEN($C1610)&lt;&gt;16,"NIK bukan 16 digit",IF(COUNTIF($C$4:$C$2003,$C1610&amp;"*")&gt;1,"NIK ganda",IF($E1610="","Kadus kosong",IF($F1610="","RT kosong",IF($H1610="","Jabatan kosong",IF($I1610="","No. HP kosong",IF($J1610="","Alamat kosong",IF(AND($M1610&lt;&gt;"",$M1610&lt;17),"Usia di bawah 17",""))))))))))</f>
        <v/>
      </c>
      <c r="U1610" s="40" t="str">
        <f aca="false">IF($B1610="","",IF(AND(OR(CARI!$C$5="",ISNUMBER(SEARCH(CARI!$C$5,$B1610&amp;" "&amp;$C1610&amp;" "&amp;$I1610&amp;" "&amp;$J1610&amp;" "&amp;$Q1610))),OR(CARI!$C$6="",$E1610=CARI!$C$6),OR(CARI!$C$7="",$F1610=CARI!$C$7),OR(CARI!$C$8="",$O1610=CARI!$C$8)),MAX($U$3:U1609)+1,""))</f>
        <v/>
      </c>
      <c r="V1610" s="40" t="str">
        <f aca="false">IF($T1610="","",MAX($V$3:V1609)+1)</f>
        <v/>
      </c>
      <c r="W1610" s="40" t="str">
        <f aca="false">IF($E1610="","",$E1610&amp;"#"&amp;COUNTIF($E$4:$E1610,$E1610))</f>
        <v/>
      </c>
      <c r="X1610" s="40" t="str">
        <f aca="false">IF($B1610="","",IF(AND(OR(CETAK!$J$10="",$E1610=CETAK!$J$10),OR(CETAK!$J$11="",$F1610=CETAK!$J$11),OR(CETAK!$J$12="",$K1610=CETAK!$J$12),OR(CETAK!$J$13="",$H1610=CETAK!$J$13),OR(CETAK!$J$14="",$O1610=CETAK!$J$14)),MAX($X$3:X1609)+1,""))</f>
        <v/>
      </c>
      <c r="Y1610" s="40" t="str">
        <f aca="false">IF($B1610="","",IF(AND(OR(ABSENSI!$H$10="",$E1610=ABSENSI!$H$10),OR(ABSENSI!$H$11="",$F1610=ABSENSI!$H$11),OR(ABSENSI!$H$12="",$K1610=ABSENSI!$H$12)),MAX($Y$3:Y1609)+1,""))</f>
        <v/>
      </c>
      <c r="Z1610" s="40" t="str">
        <f aca="false">IF($B1610="","",IF(AND(OR(KARTU!$K$6="",$E1610=KARTU!$K$6),OR(KARTU!$K$7="",$F1610=KARTU!$K$7),OR(KARTU!$K$8="",$K1610=KARTU!$K$8)),MAX($Z$3:Z1609)+1,""))</f>
        <v/>
      </c>
    </row>
    <row r="1611" customFormat="false" ht="15" hidden="false" customHeight="false" outlineLevel="0" collapsed="false">
      <c r="A1611" s="36" t="str">
        <f aca="false">IF($B1611="","",COUNTA($B$4:$B1611))</f>
        <v/>
      </c>
      <c r="B1611" s="37"/>
      <c r="C1611" s="38"/>
      <c r="D1611" s="39"/>
      <c r="E1611" s="37"/>
      <c r="F1611" s="39"/>
      <c r="G1611" s="40" t="str">
        <f aca="false">IF(OR($E1611="",$F1611=""),"",$E1611&amp;" - RT "&amp;$F1611)</f>
        <v/>
      </c>
      <c r="H1611" s="37"/>
      <c r="I1611" s="38"/>
      <c r="J1611" s="37"/>
      <c r="K1611" s="39"/>
      <c r="L1611" s="41"/>
      <c r="M1611" s="36" t="str">
        <f aca="true">IF(OR($B1611="",$L1611=""),"",DATEDIF($L1611,TODAY(),"Y"))</f>
        <v/>
      </c>
      <c r="N1611" s="40" t="str">
        <f aca="false">IF($M1611="","",INDEX(usia_label,MATCH($M1611,usia_min,1)))</f>
        <v/>
      </c>
      <c r="O1611" s="37"/>
      <c r="P1611" s="41"/>
      <c r="Q1611" s="37"/>
      <c r="R1611" s="37"/>
      <c r="S1611" s="40" t="str">
        <f aca="false">IF($G1611="","",$G1611&amp;"#"&amp;COUNTIF($G$4:$G1611,$G1611))</f>
        <v/>
      </c>
      <c r="T1611" s="40" t="str">
        <f aca="false">IF($B1611="","",IF($C1611="","NIK kosong",IF(LEN($C1611)&lt;&gt;16,"NIK bukan 16 digit",IF(COUNTIF($C$4:$C$2003,$C1611&amp;"*")&gt;1,"NIK ganda",IF($E1611="","Kadus kosong",IF($F1611="","RT kosong",IF($H1611="","Jabatan kosong",IF($I1611="","No. HP kosong",IF($J1611="","Alamat kosong",IF(AND($M1611&lt;&gt;"",$M1611&lt;17),"Usia di bawah 17",""))))))))))</f>
        <v/>
      </c>
      <c r="U1611" s="40" t="str">
        <f aca="false">IF($B1611="","",IF(AND(OR(CARI!$C$5="",ISNUMBER(SEARCH(CARI!$C$5,$B1611&amp;" "&amp;$C1611&amp;" "&amp;$I1611&amp;" "&amp;$J1611&amp;" "&amp;$Q1611))),OR(CARI!$C$6="",$E1611=CARI!$C$6),OR(CARI!$C$7="",$F1611=CARI!$C$7),OR(CARI!$C$8="",$O1611=CARI!$C$8)),MAX($U$3:U1610)+1,""))</f>
        <v/>
      </c>
      <c r="V1611" s="40" t="str">
        <f aca="false">IF($T1611="","",MAX($V$3:V1610)+1)</f>
        <v/>
      </c>
      <c r="W1611" s="40" t="str">
        <f aca="false">IF($E1611="","",$E1611&amp;"#"&amp;COUNTIF($E$4:$E1611,$E1611))</f>
        <v/>
      </c>
      <c r="X1611" s="40" t="str">
        <f aca="false">IF($B1611="","",IF(AND(OR(CETAK!$J$10="",$E1611=CETAK!$J$10),OR(CETAK!$J$11="",$F1611=CETAK!$J$11),OR(CETAK!$J$12="",$K1611=CETAK!$J$12),OR(CETAK!$J$13="",$H1611=CETAK!$J$13),OR(CETAK!$J$14="",$O1611=CETAK!$J$14)),MAX($X$3:X1610)+1,""))</f>
        <v/>
      </c>
      <c r="Y1611" s="40" t="str">
        <f aca="false">IF($B1611="","",IF(AND(OR(ABSENSI!$H$10="",$E1611=ABSENSI!$H$10),OR(ABSENSI!$H$11="",$F1611=ABSENSI!$H$11),OR(ABSENSI!$H$12="",$K1611=ABSENSI!$H$12)),MAX($Y$3:Y1610)+1,""))</f>
        <v/>
      </c>
      <c r="Z1611" s="40" t="str">
        <f aca="false">IF($B1611="","",IF(AND(OR(KARTU!$K$6="",$E1611=KARTU!$K$6),OR(KARTU!$K$7="",$F1611=KARTU!$K$7),OR(KARTU!$K$8="",$K1611=KARTU!$K$8)),MAX($Z$3:Z1610)+1,""))</f>
        <v/>
      </c>
    </row>
    <row r="1612" customFormat="false" ht="15" hidden="false" customHeight="false" outlineLevel="0" collapsed="false">
      <c r="A1612" s="36" t="str">
        <f aca="false">IF($B1612="","",COUNTA($B$4:$B1612))</f>
        <v/>
      </c>
      <c r="B1612" s="37"/>
      <c r="C1612" s="38"/>
      <c r="D1612" s="39"/>
      <c r="E1612" s="37"/>
      <c r="F1612" s="39"/>
      <c r="G1612" s="40" t="str">
        <f aca="false">IF(OR($E1612="",$F1612=""),"",$E1612&amp;" - RT "&amp;$F1612)</f>
        <v/>
      </c>
      <c r="H1612" s="37"/>
      <c r="I1612" s="38"/>
      <c r="J1612" s="37"/>
      <c r="K1612" s="39"/>
      <c r="L1612" s="41"/>
      <c r="M1612" s="36" t="str">
        <f aca="true">IF(OR($B1612="",$L1612=""),"",DATEDIF($L1612,TODAY(),"Y"))</f>
        <v/>
      </c>
      <c r="N1612" s="40" t="str">
        <f aca="false">IF($M1612="","",INDEX(usia_label,MATCH($M1612,usia_min,1)))</f>
        <v/>
      </c>
      <c r="O1612" s="37"/>
      <c r="P1612" s="41"/>
      <c r="Q1612" s="37"/>
      <c r="R1612" s="37"/>
      <c r="S1612" s="40" t="str">
        <f aca="false">IF($G1612="","",$G1612&amp;"#"&amp;COUNTIF($G$4:$G1612,$G1612))</f>
        <v/>
      </c>
      <c r="T1612" s="40" t="str">
        <f aca="false">IF($B1612="","",IF($C1612="","NIK kosong",IF(LEN($C1612)&lt;&gt;16,"NIK bukan 16 digit",IF(COUNTIF($C$4:$C$2003,$C1612&amp;"*")&gt;1,"NIK ganda",IF($E1612="","Kadus kosong",IF($F1612="","RT kosong",IF($H1612="","Jabatan kosong",IF($I1612="","No. HP kosong",IF($J1612="","Alamat kosong",IF(AND($M1612&lt;&gt;"",$M1612&lt;17),"Usia di bawah 17",""))))))))))</f>
        <v/>
      </c>
      <c r="U1612" s="40" t="str">
        <f aca="false">IF($B1612="","",IF(AND(OR(CARI!$C$5="",ISNUMBER(SEARCH(CARI!$C$5,$B1612&amp;" "&amp;$C1612&amp;" "&amp;$I1612&amp;" "&amp;$J1612&amp;" "&amp;$Q1612))),OR(CARI!$C$6="",$E1612=CARI!$C$6),OR(CARI!$C$7="",$F1612=CARI!$C$7),OR(CARI!$C$8="",$O1612=CARI!$C$8)),MAX($U$3:U1611)+1,""))</f>
        <v/>
      </c>
      <c r="V1612" s="40" t="str">
        <f aca="false">IF($T1612="","",MAX($V$3:V1611)+1)</f>
        <v/>
      </c>
      <c r="W1612" s="40" t="str">
        <f aca="false">IF($E1612="","",$E1612&amp;"#"&amp;COUNTIF($E$4:$E1612,$E1612))</f>
        <v/>
      </c>
      <c r="X1612" s="40" t="str">
        <f aca="false">IF($B1612="","",IF(AND(OR(CETAK!$J$10="",$E1612=CETAK!$J$10),OR(CETAK!$J$11="",$F1612=CETAK!$J$11),OR(CETAK!$J$12="",$K1612=CETAK!$J$12),OR(CETAK!$J$13="",$H1612=CETAK!$J$13),OR(CETAK!$J$14="",$O1612=CETAK!$J$14)),MAX($X$3:X1611)+1,""))</f>
        <v/>
      </c>
      <c r="Y1612" s="40" t="str">
        <f aca="false">IF($B1612="","",IF(AND(OR(ABSENSI!$H$10="",$E1612=ABSENSI!$H$10),OR(ABSENSI!$H$11="",$F1612=ABSENSI!$H$11),OR(ABSENSI!$H$12="",$K1612=ABSENSI!$H$12)),MAX($Y$3:Y1611)+1,""))</f>
        <v/>
      </c>
      <c r="Z1612" s="40" t="str">
        <f aca="false">IF($B1612="","",IF(AND(OR(KARTU!$K$6="",$E1612=KARTU!$K$6),OR(KARTU!$K$7="",$F1612=KARTU!$K$7),OR(KARTU!$K$8="",$K1612=KARTU!$K$8)),MAX($Z$3:Z1611)+1,""))</f>
        <v/>
      </c>
    </row>
    <row r="1613" customFormat="false" ht="15" hidden="false" customHeight="false" outlineLevel="0" collapsed="false">
      <c r="A1613" s="36" t="str">
        <f aca="false">IF($B1613="","",COUNTA($B$4:$B1613))</f>
        <v/>
      </c>
      <c r="B1613" s="37"/>
      <c r="C1613" s="38"/>
      <c r="D1613" s="39"/>
      <c r="E1613" s="37"/>
      <c r="F1613" s="39"/>
      <c r="G1613" s="40" t="str">
        <f aca="false">IF(OR($E1613="",$F1613=""),"",$E1613&amp;" - RT "&amp;$F1613)</f>
        <v/>
      </c>
      <c r="H1613" s="37"/>
      <c r="I1613" s="38"/>
      <c r="J1613" s="37"/>
      <c r="K1613" s="39"/>
      <c r="L1613" s="41"/>
      <c r="M1613" s="36" t="str">
        <f aca="true">IF(OR($B1613="",$L1613=""),"",DATEDIF($L1613,TODAY(),"Y"))</f>
        <v/>
      </c>
      <c r="N1613" s="40" t="str">
        <f aca="false">IF($M1613="","",INDEX(usia_label,MATCH($M1613,usia_min,1)))</f>
        <v/>
      </c>
      <c r="O1613" s="37"/>
      <c r="P1613" s="41"/>
      <c r="Q1613" s="37"/>
      <c r="R1613" s="37"/>
      <c r="S1613" s="40" t="str">
        <f aca="false">IF($G1613="","",$G1613&amp;"#"&amp;COUNTIF($G$4:$G1613,$G1613))</f>
        <v/>
      </c>
      <c r="T1613" s="40" t="str">
        <f aca="false">IF($B1613="","",IF($C1613="","NIK kosong",IF(LEN($C1613)&lt;&gt;16,"NIK bukan 16 digit",IF(COUNTIF($C$4:$C$2003,$C1613&amp;"*")&gt;1,"NIK ganda",IF($E1613="","Kadus kosong",IF($F1613="","RT kosong",IF($H1613="","Jabatan kosong",IF($I1613="","No. HP kosong",IF($J1613="","Alamat kosong",IF(AND($M1613&lt;&gt;"",$M1613&lt;17),"Usia di bawah 17",""))))))))))</f>
        <v/>
      </c>
      <c r="U1613" s="40" t="str">
        <f aca="false">IF($B1613="","",IF(AND(OR(CARI!$C$5="",ISNUMBER(SEARCH(CARI!$C$5,$B1613&amp;" "&amp;$C1613&amp;" "&amp;$I1613&amp;" "&amp;$J1613&amp;" "&amp;$Q1613))),OR(CARI!$C$6="",$E1613=CARI!$C$6),OR(CARI!$C$7="",$F1613=CARI!$C$7),OR(CARI!$C$8="",$O1613=CARI!$C$8)),MAX($U$3:U1612)+1,""))</f>
        <v/>
      </c>
      <c r="V1613" s="40" t="str">
        <f aca="false">IF($T1613="","",MAX($V$3:V1612)+1)</f>
        <v/>
      </c>
      <c r="W1613" s="40" t="str">
        <f aca="false">IF($E1613="","",$E1613&amp;"#"&amp;COUNTIF($E$4:$E1613,$E1613))</f>
        <v/>
      </c>
      <c r="X1613" s="40" t="str">
        <f aca="false">IF($B1613="","",IF(AND(OR(CETAK!$J$10="",$E1613=CETAK!$J$10),OR(CETAK!$J$11="",$F1613=CETAK!$J$11),OR(CETAK!$J$12="",$K1613=CETAK!$J$12),OR(CETAK!$J$13="",$H1613=CETAK!$J$13),OR(CETAK!$J$14="",$O1613=CETAK!$J$14)),MAX($X$3:X1612)+1,""))</f>
        <v/>
      </c>
      <c r="Y1613" s="40" t="str">
        <f aca="false">IF($B1613="","",IF(AND(OR(ABSENSI!$H$10="",$E1613=ABSENSI!$H$10),OR(ABSENSI!$H$11="",$F1613=ABSENSI!$H$11),OR(ABSENSI!$H$12="",$K1613=ABSENSI!$H$12)),MAX($Y$3:Y1612)+1,""))</f>
        <v/>
      </c>
      <c r="Z1613" s="40" t="str">
        <f aca="false">IF($B1613="","",IF(AND(OR(KARTU!$K$6="",$E1613=KARTU!$K$6),OR(KARTU!$K$7="",$F1613=KARTU!$K$7),OR(KARTU!$K$8="",$K1613=KARTU!$K$8)),MAX($Z$3:Z1612)+1,""))</f>
        <v/>
      </c>
    </row>
    <row r="1614" customFormat="false" ht="15" hidden="false" customHeight="false" outlineLevel="0" collapsed="false">
      <c r="A1614" s="36" t="str">
        <f aca="false">IF($B1614="","",COUNTA($B$4:$B1614))</f>
        <v/>
      </c>
      <c r="B1614" s="37"/>
      <c r="C1614" s="38"/>
      <c r="D1614" s="39"/>
      <c r="E1614" s="37"/>
      <c r="F1614" s="39"/>
      <c r="G1614" s="40" t="str">
        <f aca="false">IF(OR($E1614="",$F1614=""),"",$E1614&amp;" - RT "&amp;$F1614)</f>
        <v/>
      </c>
      <c r="H1614" s="37"/>
      <c r="I1614" s="38"/>
      <c r="J1614" s="37"/>
      <c r="K1614" s="39"/>
      <c r="L1614" s="41"/>
      <c r="M1614" s="36" t="str">
        <f aca="true">IF(OR($B1614="",$L1614=""),"",DATEDIF($L1614,TODAY(),"Y"))</f>
        <v/>
      </c>
      <c r="N1614" s="40" t="str">
        <f aca="false">IF($M1614="","",INDEX(usia_label,MATCH($M1614,usia_min,1)))</f>
        <v/>
      </c>
      <c r="O1614" s="37"/>
      <c r="P1614" s="41"/>
      <c r="Q1614" s="37"/>
      <c r="R1614" s="37"/>
      <c r="S1614" s="40" t="str">
        <f aca="false">IF($G1614="","",$G1614&amp;"#"&amp;COUNTIF($G$4:$G1614,$G1614))</f>
        <v/>
      </c>
      <c r="T1614" s="40" t="str">
        <f aca="false">IF($B1614="","",IF($C1614="","NIK kosong",IF(LEN($C1614)&lt;&gt;16,"NIK bukan 16 digit",IF(COUNTIF($C$4:$C$2003,$C1614&amp;"*")&gt;1,"NIK ganda",IF($E1614="","Kadus kosong",IF($F1614="","RT kosong",IF($H1614="","Jabatan kosong",IF($I1614="","No. HP kosong",IF($J1614="","Alamat kosong",IF(AND($M1614&lt;&gt;"",$M1614&lt;17),"Usia di bawah 17",""))))))))))</f>
        <v/>
      </c>
      <c r="U1614" s="40" t="str">
        <f aca="false">IF($B1614="","",IF(AND(OR(CARI!$C$5="",ISNUMBER(SEARCH(CARI!$C$5,$B1614&amp;" "&amp;$C1614&amp;" "&amp;$I1614&amp;" "&amp;$J1614&amp;" "&amp;$Q1614))),OR(CARI!$C$6="",$E1614=CARI!$C$6),OR(CARI!$C$7="",$F1614=CARI!$C$7),OR(CARI!$C$8="",$O1614=CARI!$C$8)),MAX($U$3:U1613)+1,""))</f>
        <v/>
      </c>
      <c r="V1614" s="40" t="str">
        <f aca="false">IF($T1614="","",MAX($V$3:V1613)+1)</f>
        <v/>
      </c>
      <c r="W1614" s="40" t="str">
        <f aca="false">IF($E1614="","",$E1614&amp;"#"&amp;COUNTIF($E$4:$E1614,$E1614))</f>
        <v/>
      </c>
      <c r="X1614" s="40" t="str">
        <f aca="false">IF($B1614="","",IF(AND(OR(CETAK!$J$10="",$E1614=CETAK!$J$10),OR(CETAK!$J$11="",$F1614=CETAK!$J$11),OR(CETAK!$J$12="",$K1614=CETAK!$J$12),OR(CETAK!$J$13="",$H1614=CETAK!$J$13),OR(CETAK!$J$14="",$O1614=CETAK!$J$14)),MAX($X$3:X1613)+1,""))</f>
        <v/>
      </c>
      <c r="Y1614" s="40" t="str">
        <f aca="false">IF($B1614="","",IF(AND(OR(ABSENSI!$H$10="",$E1614=ABSENSI!$H$10),OR(ABSENSI!$H$11="",$F1614=ABSENSI!$H$11),OR(ABSENSI!$H$12="",$K1614=ABSENSI!$H$12)),MAX($Y$3:Y1613)+1,""))</f>
        <v/>
      </c>
      <c r="Z1614" s="40" t="str">
        <f aca="false">IF($B1614="","",IF(AND(OR(KARTU!$K$6="",$E1614=KARTU!$K$6),OR(KARTU!$K$7="",$F1614=KARTU!$K$7),OR(KARTU!$K$8="",$K1614=KARTU!$K$8)),MAX($Z$3:Z1613)+1,""))</f>
        <v/>
      </c>
    </row>
    <row r="1615" customFormat="false" ht="15" hidden="false" customHeight="false" outlineLevel="0" collapsed="false">
      <c r="A1615" s="36" t="str">
        <f aca="false">IF($B1615="","",COUNTA($B$4:$B1615))</f>
        <v/>
      </c>
      <c r="B1615" s="37"/>
      <c r="C1615" s="38"/>
      <c r="D1615" s="39"/>
      <c r="E1615" s="37"/>
      <c r="F1615" s="39"/>
      <c r="G1615" s="40" t="str">
        <f aca="false">IF(OR($E1615="",$F1615=""),"",$E1615&amp;" - RT "&amp;$F1615)</f>
        <v/>
      </c>
      <c r="H1615" s="37"/>
      <c r="I1615" s="38"/>
      <c r="J1615" s="37"/>
      <c r="K1615" s="39"/>
      <c r="L1615" s="41"/>
      <c r="M1615" s="36" t="str">
        <f aca="true">IF(OR($B1615="",$L1615=""),"",DATEDIF($L1615,TODAY(),"Y"))</f>
        <v/>
      </c>
      <c r="N1615" s="40" t="str">
        <f aca="false">IF($M1615="","",INDEX(usia_label,MATCH($M1615,usia_min,1)))</f>
        <v/>
      </c>
      <c r="O1615" s="37"/>
      <c r="P1615" s="41"/>
      <c r="Q1615" s="37"/>
      <c r="R1615" s="37"/>
      <c r="S1615" s="40" t="str">
        <f aca="false">IF($G1615="","",$G1615&amp;"#"&amp;COUNTIF($G$4:$G1615,$G1615))</f>
        <v/>
      </c>
      <c r="T1615" s="40" t="str">
        <f aca="false">IF($B1615="","",IF($C1615="","NIK kosong",IF(LEN($C1615)&lt;&gt;16,"NIK bukan 16 digit",IF(COUNTIF($C$4:$C$2003,$C1615&amp;"*")&gt;1,"NIK ganda",IF($E1615="","Kadus kosong",IF($F1615="","RT kosong",IF($H1615="","Jabatan kosong",IF($I1615="","No. HP kosong",IF($J1615="","Alamat kosong",IF(AND($M1615&lt;&gt;"",$M1615&lt;17),"Usia di bawah 17",""))))))))))</f>
        <v/>
      </c>
      <c r="U1615" s="40" t="str">
        <f aca="false">IF($B1615="","",IF(AND(OR(CARI!$C$5="",ISNUMBER(SEARCH(CARI!$C$5,$B1615&amp;" "&amp;$C1615&amp;" "&amp;$I1615&amp;" "&amp;$J1615&amp;" "&amp;$Q1615))),OR(CARI!$C$6="",$E1615=CARI!$C$6),OR(CARI!$C$7="",$F1615=CARI!$C$7),OR(CARI!$C$8="",$O1615=CARI!$C$8)),MAX($U$3:U1614)+1,""))</f>
        <v/>
      </c>
      <c r="V1615" s="40" t="str">
        <f aca="false">IF($T1615="","",MAX($V$3:V1614)+1)</f>
        <v/>
      </c>
      <c r="W1615" s="40" t="str">
        <f aca="false">IF($E1615="","",$E1615&amp;"#"&amp;COUNTIF($E$4:$E1615,$E1615))</f>
        <v/>
      </c>
      <c r="X1615" s="40" t="str">
        <f aca="false">IF($B1615="","",IF(AND(OR(CETAK!$J$10="",$E1615=CETAK!$J$10),OR(CETAK!$J$11="",$F1615=CETAK!$J$11),OR(CETAK!$J$12="",$K1615=CETAK!$J$12),OR(CETAK!$J$13="",$H1615=CETAK!$J$13),OR(CETAK!$J$14="",$O1615=CETAK!$J$14)),MAX($X$3:X1614)+1,""))</f>
        <v/>
      </c>
      <c r="Y1615" s="40" t="str">
        <f aca="false">IF($B1615="","",IF(AND(OR(ABSENSI!$H$10="",$E1615=ABSENSI!$H$10),OR(ABSENSI!$H$11="",$F1615=ABSENSI!$H$11),OR(ABSENSI!$H$12="",$K1615=ABSENSI!$H$12)),MAX($Y$3:Y1614)+1,""))</f>
        <v/>
      </c>
      <c r="Z1615" s="40" t="str">
        <f aca="false">IF($B1615="","",IF(AND(OR(KARTU!$K$6="",$E1615=KARTU!$K$6),OR(KARTU!$K$7="",$F1615=KARTU!$K$7),OR(KARTU!$K$8="",$K1615=KARTU!$K$8)),MAX($Z$3:Z1614)+1,""))</f>
        <v/>
      </c>
    </row>
    <row r="1616" customFormat="false" ht="15" hidden="false" customHeight="false" outlineLevel="0" collapsed="false">
      <c r="A1616" s="36" t="str">
        <f aca="false">IF($B1616="","",COUNTA($B$4:$B1616))</f>
        <v/>
      </c>
      <c r="B1616" s="37"/>
      <c r="C1616" s="38"/>
      <c r="D1616" s="39"/>
      <c r="E1616" s="37"/>
      <c r="F1616" s="39"/>
      <c r="G1616" s="40" t="str">
        <f aca="false">IF(OR($E1616="",$F1616=""),"",$E1616&amp;" - RT "&amp;$F1616)</f>
        <v/>
      </c>
      <c r="H1616" s="37"/>
      <c r="I1616" s="38"/>
      <c r="J1616" s="37"/>
      <c r="K1616" s="39"/>
      <c r="L1616" s="41"/>
      <c r="M1616" s="36" t="str">
        <f aca="true">IF(OR($B1616="",$L1616=""),"",DATEDIF($L1616,TODAY(),"Y"))</f>
        <v/>
      </c>
      <c r="N1616" s="40" t="str">
        <f aca="false">IF($M1616="","",INDEX(usia_label,MATCH($M1616,usia_min,1)))</f>
        <v/>
      </c>
      <c r="O1616" s="37"/>
      <c r="P1616" s="41"/>
      <c r="Q1616" s="37"/>
      <c r="R1616" s="37"/>
      <c r="S1616" s="40" t="str">
        <f aca="false">IF($G1616="","",$G1616&amp;"#"&amp;COUNTIF($G$4:$G1616,$G1616))</f>
        <v/>
      </c>
      <c r="T1616" s="40" t="str">
        <f aca="false">IF($B1616="","",IF($C1616="","NIK kosong",IF(LEN($C1616)&lt;&gt;16,"NIK bukan 16 digit",IF(COUNTIF($C$4:$C$2003,$C1616&amp;"*")&gt;1,"NIK ganda",IF($E1616="","Kadus kosong",IF($F1616="","RT kosong",IF($H1616="","Jabatan kosong",IF($I1616="","No. HP kosong",IF($J1616="","Alamat kosong",IF(AND($M1616&lt;&gt;"",$M1616&lt;17),"Usia di bawah 17",""))))))))))</f>
        <v/>
      </c>
      <c r="U1616" s="40" t="str">
        <f aca="false">IF($B1616="","",IF(AND(OR(CARI!$C$5="",ISNUMBER(SEARCH(CARI!$C$5,$B1616&amp;" "&amp;$C1616&amp;" "&amp;$I1616&amp;" "&amp;$J1616&amp;" "&amp;$Q1616))),OR(CARI!$C$6="",$E1616=CARI!$C$6),OR(CARI!$C$7="",$F1616=CARI!$C$7),OR(CARI!$C$8="",$O1616=CARI!$C$8)),MAX($U$3:U1615)+1,""))</f>
        <v/>
      </c>
      <c r="V1616" s="40" t="str">
        <f aca="false">IF($T1616="","",MAX($V$3:V1615)+1)</f>
        <v/>
      </c>
      <c r="W1616" s="40" t="str">
        <f aca="false">IF($E1616="","",$E1616&amp;"#"&amp;COUNTIF($E$4:$E1616,$E1616))</f>
        <v/>
      </c>
      <c r="X1616" s="40" t="str">
        <f aca="false">IF($B1616="","",IF(AND(OR(CETAK!$J$10="",$E1616=CETAK!$J$10),OR(CETAK!$J$11="",$F1616=CETAK!$J$11),OR(CETAK!$J$12="",$K1616=CETAK!$J$12),OR(CETAK!$J$13="",$H1616=CETAK!$J$13),OR(CETAK!$J$14="",$O1616=CETAK!$J$14)),MAX($X$3:X1615)+1,""))</f>
        <v/>
      </c>
      <c r="Y1616" s="40" t="str">
        <f aca="false">IF($B1616="","",IF(AND(OR(ABSENSI!$H$10="",$E1616=ABSENSI!$H$10),OR(ABSENSI!$H$11="",$F1616=ABSENSI!$H$11),OR(ABSENSI!$H$12="",$K1616=ABSENSI!$H$12)),MAX($Y$3:Y1615)+1,""))</f>
        <v/>
      </c>
      <c r="Z1616" s="40" t="str">
        <f aca="false">IF($B1616="","",IF(AND(OR(KARTU!$K$6="",$E1616=KARTU!$K$6),OR(KARTU!$K$7="",$F1616=KARTU!$K$7),OR(KARTU!$K$8="",$K1616=KARTU!$K$8)),MAX($Z$3:Z1615)+1,""))</f>
        <v/>
      </c>
    </row>
    <row r="1617" customFormat="false" ht="15" hidden="false" customHeight="false" outlineLevel="0" collapsed="false">
      <c r="A1617" s="36" t="str">
        <f aca="false">IF($B1617="","",COUNTA($B$4:$B1617))</f>
        <v/>
      </c>
      <c r="B1617" s="37"/>
      <c r="C1617" s="38"/>
      <c r="D1617" s="39"/>
      <c r="E1617" s="37"/>
      <c r="F1617" s="39"/>
      <c r="G1617" s="40" t="str">
        <f aca="false">IF(OR($E1617="",$F1617=""),"",$E1617&amp;" - RT "&amp;$F1617)</f>
        <v/>
      </c>
      <c r="H1617" s="37"/>
      <c r="I1617" s="38"/>
      <c r="J1617" s="37"/>
      <c r="K1617" s="39"/>
      <c r="L1617" s="41"/>
      <c r="M1617" s="36" t="str">
        <f aca="true">IF(OR($B1617="",$L1617=""),"",DATEDIF($L1617,TODAY(),"Y"))</f>
        <v/>
      </c>
      <c r="N1617" s="40" t="str">
        <f aca="false">IF($M1617="","",INDEX(usia_label,MATCH($M1617,usia_min,1)))</f>
        <v/>
      </c>
      <c r="O1617" s="37"/>
      <c r="P1617" s="41"/>
      <c r="Q1617" s="37"/>
      <c r="R1617" s="37"/>
      <c r="S1617" s="40" t="str">
        <f aca="false">IF($G1617="","",$G1617&amp;"#"&amp;COUNTIF($G$4:$G1617,$G1617))</f>
        <v/>
      </c>
      <c r="T1617" s="40" t="str">
        <f aca="false">IF($B1617="","",IF($C1617="","NIK kosong",IF(LEN($C1617)&lt;&gt;16,"NIK bukan 16 digit",IF(COUNTIF($C$4:$C$2003,$C1617&amp;"*")&gt;1,"NIK ganda",IF($E1617="","Kadus kosong",IF($F1617="","RT kosong",IF($H1617="","Jabatan kosong",IF($I1617="","No. HP kosong",IF($J1617="","Alamat kosong",IF(AND($M1617&lt;&gt;"",$M1617&lt;17),"Usia di bawah 17",""))))))))))</f>
        <v/>
      </c>
      <c r="U1617" s="40" t="str">
        <f aca="false">IF($B1617="","",IF(AND(OR(CARI!$C$5="",ISNUMBER(SEARCH(CARI!$C$5,$B1617&amp;" "&amp;$C1617&amp;" "&amp;$I1617&amp;" "&amp;$J1617&amp;" "&amp;$Q1617))),OR(CARI!$C$6="",$E1617=CARI!$C$6),OR(CARI!$C$7="",$F1617=CARI!$C$7),OR(CARI!$C$8="",$O1617=CARI!$C$8)),MAX($U$3:U1616)+1,""))</f>
        <v/>
      </c>
      <c r="V1617" s="40" t="str">
        <f aca="false">IF($T1617="","",MAX($V$3:V1616)+1)</f>
        <v/>
      </c>
      <c r="W1617" s="40" t="str">
        <f aca="false">IF($E1617="","",$E1617&amp;"#"&amp;COUNTIF($E$4:$E1617,$E1617))</f>
        <v/>
      </c>
      <c r="X1617" s="40" t="str">
        <f aca="false">IF($B1617="","",IF(AND(OR(CETAK!$J$10="",$E1617=CETAK!$J$10),OR(CETAK!$J$11="",$F1617=CETAK!$J$11),OR(CETAK!$J$12="",$K1617=CETAK!$J$12),OR(CETAK!$J$13="",$H1617=CETAK!$J$13),OR(CETAK!$J$14="",$O1617=CETAK!$J$14)),MAX($X$3:X1616)+1,""))</f>
        <v/>
      </c>
      <c r="Y1617" s="40" t="str">
        <f aca="false">IF($B1617="","",IF(AND(OR(ABSENSI!$H$10="",$E1617=ABSENSI!$H$10),OR(ABSENSI!$H$11="",$F1617=ABSENSI!$H$11),OR(ABSENSI!$H$12="",$K1617=ABSENSI!$H$12)),MAX($Y$3:Y1616)+1,""))</f>
        <v/>
      </c>
      <c r="Z1617" s="40" t="str">
        <f aca="false">IF($B1617="","",IF(AND(OR(KARTU!$K$6="",$E1617=KARTU!$K$6),OR(KARTU!$K$7="",$F1617=KARTU!$K$7),OR(KARTU!$K$8="",$K1617=KARTU!$K$8)),MAX($Z$3:Z1616)+1,""))</f>
        <v/>
      </c>
    </row>
    <row r="1618" customFormat="false" ht="15" hidden="false" customHeight="false" outlineLevel="0" collapsed="false">
      <c r="A1618" s="36" t="str">
        <f aca="false">IF($B1618="","",COUNTA($B$4:$B1618))</f>
        <v/>
      </c>
      <c r="B1618" s="37"/>
      <c r="C1618" s="38"/>
      <c r="D1618" s="39"/>
      <c r="E1618" s="37"/>
      <c r="F1618" s="39"/>
      <c r="G1618" s="40" t="str">
        <f aca="false">IF(OR($E1618="",$F1618=""),"",$E1618&amp;" - RT "&amp;$F1618)</f>
        <v/>
      </c>
      <c r="H1618" s="37"/>
      <c r="I1618" s="38"/>
      <c r="J1618" s="37"/>
      <c r="K1618" s="39"/>
      <c r="L1618" s="41"/>
      <c r="M1618" s="36" t="str">
        <f aca="true">IF(OR($B1618="",$L1618=""),"",DATEDIF($L1618,TODAY(),"Y"))</f>
        <v/>
      </c>
      <c r="N1618" s="40" t="str">
        <f aca="false">IF($M1618="","",INDEX(usia_label,MATCH($M1618,usia_min,1)))</f>
        <v/>
      </c>
      <c r="O1618" s="37"/>
      <c r="P1618" s="41"/>
      <c r="Q1618" s="37"/>
      <c r="R1618" s="37"/>
      <c r="S1618" s="40" t="str">
        <f aca="false">IF($G1618="","",$G1618&amp;"#"&amp;COUNTIF($G$4:$G1618,$G1618))</f>
        <v/>
      </c>
      <c r="T1618" s="40" t="str">
        <f aca="false">IF($B1618="","",IF($C1618="","NIK kosong",IF(LEN($C1618)&lt;&gt;16,"NIK bukan 16 digit",IF(COUNTIF($C$4:$C$2003,$C1618&amp;"*")&gt;1,"NIK ganda",IF($E1618="","Kadus kosong",IF($F1618="","RT kosong",IF($H1618="","Jabatan kosong",IF($I1618="","No. HP kosong",IF($J1618="","Alamat kosong",IF(AND($M1618&lt;&gt;"",$M1618&lt;17),"Usia di bawah 17",""))))))))))</f>
        <v/>
      </c>
      <c r="U1618" s="40" t="str">
        <f aca="false">IF($B1618="","",IF(AND(OR(CARI!$C$5="",ISNUMBER(SEARCH(CARI!$C$5,$B1618&amp;" "&amp;$C1618&amp;" "&amp;$I1618&amp;" "&amp;$J1618&amp;" "&amp;$Q1618))),OR(CARI!$C$6="",$E1618=CARI!$C$6),OR(CARI!$C$7="",$F1618=CARI!$C$7),OR(CARI!$C$8="",$O1618=CARI!$C$8)),MAX($U$3:U1617)+1,""))</f>
        <v/>
      </c>
      <c r="V1618" s="40" t="str">
        <f aca="false">IF($T1618="","",MAX($V$3:V1617)+1)</f>
        <v/>
      </c>
      <c r="W1618" s="40" t="str">
        <f aca="false">IF($E1618="","",$E1618&amp;"#"&amp;COUNTIF($E$4:$E1618,$E1618))</f>
        <v/>
      </c>
      <c r="X1618" s="40" t="str">
        <f aca="false">IF($B1618="","",IF(AND(OR(CETAK!$J$10="",$E1618=CETAK!$J$10),OR(CETAK!$J$11="",$F1618=CETAK!$J$11),OR(CETAK!$J$12="",$K1618=CETAK!$J$12),OR(CETAK!$J$13="",$H1618=CETAK!$J$13),OR(CETAK!$J$14="",$O1618=CETAK!$J$14)),MAX($X$3:X1617)+1,""))</f>
        <v/>
      </c>
      <c r="Y1618" s="40" t="str">
        <f aca="false">IF($B1618="","",IF(AND(OR(ABSENSI!$H$10="",$E1618=ABSENSI!$H$10),OR(ABSENSI!$H$11="",$F1618=ABSENSI!$H$11),OR(ABSENSI!$H$12="",$K1618=ABSENSI!$H$12)),MAX($Y$3:Y1617)+1,""))</f>
        <v/>
      </c>
      <c r="Z1618" s="40" t="str">
        <f aca="false">IF($B1618="","",IF(AND(OR(KARTU!$K$6="",$E1618=KARTU!$K$6),OR(KARTU!$K$7="",$F1618=KARTU!$K$7),OR(KARTU!$K$8="",$K1618=KARTU!$K$8)),MAX($Z$3:Z1617)+1,""))</f>
        <v/>
      </c>
    </row>
    <row r="1619" customFormat="false" ht="15" hidden="false" customHeight="false" outlineLevel="0" collapsed="false">
      <c r="A1619" s="36" t="str">
        <f aca="false">IF($B1619="","",COUNTA($B$4:$B1619))</f>
        <v/>
      </c>
      <c r="B1619" s="37"/>
      <c r="C1619" s="38"/>
      <c r="D1619" s="39"/>
      <c r="E1619" s="37"/>
      <c r="F1619" s="39"/>
      <c r="G1619" s="40" t="str">
        <f aca="false">IF(OR($E1619="",$F1619=""),"",$E1619&amp;" - RT "&amp;$F1619)</f>
        <v/>
      </c>
      <c r="H1619" s="37"/>
      <c r="I1619" s="38"/>
      <c r="J1619" s="37"/>
      <c r="K1619" s="39"/>
      <c r="L1619" s="41"/>
      <c r="M1619" s="36" t="str">
        <f aca="true">IF(OR($B1619="",$L1619=""),"",DATEDIF($L1619,TODAY(),"Y"))</f>
        <v/>
      </c>
      <c r="N1619" s="40" t="str">
        <f aca="false">IF($M1619="","",INDEX(usia_label,MATCH($M1619,usia_min,1)))</f>
        <v/>
      </c>
      <c r="O1619" s="37"/>
      <c r="P1619" s="41"/>
      <c r="Q1619" s="37"/>
      <c r="R1619" s="37"/>
      <c r="S1619" s="40" t="str">
        <f aca="false">IF($G1619="","",$G1619&amp;"#"&amp;COUNTIF($G$4:$G1619,$G1619))</f>
        <v/>
      </c>
      <c r="T1619" s="40" t="str">
        <f aca="false">IF($B1619="","",IF($C1619="","NIK kosong",IF(LEN($C1619)&lt;&gt;16,"NIK bukan 16 digit",IF(COUNTIF($C$4:$C$2003,$C1619&amp;"*")&gt;1,"NIK ganda",IF($E1619="","Kadus kosong",IF($F1619="","RT kosong",IF($H1619="","Jabatan kosong",IF($I1619="","No. HP kosong",IF($J1619="","Alamat kosong",IF(AND($M1619&lt;&gt;"",$M1619&lt;17),"Usia di bawah 17",""))))))))))</f>
        <v/>
      </c>
      <c r="U1619" s="40" t="str">
        <f aca="false">IF($B1619="","",IF(AND(OR(CARI!$C$5="",ISNUMBER(SEARCH(CARI!$C$5,$B1619&amp;" "&amp;$C1619&amp;" "&amp;$I1619&amp;" "&amp;$J1619&amp;" "&amp;$Q1619))),OR(CARI!$C$6="",$E1619=CARI!$C$6),OR(CARI!$C$7="",$F1619=CARI!$C$7),OR(CARI!$C$8="",$O1619=CARI!$C$8)),MAX($U$3:U1618)+1,""))</f>
        <v/>
      </c>
      <c r="V1619" s="40" t="str">
        <f aca="false">IF($T1619="","",MAX($V$3:V1618)+1)</f>
        <v/>
      </c>
      <c r="W1619" s="40" t="str">
        <f aca="false">IF($E1619="","",$E1619&amp;"#"&amp;COUNTIF($E$4:$E1619,$E1619))</f>
        <v/>
      </c>
      <c r="X1619" s="40" t="str">
        <f aca="false">IF($B1619="","",IF(AND(OR(CETAK!$J$10="",$E1619=CETAK!$J$10),OR(CETAK!$J$11="",$F1619=CETAK!$J$11),OR(CETAK!$J$12="",$K1619=CETAK!$J$12),OR(CETAK!$J$13="",$H1619=CETAK!$J$13),OR(CETAK!$J$14="",$O1619=CETAK!$J$14)),MAX($X$3:X1618)+1,""))</f>
        <v/>
      </c>
      <c r="Y1619" s="40" t="str">
        <f aca="false">IF($B1619="","",IF(AND(OR(ABSENSI!$H$10="",$E1619=ABSENSI!$H$10),OR(ABSENSI!$H$11="",$F1619=ABSENSI!$H$11),OR(ABSENSI!$H$12="",$K1619=ABSENSI!$H$12)),MAX($Y$3:Y1618)+1,""))</f>
        <v/>
      </c>
      <c r="Z1619" s="40" t="str">
        <f aca="false">IF($B1619="","",IF(AND(OR(KARTU!$K$6="",$E1619=KARTU!$K$6),OR(KARTU!$K$7="",$F1619=KARTU!$K$7),OR(KARTU!$K$8="",$K1619=KARTU!$K$8)),MAX($Z$3:Z1618)+1,""))</f>
        <v/>
      </c>
    </row>
    <row r="1620" customFormat="false" ht="15" hidden="false" customHeight="false" outlineLevel="0" collapsed="false">
      <c r="A1620" s="36" t="str">
        <f aca="false">IF($B1620="","",COUNTA($B$4:$B1620))</f>
        <v/>
      </c>
      <c r="B1620" s="37"/>
      <c r="C1620" s="38"/>
      <c r="D1620" s="39"/>
      <c r="E1620" s="37"/>
      <c r="F1620" s="39"/>
      <c r="G1620" s="40" t="str">
        <f aca="false">IF(OR($E1620="",$F1620=""),"",$E1620&amp;" - RT "&amp;$F1620)</f>
        <v/>
      </c>
      <c r="H1620" s="37"/>
      <c r="I1620" s="38"/>
      <c r="J1620" s="37"/>
      <c r="K1620" s="39"/>
      <c r="L1620" s="41"/>
      <c r="M1620" s="36" t="str">
        <f aca="true">IF(OR($B1620="",$L1620=""),"",DATEDIF($L1620,TODAY(),"Y"))</f>
        <v/>
      </c>
      <c r="N1620" s="40" t="str">
        <f aca="false">IF($M1620="","",INDEX(usia_label,MATCH($M1620,usia_min,1)))</f>
        <v/>
      </c>
      <c r="O1620" s="37"/>
      <c r="P1620" s="41"/>
      <c r="Q1620" s="37"/>
      <c r="R1620" s="37"/>
      <c r="S1620" s="40" t="str">
        <f aca="false">IF($G1620="","",$G1620&amp;"#"&amp;COUNTIF($G$4:$G1620,$G1620))</f>
        <v/>
      </c>
      <c r="T1620" s="40" t="str">
        <f aca="false">IF($B1620="","",IF($C1620="","NIK kosong",IF(LEN($C1620)&lt;&gt;16,"NIK bukan 16 digit",IF(COUNTIF($C$4:$C$2003,$C1620&amp;"*")&gt;1,"NIK ganda",IF($E1620="","Kadus kosong",IF($F1620="","RT kosong",IF($H1620="","Jabatan kosong",IF($I1620="","No. HP kosong",IF($J1620="","Alamat kosong",IF(AND($M1620&lt;&gt;"",$M1620&lt;17),"Usia di bawah 17",""))))))))))</f>
        <v/>
      </c>
      <c r="U1620" s="40" t="str">
        <f aca="false">IF($B1620="","",IF(AND(OR(CARI!$C$5="",ISNUMBER(SEARCH(CARI!$C$5,$B1620&amp;" "&amp;$C1620&amp;" "&amp;$I1620&amp;" "&amp;$J1620&amp;" "&amp;$Q1620))),OR(CARI!$C$6="",$E1620=CARI!$C$6),OR(CARI!$C$7="",$F1620=CARI!$C$7),OR(CARI!$C$8="",$O1620=CARI!$C$8)),MAX($U$3:U1619)+1,""))</f>
        <v/>
      </c>
      <c r="V1620" s="40" t="str">
        <f aca="false">IF($T1620="","",MAX($V$3:V1619)+1)</f>
        <v/>
      </c>
      <c r="W1620" s="40" t="str">
        <f aca="false">IF($E1620="","",$E1620&amp;"#"&amp;COUNTIF($E$4:$E1620,$E1620))</f>
        <v/>
      </c>
      <c r="X1620" s="40" t="str">
        <f aca="false">IF($B1620="","",IF(AND(OR(CETAK!$J$10="",$E1620=CETAK!$J$10),OR(CETAK!$J$11="",$F1620=CETAK!$J$11),OR(CETAK!$J$12="",$K1620=CETAK!$J$12),OR(CETAK!$J$13="",$H1620=CETAK!$J$13),OR(CETAK!$J$14="",$O1620=CETAK!$J$14)),MAX($X$3:X1619)+1,""))</f>
        <v/>
      </c>
      <c r="Y1620" s="40" t="str">
        <f aca="false">IF($B1620="","",IF(AND(OR(ABSENSI!$H$10="",$E1620=ABSENSI!$H$10),OR(ABSENSI!$H$11="",$F1620=ABSENSI!$H$11),OR(ABSENSI!$H$12="",$K1620=ABSENSI!$H$12)),MAX($Y$3:Y1619)+1,""))</f>
        <v/>
      </c>
      <c r="Z1620" s="40" t="str">
        <f aca="false">IF($B1620="","",IF(AND(OR(KARTU!$K$6="",$E1620=KARTU!$K$6),OR(KARTU!$K$7="",$F1620=KARTU!$K$7),OR(KARTU!$K$8="",$K1620=KARTU!$K$8)),MAX($Z$3:Z1619)+1,""))</f>
        <v/>
      </c>
    </row>
    <row r="1621" customFormat="false" ht="15" hidden="false" customHeight="false" outlineLevel="0" collapsed="false">
      <c r="A1621" s="36" t="str">
        <f aca="false">IF($B1621="","",COUNTA($B$4:$B1621))</f>
        <v/>
      </c>
      <c r="B1621" s="37"/>
      <c r="C1621" s="38"/>
      <c r="D1621" s="39"/>
      <c r="E1621" s="37"/>
      <c r="F1621" s="39"/>
      <c r="G1621" s="40" t="str">
        <f aca="false">IF(OR($E1621="",$F1621=""),"",$E1621&amp;" - RT "&amp;$F1621)</f>
        <v/>
      </c>
      <c r="H1621" s="37"/>
      <c r="I1621" s="38"/>
      <c r="J1621" s="37"/>
      <c r="K1621" s="39"/>
      <c r="L1621" s="41"/>
      <c r="M1621" s="36" t="str">
        <f aca="true">IF(OR($B1621="",$L1621=""),"",DATEDIF($L1621,TODAY(),"Y"))</f>
        <v/>
      </c>
      <c r="N1621" s="40" t="str">
        <f aca="false">IF($M1621="","",INDEX(usia_label,MATCH($M1621,usia_min,1)))</f>
        <v/>
      </c>
      <c r="O1621" s="37"/>
      <c r="P1621" s="41"/>
      <c r="Q1621" s="37"/>
      <c r="R1621" s="37"/>
      <c r="S1621" s="40" t="str">
        <f aca="false">IF($G1621="","",$G1621&amp;"#"&amp;COUNTIF($G$4:$G1621,$G1621))</f>
        <v/>
      </c>
      <c r="T1621" s="40" t="str">
        <f aca="false">IF($B1621="","",IF($C1621="","NIK kosong",IF(LEN($C1621)&lt;&gt;16,"NIK bukan 16 digit",IF(COUNTIF($C$4:$C$2003,$C1621&amp;"*")&gt;1,"NIK ganda",IF($E1621="","Kadus kosong",IF($F1621="","RT kosong",IF($H1621="","Jabatan kosong",IF($I1621="","No. HP kosong",IF($J1621="","Alamat kosong",IF(AND($M1621&lt;&gt;"",$M1621&lt;17),"Usia di bawah 17",""))))))))))</f>
        <v/>
      </c>
      <c r="U1621" s="40" t="str">
        <f aca="false">IF($B1621="","",IF(AND(OR(CARI!$C$5="",ISNUMBER(SEARCH(CARI!$C$5,$B1621&amp;" "&amp;$C1621&amp;" "&amp;$I1621&amp;" "&amp;$J1621&amp;" "&amp;$Q1621))),OR(CARI!$C$6="",$E1621=CARI!$C$6),OR(CARI!$C$7="",$F1621=CARI!$C$7),OR(CARI!$C$8="",$O1621=CARI!$C$8)),MAX($U$3:U1620)+1,""))</f>
        <v/>
      </c>
      <c r="V1621" s="40" t="str">
        <f aca="false">IF($T1621="","",MAX($V$3:V1620)+1)</f>
        <v/>
      </c>
      <c r="W1621" s="40" t="str">
        <f aca="false">IF($E1621="","",$E1621&amp;"#"&amp;COUNTIF($E$4:$E1621,$E1621))</f>
        <v/>
      </c>
      <c r="X1621" s="40" t="str">
        <f aca="false">IF($B1621="","",IF(AND(OR(CETAK!$J$10="",$E1621=CETAK!$J$10),OR(CETAK!$J$11="",$F1621=CETAK!$J$11),OR(CETAK!$J$12="",$K1621=CETAK!$J$12),OR(CETAK!$J$13="",$H1621=CETAK!$J$13),OR(CETAK!$J$14="",$O1621=CETAK!$J$14)),MAX($X$3:X1620)+1,""))</f>
        <v/>
      </c>
      <c r="Y1621" s="40" t="str">
        <f aca="false">IF($B1621="","",IF(AND(OR(ABSENSI!$H$10="",$E1621=ABSENSI!$H$10),OR(ABSENSI!$H$11="",$F1621=ABSENSI!$H$11),OR(ABSENSI!$H$12="",$K1621=ABSENSI!$H$12)),MAX($Y$3:Y1620)+1,""))</f>
        <v/>
      </c>
      <c r="Z1621" s="40" t="str">
        <f aca="false">IF($B1621="","",IF(AND(OR(KARTU!$K$6="",$E1621=KARTU!$K$6),OR(KARTU!$K$7="",$F1621=KARTU!$K$7),OR(KARTU!$K$8="",$K1621=KARTU!$K$8)),MAX($Z$3:Z1620)+1,""))</f>
        <v/>
      </c>
    </row>
    <row r="1622" customFormat="false" ht="15" hidden="false" customHeight="false" outlineLevel="0" collapsed="false">
      <c r="A1622" s="36" t="str">
        <f aca="false">IF($B1622="","",COUNTA($B$4:$B1622))</f>
        <v/>
      </c>
      <c r="B1622" s="37"/>
      <c r="C1622" s="38"/>
      <c r="D1622" s="39"/>
      <c r="E1622" s="37"/>
      <c r="F1622" s="39"/>
      <c r="G1622" s="40" t="str">
        <f aca="false">IF(OR($E1622="",$F1622=""),"",$E1622&amp;" - RT "&amp;$F1622)</f>
        <v/>
      </c>
      <c r="H1622" s="37"/>
      <c r="I1622" s="38"/>
      <c r="J1622" s="37"/>
      <c r="K1622" s="39"/>
      <c r="L1622" s="41"/>
      <c r="M1622" s="36" t="str">
        <f aca="true">IF(OR($B1622="",$L1622=""),"",DATEDIF($L1622,TODAY(),"Y"))</f>
        <v/>
      </c>
      <c r="N1622" s="40" t="str">
        <f aca="false">IF($M1622="","",INDEX(usia_label,MATCH($M1622,usia_min,1)))</f>
        <v/>
      </c>
      <c r="O1622" s="37"/>
      <c r="P1622" s="41"/>
      <c r="Q1622" s="37"/>
      <c r="R1622" s="37"/>
      <c r="S1622" s="40" t="str">
        <f aca="false">IF($G1622="","",$G1622&amp;"#"&amp;COUNTIF($G$4:$G1622,$G1622))</f>
        <v/>
      </c>
      <c r="T1622" s="40" t="str">
        <f aca="false">IF($B1622="","",IF($C1622="","NIK kosong",IF(LEN($C1622)&lt;&gt;16,"NIK bukan 16 digit",IF(COUNTIF($C$4:$C$2003,$C1622&amp;"*")&gt;1,"NIK ganda",IF($E1622="","Kadus kosong",IF($F1622="","RT kosong",IF($H1622="","Jabatan kosong",IF($I1622="","No. HP kosong",IF($J1622="","Alamat kosong",IF(AND($M1622&lt;&gt;"",$M1622&lt;17),"Usia di bawah 17",""))))))))))</f>
        <v/>
      </c>
      <c r="U1622" s="40" t="str">
        <f aca="false">IF($B1622="","",IF(AND(OR(CARI!$C$5="",ISNUMBER(SEARCH(CARI!$C$5,$B1622&amp;" "&amp;$C1622&amp;" "&amp;$I1622&amp;" "&amp;$J1622&amp;" "&amp;$Q1622))),OR(CARI!$C$6="",$E1622=CARI!$C$6),OR(CARI!$C$7="",$F1622=CARI!$C$7),OR(CARI!$C$8="",$O1622=CARI!$C$8)),MAX($U$3:U1621)+1,""))</f>
        <v/>
      </c>
      <c r="V1622" s="40" t="str">
        <f aca="false">IF($T1622="","",MAX($V$3:V1621)+1)</f>
        <v/>
      </c>
      <c r="W1622" s="40" t="str">
        <f aca="false">IF($E1622="","",$E1622&amp;"#"&amp;COUNTIF($E$4:$E1622,$E1622))</f>
        <v/>
      </c>
      <c r="X1622" s="40" t="str">
        <f aca="false">IF($B1622="","",IF(AND(OR(CETAK!$J$10="",$E1622=CETAK!$J$10),OR(CETAK!$J$11="",$F1622=CETAK!$J$11),OR(CETAK!$J$12="",$K1622=CETAK!$J$12),OR(CETAK!$J$13="",$H1622=CETAK!$J$13),OR(CETAK!$J$14="",$O1622=CETAK!$J$14)),MAX($X$3:X1621)+1,""))</f>
        <v/>
      </c>
      <c r="Y1622" s="40" t="str">
        <f aca="false">IF($B1622="","",IF(AND(OR(ABSENSI!$H$10="",$E1622=ABSENSI!$H$10),OR(ABSENSI!$H$11="",$F1622=ABSENSI!$H$11),OR(ABSENSI!$H$12="",$K1622=ABSENSI!$H$12)),MAX($Y$3:Y1621)+1,""))</f>
        <v/>
      </c>
      <c r="Z1622" s="40" t="str">
        <f aca="false">IF($B1622="","",IF(AND(OR(KARTU!$K$6="",$E1622=KARTU!$K$6),OR(KARTU!$K$7="",$F1622=KARTU!$K$7),OR(KARTU!$K$8="",$K1622=KARTU!$K$8)),MAX($Z$3:Z1621)+1,""))</f>
        <v/>
      </c>
    </row>
    <row r="1623" customFormat="false" ht="15" hidden="false" customHeight="false" outlineLevel="0" collapsed="false">
      <c r="A1623" s="36" t="str">
        <f aca="false">IF($B1623="","",COUNTA($B$4:$B1623))</f>
        <v/>
      </c>
      <c r="B1623" s="37"/>
      <c r="C1623" s="38"/>
      <c r="D1623" s="39"/>
      <c r="E1623" s="37"/>
      <c r="F1623" s="39"/>
      <c r="G1623" s="40" t="str">
        <f aca="false">IF(OR($E1623="",$F1623=""),"",$E1623&amp;" - RT "&amp;$F1623)</f>
        <v/>
      </c>
      <c r="H1623" s="37"/>
      <c r="I1623" s="38"/>
      <c r="J1623" s="37"/>
      <c r="K1623" s="39"/>
      <c r="L1623" s="41"/>
      <c r="M1623" s="36" t="str">
        <f aca="true">IF(OR($B1623="",$L1623=""),"",DATEDIF($L1623,TODAY(),"Y"))</f>
        <v/>
      </c>
      <c r="N1623" s="40" t="str">
        <f aca="false">IF($M1623="","",INDEX(usia_label,MATCH($M1623,usia_min,1)))</f>
        <v/>
      </c>
      <c r="O1623" s="37"/>
      <c r="P1623" s="41"/>
      <c r="Q1623" s="37"/>
      <c r="R1623" s="37"/>
      <c r="S1623" s="40" t="str">
        <f aca="false">IF($G1623="","",$G1623&amp;"#"&amp;COUNTIF($G$4:$G1623,$G1623))</f>
        <v/>
      </c>
      <c r="T1623" s="40" t="str">
        <f aca="false">IF($B1623="","",IF($C1623="","NIK kosong",IF(LEN($C1623)&lt;&gt;16,"NIK bukan 16 digit",IF(COUNTIF($C$4:$C$2003,$C1623&amp;"*")&gt;1,"NIK ganda",IF($E1623="","Kadus kosong",IF($F1623="","RT kosong",IF($H1623="","Jabatan kosong",IF($I1623="","No. HP kosong",IF($J1623="","Alamat kosong",IF(AND($M1623&lt;&gt;"",$M1623&lt;17),"Usia di bawah 17",""))))))))))</f>
        <v/>
      </c>
      <c r="U1623" s="40" t="str">
        <f aca="false">IF($B1623="","",IF(AND(OR(CARI!$C$5="",ISNUMBER(SEARCH(CARI!$C$5,$B1623&amp;" "&amp;$C1623&amp;" "&amp;$I1623&amp;" "&amp;$J1623&amp;" "&amp;$Q1623))),OR(CARI!$C$6="",$E1623=CARI!$C$6),OR(CARI!$C$7="",$F1623=CARI!$C$7),OR(CARI!$C$8="",$O1623=CARI!$C$8)),MAX($U$3:U1622)+1,""))</f>
        <v/>
      </c>
      <c r="V1623" s="40" t="str">
        <f aca="false">IF($T1623="","",MAX($V$3:V1622)+1)</f>
        <v/>
      </c>
      <c r="W1623" s="40" t="str">
        <f aca="false">IF($E1623="","",$E1623&amp;"#"&amp;COUNTIF($E$4:$E1623,$E1623))</f>
        <v/>
      </c>
      <c r="X1623" s="40" t="str">
        <f aca="false">IF($B1623="","",IF(AND(OR(CETAK!$J$10="",$E1623=CETAK!$J$10),OR(CETAK!$J$11="",$F1623=CETAK!$J$11),OR(CETAK!$J$12="",$K1623=CETAK!$J$12),OR(CETAK!$J$13="",$H1623=CETAK!$J$13),OR(CETAK!$J$14="",$O1623=CETAK!$J$14)),MAX($X$3:X1622)+1,""))</f>
        <v/>
      </c>
      <c r="Y1623" s="40" t="str">
        <f aca="false">IF($B1623="","",IF(AND(OR(ABSENSI!$H$10="",$E1623=ABSENSI!$H$10),OR(ABSENSI!$H$11="",$F1623=ABSENSI!$H$11),OR(ABSENSI!$H$12="",$K1623=ABSENSI!$H$12)),MAX($Y$3:Y1622)+1,""))</f>
        <v/>
      </c>
      <c r="Z1623" s="40" t="str">
        <f aca="false">IF($B1623="","",IF(AND(OR(KARTU!$K$6="",$E1623=KARTU!$K$6),OR(KARTU!$K$7="",$F1623=KARTU!$K$7),OR(KARTU!$K$8="",$K1623=KARTU!$K$8)),MAX($Z$3:Z1622)+1,""))</f>
        <v/>
      </c>
    </row>
    <row r="1624" customFormat="false" ht="15" hidden="false" customHeight="false" outlineLevel="0" collapsed="false">
      <c r="A1624" s="36" t="str">
        <f aca="false">IF($B1624="","",COUNTA($B$4:$B1624))</f>
        <v/>
      </c>
      <c r="B1624" s="37"/>
      <c r="C1624" s="38"/>
      <c r="D1624" s="39"/>
      <c r="E1624" s="37"/>
      <c r="F1624" s="39"/>
      <c r="G1624" s="40" t="str">
        <f aca="false">IF(OR($E1624="",$F1624=""),"",$E1624&amp;" - RT "&amp;$F1624)</f>
        <v/>
      </c>
      <c r="H1624" s="37"/>
      <c r="I1624" s="38"/>
      <c r="J1624" s="37"/>
      <c r="K1624" s="39"/>
      <c r="L1624" s="41"/>
      <c r="M1624" s="36" t="str">
        <f aca="true">IF(OR($B1624="",$L1624=""),"",DATEDIF($L1624,TODAY(),"Y"))</f>
        <v/>
      </c>
      <c r="N1624" s="40" t="str">
        <f aca="false">IF($M1624="","",INDEX(usia_label,MATCH($M1624,usia_min,1)))</f>
        <v/>
      </c>
      <c r="O1624" s="37"/>
      <c r="P1624" s="41"/>
      <c r="Q1624" s="37"/>
      <c r="R1624" s="37"/>
      <c r="S1624" s="40" t="str">
        <f aca="false">IF($G1624="","",$G1624&amp;"#"&amp;COUNTIF($G$4:$G1624,$G1624))</f>
        <v/>
      </c>
      <c r="T1624" s="40" t="str">
        <f aca="false">IF($B1624="","",IF($C1624="","NIK kosong",IF(LEN($C1624)&lt;&gt;16,"NIK bukan 16 digit",IF(COUNTIF($C$4:$C$2003,$C1624&amp;"*")&gt;1,"NIK ganda",IF($E1624="","Kadus kosong",IF($F1624="","RT kosong",IF($H1624="","Jabatan kosong",IF($I1624="","No. HP kosong",IF($J1624="","Alamat kosong",IF(AND($M1624&lt;&gt;"",$M1624&lt;17),"Usia di bawah 17",""))))))))))</f>
        <v/>
      </c>
      <c r="U1624" s="40" t="str">
        <f aca="false">IF($B1624="","",IF(AND(OR(CARI!$C$5="",ISNUMBER(SEARCH(CARI!$C$5,$B1624&amp;" "&amp;$C1624&amp;" "&amp;$I1624&amp;" "&amp;$J1624&amp;" "&amp;$Q1624))),OR(CARI!$C$6="",$E1624=CARI!$C$6),OR(CARI!$C$7="",$F1624=CARI!$C$7),OR(CARI!$C$8="",$O1624=CARI!$C$8)),MAX($U$3:U1623)+1,""))</f>
        <v/>
      </c>
      <c r="V1624" s="40" t="str">
        <f aca="false">IF($T1624="","",MAX($V$3:V1623)+1)</f>
        <v/>
      </c>
      <c r="W1624" s="40" t="str">
        <f aca="false">IF($E1624="","",$E1624&amp;"#"&amp;COUNTIF($E$4:$E1624,$E1624))</f>
        <v/>
      </c>
      <c r="X1624" s="40" t="str">
        <f aca="false">IF($B1624="","",IF(AND(OR(CETAK!$J$10="",$E1624=CETAK!$J$10),OR(CETAK!$J$11="",$F1624=CETAK!$J$11),OR(CETAK!$J$12="",$K1624=CETAK!$J$12),OR(CETAK!$J$13="",$H1624=CETAK!$J$13),OR(CETAK!$J$14="",$O1624=CETAK!$J$14)),MAX($X$3:X1623)+1,""))</f>
        <v/>
      </c>
      <c r="Y1624" s="40" t="str">
        <f aca="false">IF($B1624="","",IF(AND(OR(ABSENSI!$H$10="",$E1624=ABSENSI!$H$10),OR(ABSENSI!$H$11="",$F1624=ABSENSI!$H$11),OR(ABSENSI!$H$12="",$K1624=ABSENSI!$H$12)),MAX($Y$3:Y1623)+1,""))</f>
        <v/>
      </c>
      <c r="Z1624" s="40" t="str">
        <f aca="false">IF($B1624="","",IF(AND(OR(KARTU!$K$6="",$E1624=KARTU!$K$6),OR(KARTU!$K$7="",$F1624=KARTU!$K$7),OR(KARTU!$K$8="",$K1624=KARTU!$K$8)),MAX($Z$3:Z1623)+1,""))</f>
        <v/>
      </c>
    </row>
    <row r="1625" customFormat="false" ht="15" hidden="false" customHeight="false" outlineLevel="0" collapsed="false">
      <c r="A1625" s="36" t="str">
        <f aca="false">IF($B1625="","",COUNTA($B$4:$B1625))</f>
        <v/>
      </c>
      <c r="B1625" s="37"/>
      <c r="C1625" s="38"/>
      <c r="D1625" s="39"/>
      <c r="E1625" s="37"/>
      <c r="F1625" s="39"/>
      <c r="G1625" s="40" t="str">
        <f aca="false">IF(OR($E1625="",$F1625=""),"",$E1625&amp;" - RT "&amp;$F1625)</f>
        <v/>
      </c>
      <c r="H1625" s="37"/>
      <c r="I1625" s="38"/>
      <c r="J1625" s="37"/>
      <c r="K1625" s="39"/>
      <c r="L1625" s="41"/>
      <c r="M1625" s="36" t="str">
        <f aca="true">IF(OR($B1625="",$L1625=""),"",DATEDIF($L1625,TODAY(),"Y"))</f>
        <v/>
      </c>
      <c r="N1625" s="40" t="str">
        <f aca="false">IF($M1625="","",INDEX(usia_label,MATCH($M1625,usia_min,1)))</f>
        <v/>
      </c>
      <c r="O1625" s="37"/>
      <c r="P1625" s="41"/>
      <c r="Q1625" s="37"/>
      <c r="R1625" s="37"/>
      <c r="S1625" s="40" t="str">
        <f aca="false">IF($G1625="","",$G1625&amp;"#"&amp;COUNTIF($G$4:$G1625,$G1625))</f>
        <v/>
      </c>
      <c r="T1625" s="40" t="str">
        <f aca="false">IF($B1625="","",IF($C1625="","NIK kosong",IF(LEN($C1625)&lt;&gt;16,"NIK bukan 16 digit",IF(COUNTIF($C$4:$C$2003,$C1625&amp;"*")&gt;1,"NIK ganda",IF($E1625="","Kadus kosong",IF($F1625="","RT kosong",IF($H1625="","Jabatan kosong",IF($I1625="","No. HP kosong",IF($J1625="","Alamat kosong",IF(AND($M1625&lt;&gt;"",$M1625&lt;17),"Usia di bawah 17",""))))))))))</f>
        <v/>
      </c>
      <c r="U1625" s="40" t="str">
        <f aca="false">IF($B1625="","",IF(AND(OR(CARI!$C$5="",ISNUMBER(SEARCH(CARI!$C$5,$B1625&amp;" "&amp;$C1625&amp;" "&amp;$I1625&amp;" "&amp;$J1625&amp;" "&amp;$Q1625))),OR(CARI!$C$6="",$E1625=CARI!$C$6),OR(CARI!$C$7="",$F1625=CARI!$C$7),OR(CARI!$C$8="",$O1625=CARI!$C$8)),MAX($U$3:U1624)+1,""))</f>
        <v/>
      </c>
      <c r="V1625" s="40" t="str">
        <f aca="false">IF($T1625="","",MAX($V$3:V1624)+1)</f>
        <v/>
      </c>
      <c r="W1625" s="40" t="str">
        <f aca="false">IF($E1625="","",$E1625&amp;"#"&amp;COUNTIF($E$4:$E1625,$E1625))</f>
        <v/>
      </c>
      <c r="X1625" s="40" t="str">
        <f aca="false">IF($B1625="","",IF(AND(OR(CETAK!$J$10="",$E1625=CETAK!$J$10),OR(CETAK!$J$11="",$F1625=CETAK!$J$11),OR(CETAK!$J$12="",$K1625=CETAK!$J$12),OR(CETAK!$J$13="",$H1625=CETAK!$J$13),OR(CETAK!$J$14="",$O1625=CETAK!$J$14)),MAX($X$3:X1624)+1,""))</f>
        <v/>
      </c>
      <c r="Y1625" s="40" t="str">
        <f aca="false">IF($B1625="","",IF(AND(OR(ABSENSI!$H$10="",$E1625=ABSENSI!$H$10),OR(ABSENSI!$H$11="",$F1625=ABSENSI!$H$11),OR(ABSENSI!$H$12="",$K1625=ABSENSI!$H$12)),MAX($Y$3:Y1624)+1,""))</f>
        <v/>
      </c>
      <c r="Z1625" s="40" t="str">
        <f aca="false">IF($B1625="","",IF(AND(OR(KARTU!$K$6="",$E1625=KARTU!$K$6),OR(KARTU!$K$7="",$F1625=KARTU!$K$7),OR(KARTU!$K$8="",$K1625=KARTU!$K$8)),MAX($Z$3:Z1624)+1,""))</f>
        <v/>
      </c>
    </row>
    <row r="1626" customFormat="false" ht="15" hidden="false" customHeight="false" outlineLevel="0" collapsed="false">
      <c r="A1626" s="36" t="str">
        <f aca="false">IF($B1626="","",COUNTA($B$4:$B1626))</f>
        <v/>
      </c>
      <c r="B1626" s="37"/>
      <c r="C1626" s="38"/>
      <c r="D1626" s="39"/>
      <c r="E1626" s="37"/>
      <c r="F1626" s="39"/>
      <c r="G1626" s="40" t="str">
        <f aca="false">IF(OR($E1626="",$F1626=""),"",$E1626&amp;" - RT "&amp;$F1626)</f>
        <v/>
      </c>
      <c r="H1626" s="37"/>
      <c r="I1626" s="38"/>
      <c r="J1626" s="37"/>
      <c r="K1626" s="39"/>
      <c r="L1626" s="41"/>
      <c r="M1626" s="36" t="str">
        <f aca="true">IF(OR($B1626="",$L1626=""),"",DATEDIF($L1626,TODAY(),"Y"))</f>
        <v/>
      </c>
      <c r="N1626" s="40" t="str">
        <f aca="false">IF($M1626="","",INDEX(usia_label,MATCH($M1626,usia_min,1)))</f>
        <v/>
      </c>
      <c r="O1626" s="37"/>
      <c r="P1626" s="41"/>
      <c r="Q1626" s="37"/>
      <c r="R1626" s="37"/>
      <c r="S1626" s="40" t="str">
        <f aca="false">IF($G1626="","",$G1626&amp;"#"&amp;COUNTIF($G$4:$G1626,$G1626))</f>
        <v/>
      </c>
      <c r="T1626" s="40" t="str">
        <f aca="false">IF($B1626="","",IF($C1626="","NIK kosong",IF(LEN($C1626)&lt;&gt;16,"NIK bukan 16 digit",IF(COUNTIF($C$4:$C$2003,$C1626&amp;"*")&gt;1,"NIK ganda",IF($E1626="","Kadus kosong",IF($F1626="","RT kosong",IF($H1626="","Jabatan kosong",IF($I1626="","No. HP kosong",IF($J1626="","Alamat kosong",IF(AND($M1626&lt;&gt;"",$M1626&lt;17),"Usia di bawah 17",""))))))))))</f>
        <v/>
      </c>
      <c r="U1626" s="40" t="str">
        <f aca="false">IF($B1626="","",IF(AND(OR(CARI!$C$5="",ISNUMBER(SEARCH(CARI!$C$5,$B1626&amp;" "&amp;$C1626&amp;" "&amp;$I1626&amp;" "&amp;$J1626&amp;" "&amp;$Q1626))),OR(CARI!$C$6="",$E1626=CARI!$C$6),OR(CARI!$C$7="",$F1626=CARI!$C$7),OR(CARI!$C$8="",$O1626=CARI!$C$8)),MAX($U$3:U1625)+1,""))</f>
        <v/>
      </c>
      <c r="V1626" s="40" t="str">
        <f aca="false">IF($T1626="","",MAX($V$3:V1625)+1)</f>
        <v/>
      </c>
      <c r="W1626" s="40" t="str">
        <f aca="false">IF($E1626="","",$E1626&amp;"#"&amp;COUNTIF($E$4:$E1626,$E1626))</f>
        <v/>
      </c>
      <c r="X1626" s="40" t="str">
        <f aca="false">IF($B1626="","",IF(AND(OR(CETAK!$J$10="",$E1626=CETAK!$J$10),OR(CETAK!$J$11="",$F1626=CETAK!$J$11),OR(CETAK!$J$12="",$K1626=CETAK!$J$12),OR(CETAK!$J$13="",$H1626=CETAK!$J$13),OR(CETAK!$J$14="",$O1626=CETAK!$J$14)),MAX($X$3:X1625)+1,""))</f>
        <v/>
      </c>
      <c r="Y1626" s="40" t="str">
        <f aca="false">IF($B1626="","",IF(AND(OR(ABSENSI!$H$10="",$E1626=ABSENSI!$H$10),OR(ABSENSI!$H$11="",$F1626=ABSENSI!$H$11),OR(ABSENSI!$H$12="",$K1626=ABSENSI!$H$12)),MAX($Y$3:Y1625)+1,""))</f>
        <v/>
      </c>
      <c r="Z1626" s="40" t="str">
        <f aca="false">IF($B1626="","",IF(AND(OR(KARTU!$K$6="",$E1626=KARTU!$K$6),OR(KARTU!$K$7="",$F1626=KARTU!$K$7),OR(KARTU!$K$8="",$K1626=KARTU!$K$8)),MAX($Z$3:Z1625)+1,""))</f>
        <v/>
      </c>
    </row>
    <row r="1627" customFormat="false" ht="15" hidden="false" customHeight="false" outlineLevel="0" collapsed="false">
      <c r="A1627" s="36" t="str">
        <f aca="false">IF($B1627="","",COUNTA($B$4:$B1627))</f>
        <v/>
      </c>
      <c r="B1627" s="37"/>
      <c r="C1627" s="38"/>
      <c r="D1627" s="39"/>
      <c r="E1627" s="37"/>
      <c r="F1627" s="39"/>
      <c r="G1627" s="40" t="str">
        <f aca="false">IF(OR($E1627="",$F1627=""),"",$E1627&amp;" - RT "&amp;$F1627)</f>
        <v/>
      </c>
      <c r="H1627" s="37"/>
      <c r="I1627" s="38"/>
      <c r="J1627" s="37"/>
      <c r="K1627" s="39"/>
      <c r="L1627" s="41"/>
      <c r="M1627" s="36" t="str">
        <f aca="true">IF(OR($B1627="",$L1627=""),"",DATEDIF($L1627,TODAY(),"Y"))</f>
        <v/>
      </c>
      <c r="N1627" s="40" t="str">
        <f aca="false">IF($M1627="","",INDEX(usia_label,MATCH($M1627,usia_min,1)))</f>
        <v/>
      </c>
      <c r="O1627" s="37"/>
      <c r="P1627" s="41"/>
      <c r="Q1627" s="37"/>
      <c r="R1627" s="37"/>
      <c r="S1627" s="40" t="str">
        <f aca="false">IF($G1627="","",$G1627&amp;"#"&amp;COUNTIF($G$4:$G1627,$G1627))</f>
        <v/>
      </c>
      <c r="T1627" s="40" t="str">
        <f aca="false">IF($B1627="","",IF($C1627="","NIK kosong",IF(LEN($C1627)&lt;&gt;16,"NIK bukan 16 digit",IF(COUNTIF($C$4:$C$2003,$C1627&amp;"*")&gt;1,"NIK ganda",IF($E1627="","Kadus kosong",IF($F1627="","RT kosong",IF($H1627="","Jabatan kosong",IF($I1627="","No. HP kosong",IF($J1627="","Alamat kosong",IF(AND($M1627&lt;&gt;"",$M1627&lt;17),"Usia di bawah 17",""))))))))))</f>
        <v/>
      </c>
      <c r="U1627" s="40" t="str">
        <f aca="false">IF($B1627="","",IF(AND(OR(CARI!$C$5="",ISNUMBER(SEARCH(CARI!$C$5,$B1627&amp;" "&amp;$C1627&amp;" "&amp;$I1627&amp;" "&amp;$J1627&amp;" "&amp;$Q1627))),OR(CARI!$C$6="",$E1627=CARI!$C$6),OR(CARI!$C$7="",$F1627=CARI!$C$7),OR(CARI!$C$8="",$O1627=CARI!$C$8)),MAX($U$3:U1626)+1,""))</f>
        <v/>
      </c>
      <c r="V1627" s="40" t="str">
        <f aca="false">IF($T1627="","",MAX($V$3:V1626)+1)</f>
        <v/>
      </c>
      <c r="W1627" s="40" t="str">
        <f aca="false">IF($E1627="","",$E1627&amp;"#"&amp;COUNTIF($E$4:$E1627,$E1627))</f>
        <v/>
      </c>
      <c r="X1627" s="40" t="str">
        <f aca="false">IF($B1627="","",IF(AND(OR(CETAK!$J$10="",$E1627=CETAK!$J$10),OR(CETAK!$J$11="",$F1627=CETAK!$J$11),OR(CETAK!$J$12="",$K1627=CETAK!$J$12),OR(CETAK!$J$13="",$H1627=CETAK!$J$13),OR(CETAK!$J$14="",$O1627=CETAK!$J$14)),MAX($X$3:X1626)+1,""))</f>
        <v/>
      </c>
      <c r="Y1627" s="40" t="str">
        <f aca="false">IF($B1627="","",IF(AND(OR(ABSENSI!$H$10="",$E1627=ABSENSI!$H$10),OR(ABSENSI!$H$11="",$F1627=ABSENSI!$H$11),OR(ABSENSI!$H$12="",$K1627=ABSENSI!$H$12)),MAX($Y$3:Y1626)+1,""))</f>
        <v/>
      </c>
      <c r="Z1627" s="40" t="str">
        <f aca="false">IF($B1627="","",IF(AND(OR(KARTU!$K$6="",$E1627=KARTU!$K$6),OR(KARTU!$K$7="",$F1627=KARTU!$K$7),OR(KARTU!$K$8="",$K1627=KARTU!$K$8)),MAX($Z$3:Z1626)+1,""))</f>
        <v/>
      </c>
    </row>
    <row r="1628" customFormat="false" ht="15" hidden="false" customHeight="false" outlineLevel="0" collapsed="false">
      <c r="A1628" s="36" t="str">
        <f aca="false">IF($B1628="","",COUNTA($B$4:$B1628))</f>
        <v/>
      </c>
      <c r="B1628" s="37"/>
      <c r="C1628" s="38"/>
      <c r="D1628" s="39"/>
      <c r="E1628" s="37"/>
      <c r="F1628" s="39"/>
      <c r="G1628" s="40" t="str">
        <f aca="false">IF(OR($E1628="",$F1628=""),"",$E1628&amp;" - RT "&amp;$F1628)</f>
        <v/>
      </c>
      <c r="H1628" s="37"/>
      <c r="I1628" s="38"/>
      <c r="J1628" s="37"/>
      <c r="K1628" s="39"/>
      <c r="L1628" s="41"/>
      <c r="M1628" s="36" t="str">
        <f aca="true">IF(OR($B1628="",$L1628=""),"",DATEDIF($L1628,TODAY(),"Y"))</f>
        <v/>
      </c>
      <c r="N1628" s="40" t="str">
        <f aca="false">IF($M1628="","",INDEX(usia_label,MATCH($M1628,usia_min,1)))</f>
        <v/>
      </c>
      <c r="O1628" s="37"/>
      <c r="P1628" s="41"/>
      <c r="Q1628" s="37"/>
      <c r="R1628" s="37"/>
      <c r="S1628" s="40" t="str">
        <f aca="false">IF($G1628="","",$G1628&amp;"#"&amp;COUNTIF($G$4:$G1628,$G1628))</f>
        <v/>
      </c>
      <c r="T1628" s="40" t="str">
        <f aca="false">IF($B1628="","",IF($C1628="","NIK kosong",IF(LEN($C1628)&lt;&gt;16,"NIK bukan 16 digit",IF(COUNTIF($C$4:$C$2003,$C1628&amp;"*")&gt;1,"NIK ganda",IF($E1628="","Kadus kosong",IF($F1628="","RT kosong",IF($H1628="","Jabatan kosong",IF($I1628="","No. HP kosong",IF($J1628="","Alamat kosong",IF(AND($M1628&lt;&gt;"",$M1628&lt;17),"Usia di bawah 17",""))))))))))</f>
        <v/>
      </c>
      <c r="U1628" s="40" t="str">
        <f aca="false">IF($B1628="","",IF(AND(OR(CARI!$C$5="",ISNUMBER(SEARCH(CARI!$C$5,$B1628&amp;" "&amp;$C1628&amp;" "&amp;$I1628&amp;" "&amp;$J1628&amp;" "&amp;$Q1628))),OR(CARI!$C$6="",$E1628=CARI!$C$6),OR(CARI!$C$7="",$F1628=CARI!$C$7),OR(CARI!$C$8="",$O1628=CARI!$C$8)),MAX($U$3:U1627)+1,""))</f>
        <v/>
      </c>
      <c r="V1628" s="40" t="str">
        <f aca="false">IF($T1628="","",MAX($V$3:V1627)+1)</f>
        <v/>
      </c>
      <c r="W1628" s="40" t="str">
        <f aca="false">IF($E1628="","",$E1628&amp;"#"&amp;COUNTIF($E$4:$E1628,$E1628))</f>
        <v/>
      </c>
      <c r="X1628" s="40" t="str">
        <f aca="false">IF($B1628="","",IF(AND(OR(CETAK!$J$10="",$E1628=CETAK!$J$10),OR(CETAK!$J$11="",$F1628=CETAK!$J$11),OR(CETAK!$J$12="",$K1628=CETAK!$J$12),OR(CETAK!$J$13="",$H1628=CETAK!$J$13),OR(CETAK!$J$14="",$O1628=CETAK!$J$14)),MAX($X$3:X1627)+1,""))</f>
        <v/>
      </c>
      <c r="Y1628" s="40" t="str">
        <f aca="false">IF($B1628="","",IF(AND(OR(ABSENSI!$H$10="",$E1628=ABSENSI!$H$10),OR(ABSENSI!$H$11="",$F1628=ABSENSI!$H$11),OR(ABSENSI!$H$12="",$K1628=ABSENSI!$H$12)),MAX($Y$3:Y1627)+1,""))</f>
        <v/>
      </c>
      <c r="Z1628" s="40" t="str">
        <f aca="false">IF($B1628="","",IF(AND(OR(KARTU!$K$6="",$E1628=KARTU!$K$6),OR(KARTU!$K$7="",$F1628=KARTU!$K$7),OR(KARTU!$K$8="",$K1628=KARTU!$K$8)),MAX($Z$3:Z1627)+1,""))</f>
        <v/>
      </c>
    </row>
    <row r="1629" customFormat="false" ht="15" hidden="false" customHeight="false" outlineLevel="0" collapsed="false">
      <c r="A1629" s="36" t="str">
        <f aca="false">IF($B1629="","",COUNTA($B$4:$B1629))</f>
        <v/>
      </c>
      <c r="B1629" s="37"/>
      <c r="C1629" s="38"/>
      <c r="D1629" s="39"/>
      <c r="E1629" s="37"/>
      <c r="F1629" s="39"/>
      <c r="G1629" s="40" t="str">
        <f aca="false">IF(OR($E1629="",$F1629=""),"",$E1629&amp;" - RT "&amp;$F1629)</f>
        <v/>
      </c>
      <c r="H1629" s="37"/>
      <c r="I1629" s="38"/>
      <c r="J1629" s="37"/>
      <c r="K1629" s="39"/>
      <c r="L1629" s="41"/>
      <c r="M1629" s="36" t="str">
        <f aca="true">IF(OR($B1629="",$L1629=""),"",DATEDIF($L1629,TODAY(),"Y"))</f>
        <v/>
      </c>
      <c r="N1629" s="40" t="str">
        <f aca="false">IF($M1629="","",INDEX(usia_label,MATCH($M1629,usia_min,1)))</f>
        <v/>
      </c>
      <c r="O1629" s="37"/>
      <c r="P1629" s="41"/>
      <c r="Q1629" s="37"/>
      <c r="R1629" s="37"/>
      <c r="S1629" s="40" t="str">
        <f aca="false">IF($G1629="","",$G1629&amp;"#"&amp;COUNTIF($G$4:$G1629,$G1629))</f>
        <v/>
      </c>
      <c r="T1629" s="40" t="str">
        <f aca="false">IF($B1629="","",IF($C1629="","NIK kosong",IF(LEN($C1629)&lt;&gt;16,"NIK bukan 16 digit",IF(COUNTIF($C$4:$C$2003,$C1629&amp;"*")&gt;1,"NIK ganda",IF($E1629="","Kadus kosong",IF($F1629="","RT kosong",IF($H1629="","Jabatan kosong",IF($I1629="","No. HP kosong",IF($J1629="","Alamat kosong",IF(AND($M1629&lt;&gt;"",$M1629&lt;17),"Usia di bawah 17",""))))))))))</f>
        <v/>
      </c>
      <c r="U1629" s="40" t="str">
        <f aca="false">IF($B1629="","",IF(AND(OR(CARI!$C$5="",ISNUMBER(SEARCH(CARI!$C$5,$B1629&amp;" "&amp;$C1629&amp;" "&amp;$I1629&amp;" "&amp;$J1629&amp;" "&amp;$Q1629))),OR(CARI!$C$6="",$E1629=CARI!$C$6),OR(CARI!$C$7="",$F1629=CARI!$C$7),OR(CARI!$C$8="",$O1629=CARI!$C$8)),MAX($U$3:U1628)+1,""))</f>
        <v/>
      </c>
      <c r="V1629" s="40" t="str">
        <f aca="false">IF($T1629="","",MAX($V$3:V1628)+1)</f>
        <v/>
      </c>
      <c r="W1629" s="40" t="str">
        <f aca="false">IF($E1629="","",$E1629&amp;"#"&amp;COUNTIF($E$4:$E1629,$E1629))</f>
        <v/>
      </c>
      <c r="X1629" s="40" t="str">
        <f aca="false">IF($B1629="","",IF(AND(OR(CETAK!$J$10="",$E1629=CETAK!$J$10),OR(CETAK!$J$11="",$F1629=CETAK!$J$11),OR(CETAK!$J$12="",$K1629=CETAK!$J$12),OR(CETAK!$J$13="",$H1629=CETAK!$J$13),OR(CETAK!$J$14="",$O1629=CETAK!$J$14)),MAX($X$3:X1628)+1,""))</f>
        <v/>
      </c>
      <c r="Y1629" s="40" t="str">
        <f aca="false">IF($B1629="","",IF(AND(OR(ABSENSI!$H$10="",$E1629=ABSENSI!$H$10),OR(ABSENSI!$H$11="",$F1629=ABSENSI!$H$11),OR(ABSENSI!$H$12="",$K1629=ABSENSI!$H$12)),MAX($Y$3:Y1628)+1,""))</f>
        <v/>
      </c>
      <c r="Z1629" s="40" t="str">
        <f aca="false">IF($B1629="","",IF(AND(OR(KARTU!$K$6="",$E1629=KARTU!$K$6),OR(KARTU!$K$7="",$F1629=KARTU!$K$7),OR(KARTU!$K$8="",$K1629=KARTU!$K$8)),MAX($Z$3:Z1628)+1,""))</f>
        <v/>
      </c>
    </row>
    <row r="1630" customFormat="false" ht="15" hidden="false" customHeight="false" outlineLevel="0" collapsed="false">
      <c r="A1630" s="36" t="str">
        <f aca="false">IF($B1630="","",COUNTA($B$4:$B1630))</f>
        <v/>
      </c>
      <c r="B1630" s="37"/>
      <c r="C1630" s="38"/>
      <c r="D1630" s="39"/>
      <c r="E1630" s="37"/>
      <c r="F1630" s="39"/>
      <c r="G1630" s="40" t="str">
        <f aca="false">IF(OR($E1630="",$F1630=""),"",$E1630&amp;" - RT "&amp;$F1630)</f>
        <v/>
      </c>
      <c r="H1630" s="37"/>
      <c r="I1630" s="38"/>
      <c r="J1630" s="37"/>
      <c r="K1630" s="39"/>
      <c r="L1630" s="41"/>
      <c r="M1630" s="36" t="str">
        <f aca="true">IF(OR($B1630="",$L1630=""),"",DATEDIF($L1630,TODAY(),"Y"))</f>
        <v/>
      </c>
      <c r="N1630" s="40" t="str">
        <f aca="false">IF($M1630="","",INDEX(usia_label,MATCH($M1630,usia_min,1)))</f>
        <v/>
      </c>
      <c r="O1630" s="37"/>
      <c r="P1630" s="41"/>
      <c r="Q1630" s="37"/>
      <c r="R1630" s="37"/>
      <c r="S1630" s="40" t="str">
        <f aca="false">IF($G1630="","",$G1630&amp;"#"&amp;COUNTIF($G$4:$G1630,$G1630))</f>
        <v/>
      </c>
      <c r="T1630" s="40" t="str">
        <f aca="false">IF($B1630="","",IF($C1630="","NIK kosong",IF(LEN($C1630)&lt;&gt;16,"NIK bukan 16 digit",IF(COUNTIF($C$4:$C$2003,$C1630&amp;"*")&gt;1,"NIK ganda",IF($E1630="","Kadus kosong",IF($F1630="","RT kosong",IF($H1630="","Jabatan kosong",IF($I1630="","No. HP kosong",IF($J1630="","Alamat kosong",IF(AND($M1630&lt;&gt;"",$M1630&lt;17),"Usia di bawah 17",""))))))))))</f>
        <v/>
      </c>
      <c r="U1630" s="40" t="str">
        <f aca="false">IF($B1630="","",IF(AND(OR(CARI!$C$5="",ISNUMBER(SEARCH(CARI!$C$5,$B1630&amp;" "&amp;$C1630&amp;" "&amp;$I1630&amp;" "&amp;$J1630&amp;" "&amp;$Q1630))),OR(CARI!$C$6="",$E1630=CARI!$C$6),OR(CARI!$C$7="",$F1630=CARI!$C$7),OR(CARI!$C$8="",$O1630=CARI!$C$8)),MAX($U$3:U1629)+1,""))</f>
        <v/>
      </c>
      <c r="V1630" s="40" t="str">
        <f aca="false">IF($T1630="","",MAX($V$3:V1629)+1)</f>
        <v/>
      </c>
      <c r="W1630" s="40" t="str">
        <f aca="false">IF($E1630="","",$E1630&amp;"#"&amp;COUNTIF($E$4:$E1630,$E1630))</f>
        <v/>
      </c>
      <c r="X1630" s="40" t="str">
        <f aca="false">IF($B1630="","",IF(AND(OR(CETAK!$J$10="",$E1630=CETAK!$J$10),OR(CETAK!$J$11="",$F1630=CETAK!$J$11),OR(CETAK!$J$12="",$K1630=CETAK!$J$12),OR(CETAK!$J$13="",$H1630=CETAK!$J$13),OR(CETAK!$J$14="",$O1630=CETAK!$J$14)),MAX($X$3:X1629)+1,""))</f>
        <v/>
      </c>
      <c r="Y1630" s="40" t="str">
        <f aca="false">IF($B1630="","",IF(AND(OR(ABSENSI!$H$10="",$E1630=ABSENSI!$H$10),OR(ABSENSI!$H$11="",$F1630=ABSENSI!$H$11),OR(ABSENSI!$H$12="",$K1630=ABSENSI!$H$12)),MAX($Y$3:Y1629)+1,""))</f>
        <v/>
      </c>
      <c r="Z1630" s="40" t="str">
        <f aca="false">IF($B1630="","",IF(AND(OR(KARTU!$K$6="",$E1630=KARTU!$K$6),OR(KARTU!$K$7="",$F1630=KARTU!$K$7),OR(KARTU!$K$8="",$K1630=KARTU!$K$8)),MAX($Z$3:Z1629)+1,""))</f>
        <v/>
      </c>
    </row>
    <row r="1631" customFormat="false" ht="15" hidden="false" customHeight="false" outlineLevel="0" collapsed="false">
      <c r="A1631" s="36" t="str">
        <f aca="false">IF($B1631="","",COUNTA($B$4:$B1631))</f>
        <v/>
      </c>
      <c r="B1631" s="37"/>
      <c r="C1631" s="38"/>
      <c r="D1631" s="39"/>
      <c r="E1631" s="37"/>
      <c r="F1631" s="39"/>
      <c r="G1631" s="40" t="str">
        <f aca="false">IF(OR($E1631="",$F1631=""),"",$E1631&amp;" - RT "&amp;$F1631)</f>
        <v/>
      </c>
      <c r="H1631" s="37"/>
      <c r="I1631" s="38"/>
      <c r="J1631" s="37"/>
      <c r="K1631" s="39"/>
      <c r="L1631" s="41"/>
      <c r="M1631" s="36" t="str">
        <f aca="true">IF(OR($B1631="",$L1631=""),"",DATEDIF($L1631,TODAY(),"Y"))</f>
        <v/>
      </c>
      <c r="N1631" s="40" t="str">
        <f aca="false">IF($M1631="","",INDEX(usia_label,MATCH($M1631,usia_min,1)))</f>
        <v/>
      </c>
      <c r="O1631" s="37"/>
      <c r="P1631" s="41"/>
      <c r="Q1631" s="37"/>
      <c r="R1631" s="37"/>
      <c r="S1631" s="40" t="str">
        <f aca="false">IF($G1631="","",$G1631&amp;"#"&amp;COUNTIF($G$4:$G1631,$G1631))</f>
        <v/>
      </c>
      <c r="T1631" s="40" t="str">
        <f aca="false">IF($B1631="","",IF($C1631="","NIK kosong",IF(LEN($C1631)&lt;&gt;16,"NIK bukan 16 digit",IF(COUNTIF($C$4:$C$2003,$C1631&amp;"*")&gt;1,"NIK ganda",IF($E1631="","Kadus kosong",IF($F1631="","RT kosong",IF($H1631="","Jabatan kosong",IF($I1631="","No. HP kosong",IF($J1631="","Alamat kosong",IF(AND($M1631&lt;&gt;"",$M1631&lt;17),"Usia di bawah 17",""))))))))))</f>
        <v/>
      </c>
      <c r="U1631" s="40" t="str">
        <f aca="false">IF($B1631="","",IF(AND(OR(CARI!$C$5="",ISNUMBER(SEARCH(CARI!$C$5,$B1631&amp;" "&amp;$C1631&amp;" "&amp;$I1631&amp;" "&amp;$J1631&amp;" "&amp;$Q1631))),OR(CARI!$C$6="",$E1631=CARI!$C$6),OR(CARI!$C$7="",$F1631=CARI!$C$7),OR(CARI!$C$8="",$O1631=CARI!$C$8)),MAX($U$3:U1630)+1,""))</f>
        <v/>
      </c>
      <c r="V1631" s="40" t="str">
        <f aca="false">IF($T1631="","",MAX($V$3:V1630)+1)</f>
        <v/>
      </c>
      <c r="W1631" s="40" t="str">
        <f aca="false">IF($E1631="","",$E1631&amp;"#"&amp;COUNTIF($E$4:$E1631,$E1631))</f>
        <v/>
      </c>
      <c r="X1631" s="40" t="str">
        <f aca="false">IF($B1631="","",IF(AND(OR(CETAK!$J$10="",$E1631=CETAK!$J$10),OR(CETAK!$J$11="",$F1631=CETAK!$J$11),OR(CETAK!$J$12="",$K1631=CETAK!$J$12),OR(CETAK!$J$13="",$H1631=CETAK!$J$13),OR(CETAK!$J$14="",$O1631=CETAK!$J$14)),MAX($X$3:X1630)+1,""))</f>
        <v/>
      </c>
      <c r="Y1631" s="40" t="str">
        <f aca="false">IF($B1631="","",IF(AND(OR(ABSENSI!$H$10="",$E1631=ABSENSI!$H$10),OR(ABSENSI!$H$11="",$F1631=ABSENSI!$H$11),OR(ABSENSI!$H$12="",$K1631=ABSENSI!$H$12)),MAX($Y$3:Y1630)+1,""))</f>
        <v/>
      </c>
      <c r="Z1631" s="40" t="str">
        <f aca="false">IF($B1631="","",IF(AND(OR(KARTU!$K$6="",$E1631=KARTU!$K$6),OR(KARTU!$K$7="",$F1631=KARTU!$K$7),OR(KARTU!$K$8="",$K1631=KARTU!$K$8)),MAX($Z$3:Z1630)+1,""))</f>
        <v/>
      </c>
    </row>
    <row r="1632" customFormat="false" ht="15" hidden="false" customHeight="false" outlineLevel="0" collapsed="false">
      <c r="A1632" s="36" t="str">
        <f aca="false">IF($B1632="","",COUNTA($B$4:$B1632))</f>
        <v/>
      </c>
      <c r="B1632" s="37"/>
      <c r="C1632" s="38"/>
      <c r="D1632" s="39"/>
      <c r="E1632" s="37"/>
      <c r="F1632" s="39"/>
      <c r="G1632" s="40" t="str">
        <f aca="false">IF(OR($E1632="",$F1632=""),"",$E1632&amp;" - RT "&amp;$F1632)</f>
        <v/>
      </c>
      <c r="H1632" s="37"/>
      <c r="I1632" s="38"/>
      <c r="J1632" s="37"/>
      <c r="K1632" s="39"/>
      <c r="L1632" s="41"/>
      <c r="M1632" s="36" t="str">
        <f aca="true">IF(OR($B1632="",$L1632=""),"",DATEDIF($L1632,TODAY(),"Y"))</f>
        <v/>
      </c>
      <c r="N1632" s="40" t="str">
        <f aca="false">IF($M1632="","",INDEX(usia_label,MATCH($M1632,usia_min,1)))</f>
        <v/>
      </c>
      <c r="O1632" s="37"/>
      <c r="P1632" s="41"/>
      <c r="Q1632" s="37"/>
      <c r="R1632" s="37"/>
      <c r="S1632" s="40" t="str">
        <f aca="false">IF($G1632="","",$G1632&amp;"#"&amp;COUNTIF($G$4:$G1632,$G1632))</f>
        <v/>
      </c>
      <c r="T1632" s="40" t="str">
        <f aca="false">IF($B1632="","",IF($C1632="","NIK kosong",IF(LEN($C1632)&lt;&gt;16,"NIK bukan 16 digit",IF(COUNTIF($C$4:$C$2003,$C1632&amp;"*")&gt;1,"NIK ganda",IF($E1632="","Kadus kosong",IF($F1632="","RT kosong",IF($H1632="","Jabatan kosong",IF($I1632="","No. HP kosong",IF($J1632="","Alamat kosong",IF(AND($M1632&lt;&gt;"",$M1632&lt;17),"Usia di bawah 17",""))))))))))</f>
        <v/>
      </c>
      <c r="U1632" s="40" t="str">
        <f aca="false">IF($B1632="","",IF(AND(OR(CARI!$C$5="",ISNUMBER(SEARCH(CARI!$C$5,$B1632&amp;" "&amp;$C1632&amp;" "&amp;$I1632&amp;" "&amp;$J1632&amp;" "&amp;$Q1632))),OR(CARI!$C$6="",$E1632=CARI!$C$6),OR(CARI!$C$7="",$F1632=CARI!$C$7),OR(CARI!$C$8="",$O1632=CARI!$C$8)),MAX($U$3:U1631)+1,""))</f>
        <v/>
      </c>
      <c r="V1632" s="40" t="str">
        <f aca="false">IF($T1632="","",MAX($V$3:V1631)+1)</f>
        <v/>
      </c>
      <c r="W1632" s="40" t="str">
        <f aca="false">IF($E1632="","",$E1632&amp;"#"&amp;COUNTIF($E$4:$E1632,$E1632))</f>
        <v/>
      </c>
      <c r="X1632" s="40" t="str">
        <f aca="false">IF($B1632="","",IF(AND(OR(CETAK!$J$10="",$E1632=CETAK!$J$10),OR(CETAK!$J$11="",$F1632=CETAK!$J$11),OR(CETAK!$J$12="",$K1632=CETAK!$J$12),OR(CETAK!$J$13="",$H1632=CETAK!$J$13),OR(CETAK!$J$14="",$O1632=CETAK!$J$14)),MAX($X$3:X1631)+1,""))</f>
        <v/>
      </c>
      <c r="Y1632" s="40" t="str">
        <f aca="false">IF($B1632="","",IF(AND(OR(ABSENSI!$H$10="",$E1632=ABSENSI!$H$10),OR(ABSENSI!$H$11="",$F1632=ABSENSI!$H$11),OR(ABSENSI!$H$12="",$K1632=ABSENSI!$H$12)),MAX($Y$3:Y1631)+1,""))</f>
        <v/>
      </c>
      <c r="Z1632" s="40" t="str">
        <f aca="false">IF($B1632="","",IF(AND(OR(KARTU!$K$6="",$E1632=KARTU!$K$6),OR(KARTU!$K$7="",$F1632=KARTU!$K$7),OR(KARTU!$K$8="",$K1632=KARTU!$K$8)),MAX($Z$3:Z1631)+1,""))</f>
        <v/>
      </c>
    </row>
    <row r="1633" customFormat="false" ht="15" hidden="false" customHeight="false" outlineLevel="0" collapsed="false">
      <c r="A1633" s="36" t="str">
        <f aca="false">IF($B1633="","",COUNTA($B$4:$B1633))</f>
        <v/>
      </c>
      <c r="B1633" s="37"/>
      <c r="C1633" s="38"/>
      <c r="D1633" s="39"/>
      <c r="E1633" s="37"/>
      <c r="F1633" s="39"/>
      <c r="G1633" s="40" t="str">
        <f aca="false">IF(OR($E1633="",$F1633=""),"",$E1633&amp;" - RT "&amp;$F1633)</f>
        <v/>
      </c>
      <c r="H1633" s="37"/>
      <c r="I1633" s="38"/>
      <c r="J1633" s="37"/>
      <c r="K1633" s="39"/>
      <c r="L1633" s="41"/>
      <c r="M1633" s="36" t="str">
        <f aca="true">IF(OR($B1633="",$L1633=""),"",DATEDIF($L1633,TODAY(),"Y"))</f>
        <v/>
      </c>
      <c r="N1633" s="40" t="str">
        <f aca="false">IF($M1633="","",INDEX(usia_label,MATCH($M1633,usia_min,1)))</f>
        <v/>
      </c>
      <c r="O1633" s="37"/>
      <c r="P1633" s="41"/>
      <c r="Q1633" s="37"/>
      <c r="R1633" s="37"/>
      <c r="S1633" s="40" t="str">
        <f aca="false">IF($G1633="","",$G1633&amp;"#"&amp;COUNTIF($G$4:$G1633,$G1633))</f>
        <v/>
      </c>
      <c r="T1633" s="40" t="str">
        <f aca="false">IF($B1633="","",IF($C1633="","NIK kosong",IF(LEN($C1633)&lt;&gt;16,"NIK bukan 16 digit",IF(COUNTIF($C$4:$C$2003,$C1633&amp;"*")&gt;1,"NIK ganda",IF($E1633="","Kadus kosong",IF($F1633="","RT kosong",IF($H1633="","Jabatan kosong",IF($I1633="","No. HP kosong",IF($J1633="","Alamat kosong",IF(AND($M1633&lt;&gt;"",$M1633&lt;17),"Usia di bawah 17",""))))))))))</f>
        <v/>
      </c>
      <c r="U1633" s="40" t="str">
        <f aca="false">IF($B1633="","",IF(AND(OR(CARI!$C$5="",ISNUMBER(SEARCH(CARI!$C$5,$B1633&amp;" "&amp;$C1633&amp;" "&amp;$I1633&amp;" "&amp;$J1633&amp;" "&amp;$Q1633))),OR(CARI!$C$6="",$E1633=CARI!$C$6),OR(CARI!$C$7="",$F1633=CARI!$C$7),OR(CARI!$C$8="",$O1633=CARI!$C$8)),MAX($U$3:U1632)+1,""))</f>
        <v/>
      </c>
      <c r="V1633" s="40" t="str">
        <f aca="false">IF($T1633="","",MAX($V$3:V1632)+1)</f>
        <v/>
      </c>
      <c r="W1633" s="40" t="str">
        <f aca="false">IF($E1633="","",$E1633&amp;"#"&amp;COUNTIF($E$4:$E1633,$E1633))</f>
        <v/>
      </c>
      <c r="X1633" s="40" t="str">
        <f aca="false">IF($B1633="","",IF(AND(OR(CETAK!$J$10="",$E1633=CETAK!$J$10),OR(CETAK!$J$11="",$F1633=CETAK!$J$11),OR(CETAK!$J$12="",$K1633=CETAK!$J$12),OR(CETAK!$J$13="",$H1633=CETAK!$J$13),OR(CETAK!$J$14="",$O1633=CETAK!$J$14)),MAX($X$3:X1632)+1,""))</f>
        <v/>
      </c>
      <c r="Y1633" s="40" t="str">
        <f aca="false">IF($B1633="","",IF(AND(OR(ABSENSI!$H$10="",$E1633=ABSENSI!$H$10),OR(ABSENSI!$H$11="",$F1633=ABSENSI!$H$11),OR(ABSENSI!$H$12="",$K1633=ABSENSI!$H$12)),MAX($Y$3:Y1632)+1,""))</f>
        <v/>
      </c>
      <c r="Z1633" s="40" t="str">
        <f aca="false">IF($B1633="","",IF(AND(OR(KARTU!$K$6="",$E1633=KARTU!$K$6),OR(KARTU!$K$7="",$F1633=KARTU!$K$7),OR(KARTU!$K$8="",$K1633=KARTU!$K$8)),MAX($Z$3:Z1632)+1,""))</f>
        <v/>
      </c>
    </row>
    <row r="1634" customFormat="false" ht="15" hidden="false" customHeight="false" outlineLevel="0" collapsed="false">
      <c r="A1634" s="36" t="str">
        <f aca="false">IF($B1634="","",COUNTA($B$4:$B1634))</f>
        <v/>
      </c>
      <c r="B1634" s="37"/>
      <c r="C1634" s="38"/>
      <c r="D1634" s="39"/>
      <c r="E1634" s="37"/>
      <c r="F1634" s="39"/>
      <c r="G1634" s="40" t="str">
        <f aca="false">IF(OR($E1634="",$F1634=""),"",$E1634&amp;" - RT "&amp;$F1634)</f>
        <v/>
      </c>
      <c r="H1634" s="37"/>
      <c r="I1634" s="38"/>
      <c r="J1634" s="37"/>
      <c r="K1634" s="39"/>
      <c r="L1634" s="41"/>
      <c r="M1634" s="36" t="str">
        <f aca="true">IF(OR($B1634="",$L1634=""),"",DATEDIF($L1634,TODAY(),"Y"))</f>
        <v/>
      </c>
      <c r="N1634" s="40" t="str">
        <f aca="false">IF($M1634="","",INDEX(usia_label,MATCH($M1634,usia_min,1)))</f>
        <v/>
      </c>
      <c r="O1634" s="37"/>
      <c r="P1634" s="41"/>
      <c r="Q1634" s="37"/>
      <c r="R1634" s="37"/>
      <c r="S1634" s="40" t="str">
        <f aca="false">IF($G1634="","",$G1634&amp;"#"&amp;COUNTIF($G$4:$G1634,$G1634))</f>
        <v/>
      </c>
      <c r="T1634" s="40" t="str">
        <f aca="false">IF($B1634="","",IF($C1634="","NIK kosong",IF(LEN($C1634)&lt;&gt;16,"NIK bukan 16 digit",IF(COUNTIF($C$4:$C$2003,$C1634&amp;"*")&gt;1,"NIK ganda",IF($E1634="","Kadus kosong",IF($F1634="","RT kosong",IF($H1634="","Jabatan kosong",IF($I1634="","No. HP kosong",IF($J1634="","Alamat kosong",IF(AND($M1634&lt;&gt;"",$M1634&lt;17),"Usia di bawah 17",""))))))))))</f>
        <v/>
      </c>
      <c r="U1634" s="40" t="str">
        <f aca="false">IF($B1634="","",IF(AND(OR(CARI!$C$5="",ISNUMBER(SEARCH(CARI!$C$5,$B1634&amp;" "&amp;$C1634&amp;" "&amp;$I1634&amp;" "&amp;$J1634&amp;" "&amp;$Q1634))),OR(CARI!$C$6="",$E1634=CARI!$C$6),OR(CARI!$C$7="",$F1634=CARI!$C$7),OR(CARI!$C$8="",$O1634=CARI!$C$8)),MAX($U$3:U1633)+1,""))</f>
        <v/>
      </c>
      <c r="V1634" s="40" t="str">
        <f aca="false">IF($T1634="","",MAX($V$3:V1633)+1)</f>
        <v/>
      </c>
      <c r="W1634" s="40" t="str">
        <f aca="false">IF($E1634="","",$E1634&amp;"#"&amp;COUNTIF($E$4:$E1634,$E1634))</f>
        <v/>
      </c>
      <c r="X1634" s="40" t="str">
        <f aca="false">IF($B1634="","",IF(AND(OR(CETAK!$J$10="",$E1634=CETAK!$J$10),OR(CETAK!$J$11="",$F1634=CETAK!$J$11),OR(CETAK!$J$12="",$K1634=CETAK!$J$12),OR(CETAK!$J$13="",$H1634=CETAK!$J$13),OR(CETAK!$J$14="",$O1634=CETAK!$J$14)),MAX($X$3:X1633)+1,""))</f>
        <v/>
      </c>
      <c r="Y1634" s="40" t="str">
        <f aca="false">IF($B1634="","",IF(AND(OR(ABSENSI!$H$10="",$E1634=ABSENSI!$H$10),OR(ABSENSI!$H$11="",$F1634=ABSENSI!$H$11),OR(ABSENSI!$H$12="",$K1634=ABSENSI!$H$12)),MAX($Y$3:Y1633)+1,""))</f>
        <v/>
      </c>
      <c r="Z1634" s="40" t="str">
        <f aca="false">IF($B1634="","",IF(AND(OR(KARTU!$K$6="",$E1634=KARTU!$K$6),OR(KARTU!$K$7="",$F1634=KARTU!$K$7),OR(KARTU!$K$8="",$K1634=KARTU!$K$8)),MAX($Z$3:Z1633)+1,""))</f>
        <v/>
      </c>
    </row>
    <row r="1635" customFormat="false" ht="15" hidden="false" customHeight="false" outlineLevel="0" collapsed="false">
      <c r="A1635" s="36" t="str">
        <f aca="false">IF($B1635="","",COUNTA($B$4:$B1635))</f>
        <v/>
      </c>
      <c r="B1635" s="37"/>
      <c r="C1635" s="38"/>
      <c r="D1635" s="39"/>
      <c r="E1635" s="37"/>
      <c r="F1635" s="39"/>
      <c r="G1635" s="40" t="str">
        <f aca="false">IF(OR($E1635="",$F1635=""),"",$E1635&amp;" - RT "&amp;$F1635)</f>
        <v/>
      </c>
      <c r="H1635" s="37"/>
      <c r="I1635" s="38"/>
      <c r="J1635" s="37"/>
      <c r="K1635" s="39"/>
      <c r="L1635" s="41"/>
      <c r="M1635" s="36" t="str">
        <f aca="true">IF(OR($B1635="",$L1635=""),"",DATEDIF($L1635,TODAY(),"Y"))</f>
        <v/>
      </c>
      <c r="N1635" s="40" t="str">
        <f aca="false">IF($M1635="","",INDEX(usia_label,MATCH($M1635,usia_min,1)))</f>
        <v/>
      </c>
      <c r="O1635" s="37"/>
      <c r="P1635" s="41"/>
      <c r="Q1635" s="37"/>
      <c r="R1635" s="37"/>
      <c r="S1635" s="40" t="str">
        <f aca="false">IF($G1635="","",$G1635&amp;"#"&amp;COUNTIF($G$4:$G1635,$G1635))</f>
        <v/>
      </c>
      <c r="T1635" s="40" t="str">
        <f aca="false">IF($B1635="","",IF($C1635="","NIK kosong",IF(LEN($C1635)&lt;&gt;16,"NIK bukan 16 digit",IF(COUNTIF($C$4:$C$2003,$C1635&amp;"*")&gt;1,"NIK ganda",IF($E1635="","Kadus kosong",IF($F1635="","RT kosong",IF($H1635="","Jabatan kosong",IF($I1635="","No. HP kosong",IF($J1635="","Alamat kosong",IF(AND($M1635&lt;&gt;"",$M1635&lt;17),"Usia di bawah 17",""))))))))))</f>
        <v/>
      </c>
      <c r="U1635" s="40" t="str">
        <f aca="false">IF($B1635="","",IF(AND(OR(CARI!$C$5="",ISNUMBER(SEARCH(CARI!$C$5,$B1635&amp;" "&amp;$C1635&amp;" "&amp;$I1635&amp;" "&amp;$J1635&amp;" "&amp;$Q1635))),OR(CARI!$C$6="",$E1635=CARI!$C$6),OR(CARI!$C$7="",$F1635=CARI!$C$7),OR(CARI!$C$8="",$O1635=CARI!$C$8)),MAX($U$3:U1634)+1,""))</f>
        <v/>
      </c>
      <c r="V1635" s="40" t="str">
        <f aca="false">IF($T1635="","",MAX($V$3:V1634)+1)</f>
        <v/>
      </c>
      <c r="W1635" s="40" t="str">
        <f aca="false">IF($E1635="","",$E1635&amp;"#"&amp;COUNTIF($E$4:$E1635,$E1635))</f>
        <v/>
      </c>
      <c r="X1635" s="40" t="str">
        <f aca="false">IF($B1635="","",IF(AND(OR(CETAK!$J$10="",$E1635=CETAK!$J$10),OR(CETAK!$J$11="",$F1635=CETAK!$J$11),OR(CETAK!$J$12="",$K1635=CETAK!$J$12),OR(CETAK!$J$13="",$H1635=CETAK!$J$13),OR(CETAK!$J$14="",$O1635=CETAK!$J$14)),MAX($X$3:X1634)+1,""))</f>
        <v/>
      </c>
      <c r="Y1635" s="40" t="str">
        <f aca="false">IF($B1635="","",IF(AND(OR(ABSENSI!$H$10="",$E1635=ABSENSI!$H$10),OR(ABSENSI!$H$11="",$F1635=ABSENSI!$H$11),OR(ABSENSI!$H$12="",$K1635=ABSENSI!$H$12)),MAX($Y$3:Y1634)+1,""))</f>
        <v/>
      </c>
      <c r="Z1635" s="40" t="str">
        <f aca="false">IF($B1635="","",IF(AND(OR(KARTU!$K$6="",$E1635=KARTU!$K$6),OR(KARTU!$K$7="",$F1635=KARTU!$K$7),OR(KARTU!$K$8="",$K1635=KARTU!$K$8)),MAX($Z$3:Z1634)+1,""))</f>
        <v/>
      </c>
    </row>
    <row r="1636" customFormat="false" ht="15" hidden="false" customHeight="false" outlineLevel="0" collapsed="false">
      <c r="A1636" s="36" t="str">
        <f aca="false">IF($B1636="","",COUNTA($B$4:$B1636))</f>
        <v/>
      </c>
      <c r="B1636" s="37"/>
      <c r="C1636" s="38"/>
      <c r="D1636" s="39"/>
      <c r="E1636" s="37"/>
      <c r="F1636" s="39"/>
      <c r="G1636" s="40" t="str">
        <f aca="false">IF(OR($E1636="",$F1636=""),"",$E1636&amp;" - RT "&amp;$F1636)</f>
        <v/>
      </c>
      <c r="H1636" s="37"/>
      <c r="I1636" s="38"/>
      <c r="J1636" s="37"/>
      <c r="K1636" s="39"/>
      <c r="L1636" s="41"/>
      <c r="M1636" s="36" t="str">
        <f aca="true">IF(OR($B1636="",$L1636=""),"",DATEDIF($L1636,TODAY(),"Y"))</f>
        <v/>
      </c>
      <c r="N1636" s="40" t="str">
        <f aca="false">IF($M1636="","",INDEX(usia_label,MATCH($M1636,usia_min,1)))</f>
        <v/>
      </c>
      <c r="O1636" s="37"/>
      <c r="P1636" s="41"/>
      <c r="Q1636" s="37"/>
      <c r="R1636" s="37"/>
      <c r="S1636" s="40" t="str">
        <f aca="false">IF($G1636="","",$G1636&amp;"#"&amp;COUNTIF($G$4:$G1636,$G1636))</f>
        <v/>
      </c>
      <c r="T1636" s="40" t="str">
        <f aca="false">IF($B1636="","",IF($C1636="","NIK kosong",IF(LEN($C1636)&lt;&gt;16,"NIK bukan 16 digit",IF(COUNTIF($C$4:$C$2003,$C1636&amp;"*")&gt;1,"NIK ganda",IF($E1636="","Kadus kosong",IF($F1636="","RT kosong",IF($H1636="","Jabatan kosong",IF($I1636="","No. HP kosong",IF($J1636="","Alamat kosong",IF(AND($M1636&lt;&gt;"",$M1636&lt;17),"Usia di bawah 17",""))))))))))</f>
        <v/>
      </c>
      <c r="U1636" s="40" t="str">
        <f aca="false">IF($B1636="","",IF(AND(OR(CARI!$C$5="",ISNUMBER(SEARCH(CARI!$C$5,$B1636&amp;" "&amp;$C1636&amp;" "&amp;$I1636&amp;" "&amp;$J1636&amp;" "&amp;$Q1636))),OR(CARI!$C$6="",$E1636=CARI!$C$6),OR(CARI!$C$7="",$F1636=CARI!$C$7),OR(CARI!$C$8="",$O1636=CARI!$C$8)),MAX($U$3:U1635)+1,""))</f>
        <v/>
      </c>
      <c r="V1636" s="40" t="str">
        <f aca="false">IF($T1636="","",MAX($V$3:V1635)+1)</f>
        <v/>
      </c>
      <c r="W1636" s="40" t="str">
        <f aca="false">IF($E1636="","",$E1636&amp;"#"&amp;COUNTIF($E$4:$E1636,$E1636))</f>
        <v/>
      </c>
      <c r="X1636" s="40" t="str">
        <f aca="false">IF($B1636="","",IF(AND(OR(CETAK!$J$10="",$E1636=CETAK!$J$10),OR(CETAK!$J$11="",$F1636=CETAK!$J$11),OR(CETAK!$J$12="",$K1636=CETAK!$J$12),OR(CETAK!$J$13="",$H1636=CETAK!$J$13),OR(CETAK!$J$14="",$O1636=CETAK!$J$14)),MAX($X$3:X1635)+1,""))</f>
        <v/>
      </c>
      <c r="Y1636" s="40" t="str">
        <f aca="false">IF($B1636="","",IF(AND(OR(ABSENSI!$H$10="",$E1636=ABSENSI!$H$10),OR(ABSENSI!$H$11="",$F1636=ABSENSI!$H$11),OR(ABSENSI!$H$12="",$K1636=ABSENSI!$H$12)),MAX($Y$3:Y1635)+1,""))</f>
        <v/>
      </c>
      <c r="Z1636" s="40" t="str">
        <f aca="false">IF($B1636="","",IF(AND(OR(KARTU!$K$6="",$E1636=KARTU!$K$6),OR(KARTU!$K$7="",$F1636=KARTU!$K$7),OR(KARTU!$K$8="",$K1636=KARTU!$K$8)),MAX($Z$3:Z1635)+1,""))</f>
        <v/>
      </c>
    </row>
    <row r="1637" customFormat="false" ht="15" hidden="false" customHeight="false" outlineLevel="0" collapsed="false">
      <c r="A1637" s="36" t="str">
        <f aca="false">IF($B1637="","",COUNTA($B$4:$B1637))</f>
        <v/>
      </c>
      <c r="B1637" s="37"/>
      <c r="C1637" s="38"/>
      <c r="D1637" s="39"/>
      <c r="E1637" s="37"/>
      <c r="F1637" s="39"/>
      <c r="G1637" s="40" t="str">
        <f aca="false">IF(OR($E1637="",$F1637=""),"",$E1637&amp;" - RT "&amp;$F1637)</f>
        <v/>
      </c>
      <c r="H1637" s="37"/>
      <c r="I1637" s="38"/>
      <c r="J1637" s="37"/>
      <c r="K1637" s="39"/>
      <c r="L1637" s="41"/>
      <c r="M1637" s="36" t="str">
        <f aca="true">IF(OR($B1637="",$L1637=""),"",DATEDIF($L1637,TODAY(),"Y"))</f>
        <v/>
      </c>
      <c r="N1637" s="40" t="str">
        <f aca="false">IF($M1637="","",INDEX(usia_label,MATCH($M1637,usia_min,1)))</f>
        <v/>
      </c>
      <c r="O1637" s="37"/>
      <c r="P1637" s="41"/>
      <c r="Q1637" s="37"/>
      <c r="R1637" s="37"/>
      <c r="S1637" s="40" t="str">
        <f aca="false">IF($G1637="","",$G1637&amp;"#"&amp;COUNTIF($G$4:$G1637,$G1637))</f>
        <v/>
      </c>
      <c r="T1637" s="40" t="str">
        <f aca="false">IF($B1637="","",IF($C1637="","NIK kosong",IF(LEN($C1637)&lt;&gt;16,"NIK bukan 16 digit",IF(COUNTIF($C$4:$C$2003,$C1637&amp;"*")&gt;1,"NIK ganda",IF($E1637="","Kadus kosong",IF($F1637="","RT kosong",IF($H1637="","Jabatan kosong",IF($I1637="","No. HP kosong",IF($J1637="","Alamat kosong",IF(AND($M1637&lt;&gt;"",$M1637&lt;17),"Usia di bawah 17",""))))))))))</f>
        <v/>
      </c>
      <c r="U1637" s="40" t="str">
        <f aca="false">IF($B1637="","",IF(AND(OR(CARI!$C$5="",ISNUMBER(SEARCH(CARI!$C$5,$B1637&amp;" "&amp;$C1637&amp;" "&amp;$I1637&amp;" "&amp;$J1637&amp;" "&amp;$Q1637))),OR(CARI!$C$6="",$E1637=CARI!$C$6),OR(CARI!$C$7="",$F1637=CARI!$C$7),OR(CARI!$C$8="",$O1637=CARI!$C$8)),MAX($U$3:U1636)+1,""))</f>
        <v/>
      </c>
      <c r="V1637" s="40" t="str">
        <f aca="false">IF($T1637="","",MAX($V$3:V1636)+1)</f>
        <v/>
      </c>
      <c r="W1637" s="40" t="str">
        <f aca="false">IF($E1637="","",$E1637&amp;"#"&amp;COUNTIF($E$4:$E1637,$E1637))</f>
        <v/>
      </c>
      <c r="X1637" s="40" t="str">
        <f aca="false">IF($B1637="","",IF(AND(OR(CETAK!$J$10="",$E1637=CETAK!$J$10),OR(CETAK!$J$11="",$F1637=CETAK!$J$11),OR(CETAK!$J$12="",$K1637=CETAK!$J$12),OR(CETAK!$J$13="",$H1637=CETAK!$J$13),OR(CETAK!$J$14="",$O1637=CETAK!$J$14)),MAX($X$3:X1636)+1,""))</f>
        <v/>
      </c>
      <c r="Y1637" s="40" t="str">
        <f aca="false">IF($B1637="","",IF(AND(OR(ABSENSI!$H$10="",$E1637=ABSENSI!$H$10),OR(ABSENSI!$H$11="",$F1637=ABSENSI!$H$11),OR(ABSENSI!$H$12="",$K1637=ABSENSI!$H$12)),MAX($Y$3:Y1636)+1,""))</f>
        <v/>
      </c>
      <c r="Z1637" s="40" t="str">
        <f aca="false">IF($B1637="","",IF(AND(OR(KARTU!$K$6="",$E1637=KARTU!$K$6),OR(KARTU!$K$7="",$F1637=KARTU!$K$7),OR(KARTU!$K$8="",$K1637=KARTU!$K$8)),MAX($Z$3:Z1636)+1,""))</f>
        <v/>
      </c>
    </row>
    <row r="1638" customFormat="false" ht="15" hidden="false" customHeight="false" outlineLevel="0" collapsed="false">
      <c r="A1638" s="36" t="str">
        <f aca="false">IF($B1638="","",COUNTA($B$4:$B1638))</f>
        <v/>
      </c>
      <c r="B1638" s="37"/>
      <c r="C1638" s="38"/>
      <c r="D1638" s="39"/>
      <c r="E1638" s="37"/>
      <c r="F1638" s="39"/>
      <c r="G1638" s="40" t="str">
        <f aca="false">IF(OR($E1638="",$F1638=""),"",$E1638&amp;" - RT "&amp;$F1638)</f>
        <v/>
      </c>
      <c r="H1638" s="37"/>
      <c r="I1638" s="38"/>
      <c r="J1638" s="37"/>
      <c r="K1638" s="39"/>
      <c r="L1638" s="41"/>
      <c r="M1638" s="36" t="str">
        <f aca="true">IF(OR($B1638="",$L1638=""),"",DATEDIF($L1638,TODAY(),"Y"))</f>
        <v/>
      </c>
      <c r="N1638" s="40" t="str">
        <f aca="false">IF($M1638="","",INDEX(usia_label,MATCH($M1638,usia_min,1)))</f>
        <v/>
      </c>
      <c r="O1638" s="37"/>
      <c r="P1638" s="41"/>
      <c r="Q1638" s="37"/>
      <c r="R1638" s="37"/>
      <c r="S1638" s="40" t="str">
        <f aca="false">IF($G1638="","",$G1638&amp;"#"&amp;COUNTIF($G$4:$G1638,$G1638))</f>
        <v/>
      </c>
      <c r="T1638" s="40" t="str">
        <f aca="false">IF($B1638="","",IF($C1638="","NIK kosong",IF(LEN($C1638)&lt;&gt;16,"NIK bukan 16 digit",IF(COUNTIF($C$4:$C$2003,$C1638&amp;"*")&gt;1,"NIK ganda",IF($E1638="","Kadus kosong",IF($F1638="","RT kosong",IF($H1638="","Jabatan kosong",IF($I1638="","No. HP kosong",IF($J1638="","Alamat kosong",IF(AND($M1638&lt;&gt;"",$M1638&lt;17),"Usia di bawah 17",""))))))))))</f>
        <v/>
      </c>
      <c r="U1638" s="40" t="str">
        <f aca="false">IF($B1638="","",IF(AND(OR(CARI!$C$5="",ISNUMBER(SEARCH(CARI!$C$5,$B1638&amp;" "&amp;$C1638&amp;" "&amp;$I1638&amp;" "&amp;$J1638&amp;" "&amp;$Q1638))),OR(CARI!$C$6="",$E1638=CARI!$C$6),OR(CARI!$C$7="",$F1638=CARI!$C$7),OR(CARI!$C$8="",$O1638=CARI!$C$8)),MAX($U$3:U1637)+1,""))</f>
        <v/>
      </c>
      <c r="V1638" s="40" t="str">
        <f aca="false">IF($T1638="","",MAX($V$3:V1637)+1)</f>
        <v/>
      </c>
      <c r="W1638" s="40" t="str">
        <f aca="false">IF($E1638="","",$E1638&amp;"#"&amp;COUNTIF($E$4:$E1638,$E1638))</f>
        <v/>
      </c>
      <c r="X1638" s="40" t="str">
        <f aca="false">IF($B1638="","",IF(AND(OR(CETAK!$J$10="",$E1638=CETAK!$J$10),OR(CETAK!$J$11="",$F1638=CETAK!$J$11),OR(CETAK!$J$12="",$K1638=CETAK!$J$12),OR(CETAK!$J$13="",$H1638=CETAK!$J$13),OR(CETAK!$J$14="",$O1638=CETAK!$J$14)),MAX($X$3:X1637)+1,""))</f>
        <v/>
      </c>
      <c r="Y1638" s="40" t="str">
        <f aca="false">IF($B1638="","",IF(AND(OR(ABSENSI!$H$10="",$E1638=ABSENSI!$H$10),OR(ABSENSI!$H$11="",$F1638=ABSENSI!$H$11),OR(ABSENSI!$H$12="",$K1638=ABSENSI!$H$12)),MAX($Y$3:Y1637)+1,""))</f>
        <v/>
      </c>
      <c r="Z1638" s="40" t="str">
        <f aca="false">IF($B1638="","",IF(AND(OR(KARTU!$K$6="",$E1638=KARTU!$K$6),OR(KARTU!$K$7="",$F1638=KARTU!$K$7),OR(KARTU!$K$8="",$K1638=KARTU!$K$8)),MAX($Z$3:Z1637)+1,""))</f>
        <v/>
      </c>
    </row>
    <row r="1639" customFormat="false" ht="15" hidden="false" customHeight="false" outlineLevel="0" collapsed="false">
      <c r="A1639" s="36" t="str">
        <f aca="false">IF($B1639="","",COUNTA($B$4:$B1639))</f>
        <v/>
      </c>
      <c r="B1639" s="37"/>
      <c r="C1639" s="38"/>
      <c r="D1639" s="39"/>
      <c r="E1639" s="37"/>
      <c r="F1639" s="39"/>
      <c r="G1639" s="40" t="str">
        <f aca="false">IF(OR($E1639="",$F1639=""),"",$E1639&amp;" - RT "&amp;$F1639)</f>
        <v/>
      </c>
      <c r="H1639" s="37"/>
      <c r="I1639" s="38"/>
      <c r="J1639" s="37"/>
      <c r="K1639" s="39"/>
      <c r="L1639" s="41"/>
      <c r="M1639" s="36" t="str">
        <f aca="true">IF(OR($B1639="",$L1639=""),"",DATEDIF($L1639,TODAY(),"Y"))</f>
        <v/>
      </c>
      <c r="N1639" s="40" t="str">
        <f aca="false">IF($M1639="","",INDEX(usia_label,MATCH($M1639,usia_min,1)))</f>
        <v/>
      </c>
      <c r="O1639" s="37"/>
      <c r="P1639" s="41"/>
      <c r="Q1639" s="37"/>
      <c r="R1639" s="37"/>
      <c r="S1639" s="40" t="str">
        <f aca="false">IF($G1639="","",$G1639&amp;"#"&amp;COUNTIF($G$4:$G1639,$G1639))</f>
        <v/>
      </c>
      <c r="T1639" s="40" t="str">
        <f aca="false">IF($B1639="","",IF($C1639="","NIK kosong",IF(LEN($C1639)&lt;&gt;16,"NIK bukan 16 digit",IF(COUNTIF($C$4:$C$2003,$C1639&amp;"*")&gt;1,"NIK ganda",IF($E1639="","Kadus kosong",IF($F1639="","RT kosong",IF($H1639="","Jabatan kosong",IF($I1639="","No. HP kosong",IF($J1639="","Alamat kosong",IF(AND($M1639&lt;&gt;"",$M1639&lt;17),"Usia di bawah 17",""))))))))))</f>
        <v/>
      </c>
      <c r="U1639" s="40" t="str">
        <f aca="false">IF($B1639="","",IF(AND(OR(CARI!$C$5="",ISNUMBER(SEARCH(CARI!$C$5,$B1639&amp;" "&amp;$C1639&amp;" "&amp;$I1639&amp;" "&amp;$J1639&amp;" "&amp;$Q1639))),OR(CARI!$C$6="",$E1639=CARI!$C$6),OR(CARI!$C$7="",$F1639=CARI!$C$7),OR(CARI!$C$8="",$O1639=CARI!$C$8)),MAX($U$3:U1638)+1,""))</f>
        <v/>
      </c>
      <c r="V1639" s="40" t="str">
        <f aca="false">IF($T1639="","",MAX($V$3:V1638)+1)</f>
        <v/>
      </c>
      <c r="W1639" s="40" t="str">
        <f aca="false">IF($E1639="","",$E1639&amp;"#"&amp;COUNTIF($E$4:$E1639,$E1639))</f>
        <v/>
      </c>
      <c r="X1639" s="40" t="str">
        <f aca="false">IF($B1639="","",IF(AND(OR(CETAK!$J$10="",$E1639=CETAK!$J$10),OR(CETAK!$J$11="",$F1639=CETAK!$J$11),OR(CETAK!$J$12="",$K1639=CETAK!$J$12),OR(CETAK!$J$13="",$H1639=CETAK!$J$13),OR(CETAK!$J$14="",$O1639=CETAK!$J$14)),MAX($X$3:X1638)+1,""))</f>
        <v/>
      </c>
      <c r="Y1639" s="40" t="str">
        <f aca="false">IF($B1639="","",IF(AND(OR(ABSENSI!$H$10="",$E1639=ABSENSI!$H$10),OR(ABSENSI!$H$11="",$F1639=ABSENSI!$H$11),OR(ABSENSI!$H$12="",$K1639=ABSENSI!$H$12)),MAX($Y$3:Y1638)+1,""))</f>
        <v/>
      </c>
      <c r="Z1639" s="40" t="str">
        <f aca="false">IF($B1639="","",IF(AND(OR(KARTU!$K$6="",$E1639=KARTU!$K$6),OR(KARTU!$K$7="",$F1639=KARTU!$K$7),OR(KARTU!$K$8="",$K1639=KARTU!$K$8)),MAX($Z$3:Z1638)+1,""))</f>
        <v/>
      </c>
    </row>
    <row r="1640" customFormat="false" ht="15" hidden="false" customHeight="false" outlineLevel="0" collapsed="false">
      <c r="A1640" s="36" t="str">
        <f aca="false">IF($B1640="","",COUNTA($B$4:$B1640))</f>
        <v/>
      </c>
      <c r="B1640" s="37"/>
      <c r="C1640" s="38"/>
      <c r="D1640" s="39"/>
      <c r="E1640" s="37"/>
      <c r="F1640" s="39"/>
      <c r="G1640" s="40" t="str">
        <f aca="false">IF(OR($E1640="",$F1640=""),"",$E1640&amp;" - RT "&amp;$F1640)</f>
        <v/>
      </c>
      <c r="H1640" s="37"/>
      <c r="I1640" s="38"/>
      <c r="J1640" s="37"/>
      <c r="K1640" s="39"/>
      <c r="L1640" s="41"/>
      <c r="M1640" s="36" t="str">
        <f aca="true">IF(OR($B1640="",$L1640=""),"",DATEDIF($L1640,TODAY(),"Y"))</f>
        <v/>
      </c>
      <c r="N1640" s="40" t="str">
        <f aca="false">IF($M1640="","",INDEX(usia_label,MATCH($M1640,usia_min,1)))</f>
        <v/>
      </c>
      <c r="O1640" s="37"/>
      <c r="P1640" s="41"/>
      <c r="Q1640" s="37"/>
      <c r="R1640" s="37"/>
      <c r="S1640" s="40" t="str">
        <f aca="false">IF($G1640="","",$G1640&amp;"#"&amp;COUNTIF($G$4:$G1640,$G1640))</f>
        <v/>
      </c>
      <c r="T1640" s="40" t="str">
        <f aca="false">IF($B1640="","",IF($C1640="","NIK kosong",IF(LEN($C1640)&lt;&gt;16,"NIK bukan 16 digit",IF(COUNTIF($C$4:$C$2003,$C1640&amp;"*")&gt;1,"NIK ganda",IF($E1640="","Kadus kosong",IF($F1640="","RT kosong",IF($H1640="","Jabatan kosong",IF($I1640="","No. HP kosong",IF($J1640="","Alamat kosong",IF(AND($M1640&lt;&gt;"",$M1640&lt;17),"Usia di bawah 17",""))))))))))</f>
        <v/>
      </c>
      <c r="U1640" s="40" t="str">
        <f aca="false">IF($B1640="","",IF(AND(OR(CARI!$C$5="",ISNUMBER(SEARCH(CARI!$C$5,$B1640&amp;" "&amp;$C1640&amp;" "&amp;$I1640&amp;" "&amp;$J1640&amp;" "&amp;$Q1640))),OR(CARI!$C$6="",$E1640=CARI!$C$6),OR(CARI!$C$7="",$F1640=CARI!$C$7),OR(CARI!$C$8="",$O1640=CARI!$C$8)),MAX($U$3:U1639)+1,""))</f>
        <v/>
      </c>
      <c r="V1640" s="40" t="str">
        <f aca="false">IF($T1640="","",MAX($V$3:V1639)+1)</f>
        <v/>
      </c>
      <c r="W1640" s="40" t="str">
        <f aca="false">IF($E1640="","",$E1640&amp;"#"&amp;COUNTIF($E$4:$E1640,$E1640))</f>
        <v/>
      </c>
      <c r="X1640" s="40" t="str">
        <f aca="false">IF($B1640="","",IF(AND(OR(CETAK!$J$10="",$E1640=CETAK!$J$10),OR(CETAK!$J$11="",$F1640=CETAK!$J$11),OR(CETAK!$J$12="",$K1640=CETAK!$J$12),OR(CETAK!$J$13="",$H1640=CETAK!$J$13),OR(CETAK!$J$14="",$O1640=CETAK!$J$14)),MAX($X$3:X1639)+1,""))</f>
        <v/>
      </c>
      <c r="Y1640" s="40" t="str">
        <f aca="false">IF($B1640="","",IF(AND(OR(ABSENSI!$H$10="",$E1640=ABSENSI!$H$10),OR(ABSENSI!$H$11="",$F1640=ABSENSI!$H$11),OR(ABSENSI!$H$12="",$K1640=ABSENSI!$H$12)),MAX($Y$3:Y1639)+1,""))</f>
        <v/>
      </c>
      <c r="Z1640" s="40" t="str">
        <f aca="false">IF($B1640="","",IF(AND(OR(KARTU!$K$6="",$E1640=KARTU!$K$6),OR(KARTU!$K$7="",$F1640=KARTU!$K$7),OR(KARTU!$K$8="",$K1640=KARTU!$K$8)),MAX($Z$3:Z1639)+1,""))</f>
        <v/>
      </c>
    </row>
    <row r="1641" customFormat="false" ht="15" hidden="false" customHeight="false" outlineLevel="0" collapsed="false">
      <c r="A1641" s="36" t="str">
        <f aca="false">IF($B1641="","",COUNTA($B$4:$B1641))</f>
        <v/>
      </c>
      <c r="B1641" s="37"/>
      <c r="C1641" s="38"/>
      <c r="D1641" s="39"/>
      <c r="E1641" s="37"/>
      <c r="F1641" s="39"/>
      <c r="G1641" s="40" t="str">
        <f aca="false">IF(OR($E1641="",$F1641=""),"",$E1641&amp;" - RT "&amp;$F1641)</f>
        <v/>
      </c>
      <c r="H1641" s="37"/>
      <c r="I1641" s="38"/>
      <c r="J1641" s="37"/>
      <c r="K1641" s="39"/>
      <c r="L1641" s="41"/>
      <c r="M1641" s="36" t="str">
        <f aca="true">IF(OR($B1641="",$L1641=""),"",DATEDIF($L1641,TODAY(),"Y"))</f>
        <v/>
      </c>
      <c r="N1641" s="40" t="str">
        <f aca="false">IF($M1641="","",INDEX(usia_label,MATCH($M1641,usia_min,1)))</f>
        <v/>
      </c>
      <c r="O1641" s="37"/>
      <c r="P1641" s="41"/>
      <c r="Q1641" s="37"/>
      <c r="R1641" s="37"/>
      <c r="S1641" s="40" t="str">
        <f aca="false">IF($G1641="","",$G1641&amp;"#"&amp;COUNTIF($G$4:$G1641,$G1641))</f>
        <v/>
      </c>
      <c r="T1641" s="40" t="str">
        <f aca="false">IF($B1641="","",IF($C1641="","NIK kosong",IF(LEN($C1641)&lt;&gt;16,"NIK bukan 16 digit",IF(COUNTIF($C$4:$C$2003,$C1641&amp;"*")&gt;1,"NIK ganda",IF($E1641="","Kadus kosong",IF($F1641="","RT kosong",IF($H1641="","Jabatan kosong",IF($I1641="","No. HP kosong",IF($J1641="","Alamat kosong",IF(AND($M1641&lt;&gt;"",$M1641&lt;17),"Usia di bawah 17",""))))))))))</f>
        <v/>
      </c>
      <c r="U1641" s="40" t="str">
        <f aca="false">IF($B1641="","",IF(AND(OR(CARI!$C$5="",ISNUMBER(SEARCH(CARI!$C$5,$B1641&amp;" "&amp;$C1641&amp;" "&amp;$I1641&amp;" "&amp;$J1641&amp;" "&amp;$Q1641))),OR(CARI!$C$6="",$E1641=CARI!$C$6),OR(CARI!$C$7="",$F1641=CARI!$C$7),OR(CARI!$C$8="",$O1641=CARI!$C$8)),MAX($U$3:U1640)+1,""))</f>
        <v/>
      </c>
      <c r="V1641" s="40" t="str">
        <f aca="false">IF($T1641="","",MAX($V$3:V1640)+1)</f>
        <v/>
      </c>
      <c r="W1641" s="40" t="str">
        <f aca="false">IF($E1641="","",$E1641&amp;"#"&amp;COUNTIF($E$4:$E1641,$E1641))</f>
        <v/>
      </c>
      <c r="X1641" s="40" t="str">
        <f aca="false">IF($B1641="","",IF(AND(OR(CETAK!$J$10="",$E1641=CETAK!$J$10),OR(CETAK!$J$11="",$F1641=CETAK!$J$11),OR(CETAK!$J$12="",$K1641=CETAK!$J$12),OR(CETAK!$J$13="",$H1641=CETAK!$J$13),OR(CETAK!$J$14="",$O1641=CETAK!$J$14)),MAX($X$3:X1640)+1,""))</f>
        <v/>
      </c>
      <c r="Y1641" s="40" t="str">
        <f aca="false">IF($B1641="","",IF(AND(OR(ABSENSI!$H$10="",$E1641=ABSENSI!$H$10),OR(ABSENSI!$H$11="",$F1641=ABSENSI!$H$11),OR(ABSENSI!$H$12="",$K1641=ABSENSI!$H$12)),MAX($Y$3:Y1640)+1,""))</f>
        <v/>
      </c>
      <c r="Z1641" s="40" t="str">
        <f aca="false">IF($B1641="","",IF(AND(OR(KARTU!$K$6="",$E1641=KARTU!$K$6),OR(KARTU!$K$7="",$F1641=KARTU!$K$7),OR(KARTU!$K$8="",$K1641=KARTU!$K$8)),MAX($Z$3:Z1640)+1,""))</f>
        <v/>
      </c>
    </row>
    <row r="1642" customFormat="false" ht="15" hidden="false" customHeight="false" outlineLevel="0" collapsed="false">
      <c r="A1642" s="36" t="str">
        <f aca="false">IF($B1642="","",COUNTA($B$4:$B1642))</f>
        <v/>
      </c>
      <c r="B1642" s="37"/>
      <c r="C1642" s="38"/>
      <c r="D1642" s="39"/>
      <c r="E1642" s="37"/>
      <c r="F1642" s="39"/>
      <c r="G1642" s="40" t="str">
        <f aca="false">IF(OR($E1642="",$F1642=""),"",$E1642&amp;" - RT "&amp;$F1642)</f>
        <v/>
      </c>
      <c r="H1642" s="37"/>
      <c r="I1642" s="38"/>
      <c r="J1642" s="37"/>
      <c r="K1642" s="39"/>
      <c r="L1642" s="41"/>
      <c r="M1642" s="36" t="str">
        <f aca="true">IF(OR($B1642="",$L1642=""),"",DATEDIF($L1642,TODAY(),"Y"))</f>
        <v/>
      </c>
      <c r="N1642" s="40" t="str">
        <f aca="false">IF($M1642="","",INDEX(usia_label,MATCH($M1642,usia_min,1)))</f>
        <v/>
      </c>
      <c r="O1642" s="37"/>
      <c r="P1642" s="41"/>
      <c r="Q1642" s="37"/>
      <c r="R1642" s="37"/>
      <c r="S1642" s="40" t="str">
        <f aca="false">IF($G1642="","",$G1642&amp;"#"&amp;COUNTIF($G$4:$G1642,$G1642))</f>
        <v/>
      </c>
      <c r="T1642" s="40" t="str">
        <f aca="false">IF($B1642="","",IF($C1642="","NIK kosong",IF(LEN($C1642)&lt;&gt;16,"NIK bukan 16 digit",IF(COUNTIF($C$4:$C$2003,$C1642&amp;"*")&gt;1,"NIK ganda",IF($E1642="","Kadus kosong",IF($F1642="","RT kosong",IF($H1642="","Jabatan kosong",IF($I1642="","No. HP kosong",IF($J1642="","Alamat kosong",IF(AND($M1642&lt;&gt;"",$M1642&lt;17),"Usia di bawah 17",""))))))))))</f>
        <v/>
      </c>
      <c r="U1642" s="40" t="str">
        <f aca="false">IF($B1642="","",IF(AND(OR(CARI!$C$5="",ISNUMBER(SEARCH(CARI!$C$5,$B1642&amp;" "&amp;$C1642&amp;" "&amp;$I1642&amp;" "&amp;$J1642&amp;" "&amp;$Q1642))),OR(CARI!$C$6="",$E1642=CARI!$C$6),OR(CARI!$C$7="",$F1642=CARI!$C$7),OR(CARI!$C$8="",$O1642=CARI!$C$8)),MAX($U$3:U1641)+1,""))</f>
        <v/>
      </c>
      <c r="V1642" s="40" t="str">
        <f aca="false">IF($T1642="","",MAX($V$3:V1641)+1)</f>
        <v/>
      </c>
      <c r="W1642" s="40" t="str">
        <f aca="false">IF($E1642="","",$E1642&amp;"#"&amp;COUNTIF($E$4:$E1642,$E1642))</f>
        <v/>
      </c>
      <c r="X1642" s="40" t="str">
        <f aca="false">IF($B1642="","",IF(AND(OR(CETAK!$J$10="",$E1642=CETAK!$J$10),OR(CETAK!$J$11="",$F1642=CETAK!$J$11),OR(CETAK!$J$12="",$K1642=CETAK!$J$12),OR(CETAK!$J$13="",$H1642=CETAK!$J$13),OR(CETAK!$J$14="",$O1642=CETAK!$J$14)),MAX($X$3:X1641)+1,""))</f>
        <v/>
      </c>
      <c r="Y1642" s="40" t="str">
        <f aca="false">IF($B1642="","",IF(AND(OR(ABSENSI!$H$10="",$E1642=ABSENSI!$H$10),OR(ABSENSI!$H$11="",$F1642=ABSENSI!$H$11),OR(ABSENSI!$H$12="",$K1642=ABSENSI!$H$12)),MAX($Y$3:Y1641)+1,""))</f>
        <v/>
      </c>
      <c r="Z1642" s="40" t="str">
        <f aca="false">IF($B1642="","",IF(AND(OR(KARTU!$K$6="",$E1642=KARTU!$K$6),OR(KARTU!$K$7="",$F1642=KARTU!$K$7),OR(KARTU!$K$8="",$K1642=KARTU!$K$8)),MAX($Z$3:Z1641)+1,""))</f>
        <v/>
      </c>
    </row>
    <row r="1643" customFormat="false" ht="15" hidden="false" customHeight="false" outlineLevel="0" collapsed="false">
      <c r="A1643" s="36" t="str">
        <f aca="false">IF($B1643="","",COUNTA($B$4:$B1643))</f>
        <v/>
      </c>
      <c r="B1643" s="37"/>
      <c r="C1643" s="38"/>
      <c r="D1643" s="39"/>
      <c r="E1643" s="37"/>
      <c r="F1643" s="39"/>
      <c r="G1643" s="40" t="str">
        <f aca="false">IF(OR($E1643="",$F1643=""),"",$E1643&amp;" - RT "&amp;$F1643)</f>
        <v/>
      </c>
      <c r="H1643" s="37"/>
      <c r="I1643" s="38"/>
      <c r="J1643" s="37"/>
      <c r="K1643" s="39"/>
      <c r="L1643" s="41"/>
      <c r="M1643" s="36" t="str">
        <f aca="true">IF(OR($B1643="",$L1643=""),"",DATEDIF($L1643,TODAY(),"Y"))</f>
        <v/>
      </c>
      <c r="N1643" s="40" t="str">
        <f aca="false">IF($M1643="","",INDEX(usia_label,MATCH($M1643,usia_min,1)))</f>
        <v/>
      </c>
      <c r="O1643" s="37"/>
      <c r="P1643" s="41"/>
      <c r="Q1643" s="37"/>
      <c r="R1643" s="37"/>
      <c r="S1643" s="40" t="str">
        <f aca="false">IF($G1643="","",$G1643&amp;"#"&amp;COUNTIF($G$4:$G1643,$G1643))</f>
        <v/>
      </c>
      <c r="T1643" s="40" t="str">
        <f aca="false">IF($B1643="","",IF($C1643="","NIK kosong",IF(LEN($C1643)&lt;&gt;16,"NIK bukan 16 digit",IF(COUNTIF($C$4:$C$2003,$C1643&amp;"*")&gt;1,"NIK ganda",IF($E1643="","Kadus kosong",IF($F1643="","RT kosong",IF($H1643="","Jabatan kosong",IF($I1643="","No. HP kosong",IF($J1643="","Alamat kosong",IF(AND($M1643&lt;&gt;"",$M1643&lt;17),"Usia di bawah 17",""))))))))))</f>
        <v/>
      </c>
      <c r="U1643" s="40" t="str">
        <f aca="false">IF($B1643="","",IF(AND(OR(CARI!$C$5="",ISNUMBER(SEARCH(CARI!$C$5,$B1643&amp;" "&amp;$C1643&amp;" "&amp;$I1643&amp;" "&amp;$J1643&amp;" "&amp;$Q1643))),OR(CARI!$C$6="",$E1643=CARI!$C$6),OR(CARI!$C$7="",$F1643=CARI!$C$7),OR(CARI!$C$8="",$O1643=CARI!$C$8)),MAX($U$3:U1642)+1,""))</f>
        <v/>
      </c>
      <c r="V1643" s="40" t="str">
        <f aca="false">IF($T1643="","",MAX($V$3:V1642)+1)</f>
        <v/>
      </c>
      <c r="W1643" s="40" t="str">
        <f aca="false">IF($E1643="","",$E1643&amp;"#"&amp;COUNTIF($E$4:$E1643,$E1643))</f>
        <v/>
      </c>
      <c r="X1643" s="40" t="str">
        <f aca="false">IF($B1643="","",IF(AND(OR(CETAK!$J$10="",$E1643=CETAK!$J$10),OR(CETAK!$J$11="",$F1643=CETAK!$J$11),OR(CETAK!$J$12="",$K1643=CETAK!$J$12),OR(CETAK!$J$13="",$H1643=CETAK!$J$13),OR(CETAK!$J$14="",$O1643=CETAK!$J$14)),MAX($X$3:X1642)+1,""))</f>
        <v/>
      </c>
      <c r="Y1643" s="40" t="str">
        <f aca="false">IF($B1643="","",IF(AND(OR(ABSENSI!$H$10="",$E1643=ABSENSI!$H$10),OR(ABSENSI!$H$11="",$F1643=ABSENSI!$H$11),OR(ABSENSI!$H$12="",$K1643=ABSENSI!$H$12)),MAX($Y$3:Y1642)+1,""))</f>
        <v/>
      </c>
      <c r="Z1643" s="40" t="str">
        <f aca="false">IF($B1643="","",IF(AND(OR(KARTU!$K$6="",$E1643=KARTU!$K$6),OR(KARTU!$K$7="",$F1643=KARTU!$K$7),OR(KARTU!$K$8="",$K1643=KARTU!$K$8)),MAX($Z$3:Z1642)+1,""))</f>
        <v/>
      </c>
    </row>
    <row r="1644" customFormat="false" ht="15" hidden="false" customHeight="false" outlineLevel="0" collapsed="false">
      <c r="A1644" s="36" t="str">
        <f aca="false">IF($B1644="","",COUNTA($B$4:$B1644))</f>
        <v/>
      </c>
      <c r="B1644" s="37"/>
      <c r="C1644" s="38"/>
      <c r="D1644" s="39"/>
      <c r="E1644" s="37"/>
      <c r="F1644" s="39"/>
      <c r="G1644" s="40" t="str">
        <f aca="false">IF(OR($E1644="",$F1644=""),"",$E1644&amp;" - RT "&amp;$F1644)</f>
        <v/>
      </c>
      <c r="H1644" s="37"/>
      <c r="I1644" s="38"/>
      <c r="J1644" s="37"/>
      <c r="K1644" s="39"/>
      <c r="L1644" s="41"/>
      <c r="M1644" s="36" t="str">
        <f aca="true">IF(OR($B1644="",$L1644=""),"",DATEDIF($L1644,TODAY(),"Y"))</f>
        <v/>
      </c>
      <c r="N1644" s="40" t="str">
        <f aca="false">IF($M1644="","",INDEX(usia_label,MATCH($M1644,usia_min,1)))</f>
        <v/>
      </c>
      <c r="O1644" s="37"/>
      <c r="P1644" s="41"/>
      <c r="Q1644" s="37"/>
      <c r="R1644" s="37"/>
      <c r="S1644" s="40" t="str">
        <f aca="false">IF($G1644="","",$G1644&amp;"#"&amp;COUNTIF($G$4:$G1644,$G1644))</f>
        <v/>
      </c>
      <c r="T1644" s="40" t="str">
        <f aca="false">IF($B1644="","",IF($C1644="","NIK kosong",IF(LEN($C1644)&lt;&gt;16,"NIK bukan 16 digit",IF(COUNTIF($C$4:$C$2003,$C1644&amp;"*")&gt;1,"NIK ganda",IF($E1644="","Kadus kosong",IF($F1644="","RT kosong",IF($H1644="","Jabatan kosong",IF($I1644="","No. HP kosong",IF($J1644="","Alamat kosong",IF(AND($M1644&lt;&gt;"",$M1644&lt;17),"Usia di bawah 17",""))))))))))</f>
        <v/>
      </c>
      <c r="U1644" s="40" t="str">
        <f aca="false">IF($B1644="","",IF(AND(OR(CARI!$C$5="",ISNUMBER(SEARCH(CARI!$C$5,$B1644&amp;" "&amp;$C1644&amp;" "&amp;$I1644&amp;" "&amp;$J1644&amp;" "&amp;$Q1644))),OR(CARI!$C$6="",$E1644=CARI!$C$6),OR(CARI!$C$7="",$F1644=CARI!$C$7),OR(CARI!$C$8="",$O1644=CARI!$C$8)),MAX($U$3:U1643)+1,""))</f>
        <v/>
      </c>
      <c r="V1644" s="40" t="str">
        <f aca="false">IF($T1644="","",MAX($V$3:V1643)+1)</f>
        <v/>
      </c>
      <c r="W1644" s="40" t="str">
        <f aca="false">IF($E1644="","",$E1644&amp;"#"&amp;COUNTIF($E$4:$E1644,$E1644))</f>
        <v/>
      </c>
      <c r="X1644" s="40" t="str">
        <f aca="false">IF($B1644="","",IF(AND(OR(CETAK!$J$10="",$E1644=CETAK!$J$10),OR(CETAK!$J$11="",$F1644=CETAK!$J$11),OR(CETAK!$J$12="",$K1644=CETAK!$J$12),OR(CETAK!$J$13="",$H1644=CETAK!$J$13),OR(CETAK!$J$14="",$O1644=CETAK!$J$14)),MAX($X$3:X1643)+1,""))</f>
        <v/>
      </c>
      <c r="Y1644" s="40" t="str">
        <f aca="false">IF($B1644="","",IF(AND(OR(ABSENSI!$H$10="",$E1644=ABSENSI!$H$10),OR(ABSENSI!$H$11="",$F1644=ABSENSI!$H$11),OR(ABSENSI!$H$12="",$K1644=ABSENSI!$H$12)),MAX($Y$3:Y1643)+1,""))</f>
        <v/>
      </c>
      <c r="Z1644" s="40" t="str">
        <f aca="false">IF($B1644="","",IF(AND(OR(KARTU!$K$6="",$E1644=KARTU!$K$6),OR(KARTU!$K$7="",$F1644=KARTU!$K$7),OR(KARTU!$K$8="",$K1644=KARTU!$K$8)),MAX($Z$3:Z1643)+1,""))</f>
        <v/>
      </c>
    </row>
    <row r="1645" customFormat="false" ht="15" hidden="false" customHeight="false" outlineLevel="0" collapsed="false">
      <c r="A1645" s="36" t="str">
        <f aca="false">IF($B1645="","",COUNTA($B$4:$B1645))</f>
        <v/>
      </c>
      <c r="B1645" s="37"/>
      <c r="C1645" s="38"/>
      <c r="D1645" s="39"/>
      <c r="E1645" s="37"/>
      <c r="F1645" s="39"/>
      <c r="G1645" s="40" t="str">
        <f aca="false">IF(OR($E1645="",$F1645=""),"",$E1645&amp;" - RT "&amp;$F1645)</f>
        <v/>
      </c>
      <c r="H1645" s="37"/>
      <c r="I1645" s="38"/>
      <c r="J1645" s="37"/>
      <c r="K1645" s="39"/>
      <c r="L1645" s="41"/>
      <c r="M1645" s="36" t="str">
        <f aca="true">IF(OR($B1645="",$L1645=""),"",DATEDIF($L1645,TODAY(),"Y"))</f>
        <v/>
      </c>
      <c r="N1645" s="40" t="str">
        <f aca="false">IF($M1645="","",INDEX(usia_label,MATCH($M1645,usia_min,1)))</f>
        <v/>
      </c>
      <c r="O1645" s="37"/>
      <c r="P1645" s="41"/>
      <c r="Q1645" s="37"/>
      <c r="R1645" s="37"/>
      <c r="S1645" s="40" t="str">
        <f aca="false">IF($G1645="","",$G1645&amp;"#"&amp;COUNTIF($G$4:$G1645,$G1645))</f>
        <v/>
      </c>
      <c r="T1645" s="40" t="str">
        <f aca="false">IF($B1645="","",IF($C1645="","NIK kosong",IF(LEN($C1645)&lt;&gt;16,"NIK bukan 16 digit",IF(COUNTIF($C$4:$C$2003,$C1645&amp;"*")&gt;1,"NIK ganda",IF($E1645="","Kadus kosong",IF($F1645="","RT kosong",IF($H1645="","Jabatan kosong",IF($I1645="","No. HP kosong",IF($J1645="","Alamat kosong",IF(AND($M1645&lt;&gt;"",$M1645&lt;17),"Usia di bawah 17",""))))))))))</f>
        <v/>
      </c>
      <c r="U1645" s="40" t="str">
        <f aca="false">IF($B1645="","",IF(AND(OR(CARI!$C$5="",ISNUMBER(SEARCH(CARI!$C$5,$B1645&amp;" "&amp;$C1645&amp;" "&amp;$I1645&amp;" "&amp;$J1645&amp;" "&amp;$Q1645))),OR(CARI!$C$6="",$E1645=CARI!$C$6),OR(CARI!$C$7="",$F1645=CARI!$C$7),OR(CARI!$C$8="",$O1645=CARI!$C$8)),MAX($U$3:U1644)+1,""))</f>
        <v/>
      </c>
      <c r="V1645" s="40" t="str">
        <f aca="false">IF($T1645="","",MAX($V$3:V1644)+1)</f>
        <v/>
      </c>
      <c r="W1645" s="40" t="str">
        <f aca="false">IF($E1645="","",$E1645&amp;"#"&amp;COUNTIF($E$4:$E1645,$E1645))</f>
        <v/>
      </c>
      <c r="X1645" s="40" t="str">
        <f aca="false">IF($B1645="","",IF(AND(OR(CETAK!$J$10="",$E1645=CETAK!$J$10),OR(CETAK!$J$11="",$F1645=CETAK!$J$11),OR(CETAK!$J$12="",$K1645=CETAK!$J$12),OR(CETAK!$J$13="",$H1645=CETAK!$J$13),OR(CETAK!$J$14="",$O1645=CETAK!$J$14)),MAX($X$3:X1644)+1,""))</f>
        <v/>
      </c>
      <c r="Y1645" s="40" t="str">
        <f aca="false">IF($B1645="","",IF(AND(OR(ABSENSI!$H$10="",$E1645=ABSENSI!$H$10),OR(ABSENSI!$H$11="",$F1645=ABSENSI!$H$11),OR(ABSENSI!$H$12="",$K1645=ABSENSI!$H$12)),MAX($Y$3:Y1644)+1,""))</f>
        <v/>
      </c>
      <c r="Z1645" s="40" t="str">
        <f aca="false">IF($B1645="","",IF(AND(OR(KARTU!$K$6="",$E1645=KARTU!$K$6),OR(KARTU!$K$7="",$F1645=KARTU!$K$7),OR(KARTU!$K$8="",$K1645=KARTU!$K$8)),MAX($Z$3:Z1644)+1,""))</f>
        <v/>
      </c>
    </row>
    <row r="1646" customFormat="false" ht="15" hidden="false" customHeight="false" outlineLevel="0" collapsed="false">
      <c r="A1646" s="36" t="str">
        <f aca="false">IF($B1646="","",COUNTA($B$4:$B1646))</f>
        <v/>
      </c>
      <c r="B1646" s="37"/>
      <c r="C1646" s="38"/>
      <c r="D1646" s="39"/>
      <c r="E1646" s="37"/>
      <c r="F1646" s="39"/>
      <c r="G1646" s="40" t="str">
        <f aca="false">IF(OR($E1646="",$F1646=""),"",$E1646&amp;" - RT "&amp;$F1646)</f>
        <v/>
      </c>
      <c r="H1646" s="37"/>
      <c r="I1646" s="38"/>
      <c r="J1646" s="37"/>
      <c r="K1646" s="39"/>
      <c r="L1646" s="41"/>
      <c r="M1646" s="36" t="str">
        <f aca="true">IF(OR($B1646="",$L1646=""),"",DATEDIF($L1646,TODAY(),"Y"))</f>
        <v/>
      </c>
      <c r="N1646" s="40" t="str">
        <f aca="false">IF($M1646="","",INDEX(usia_label,MATCH($M1646,usia_min,1)))</f>
        <v/>
      </c>
      <c r="O1646" s="37"/>
      <c r="P1646" s="41"/>
      <c r="Q1646" s="37"/>
      <c r="R1646" s="37"/>
      <c r="S1646" s="40" t="str">
        <f aca="false">IF($G1646="","",$G1646&amp;"#"&amp;COUNTIF($G$4:$G1646,$G1646))</f>
        <v/>
      </c>
      <c r="T1646" s="40" t="str">
        <f aca="false">IF($B1646="","",IF($C1646="","NIK kosong",IF(LEN($C1646)&lt;&gt;16,"NIK bukan 16 digit",IF(COUNTIF($C$4:$C$2003,$C1646&amp;"*")&gt;1,"NIK ganda",IF($E1646="","Kadus kosong",IF($F1646="","RT kosong",IF($H1646="","Jabatan kosong",IF($I1646="","No. HP kosong",IF($J1646="","Alamat kosong",IF(AND($M1646&lt;&gt;"",$M1646&lt;17),"Usia di bawah 17",""))))))))))</f>
        <v/>
      </c>
      <c r="U1646" s="40" t="str">
        <f aca="false">IF($B1646="","",IF(AND(OR(CARI!$C$5="",ISNUMBER(SEARCH(CARI!$C$5,$B1646&amp;" "&amp;$C1646&amp;" "&amp;$I1646&amp;" "&amp;$J1646&amp;" "&amp;$Q1646))),OR(CARI!$C$6="",$E1646=CARI!$C$6),OR(CARI!$C$7="",$F1646=CARI!$C$7),OR(CARI!$C$8="",$O1646=CARI!$C$8)),MAX($U$3:U1645)+1,""))</f>
        <v/>
      </c>
      <c r="V1646" s="40" t="str">
        <f aca="false">IF($T1646="","",MAX($V$3:V1645)+1)</f>
        <v/>
      </c>
      <c r="W1646" s="40" t="str">
        <f aca="false">IF($E1646="","",$E1646&amp;"#"&amp;COUNTIF($E$4:$E1646,$E1646))</f>
        <v/>
      </c>
      <c r="X1646" s="40" t="str">
        <f aca="false">IF($B1646="","",IF(AND(OR(CETAK!$J$10="",$E1646=CETAK!$J$10),OR(CETAK!$J$11="",$F1646=CETAK!$J$11),OR(CETAK!$J$12="",$K1646=CETAK!$J$12),OR(CETAK!$J$13="",$H1646=CETAK!$J$13),OR(CETAK!$J$14="",$O1646=CETAK!$J$14)),MAX($X$3:X1645)+1,""))</f>
        <v/>
      </c>
      <c r="Y1646" s="40" t="str">
        <f aca="false">IF($B1646="","",IF(AND(OR(ABSENSI!$H$10="",$E1646=ABSENSI!$H$10),OR(ABSENSI!$H$11="",$F1646=ABSENSI!$H$11),OR(ABSENSI!$H$12="",$K1646=ABSENSI!$H$12)),MAX($Y$3:Y1645)+1,""))</f>
        <v/>
      </c>
      <c r="Z1646" s="40" t="str">
        <f aca="false">IF($B1646="","",IF(AND(OR(KARTU!$K$6="",$E1646=KARTU!$K$6),OR(KARTU!$K$7="",$F1646=KARTU!$K$7),OR(KARTU!$K$8="",$K1646=KARTU!$K$8)),MAX($Z$3:Z1645)+1,""))</f>
        <v/>
      </c>
    </row>
    <row r="1647" customFormat="false" ht="15" hidden="false" customHeight="false" outlineLevel="0" collapsed="false">
      <c r="A1647" s="36" t="str">
        <f aca="false">IF($B1647="","",COUNTA($B$4:$B1647))</f>
        <v/>
      </c>
      <c r="B1647" s="37"/>
      <c r="C1647" s="38"/>
      <c r="D1647" s="39"/>
      <c r="E1647" s="37"/>
      <c r="F1647" s="39"/>
      <c r="G1647" s="40" t="str">
        <f aca="false">IF(OR($E1647="",$F1647=""),"",$E1647&amp;" - RT "&amp;$F1647)</f>
        <v/>
      </c>
      <c r="H1647" s="37"/>
      <c r="I1647" s="38"/>
      <c r="J1647" s="37"/>
      <c r="K1647" s="39"/>
      <c r="L1647" s="41"/>
      <c r="M1647" s="36" t="str">
        <f aca="true">IF(OR($B1647="",$L1647=""),"",DATEDIF($L1647,TODAY(),"Y"))</f>
        <v/>
      </c>
      <c r="N1647" s="40" t="str">
        <f aca="false">IF($M1647="","",INDEX(usia_label,MATCH($M1647,usia_min,1)))</f>
        <v/>
      </c>
      <c r="O1647" s="37"/>
      <c r="P1647" s="41"/>
      <c r="Q1647" s="37"/>
      <c r="R1647" s="37"/>
      <c r="S1647" s="40" t="str">
        <f aca="false">IF($G1647="","",$G1647&amp;"#"&amp;COUNTIF($G$4:$G1647,$G1647))</f>
        <v/>
      </c>
      <c r="T1647" s="40" t="str">
        <f aca="false">IF($B1647="","",IF($C1647="","NIK kosong",IF(LEN($C1647)&lt;&gt;16,"NIK bukan 16 digit",IF(COUNTIF($C$4:$C$2003,$C1647&amp;"*")&gt;1,"NIK ganda",IF($E1647="","Kadus kosong",IF($F1647="","RT kosong",IF($H1647="","Jabatan kosong",IF($I1647="","No. HP kosong",IF($J1647="","Alamat kosong",IF(AND($M1647&lt;&gt;"",$M1647&lt;17),"Usia di bawah 17",""))))))))))</f>
        <v/>
      </c>
      <c r="U1647" s="40" t="str">
        <f aca="false">IF($B1647="","",IF(AND(OR(CARI!$C$5="",ISNUMBER(SEARCH(CARI!$C$5,$B1647&amp;" "&amp;$C1647&amp;" "&amp;$I1647&amp;" "&amp;$J1647&amp;" "&amp;$Q1647))),OR(CARI!$C$6="",$E1647=CARI!$C$6),OR(CARI!$C$7="",$F1647=CARI!$C$7),OR(CARI!$C$8="",$O1647=CARI!$C$8)),MAX($U$3:U1646)+1,""))</f>
        <v/>
      </c>
      <c r="V1647" s="40" t="str">
        <f aca="false">IF($T1647="","",MAX($V$3:V1646)+1)</f>
        <v/>
      </c>
      <c r="W1647" s="40" t="str">
        <f aca="false">IF($E1647="","",$E1647&amp;"#"&amp;COUNTIF($E$4:$E1647,$E1647))</f>
        <v/>
      </c>
      <c r="X1647" s="40" t="str">
        <f aca="false">IF($B1647="","",IF(AND(OR(CETAK!$J$10="",$E1647=CETAK!$J$10),OR(CETAK!$J$11="",$F1647=CETAK!$J$11),OR(CETAK!$J$12="",$K1647=CETAK!$J$12),OR(CETAK!$J$13="",$H1647=CETAK!$J$13),OR(CETAK!$J$14="",$O1647=CETAK!$J$14)),MAX($X$3:X1646)+1,""))</f>
        <v/>
      </c>
      <c r="Y1647" s="40" t="str">
        <f aca="false">IF($B1647="","",IF(AND(OR(ABSENSI!$H$10="",$E1647=ABSENSI!$H$10),OR(ABSENSI!$H$11="",$F1647=ABSENSI!$H$11),OR(ABSENSI!$H$12="",$K1647=ABSENSI!$H$12)),MAX($Y$3:Y1646)+1,""))</f>
        <v/>
      </c>
      <c r="Z1647" s="40" t="str">
        <f aca="false">IF($B1647="","",IF(AND(OR(KARTU!$K$6="",$E1647=KARTU!$K$6),OR(KARTU!$K$7="",$F1647=KARTU!$K$7),OR(KARTU!$K$8="",$K1647=KARTU!$K$8)),MAX($Z$3:Z1646)+1,""))</f>
        <v/>
      </c>
    </row>
    <row r="1648" customFormat="false" ht="15" hidden="false" customHeight="false" outlineLevel="0" collapsed="false">
      <c r="A1648" s="36" t="str">
        <f aca="false">IF($B1648="","",COUNTA($B$4:$B1648))</f>
        <v/>
      </c>
      <c r="B1648" s="37"/>
      <c r="C1648" s="38"/>
      <c r="D1648" s="39"/>
      <c r="E1648" s="37"/>
      <c r="F1648" s="39"/>
      <c r="G1648" s="40" t="str">
        <f aca="false">IF(OR($E1648="",$F1648=""),"",$E1648&amp;" - RT "&amp;$F1648)</f>
        <v/>
      </c>
      <c r="H1648" s="37"/>
      <c r="I1648" s="38"/>
      <c r="J1648" s="37"/>
      <c r="K1648" s="39"/>
      <c r="L1648" s="41"/>
      <c r="M1648" s="36" t="str">
        <f aca="true">IF(OR($B1648="",$L1648=""),"",DATEDIF($L1648,TODAY(),"Y"))</f>
        <v/>
      </c>
      <c r="N1648" s="40" t="str">
        <f aca="false">IF($M1648="","",INDEX(usia_label,MATCH($M1648,usia_min,1)))</f>
        <v/>
      </c>
      <c r="O1648" s="37"/>
      <c r="P1648" s="41"/>
      <c r="Q1648" s="37"/>
      <c r="R1648" s="37"/>
      <c r="S1648" s="40" t="str">
        <f aca="false">IF($G1648="","",$G1648&amp;"#"&amp;COUNTIF($G$4:$G1648,$G1648))</f>
        <v/>
      </c>
      <c r="T1648" s="40" t="str">
        <f aca="false">IF($B1648="","",IF($C1648="","NIK kosong",IF(LEN($C1648)&lt;&gt;16,"NIK bukan 16 digit",IF(COUNTIF($C$4:$C$2003,$C1648&amp;"*")&gt;1,"NIK ganda",IF($E1648="","Kadus kosong",IF($F1648="","RT kosong",IF($H1648="","Jabatan kosong",IF($I1648="","No. HP kosong",IF($J1648="","Alamat kosong",IF(AND($M1648&lt;&gt;"",$M1648&lt;17),"Usia di bawah 17",""))))))))))</f>
        <v/>
      </c>
      <c r="U1648" s="40" t="str">
        <f aca="false">IF($B1648="","",IF(AND(OR(CARI!$C$5="",ISNUMBER(SEARCH(CARI!$C$5,$B1648&amp;" "&amp;$C1648&amp;" "&amp;$I1648&amp;" "&amp;$J1648&amp;" "&amp;$Q1648))),OR(CARI!$C$6="",$E1648=CARI!$C$6),OR(CARI!$C$7="",$F1648=CARI!$C$7),OR(CARI!$C$8="",$O1648=CARI!$C$8)),MAX($U$3:U1647)+1,""))</f>
        <v/>
      </c>
      <c r="V1648" s="40" t="str">
        <f aca="false">IF($T1648="","",MAX($V$3:V1647)+1)</f>
        <v/>
      </c>
      <c r="W1648" s="40" t="str">
        <f aca="false">IF($E1648="","",$E1648&amp;"#"&amp;COUNTIF($E$4:$E1648,$E1648))</f>
        <v/>
      </c>
      <c r="X1648" s="40" t="str">
        <f aca="false">IF($B1648="","",IF(AND(OR(CETAK!$J$10="",$E1648=CETAK!$J$10),OR(CETAK!$J$11="",$F1648=CETAK!$J$11),OR(CETAK!$J$12="",$K1648=CETAK!$J$12),OR(CETAK!$J$13="",$H1648=CETAK!$J$13),OR(CETAK!$J$14="",$O1648=CETAK!$J$14)),MAX($X$3:X1647)+1,""))</f>
        <v/>
      </c>
      <c r="Y1648" s="40" t="str">
        <f aca="false">IF($B1648="","",IF(AND(OR(ABSENSI!$H$10="",$E1648=ABSENSI!$H$10),OR(ABSENSI!$H$11="",$F1648=ABSENSI!$H$11),OR(ABSENSI!$H$12="",$K1648=ABSENSI!$H$12)),MAX($Y$3:Y1647)+1,""))</f>
        <v/>
      </c>
      <c r="Z1648" s="40" t="str">
        <f aca="false">IF($B1648="","",IF(AND(OR(KARTU!$K$6="",$E1648=KARTU!$K$6),OR(KARTU!$K$7="",$F1648=KARTU!$K$7),OR(KARTU!$K$8="",$K1648=KARTU!$K$8)),MAX($Z$3:Z1647)+1,""))</f>
        <v/>
      </c>
    </row>
    <row r="1649" customFormat="false" ht="15" hidden="false" customHeight="false" outlineLevel="0" collapsed="false">
      <c r="A1649" s="36" t="str">
        <f aca="false">IF($B1649="","",COUNTA($B$4:$B1649))</f>
        <v/>
      </c>
      <c r="B1649" s="37"/>
      <c r="C1649" s="38"/>
      <c r="D1649" s="39"/>
      <c r="E1649" s="37"/>
      <c r="F1649" s="39"/>
      <c r="G1649" s="40" t="str">
        <f aca="false">IF(OR($E1649="",$F1649=""),"",$E1649&amp;" - RT "&amp;$F1649)</f>
        <v/>
      </c>
      <c r="H1649" s="37"/>
      <c r="I1649" s="38"/>
      <c r="J1649" s="37"/>
      <c r="K1649" s="39"/>
      <c r="L1649" s="41"/>
      <c r="M1649" s="36" t="str">
        <f aca="true">IF(OR($B1649="",$L1649=""),"",DATEDIF($L1649,TODAY(),"Y"))</f>
        <v/>
      </c>
      <c r="N1649" s="40" t="str">
        <f aca="false">IF($M1649="","",INDEX(usia_label,MATCH($M1649,usia_min,1)))</f>
        <v/>
      </c>
      <c r="O1649" s="37"/>
      <c r="P1649" s="41"/>
      <c r="Q1649" s="37"/>
      <c r="R1649" s="37"/>
      <c r="S1649" s="40" t="str">
        <f aca="false">IF($G1649="","",$G1649&amp;"#"&amp;COUNTIF($G$4:$G1649,$G1649))</f>
        <v/>
      </c>
      <c r="T1649" s="40" t="str">
        <f aca="false">IF($B1649="","",IF($C1649="","NIK kosong",IF(LEN($C1649)&lt;&gt;16,"NIK bukan 16 digit",IF(COUNTIF($C$4:$C$2003,$C1649&amp;"*")&gt;1,"NIK ganda",IF($E1649="","Kadus kosong",IF($F1649="","RT kosong",IF($H1649="","Jabatan kosong",IF($I1649="","No. HP kosong",IF($J1649="","Alamat kosong",IF(AND($M1649&lt;&gt;"",$M1649&lt;17),"Usia di bawah 17",""))))))))))</f>
        <v/>
      </c>
      <c r="U1649" s="40" t="str">
        <f aca="false">IF($B1649="","",IF(AND(OR(CARI!$C$5="",ISNUMBER(SEARCH(CARI!$C$5,$B1649&amp;" "&amp;$C1649&amp;" "&amp;$I1649&amp;" "&amp;$J1649&amp;" "&amp;$Q1649))),OR(CARI!$C$6="",$E1649=CARI!$C$6),OR(CARI!$C$7="",$F1649=CARI!$C$7),OR(CARI!$C$8="",$O1649=CARI!$C$8)),MAX($U$3:U1648)+1,""))</f>
        <v/>
      </c>
      <c r="V1649" s="40" t="str">
        <f aca="false">IF($T1649="","",MAX($V$3:V1648)+1)</f>
        <v/>
      </c>
      <c r="W1649" s="40" t="str">
        <f aca="false">IF($E1649="","",$E1649&amp;"#"&amp;COUNTIF($E$4:$E1649,$E1649))</f>
        <v/>
      </c>
      <c r="X1649" s="40" t="str">
        <f aca="false">IF($B1649="","",IF(AND(OR(CETAK!$J$10="",$E1649=CETAK!$J$10),OR(CETAK!$J$11="",$F1649=CETAK!$J$11),OR(CETAK!$J$12="",$K1649=CETAK!$J$12),OR(CETAK!$J$13="",$H1649=CETAK!$J$13),OR(CETAK!$J$14="",$O1649=CETAK!$J$14)),MAX($X$3:X1648)+1,""))</f>
        <v/>
      </c>
      <c r="Y1649" s="40" t="str">
        <f aca="false">IF($B1649="","",IF(AND(OR(ABSENSI!$H$10="",$E1649=ABSENSI!$H$10),OR(ABSENSI!$H$11="",$F1649=ABSENSI!$H$11),OR(ABSENSI!$H$12="",$K1649=ABSENSI!$H$12)),MAX($Y$3:Y1648)+1,""))</f>
        <v/>
      </c>
      <c r="Z1649" s="40" t="str">
        <f aca="false">IF($B1649="","",IF(AND(OR(KARTU!$K$6="",$E1649=KARTU!$K$6),OR(KARTU!$K$7="",$F1649=KARTU!$K$7),OR(KARTU!$K$8="",$K1649=KARTU!$K$8)),MAX($Z$3:Z1648)+1,""))</f>
        <v/>
      </c>
    </row>
    <row r="1650" customFormat="false" ht="15" hidden="false" customHeight="false" outlineLevel="0" collapsed="false">
      <c r="A1650" s="36" t="str">
        <f aca="false">IF($B1650="","",COUNTA($B$4:$B1650))</f>
        <v/>
      </c>
      <c r="B1650" s="37"/>
      <c r="C1650" s="38"/>
      <c r="D1650" s="39"/>
      <c r="E1650" s="37"/>
      <c r="F1650" s="39"/>
      <c r="G1650" s="40" t="str">
        <f aca="false">IF(OR($E1650="",$F1650=""),"",$E1650&amp;" - RT "&amp;$F1650)</f>
        <v/>
      </c>
      <c r="H1650" s="37"/>
      <c r="I1650" s="38"/>
      <c r="J1650" s="37"/>
      <c r="K1650" s="39"/>
      <c r="L1650" s="41"/>
      <c r="M1650" s="36" t="str">
        <f aca="true">IF(OR($B1650="",$L1650=""),"",DATEDIF($L1650,TODAY(),"Y"))</f>
        <v/>
      </c>
      <c r="N1650" s="40" t="str">
        <f aca="false">IF($M1650="","",INDEX(usia_label,MATCH($M1650,usia_min,1)))</f>
        <v/>
      </c>
      <c r="O1650" s="37"/>
      <c r="P1650" s="41"/>
      <c r="Q1650" s="37"/>
      <c r="R1650" s="37"/>
      <c r="S1650" s="40" t="str">
        <f aca="false">IF($G1650="","",$G1650&amp;"#"&amp;COUNTIF($G$4:$G1650,$G1650))</f>
        <v/>
      </c>
      <c r="T1650" s="40" t="str">
        <f aca="false">IF($B1650="","",IF($C1650="","NIK kosong",IF(LEN($C1650)&lt;&gt;16,"NIK bukan 16 digit",IF(COUNTIF($C$4:$C$2003,$C1650&amp;"*")&gt;1,"NIK ganda",IF($E1650="","Kadus kosong",IF($F1650="","RT kosong",IF($H1650="","Jabatan kosong",IF($I1650="","No. HP kosong",IF($J1650="","Alamat kosong",IF(AND($M1650&lt;&gt;"",$M1650&lt;17),"Usia di bawah 17",""))))))))))</f>
        <v/>
      </c>
      <c r="U1650" s="40" t="str">
        <f aca="false">IF($B1650="","",IF(AND(OR(CARI!$C$5="",ISNUMBER(SEARCH(CARI!$C$5,$B1650&amp;" "&amp;$C1650&amp;" "&amp;$I1650&amp;" "&amp;$J1650&amp;" "&amp;$Q1650))),OR(CARI!$C$6="",$E1650=CARI!$C$6),OR(CARI!$C$7="",$F1650=CARI!$C$7),OR(CARI!$C$8="",$O1650=CARI!$C$8)),MAX($U$3:U1649)+1,""))</f>
        <v/>
      </c>
      <c r="V1650" s="40" t="str">
        <f aca="false">IF($T1650="","",MAX($V$3:V1649)+1)</f>
        <v/>
      </c>
      <c r="W1650" s="40" t="str">
        <f aca="false">IF($E1650="","",$E1650&amp;"#"&amp;COUNTIF($E$4:$E1650,$E1650))</f>
        <v/>
      </c>
      <c r="X1650" s="40" t="str">
        <f aca="false">IF($B1650="","",IF(AND(OR(CETAK!$J$10="",$E1650=CETAK!$J$10),OR(CETAK!$J$11="",$F1650=CETAK!$J$11),OR(CETAK!$J$12="",$K1650=CETAK!$J$12),OR(CETAK!$J$13="",$H1650=CETAK!$J$13),OR(CETAK!$J$14="",$O1650=CETAK!$J$14)),MAX($X$3:X1649)+1,""))</f>
        <v/>
      </c>
      <c r="Y1650" s="40" t="str">
        <f aca="false">IF($B1650="","",IF(AND(OR(ABSENSI!$H$10="",$E1650=ABSENSI!$H$10),OR(ABSENSI!$H$11="",$F1650=ABSENSI!$H$11),OR(ABSENSI!$H$12="",$K1650=ABSENSI!$H$12)),MAX($Y$3:Y1649)+1,""))</f>
        <v/>
      </c>
      <c r="Z1650" s="40" t="str">
        <f aca="false">IF($B1650="","",IF(AND(OR(KARTU!$K$6="",$E1650=KARTU!$K$6),OR(KARTU!$K$7="",$F1650=KARTU!$K$7),OR(KARTU!$K$8="",$K1650=KARTU!$K$8)),MAX($Z$3:Z1649)+1,""))</f>
        <v/>
      </c>
    </row>
    <row r="1651" customFormat="false" ht="15" hidden="false" customHeight="false" outlineLevel="0" collapsed="false">
      <c r="A1651" s="36" t="str">
        <f aca="false">IF($B1651="","",COUNTA($B$4:$B1651))</f>
        <v/>
      </c>
      <c r="B1651" s="37"/>
      <c r="C1651" s="38"/>
      <c r="D1651" s="39"/>
      <c r="E1651" s="37"/>
      <c r="F1651" s="39"/>
      <c r="G1651" s="40" t="str">
        <f aca="false">IF(OR($E1651="",$F1651=""),"",$E1651&amp;" - RT "&amp;$F1651)</f>
        <v/>
      </c>
      <c r="H1651" s="37"/>
      <c r="I1651" s="38"/>
      <c r="J1651" s="37"/>
      <c r="K1651" s="39"/>
      <c r="L1651" s="41"/>
      <c r="M1651" s="36" t="str">
        <f aca="true">IF(OR($B1651="",$L1651=""),"",DATEDIF($L1651,TODAY(),"Y"))</f>
        <v/>
      </c>
      <c r="N1651" s="40" t="str">
        <f aca="false">IF($M1651="","",INDEX(usia_label,MATCH($M1651,usia_min,1)))</f>
        <v/>
      </c>
      <c r="O1651" s="37"/>
      <c r="P1651" s="41"/>
      <c r="Q1651" s="37"/>
      <c r="R1651" s="37"/>
      <c r="S1651" s="40" t="str">
        <f aca="false">IF($G1651="","",$G1651&amp;"#"&amp;COUNTIF($G$4:$G1651,$G1651))</f>
        <v/>
      </c>
      <c r="T1651" s="40" t="str">
        <f aca="false">IF($B1651="","",IF($C1651="","NIK kosong",IF(LEN($C1651)&lt;&gt;16,"NIK bukan 16 digit",IF(COUNTIF($C$4:$C$2003,$C1651&amp;"*")&gt;1,"NIK ganda",IF($E1651="","Kadus kosong",IF($F1651="","RT kosong",IF($H1651="","Jabatan kosong",IF($I1651="","No. HP kosong",IF($J1651="","Alamat kosong",IF(AND($M1651&lt;&gt;"",$M1651&lt;17),"Usia di bawah 17",""))))))))))</f>
        <v/>
      </c>
      <c r="U1651" s="40" t="str">
        <f aca="false">IF($B1651="","",IF(AND(OR(CARI!$C$5="",ISNUMBER(SEARCH(CARI!$C$5,$B1651&amp;" "&amp;$C1651&amp;" "&amp;$I1651&amp;" "&amp;$J1651&amp;" "&amp;$Q1651))),OR(CARI!$C$6="",$E1651=CARI!$C$6),OR(CARI!$C$7="",$F1651=CARI!$C$7),OR(CARI!$C$8="",$O1651=CARI!$C$8)),MAX($U$3:U1650)+1,""))</f>
        <v/>
      </c>
      <c r="V1651" s="40" t="str">
        <f aca="false">IF($T1651="","",MAX($V$3:V1650)+1)</f>
        <v/>
      </c>
      <c r="W1651" s="40" t="str">
        <f aca="false">IF($E1651="","",$E1651&amp;"#"&amp;COUNTIF($E$4:$E1651,$E1651))</f>
        <v/>
      </c>
      <c r="X1651" s="40" t="str">
        <f aca="false">IF($B1651="","",IF(AND(OR(CETAK!$J$10="",$E1651=CETAK!$J$10),OR(CETAK!$J$11="",$F1651=CETAK!$J$11),OR(CETAK!$J$12="",$K1651=CETAK!$J$12),OR(CETAK!$J$13="",$H1651=CETAK!$J$13),OR(CETAK!$J$14="",$O1651=CETAK!$J$14)),MAX($X$3:X1650)+1,""))</f>
        <v/>
      </c>
      <c r="Y1651" s="40" t="str">
        <f aca="false">IF($B1651="","",IF(AND(OR(ABSENSI!$H$10="",$E1651=ABSENSI!$H$10),OR(ABSENSI!$H$11="",$F1651=ABSENSI!$H$11),OR(ABSENSI!$H$12="",$K1651=ABSENSI!$H$12)),MAX($Y$3:Y1650)+1,""))</f>
        <v/>
      </c>
      <c r="Z1651" s="40" t="str">
        <f aca="false">IF($B1651="","",IF(AND(OR(KARTU!$K$6="",$E1651=KARTU!$K$6),OR(KARTU!$K$7="",$F1651=KARTU!$K$7),OR(KARTU!$K$8="",$K1651=KARTU!$K$8)),MAX($Z$3:Z1650)+1,""))</f>
        <v/>
      </c>
    </row>
    <row r="1652" customFormat="false" ht="15" hidden="false" customHeight="false" outlineLevel="0" collapsed="false">
      <c r="A1652" s="36" t="str">
        <f aca="false">IF($B1652="","",COUNTA($B$4:$B1652))</f>
        <v/>
      </c>
      <c r="B1652" s="37"/>
      <c r="C1652" s="38"/>
      <c r="D1652" s="39"/>
      <c r="E1652" s="37"/>
      <c r="F1652" s="39"/>
      <c r="G1652" s="40" t="str">
        <f aca="false">IF(OR($E1652="",$F1652=""),"",$E1652&amp;" - RT "&amp;$F1652)</f>
        <v/>
      </c>
      <c r="H1652" s="37"/>
      <c r="I1652" s="38"/>
      <c r="J1652" s="37"/>
      <c r="K1652" s="39"/>
      <c r="L1652" s="41"/>
      <c r="M1652" s="36" t="str">
        <f aca="true">IF(OR($B1652="",$L1652=""),"",DATEDIF($L1652,TODAY(),"Y"))</f>
        <v/>
      </c>
      <c r="N1652" s="40" t="str">
        <f aca="false">IF($M1652="","",INDEX(usia_label,MATCH($M1652,usia_min,1)))</f>
        <v/>
      </c>
      <c r="O1652" s="37"/>
      <c r="P1652" s="41"/>
      <c r="Q1652" s="37"/>
      <c r="R1652" s="37"/>
      <c r="S1652" s="40" t="str">
        <f aca="false">IF($G1652="","",$G1652&amp;"#"&amp;COUNTIF($G$4:$G1652,$G1652))</f>
        <v/>
      </c>
      <c r="T1652" s="40" t="str">
        <f aca="false">IF($B1652="","",IF($C1652="","NIK kosong",IF(LEN($C1652)&lt;&gt;16,"NIK bukan 16 digit",IF(COUNTIF($C$4:$C$2003,$C1652&amp;"*")&gt;1,"NIK ganda",IF($E1652="","Kadus kosong",IF($F1652="","RT kosong",IF($H1652="","Jabatan kosong",IF($I1652="","No. HP kosong",IF($J1652="","Alamat kosong",IF(AND($M1652&lt;&gt;"",$M1652&lt;17),"Usia di bawah 17",""))))))))))</f>
        <v/>
      </c>
      <c r="U1652" s="40" t="str">
        <f aca="false">IF($B1652="","",IF(AND(OR(CARI!$C$5="",ISNUMBER(SEARCH(CARI!$C$5,$B1652&amp;" "&amp;$C1652&amp;" "&amp;$I1652&amp;" "&amp;$J1652&amp;" "&amp;$Q1652))),OR(CARI!$C$6="",$E1652=CARI!$C$6),OR(CARI!$C$7="",$F1652=CARI!$C$7),OR(CARI!$C$8="",$O1652=CARI!$C$8)),MAX($U$3:U1651)+1,""))</f>
        <v/>
      </c>
      <c r="V1652" s="40" t="str">
        <f aca="false">IF($T1652="","",MAX($V$3:V1651)+1)</f>
        <v/>
      </c>
      <c r="W1652" s="40" t="str">
        <f aca="false">IF($E1652="","",$E1652&amp;"#"&amp;COUNTIF($E$4:$E1652,$E1652))</f>
        <v/>
      </c>
      <c r="X1652" s="40" t="str">
        <f aca="false">IF($B1652="","",IF(AND(OR(CETAK!$J$10="",$E1652=CETAK!$J$10),OR(CETAK!$J$11="",$F1652=CETAK!$J$11),OR(CETAK!$J$12="",$K1652=CETAK!$J$12),OR(CETAK!$J$13="",$H1652=CETAK!$J$13),OR(CETAK!$J$14="",$O1652=CETAK!$J$14)),MAX($X$3:X1651)+1,""))</f>
        <v/>
      </c>
      <c r="Y1652" s="40" t="str">
        <f aca="false">IF($B1652="","",IF(AND(OR(ABSENSI!$H$10="",$E1652=ABSENSI!$H$10),OR(ABSENSI!$H$11="",$F1652=ABSENSI!$H$11),OR(ABSENSI!$H$12="",$K1652=ABSENSI!$H$12)),MAX($Y$3:Y1651)+1,""))</f>
        <v/>
      </c>
      <c r="Z1652" s="40" t="str">
        <f aca="false">IF($B1652="","",IF(AND(OR(KARTU!$K$6="",$E1652=KARTU!$K$6),OR(KARTU!$K$7="",$F1652=KARTU!$K$7),OR(KARTU!$K$8="",$K1652=KARTU!$K$8)),MAX($Z$3:Z1651)+1,""))</f>
        <v/>
      </c>
    </row>
    <row r="1653" customFormat="false" ht="15" hidden="false" customHeight="false" outlineLevel="0" collapsed="false">
      <c r="A1653" s="36" t="str">
        <f aca="false">IF($B1653="","",COUNTA($B$4:$B1653))</f>
        <v/>
      </c>
      <c r="B1653" s="37"/>
      <c r="C1653" s="38"/>
      <c r="D1653" s="39"/>
      <c r="E1653" s="37"/>
      <c r="F1653" s="39"/>
      <c r="G1653" s="40" t="str">
        <f aca="false">IF(OR($E1653="",$F1653=""),"",$E1653&amp;" - RT "&amp;$F1653)</f>
        <v/>
      </c>
      <c r="H1653" s="37"/>
      <c r="I1653" s="38"/>
      <c r="J1653" s="37"/>
      <c r="K1653" s="39"/>
      <c r="L1653" s="41"/>
      <c r="M1653" s="36" t="str">
        <f aca="true">IF(OR($B1653="",$L1653=""),"",DATEDIF($L1653,TODAY(),"Y"))</f>
        <v/>
      </c>
      <c r="N1653" s="40" t="str">
        <f aca="false">IF($M1653="","",INDEX(usia_label,MATCH($M1653,usia_min,1)))</f>
        <v/>
      </c>
      <c r="O1653" s="37"/>
      <c r="P1653" s="41"/>
      <c r="Q1653" s="37"/>
      <c r="R1653" s="37"/>
      <c r="S1653" s="40" t="str">
        <f aca="false">IF($G1653="","",$G1653&amp;"#"&amp;COUNTIF($G$4:$G1653,$G1653))</f>
        <v/>
      </c>
      <c r="T1653" s="40" t="str">
        <f aca="false">IF($B1653="","",IF($C1653="","NIK kosong",IF(LEN($C1653)&lt;&gt;16,"NIK bukan 16 digit",IF(COUNTIF($C$4:$C$2003,$C1653&amp;"*")&gt;1,"NIK ganda",IF($E1653="","Kadus kosong",IF($F1653="","RT kosong",IF($H1653="","Jabatan kosong",IF($I1653="","No. HP kosong",IF($J1653="","Alamat kosong",IF(AND($M1653&lt;&gt;"",$M1653&lt;17),"Usia di bawah 17",""))))))))))</f>
        <v/>
      </c>
      <c r="U1653" s="40" t="str">
        <f aca="false">IF($B1653="","",IF(AND(OR(CARI!$C$5="",ISNUMBER(SEARCH(CARI!$C$5,$B1653&amp;" "&amp;$C1653&amp;" "&amp;$I1653&amp;" "&amp;$J1653&amp;" "&amp;$Q1653))),OR(CARI!$C$6="",$E1653=CARI!$C$6),OR(CARI!$C$7="",$F1653=CARI!$C$7),OR(CARI!$C$8="",$O1653=CARI!$C$8)),MAX($U$3:U1652)+1,""))</f>
        <v/>
      </c>
      <c r="V1653" s="40" t="str">
        <f aca="false">IF($T1653="","",MAX($V$3:V1652)+1)</f>
        <v/>
      </c>
      <c r="W1653" s="40" t="str">
        <f aca="false">IF($E1653="","",$E1653&amp;"#"&amp;COUNTIF($E$4:$E1653,$E1653))</f>
        <v/>
      </c>
      <c r="X1653" s="40" t="str">
        <f aca="false">IF($B1653="","",IF(AND(OR(CETAK!$J$10="",$E1653=CETAK!$J$10),OR(CETAK!$J$11="",$F1653=CETAK!$J$11),OR(CETAK!$J$12="",$K1653=CETAK!$J$12),OR(CETAK!$J$13="",$H1653=CETAK!$J$13),OR(CETAK!$J$14="",$O1653=CETAK!$J$14)),MAX($X$3:X1652)+1,""))</f>
        <v/>
      </c>
      <c r="Y1653" s="40" t="str">
        <f aca="false">IF($B1653="","",IF(AND(OR(ABSENSI!$H$10="",$E1653=ABSENSI!$H$10),OR(ABSENSI!$H$11="",$F1653=ABSENSI!$H$11),OR(ABSENSI!$H$12="",$K1653=ABSENSI!$H$12)),MAX($Y$3:Y1652)+1,""))</f>
        <v/>
      </c>
      <c r="Z1653" s="40" t="str">
        <f aca="false">IF($B1653="","",IF(AND(OR(KARTU!$K$6="",$E1653=KARTU!$K$6),OR(KARTU!$K$7="",$F1653=KARTU!$K$7),OR(KARTU!$K$8="",$K1653=KARTU!$K$8)),MAX($Z$3:Z1652)+1,""))</f>
        <v/>
      </c>
    </row>
    <row r="1654" customFormat="false" ht="15" hidden="false" customHeight="false" outlineLevel="0" collapsed="false">
      <c r="A1654" s="36" t="str">
        <f aca="false">IF($B1654="","",COUNTA($B$4:$B1654))</f>
        <v/>
      </c>
      <c r="B1654" s="37"/>
      <c r="C1654" s="38"/>
      <c r="D1654" s="39"/>
      <c r="E1654" s="37"/>
      <c r="F1654" s="39"/>
      <c r="G1654" s="40" t="str">
        <f aca="false">IF(OR($E1654="",$F1654=""),"",$E1654&amp;" - RT "&amp;$F1654)</f>
        <v/>
      </c>
      <c r="H1654" s="37"/>
      <c r="I1654" s="38"/>
      <c r="J1654" s="37"/>
      <c r="K1654" s="39"/>
      <c r="L1654" s="41"/>
      <c r="M1654" s="36" t="str">
        <f aca="true">IF(OR($B1654="",$L1654=""),"",DATEDIF($L1654,TODAY(),"Y"))</f>
        <v/>
      </c>
      <c r="N1654" s="40" t="str">
        <f aca="false">IF($M1654="","",INDEX(usia_label,MATCH($M1654,usia_min,1)))</f>
        <v/>
      </c>
      <c r="O1654" s="37"/>
      <c r="P1654" s="41"/>
      <c r="Q1654" s="37"/>
      <c r="R1654" s="37"/>
      <c r="S1654" s="40" t="str">
        <f aca="false">IF($G1654="","",$G1654&amp;"#"&amp;COUNTIF($G$4:$G1654,$G1654))</f>
        <v/>
      </c>
      <c r="T1654" s="40" t="str">
        <f aca="false">IF($B1654="","",IF($C1654="","NIK kosong",IF(LEN($C1654)&lt;&gt;16,"NIK bukan 16 digit",IF(COUNTIF($C$4:$C$2003,$C1654&amp;"*")&gt;1,"NIK ganda",IF($E1654="","Kadus kosong",IF($F1654="","RT kosong",IF($H1654="","Jabatan kosong",IF($I1654="","No. HP kosong",IF($J1654="","Alamat kosong",IF(AND($M1654&lt;&gt;"",$M1654&lt;17),"Usia di bawah 17",""))))))))))</f>
        <v/>
      </c>
      <c r="U1654" s="40" t="str">
        <f aca="false">IF($B1654="","",IF(AND(OR(CARI!$C$5="",ISNUMBER(SEARCH(CARI!$C$5,$B1654&amp;" "&amp;$C1654&amp;" "&amp;$I1654&amp;" "&amp;$J1654&amp;" "&amp;$Q1654))),OR(CARI!$C$6="",$E1654=CARI!$C$6),OR(CARI!$C$7="",$F1654=CARI!$C$7),OR(CARI!$C$8="",$O1654=CARI!$C$8)),MAX($U$3:U1653)+1,""))</f>
        <v/>
      </c>
      <c r="V1654" s="40" t="str">
        <f aca="false">IF($T1654="","",MAX($V$3:V1653)+1)</f>
        <v/>
      </c>
      <c r="W1654" s="40" t="str">
        <f aca="false">IF($E1654="","",$E1654&amp;"#"&amp;COUNTIF($E$4:$E1654,$E1654))</f>
        <v/>
      </c>
      <c r="X1654" s="40" t="str">
        <f aca="false">IF($B1654="","",IF(AND(OR(CETAK!$J$10="",$E1654=CETAK!$J$10),OR(CETAK!$J$11="",$F1654=CETAK!$J$11),OR(CETAK!$J$12="",$K1654=CETAK!$J$12),OR(CETAK!$J$13="",$H1654=CETAK!$J$13),OR(CETAK!$J$14="",$O1654=CETAK!$J$14)),MAX($X$3:X1653)+1,""))</f>
        <v/>
      </c>
      <c r="Y1654" s="40" t="str">
        <f aca="false">IF($B1654="","",IF(AND(OR(ABSENSI!$H$10="",$E1654=ABSENSI!$H$10),OR(ABSENSI!$H$11="",$F1654=ABSENSI!$H$11),OR(ABSENSI!$H$12="",$K1654=ABSENSI!$H$12)),MAX($Y$3:Y1653)+1,""))</f>
        <v/>
      </c>
      <c r="Z1654" s="40" t="str">
        <f aca="false">IF($B1654="","",IF(AND(OR(KARTU!$K$6="",$E1654=KARTU!$K$6),OR(KARTU!$K$7="",$F1654=KARTU!$K$7),OR(KARTU!$K$8="",$K1654=KARTU!$K$8)),MAX($Z$3:Z1653)+1,""))</f>
        <v/>
      </c>
    </row>
    <row r="1655" customFormat="false" ht="15" hidden="false" customHeight="false" outlineLevel="0" collapsed="false">
      <c r="A1655" s="36" t="str">
        <f aca="false">IF($B1655="","",COUNTA($B$4:$B1655))</f>
        <v/>
      </c>
      <c r="B1655" s="37"/>
      <c r="C1655" s="38"/>
      <c r="D1655" s="39"/>
      <c r="E1655" s="37"/>
      <c r="F1655" s="39"/>
      <c r="G1655" s="40" t="str">
        <f aca="false">IF(OR($E1655="",$F1655=""),"",$E1655&amp;" - RT "&amp;$F1655)</f>
        <v/>
      </c>
      <c r="H1655" s="37"/>
      <c r="I1655" s="38"/>
      <c r="J1655" s="37"/>
      <c r="K1655" s="39"/>
      <c r="L1655" s="41"/>
      <c r="M1655" s="36" t="str">
        <f aca="true">IF(OR($B1655="",$L1655=""),"",DATEDIF($L1655,TODAY(),"Y"))</f>
        <v/>
      </c>
      <c r="N1655" s="40" t="str">
        <f aca="false">IF($M1655="","",INDEX(usia_label,MATCH($M1655,usia_min,1)))</f>
        <v/>
      </c>
      <c r="O1655" s="37"/>
      <c r="P1655" s="41"/>
      <c r="Q1655" s="37"/>
      <c r="R1655" s="37"/>
      <c r="S1655" s="40" t="str">
        <f aca="false">IF($G1655="","",$G1655&amp;"#"&amp;COUNTIF($G$4:$G1655,$G1655))</f>
        <v/>
      </c>
      <c r="T1655" s="40" t="str">
        <f aca="false">IF($B1655="","",IF($C1655="","NIK kosong",IF(LEN($C1655)&lt;&gt;16,"NIK bukan 16 digit",IF(COUNTIF($C$4:$C$2003,$C1655&amp;"*")&gt;1,"NIK ganda",IF($E1655="","Kadus kosong",IF($F1655="","RT kosong",IF($H1655="","Jabatan kosong",IF($I1655="","No. HP kosong",IF($J1655="","Alamat kosong",IF(AND($M1655&lt;&gt;"",$M1655&lt;17),"Usia di bawah 17",""))))))))))</f>
        <v/>
      </c>
      <c r="U1655" s="40" t="str">
        <f aca="false">IF($B1655="","",IF(AND(OR(CARI!$C$5="",ISNUMBER(SEARCH(CARI!$C$5,$B1655&amp;" "&amp;$C1655&amp;" "&amp;$I1655&amp;" "&amp;$J1655&amp;" "&amp;$Q1655))),OR(CARI!$C$6="",$E1655=CARI!$C$6),OR(CARI!$C$7="",$F1655=CARI!$C$7),OR(CARI!$C$8="",$O1655=CARI!$C$8)),MAX($U$3:U1654)+1,""))</f>
        <v/>
      </c>
      <c r="V1655" s="40" t="str">
        <f aca="false">IF($T1655="","",MAX($V$3:V1654)+1)</f>
        <v/>
      </c>
      <c r="W1655" s="40" t="str">
        <f aca="false">IF($E1655="","",$E1655&amp;"#"&amp;COUNTIF($E$4:$E1655,$E1655))</f>
        <v/>
      </c>
      <c r="X1655" s="40" t="str">
        <f aca="false">IF($B1655="","",IF(AND(OR(CETAK!$J$10="",$E1655=CETAK!$J$10),OR(CETAK!$J$11="",$F1655=CETAK!$J$11),OR(CETAK!$J$12="",$K1655=CETAK!$J$12),OR(CETAK!$J$13="",$H1655=CETAK!$J$13),OR(CETAK!$J$14="",$O1655=CETAK!$J$14)),MAX($X$3:X1654)+1,""))</f>
        <v/>
      </c>
      <c r="Y1655" s="40" t="str">
        <f aca="false">IF($B1655="","",IF(AND(OR(ABSENSI!$H$10="",$E1655=ABSENSI!$H$10),OR(ABSENSI!$H$11="",$F1655=ABSENSI!$H$11),OR(ABSENSI!$H$12="",$K1655=ABSENSI!$H$12)),MAX($Y$3:Y1654)+1,""))</f>
        <v/>
      </c>
      <c r="Z1655" s="40" t="str">
        <f aca="false">IF($B1655="","",IF(AND(OR(KARTU!$K$6="",$E1655=KARTU!$K$6),OR(KARTU!$K$7="",$F1655=KARTU!$K$7),OR(KARTU!$K$8="",$K1655=KARTU!$K$8)),MAX($Z$3:Z1654)+1,""))</f>
        <v/>
      </c>
    </row>
    <row r="1656" customFormat="false" ht="15" hidden="false" customHeight="false" outlineLevel="0" collapsed="false">
      <c r="A1656" s="36" t="str">
        <f aca="false">IF($B1656="","",COUNTA($B$4:$B1656))</f>
        <v/>
      </c>
      <c r="B1656" s="37"/>
      <c r="C1656" s="38"/>
      <c r="D1656" s="39"/>
      <c r="E1656" s="37"/>
      <c r="F1656" s="39"/>
      <c r="G1656" s="40" t="str">
        <f aca="false">IF(OR($E1656="",$F1656=""),"",$E1656&amp;" - RT "&amp;$F1656)</f>
        <v/>
      </c>
      <c r="H1656" s="37"/>
      <c r="I1656" s="38"/>
      <c r="J1656" s="37"/>
      <c r="K1656" s="39"/>
      <c r="L1656" s="41"/>
      <c r="M1656" s="36" t="str">
        <f aca="true">IF(OR($B1656="",$L1656=""),"",DATEDIF($L1656,TODAY(),"Y"))</f>
        <v/>
      </c>
      <c r="N1656" s="40" t="str">
        <f aca="false">IF($M1656="","",INDEX(usia_label,MATCH($M1656,usia_min,1)))</f>
        <v/>
      </c>
      <c r="O1656" s="37"/>
      <c r="P1656" s="41"/>
      <c r="Q1656" s="37"/>
      <c r="R1656" s="37"/>
      <c r="S1656" s="40" t="str">
        <f aca="false">IF($G1656="","",$G1656&amp;"#"&amp;COUNTIF($G$4:$G1656,$G1656))</f>
        <v/>
      </c>
      <c r="T1656" s="40" t="str">
        <f aca="false">IF($B1656="","",IF($C1656="","NIK kosong",IF(LEN($C1656)&lt;&gt;16,"NIK bukan 16 digit",IF(COUNTIF($C$4:$C$2003,$C1656&amp;"*")&gt;1,"NIK ganda",IF($E1656="","Kadus kosong",IF($F1656="","RT kosong",IF($H1656="","Jabatan kosong",IF($I1656="","No. HP kosong",IF($J1656="","Alamat kosong",IF(AND($M1656&lt;&gt;"",$M1656&lt;17),"Usia di bawah 17",""))))))))))</f>
        <v/>
      </c>
      <c r="U1656" s="40" t="str">
        <f aca="false">IF($B1656="","",IF(AND(OR(CARI!$C$5="",ISNUMBER(SEARCH(CARI!$C$5,$B1656&amp;" "&amp;$C1656&amp;" "&amp;$I1656&amp;" "&amp;$J1656&amp;" "&amp;$Q1656))),OR(CARI!$C$6="",$E1656=CARI!$C$6),OR(CARI!$C$7="",$F1656=CARI!$C$7),OR(CARI!$C$8="",$O1656=CARI!$C$8)),MAX($U$3:U1655)+1,""))</f>
        <v/>
      </c>
      <c r="V1656" s="40" t="str">
        <f aca="false">IF($T1656="","",MAX($V$3:V1655)+1)</f>
        <v/>
      </c>
      <c r="W1656" s="40" t="str">
        <f aca="false">IF($E1656="","",$E1656&amp;"#"&amp;COUNTIF($E$4:$E1656,$E1656))</f>
        <v/>
      </c>
      <c r="X1656" s="40" t="str">
        <f aca="false">IF($B1656="","",IF(AND(OR(CETAK!$J$10="",$E1656=CETAK!$J$10),OR(CETAK!$J$11="",$F1656=CETAK!$J$11),OR(CETAK!$J$12="",$K1656=CETAK!$J$12),OR(CETAK!$J$13="",$H1656=CETAK!$J$13),OR(CETAK!$J$14="",$O1656=CETAK!$J$14)),MAX($X$3:X1655)+1,""))</f>
        <v/>
      </c>
      <c r="Y1656" s="40" t="str">
        <f aca="false">IF($B1656="","",IF(AND(OR(ABSENSI!$H$10="",$E1656=ABSENSI!$H$10),OR(ABSENSI!$H$11="",$F1656=ABSENSI!$H$11),OR(ABSENSI!$H$12="",$K1656=ABSENSI!$H$12)),MAX($Y$3:Y1655)+1,""))</f>
        <v/>
      </c>
      <c r="Z1656" s="40" t="str">
        <f aca="false">IF($B1656="","",IF(AND(OR(KARTU!$K$6="",$E1656=KARTU!$K$6),OR(KARTU!$K$7="",$F1656=KARTU!$K$7),OR(KARTU!$K$8="",$K1656=KARTU!$K$8)),MAX($Z$3:Z1655)+1,""))</f>
        <v/>
      </c>
    </row>
    <row r="1657" customFormat="false" ht="15" hidden="false" customHeight="false" outlineLevel="0" collapsed="false">
      <c r="A1657" s="36" t="str">
        <f aca="false">IF($B1657="","",COUNTA($B$4:$B1657))</f>
        <v/>
      </c>
      <c r="B1657" s="37"/>
      <c r="C1657" s="38"/>
      <c r="D1657" s="39"/>
      <c r="E1657" s="37"/>
      <c r="F1657" s="39"/>
      <c r="G1657" s="40" t="str">
        <f aca="false">IF(OR($E1657="",$F1657=""),"",$E1657&amp;" - RT "&amp;$F1657)</f>
        <v/>
      </c>
      <c r="H1657" s="37"/>
      <c r="I1657" s="38"/>
      <c r="J1657" s="37"/>
      <c r="K1657" s="39"/>
      <c r="L1657" s="41"/>
      <c r="M1657" s="36" t="str">
        <f aca="true">IF(OR($B1657="",$L1657=""),"",DATEDIF($L1657,TODAY(),"Y"))</f>
        <v/>
      </c>
      <c r="N1657" s="40" t="str">
        <f aca="false">IF($M1657="","",INDEX(usia_label,MATCH($M1657,usia_min,1)))</f>
        <v/>
      </c>
      <c r="O1657" s="37"/>
      <c r="P1657" s="41"/>
      <c r="Q1657" s="37"/>
      <c r="R1657" s="37"/>
      <c r="S1657" s="40" t="str">
        <f aca="false">IF($G1657="","",$G1657&amp;"#"&amp;COUNTIF($G$4:$G1657,$G1657))</f>
        <v/>
      </c>
      <c r="T1657" s="40" t="str">
        <f aca="false">IF($B1657="","",IF($C1657="","NIK kosong",IF(LEN($C1657)&lt;&gt;16,"NIK bukan 16 digit",IF(COUNTIF($C$4:$C$2003,$C1657&amp;"*")&gt;1,"NIK ganda",IF($E1657="","Kadus kosong",IF($F1657="","RT kosong",IF($H1657="","Jabatan kosong",IF($I1657="","No. HP kosong",IF($J1657="","Alamat kosong",IF(AND($M1657&lt;&gt;"",$M1657&lt;17),"Usia di bawah 17",""))))))))))</f>
        <v/>
      </c>
      <c r="U1657" s="40" t="str">
        <f aca="false">IF($B1657="","",IF(AND(OR(CARI!$C$5="",ISNUMBER(SEARCH(CARI!$C$5,$B1657&amp;" "&amp;$C1657&amp;" "&amp;$I1657&amp;" "&amp;$J1657&amp;" "&amp;$Q1657))),OR(CARI!$C$6="",$E1657=CARI!$C$6),OR(CARI!$C$7="",$F1657=CARI!$C$7),OR(CARI!$C$8="",$O1657=CARI!$C$8)),MAX($U$3:U1656)+1,""))</f>
        <v/>
      </c>
      <c r="V1657" s="40" t="str">
        <f aca="false">IF($T1657="","",MAX($V$3:V1656)+1)</f>
        <v/>
      </c>
      <c r="W1657" s="40" t="str">
        <f aca="false">IF($E1657="","",$E1657&amp;"#"&amp;COUNTIF($E$4:$E1657,$E1657))</f>
        <v/>
      </c>
      <c r="X1657" s="40" t="str">
        <f aca="false">IF($B1657="","",IF(AND(OR(CETAK!$J$10="",$E1657=CETAK!$J$10),OR(CETAK!$J$11="",$F1657=CETAK!$J$11),OR(CETAK!$J$12="",$K1657=CETAK!$J$12),OR(CETAK!$J$13="",$H1657=CETAK!$J$13),OR(CETAK!$J$14="",$O1657=CETAK!$J$14)),MAX($X$3:X1656)+1,""))</f>
        <v/>
      </c>
      <c r="Y1657" s="40" t="str">
        <f aca="false">IF($B1657="","",IF(AND(OR(ABSENSI!$H$10="",$E1657=ABSENSI!$H$10),OR(ABSENSI!$H$11="",$F1657=ABSENSI!$H$11),OR(ABSENSI!$H$12="",$K1657=ABSENSI!$H$12)),MAX($Y$3:Y1656)+1,""))</f>
        <v/>
      </c>
      <c r="Z1657" s="40" t="str">
        <f aca="false">IF($B1657="","",IF(AND(OR(KARTU!$K$6="",$E1657=KARTU!$K$6),OR(KARTU!$K$7="",$F1657=KARTU!$K$7),OR(KARTU!$K$8="",$K1657=KARTU!$K$8)),MAX($Z$3:Z1656)+1,""))</f>
        <v/>
      </c>
    </row>
    <row r="1658" customFormat="false" ht="15" hidden="false" customHeight="false" outlineLevel="0" collapsed="false">
      <c r="A1658" s="36" t="str">
        <f aca="false">IF($B1658="","",COUNTA($B$4:$B1658))</f>
        <v/>
      </c>
      <c r="B1658" s="37"/>
      <c r="C1658" s="38"/>
      <c r="D1658" s="39"/>
      <c r="E1658" s="37"/>
      <c r="F1658" s="39"/>
      <c r="G1658" s="40" t="str">
        <f aca="false">IF(OR($E1658="",$F1658=""),"",$E1658&amp;" - RT "&amp;$F1658)</f>
        <v/>
      </c>
      <c r="H1658" s="37"/>
      <c r="I1658" s="38"/>
      <c r="J1658" s="37"/>
      <c r="K1658" s="39"/>
      <c r="L1658" s="41"/>
      <c r="M1658" s="36" t="str">
        <f aca="true">IF(OR($B1658="",$L1658=""),"",DATEDIF($L1658,TODAY(),"Y"))</f>
        <v/>
      </c>
      <c r="N1658" s="40" t="str">
        <f aca="false">IF($M1658="","",INDEX(usia_label,MATCH($M1658,usia_min,1)))</f>
        <v/>
      </c>
      <c r="O1658" s="37"/>
      <c r="P1658" s="41"/>
      <c r="Q1658" s="37"/>
      <c r="R1658" s="37"/>
      <c r="S1658" s="40" t="str">
        <f aca="false">IF($G1658="","",$G1658&amp;"#"&amp;COUNTIF($G$4:$G1658,$G1658))</f>
        <v/>
      </c>
      <c r="T1658" s="40" t="str">
        <f aca="false">IF($B1658="","",IF($C1658="","NIK kosong",IF(LEN($C1658)&lt;&gt;16,"NIK bukan 16 digit",IF(COUNTIF($C$4:$C$2003,$C1658&amp;"*")&gt;1,"NIK ganda",IF($E1658="","Kadus kosong",IF($F1658="","RT kosong",IF($H1658="","Jabatan kosong",IF($I1658="","No. HP kosong",IF($J1658="","Alamat kosong",IF(AND($M1658&lt;&gt;"",$M1658&lt;17),"Usia di bawah 17",""))))))))))</f>
        <v/>
      </c>
      <c r="U1658" s="40" t="str">
        <f aca="false">IF($B1658="","",IF(AND(OR(CARI!$C$5="",ISNUMBER(SEARCH(CARI!$C$5,$B1658&amp;" "&amp;$C1658&amp;" "&amp;$I1658&amp;" "&amp;$J1658&amp;" "&amp;$Q1658))),OR(CARI!$C$6="",$E1658=CARI!$C$6),OR(CARI!$C$7="",$F1658=CARI!$C$7),OR(CARI!$C$8="",$O1658=CARI!$C$8)),MAX($U$3:U1657)+1,""))</f>
        <v/>
      </c>
      <c r="V1658" s="40" t="str">
        <f aca="false">IF($T1658="","",MAX($V$3:V1657)+1)</f>
        <v/>
      </c>
      <c r="W1658" s="40" t="str">
        <f aca="false">IF($E1658="","",$E1658&amp;"#"&amp;COUNTIF($E$4:$E1658,$E1658))</f>
        <v/>
      </c>
      <c r="X1658" s="40" t="str">
        <f aca="false">IF($B1658="","",IF(AND(OR(CETAK!$J$10="",$E1658=CETAK!$J$10),OR(CETAK!$J$11="",$F1658=CETAK!$J$11),OR(CETAK!$J$12="",$K1658=CETAK!$J$12),OR(CETAK!$J$13="",$H1658=CETAK!$J$13),OR(CETAK!$J$14="",$O1658=CETAK!$J$14)),MAX($X$3:X1657)+1,""))</f>
        <v/>
      </c>
      <c r="Y1658" s="40" t="str">
        <f aca="false">IF($B1658="","",IF(AND(OR(ABSENSI!$H$10="",$E1658=ABSENSI!$H$10),OR(ABSENSI!$H$11="",$F1658=ABSENSI!$H$11),OR(ABSENSI!$H$12="",$K1658=ABSENSI!$H$12)),MAX($Y$3:Y1657)+1,""))</f>
        <v/>
      </c>
      <c r="Z1658" s="40" t="str">
        <f aca="false">IF($B1658="","",IF(AND(OR(KARTU!$K$6="",$E1658=KARTU!$K$6),OR(KARTU!$K$7="",$F1658=KARTU!$K$7),OR(KARTU!$K$8="",$K1658=KARTU!$K$8)),MAX($Z$3:Z1657)+1,""))</f>
        <v/>
      </c>
    </row>
    <row r="1659" customFormat="false" ht="15" hidden="false" customHeight="false" outlineLevel="0" collapsed="false">
      <c r="A1659" s="36" t="str">
        <f aca="false">IF($B1659="","",COUNTA($B$4:$B1659))</f>
        <v/>
      </c>
      <c r="B1659" s="37"/>
      <c r="C1659" s="38"/>
      <c r="D1659" s="39"/>
      <c r="E1659" s="37"/>
      <c r="F1659" s="39"/>
      <c r="G1659" s="40" t="str">
        <f aca="false">IF(OR($E1659="",$F1659=""),"",$E1659&amp;" - RT "&amp;$F1659)</f>
        <v/>
      </c>
      <c r="H1659" s="37"/>
      <c r="I1659" s="38"/>
      <c r="J1659" s="37"/>
      <c r="K1659" s="39"/>
      <c r="L1659" s="41"/>
      <c r="M1659" s="36" t="str">
        <f aca="true">IF(OR($B1659="",$L1659=""),"",DATEDIF($L1659,TODAY(),"Y"))</f>
        <v/>
      </c>
      <c r="N1659" s="40" t="str">
        <f aca="false">IF($M1659="","",INDEX(usia_label,MATCH($M1659,usia_min,1)))</f>
        <v/>
      </c>
      <c r="O1659" s="37"/>
      <c r="P1659" s="41"/>
      <c r="Q1659" s="37"/>
      <c r="R1659" s="37"/>
      <c r="S1659" s="40" t="str">
        <f aca="false">IF($G1659="","",$G1659&amp;"#"&amp;COUNTIF($G$4:$G1659,$G1659))</f>
        <v/>
      </c>
      <c r="T1659" s="40" t="str">
        <f aca="false">IF($B1659="","",IF($C1659="","NIK kosong",IF(LEN($C1659)&lt;&gt;16,"NIK bukan 16 digit",IF(COUNTIF($C$4:$C$2003,$C1659&amp;"*")&gt;1,"NIK ganda",IF($E1659="","Kadus kosong",IF($F1659="","RT kosong",IF($H1659="","Jabatan kosong",IF($I1659="","No. HP kosong",IF($J1659="","Alamat kosong",IF(AND($M1659&lt;&gt;"",$M1659&lt;17),"Usia di bawah 17",""))))))))))</f>
        <v/>
      </c>
      <c r="U1659" s="40" t="str">
        <f aca="false">IF($B1659="","",IF(AND(OR(CARI!$C$5="",ISNUMBER(SEARCH(CARI!$C$5,$B1659&amp;" "&amp;$C1659&amp;" "&amp;$I1659&amp;" "&amp;$J1659&amp;" "&amp;$Q1659))),OR(CARI!$C$6="",$E1659=CARI!$C$6),OR(CARI!$C$7="",$F1659=CARI!$C$7),OR(CARI!$C$8="",$O1659=CARI!$C$8)),MAX($U$3:U1658)+1,""))</f>
        <v/>
      </c>
      <c r="V1659" s="40" t="str">
        <f aca="false">IF($T1659="","",MAX($V$3:V1658)+1)</f>
        <v/>
      </c>
      <c r="W1659" s="40" t="str">
        <f aca="false">IF($E1659="","",$E1659&amp;"#"&amp;COUNTIF($E$4:$E1659,$E1659))</f>
        <v/>
      </c>
      <c r="X1659" s="40" t="str">
        <f aca="false">IF($B1659="","",IF(AND(OR(CETAK!$J$10="",$E1659=CETAK!$J$10),OR(CETAK!$J$11="",$F1659=CETAK!$J$11),OR(CETAK!$J$12="",$K1659=CETAK!$J$12),OR(CETAK!$J$13="",$H1659=CETAK!$J$13),OR(CETAK!$J$14="",$O1659=CETAK!$J$14)),MAX($X$3:X1658)+1,""))</f>
        <v/>
      </c>
      <c r="Y1659" s="40" t="str">
        <f aca="false">IF($B1659="","",IF(AND(OR(ABSENSI!$H$10="",$E1659=ABSENSI!$H$10),OR(ABSENSI!$H$11="",$F1659=ABSENSI!$H$11),OR(ABSENSI!$H$12="",$K1659=ABSENSI!$H$12)),MAX($Y$3:Y1658)+1,""))</f>
        <v/>
      </c>
      <c r="Z1659" s="40" t="str">
        <f aca="false">IF($B1659="","",IF(AND(OR(KARTU!$K$6="",$E1659=KARTU!$K$6),OR(KARTU!$K$7="",$F1659=KARTU!$K$7),OR(KARTU!$K$8="",$K1659=KARTU!$K$8)),MAX($Z$3:Z1658)+1,""))</f>
        <v/>
      </c>
    </row>
    <row r="1660" customFormat="false" ht="15" hidden="false" customHeight="false" outlineLevel="0" collapsed="false">
      <c r="A1660" s="36" t="str">
        <f aca="false">IF($B1660="","",COUNTA($B$4:$B1660))</f>
        <v/>
      </c>
      <c r="B1660" s="37"/>
      <c r="C1660" s="38"/>
      <c r="D1660" s="39"/>
      <c r="E1660" s="37"/>
      <c r="F1660" s="39"/>
      <c r="G1660" s="40" t="str">
        <f aca="false">IF(OR($E1660="",$F1660=""),"",$E1660&amp;" - RT "&amp;$F1660)</f>
        <v/>
      </c>
      <c r="H1660" s="37"/>
      <c r="I1660" s="38"/>
      <c r="J1660" s="37"/>
      <c r="K1660" s="39"/>
      <c r="L1660" s="41"/>
      <c r="M1660" s="36" t="str">
        <f aca="true">IF(OR($B1660="",$L1660=""),"",DATEDIF($L1660,TODAY(),"Y"))</f>
        <v/>
      </c>
      <c r="N1660" s="40" t="str">
        <f aca="false">IF($M1660="","",INDEX(usia_label,MATCH($M1660,usia_min,1)))</f>
        <v/>
      </c>
      <c r="O1660" s="37"/>
      <c r="P1660" s="41"/>
      <c r="Q1660" s="37"/>
      <c r="R1660" s="37"/>
      <c r="S1660" s="40" t="str">
        <f aca="false">IF($G1660="","",$G1660&amp;"#"&amp;COUNTIF($G$4:$G1660,$G1660))</f>
        <v/>
      </c>
      <c r="T1660" s="40" t="str">
        <f aca="false">IF($B1660="","",IF($C1660="","NIK kosong",IF(LEN($C1660)&lt;&gt;16,"NIK bukan 16 digit",IF(COUNTIF($C$4:$C$2003,$C1660&amp;"*")&gt;1,"NIK ganda",IF($E1660="","Kadus kosong",IF($F1660="","RT kosong",IF($H1660="","Jabatan kosong",IF($I1660="","No. HP kosong",IF($J1660="","Alamat kosong",IF(AND($M1660&lt;&gt;"",$M1660&lt;17),"Usia di bawah 17",""))))))))))</f>
        <v/>
      </c>
      <c r="U1660" s="40" t="str">
        <f aca="false">IF($B1660="","",IF(AND(OR(CARI!$C$5="",ISNUMBER(SEARCH(CARI!$C$5,$B1660&amp;" "&amp;$C1660&amp;" "&amp;$I1660&amp;" "&amp;$J1660&amp;" "&amp;$Q1660))),OR(CARI!$C$6="",$E1660=CARI!$C$6),OR(CARI!$C$7="",$F1660=CARI!$C$7),OR(CARI!$C$8="",$O1660=CARI!$C$8)),MAX($U$3:U1659)+1,""))</f>
        <v/>
      </c>
      <c r="V1660" s="40" t="str">
        <f aca="false">IF($T1660="","",MAX($V$3:V1659)+1)</f>
        <v/>
      </c>
      <c r="W1660" s="40" t="str">
        <f aca="false">IF($E1660="","",$E1660&amp;"#"&amp;COUNTIF($E$4:$E1660,$E1660))</f>
        <v/>
      </c>
      <c r="X1660" s="40" t="str">
        <f aca="false">IF($B1660="","",IF(AND(OR(CETAK!$J$10="",$E1660=CETAK!$J$10),OR(CETAK!$J$11="",$F1660=CETAK!$J$11),OR(CETAK!$J$12="",$K1660=CETAK!$J$12),OR(CETAK!$J$13="",$H1660=CETAK!$J$13),OR(CETAK!$J$14="",$O1660=CETAK!$J$14)),MAX($X$3:X1659)+1,""))</f>
        <v/>
      </c>
      <c r="Y1660" s="40" t="str">
        <f aca="false">IF($B1660="","",IF(AND(OR(ABSENSI!$H$10="",$E1660=ABSENSI!$H$10),OR(ABSENSI!$H$11="",$F1660=ABSENSI!$H$11),OR(ABSENSI!$H$12="",$K1660=ABSENSI!$H$12)),MAX($Y$3:Y1659)+1,""))</f>
        <v/>
      </c>
      <c r="Z1660" s="40" t="str">
        <f aca="false">IF($B1660="","",IF(AND(OR(KARTU!$K$6="",$E1660=KARTU!$K$6),OR(KARTU!$K$7="",$F1660=KARTU!$K$7),OR(KARTU!$K$8="",$K1660=KARTU!$K$8)),MAX($Z$3:Z1659)+1,""))</f>
        <v/>
      </c>
    </row>
    <row r="1661" customFormat="false" ht="15" hidden="false" customHeight="false" outlineLevel="0" collapsed="false">
      <c r="A1661" s="36" t="str">
        <f aca="false">IF($B1661="","",COUNTA($B$4:$B1661))</f>
        <v/>
      </c>
      <c r="B1661" s="37"/>
      <c r="C1661" s="38"/>
      <c r="D1661" s="39"/>
      <c r="E1661" s="37"/>
      <c r="F1661" s="39"/>
      <c r="G1661" s="40" t="str">
        <f aca="false">IF(OR($E1661="",$F1661=""),"",$E1661&amp;" - RT "&amp;$F1661)</f>
        <v/>
      </c>
      <c r="H1661" s="37"/>
      <c r="I1661" s="38"/>
      <c r="J1661" s="37"/>
      <c r="K1661" s="39"/>
      <c r="L1661" s="41"/>
      <c r="M1661" s="36" t="str">
        <f aca="true">IF(OR($B1661="",$L1661=""),"",DATEDIF($L1661,TODAY(),"Y"))</f>
        <v/>
      </c>
      <c r="N1661" s="40" t="str">
        <f aca="false">IF($M1661="","",INDEX(usia_label,MATCH($M1661,usia_min,1)))</f>
        <v/>
      </c>
      <c r="O1661" s="37"/>
      <c r="P1661" s="41"/>
      <c r="Q1661" s="37"/>
      <c r="R1661" s="37"/>
      <c r="S1661" s="40" t="str">
        <f aca="false">IF($G1661="","",$G1661&amp;"#"&amp;COUNTIF($G$4:$G1661,$G1661))</f>
        <v/>
      </c>
      <c r="T1661" s="40" t="str">
        <f aca="false">IF($B1661="","",IF($C1661="","NIK kosong",IF(LEN($C1661)&lt;&gt;16,"NIK bukan 16 digit",IF(COUNTIF($C$4:$C$2003,$C1661&amp;"*")&gt;1,"NIK ganda",IF($E1661="","Kadus kosong",IF($F1661="","RT kosong",IF($H1661="","Jabatan kosong",IF($I1661="","No. HP kosong",IF($J1661="","Alamat kosong",IF(AND($M1661&lt;&gt;"",$M1661&lt;17),"Usia di bawah 17",""))))))))))</f>
        <v/>
      </c>
      <c r="U1661" s="40" t="str">
        <f aca="false">IF($B1661="","",IF(AND(OR(CARI!$C$5="",ISNUMBER(SEARCH(CARI!$C$5,$B1661&amp;" "&amp;$C1661&amp;" "&amp;$I1661&amp;" "&amp;$J1661&amp;" "&amp;$Q1661))),OR(CARI!$C$6="",$E1661=CARI!$C$6),OR(CARI!$C$7="",$F1661=CARI!$C$7),OR(CARI!$C$8="",$O1661=CARI!$C$8)),MAX($U$3:U1660)+1,""))</f>
        <v/>
      </c>
      <c r="V1661" s="40" t="str">
        <f aca="false">IF($T1661="","",MAX($V$3:V1660)+1)</f>
        <v/>
      </c>
      <c r="W1661" s="40" t="str">
        <f aca="false">IF($E1661="","",$E1661&amp;"#"&amp;COUNTIF($E$4:$E1661,$E1661))</f>
        <v/>
      </c>
      <c r="X1661" s="40" t="str">
        <f aca="false">IF($B1661="","",IF(AND(OR(CETAK!$J$10="",$E1661=CETAK!$J$10),OR(CETAK!$J$11="",$F1661=CETAK!$J$11),OR(CETAK!$J$12="",$K1661=CETAK!$J$12),OR(CETAK!$J$13="",$H1661=CETAK!$J$13),OR(CETAK!$J$14="",$O1661=CETAK!$J$14)),MAX($X$3:X1660)+1,""))</f>
        <v/>
      </c>
      <c r="Y1661" s="40" t="str">
        <f aca="false">IF($B1661="","",IF(AND(OR(ABSENSI!$H$10="",$E1661=ABSENSI!$H$10),OR(ABSENSI!$H$11="",$F1661=ABSENSI!$H$11),OR(ABSENSI!$H$12="",$K1661=ABSENSI!$H$12)),MAX($Y$3:Y1660)+1,""))</f>
        <v/>
      </c>
      <c r="Z1661" s="40" t="str">
        <f aca="false">IF($B1661="","",IF(AND(OR(KARTU!$K$6="",$E1661=KARTU!$K$6),OR(KARTU!$K$7="",$F1661=KARTU!$K$7),OR(KARTU!$K$8="",$K1661=KARTU!$K$8)),MAX($Z$3:Z1660)+1,""))</f>
        <v/>
      </c>
    </row>
    <row r="1662" customFormat="false" ht="15" hidden="false" customHeight="false" outlineLevel="0" collapsed="false">
      <c r="A1662" s="36" t="str">
        <f aca="false">IF($B1662="","",COUNTA($B$4:$B1662))</f>
        <v/>
      </c>
      <c r="B1662" s="37"/>
      <c r="C1662" s="38"/>
      <c r="D1662" s="39"/>
      <c r="E1662" s="37"/>
      <c r="F1662" s="39"/>
      <c r="G1662" s="40" t="str">
        <f aca="false">IF(OR($E1662="",$F1662=""),"",$E1662&amp;" - RT "&amp;$F1662)</f>
        <v/>
      </c>
      <c r="H1662" s="37"/>
      <c r="I1662" s="38"/>
      <c r="J1662" s="37"/>
      <c r="K1662" s="39"/>
      <c r="L1662" s="41"/>
      <c r="M1662" s="36" t="str">
        <f aca="true">IF(OR($B1662="",$L1662=""),"",DATEDIF($L1662,TODAY(),"Y"))</f>
        <v/>
      </c>
      <c r="N1662" s="40" t="str">
        <f aca="false">IF($M1662="","",INDEX(usia_label,MATCH($M1662,usia_min,1)))</f>
        <v/>
      </c>
      <c r="O1662" s="37"/>
      <c r="P1662" s="41"/>
      <c r="Q1662" s="37"/>
      <c r="R1662" s="37"/>
      <c r="S1662" s="40" t="str">
        <f aca="false">IF($G1662="","",$G1662&amp;"#"&amp;COUNTIF($G$4:$G1662,$G1662))</f>
        <v/>
      </c>
      <c r="T1662" s="40" t="str">
        <f aca="false">IF($B1662="","",IF($C1662="","NIK kosong",IF(LEN($C1662)&lt;&gt;16,"NIK bukan 16 digit",IF(COUNTIF($C$4:$C$2003,$C1662&amp;"*")&gt;1,"NIK ganda",IF($E1662="","Kadus kosong",IF($F1662="","RT kosong",IF($H1662="","Jabatan kosong",IF($I1662="","No. HP kosong",IF($J1662="","Alamat kosong",IF(AND($M1662&lt;&gt;"",$M1662&lt;17),"Usia di bawah 17",""))))))))))</f>
        <v/>
      </c>
      <c r="U1662" s="40" t="str">
        <f aca="false">IF($B1662="","",IF(AND(OR(CARI!$C$5="",ISNUMBER(SEARCH(CARI!$C$5,$B1662&amp;" "&amp;$C1662&amp;" "&amp;$I1662&amp;" "&amp;$J1662&amp;" "&amp;$Q1662))),OR(CARI!$C$6="",$E1662=CARI!$C$6),OR(CARI!$C$7="",$F1662=CARI!$C$7),OR(CARI!$C$8="",$O1662=CARI!$C$8)),MAX($U$3:U1661)+1,""))</f>
        <v/>
      </c>
      <c r="V1662" s="40" t="str">
        <f aca="false">IF($T1662="","",MAX($V$3:V1661)+1)</f>
        <v/>
      </c>
      <c r="W1662" s="40" t="str">
        <f aca="false">IF($E1662="","",$E1662&amp;"#"&amp;COUNTIF($E$4:$E1662,$E1662))</f>
        <v/>
      </c>
      <c r="X1662" s="40" t="str">
        <f aca="false">IF($B1662="","",IF(AND(OR(CETAK!$J$10="",$E1662=CETAK!$J$10),OR(CETAK!$J$11="",$F1662=CETAK!$J$11),OR(CETAK!$J$12="",$K1662=CETAK!$J$12),OR(CETAK!$J$13="",$H1662=CETAK!$J$13),OR(CETAK!$J$14="",$O1662=CETAK!$J$14)),MAX($X$3:X1661)+1,""))</f>
        <v/>
      </c>
      <c r="Y1662" s="40" t="str">
        <f aca="false">IF($B1662="","",IF(AND(OR(ABSENSI!$H$10="",$E1662=ABSENSI!$H$10),OR(ABSENSI!$H$11="",$F1662=ABSENSI!$H$11),OR(ABSENSI!$H$12="",$K1662=ABSENSI!$H$12)),MAX($Y$3:Y1661)+1,""))</f>
        <v/>
      </c>
      <c r="Z1662" s="40" t="str">
        <f aca="false">IF($B1662="","",IF(AND(OR(KARTU!$K$6="",$E1662=KARTU!$K$6),OR(KARTU!$K$7="",$F1662=KARTU!$K$7),OR(KARTU!$K$8="",$K1662=KARTU!$K$8)),MAX($Z$3:Z1661)+1,""))</f>
        <v/>
      </c>
    </row>
    <row r="1663" customFormat="false" ht="15" hidden="false" customHeight="false" outlineLevel="0" collapsed="false">
      <c r="A1663" s="36" t="str">
        <f aca="false">IF($B1663="","",COUNTA($B$4:$B1663))</f>
        <v/>
      </c>
      <c r="B1663" s="37"/>
      <c r="C1663" s="38"/>
      <c r="D1663" s="39"/>
      <c r="E1663" s="37"/>
      <c r="F1663" s="39"/>
      <c r="G1663" s="40" t="str">
        <f aca="false">IF(OR($E1663="",$F1663=""),"",$E1663&amp;" - RT "&amp;$F1663)</f>
        <v/>
      </c>
      <c r="H1663" s="37"/>
      <c r="I1663" s="38"/>
      <c r="J1663" s="37"/>
      <c r="K1663" s="39"/>
      <c r="L1663" s="41"/>
      <c r="M1663" s="36" t="str">
        <f aca="true">IF(OR($B1663="",$L1663=""),"",DATEDIF($L1663,TODAY(),"Y"))</f>
        <v/>
      </c>
      <c r="N1663" s="40" t="str">
        <f aca="false">IF($M1663="","",INDEX(usia_label,MATCH($M1663,usia_min,1)))</f>
        <v/>
      </c>
      <c r="O1663" s="37"/>
      <c r="P1663" s="41"/>
      <c r="Q1663" s="37"/>
      <c r="R1663" s="37"/>
      <c r="S1663" s="40" t="str">
        <f aca="false">IF($G1663="","",$G1663&amp;"#"&amp;COUNTIF($G$4:$G1663,$G1663))</f>
        <v/>
      </c>
      <c r="T1663" s="40" t="str">
        <f aca="false">IF($B1663="","",IF($C1663="","NIK kosong",IF(LEN($C1663)&lt;&gt;16,"NIK bukan 16 digit",IF(COUNTIF($C$4:$C$2003,$C1663&amp;"*")&gt;1,"NIK ganda",IF($E1663="","Kadus kosong",IF($F1663="","RT kosong",IF($H1663="","Jabatan kosong",IF($I1663="","No. HP kosong",IF($J1663="","Alamat kosong",IF(AND($M1663&lt;&gt;"",$M1663&lt;17),"Usia di bawah 17",""))))))))))</f>
        <v/>
      </c>
      <c r="U1663" s="40" t="str">
        <f aca="false">IF($B1663="","",IF(AND(OR(CARI!$C$5="",ISNUMBER(SEARCH(CARI!$C$5,$B1663&amp;" "&amp;$C1663&amp;" "&amp;$I1663&amp;" "&amp;$J1663&amp;" "&amp;$Q1663))),OR(CARI!$C$6="",$E1663=CARI!$C$6),OR(CARI!$C$7="",$F1663=CARI!$C$7),OR(CARI!$C$8="",$O1663=CARI!$C$8)),MAX($U$3:U1662)+1,""))</f>
        <v/>
      </c>
      <c r="V1663" s="40" t="str">
        <f aca="false">IF($T1663="","",MAX($V$3:V1662)+1)</f>
        <v/>
      </c>
      <c r="W1663" s="40" t="str">
        <f aca="false">IF($E1663="","",$E1663&amp;"#"&amp;COUNTIF($E$4:$E1663,$E1663))</f>
        <v/>
      </c>
      <c r="X1663" s="40" t="str">
        <f aca="false">IF($B1663="","",IF(AND(OR(CETAK!$J$10="",$E1663=CETAK!$J$10),OR(CETAK!$J$11="",$F1663=CETAK!$J$11),OR(CETAK!$J$12="",$K1663=CETAK!$J$12),OR(CETAK!$J$13="",$H1663=CETAK!$J$13),OR(CETAK!$J$14="",$O1663=CETAK!$J$14)),MAX($X$3:X1662)+1,""))</f>
        <v/>
      </c>
      <c r="Y1663" s="40" t="str">
        <f aca="false">IF($B1663="","",IF(AND(OR(ABSENSI!$H$10="",$E1663=ABSENSI!$H$10),OR(ABSENSI!$H$11="",$F1663=ABSENSI!$H$11),OR(ABSENSI!$H$12="",$K1663=ABSENSI!$H$12)),MAX($Y$3:Y1662)+1,""))</f>
        <v/>
      </c>
      <c r="Z1663" s="40" t="str">
        <f aca="false">IF($B1663="","",IF(AND(OR(KARTU!$K$6="",$E1663=KARTU!$K$6),OR(KARTU!$K$7="",$F1663=KARTU!$K$7),OR(KARTU!$K$8="",$K1663=KARTU!$K$8)),MAX($Z$3:Z1662)+1,""))</f>
        <v/>
      </c>
    </row>
    <row r="1664" customFormat="false" ht="15" hidden="false" customHeight="false" outlineLevel="0" collapsed="false">
      <c r="A1664" s="36" t="str">
        <f aca="false">IF($B1664="","",COUNTA($B$4:$B1664))</f>
        <v/>
      </c>
      <c r="B1664" s="37"/>
      <c r="C1664" s="38"/>
      <c r="D1664" s="39"/>
      <c r="E1664" s="37"/>
      <c r="F1664" s="39"/>
      <c r="G1664" s="40" t="str">
        <f aca="false">IF(OR($E1664="",$F1664=""),"",$E1664&amp;" - RT "&amp;$F1664)</f>
        <v/>
      </c>
      <c r="H1664" s="37"/>
      <c r="I1664" s="38"/>
      <c r="J1664" s="37"/>
      <c r="K1664" s="39"/>
      <c r="L1664" s="41"/>
      <c r="M1664" s="36" t="str">
        <f aca="true">IF(OR($B1664="",$L1664=""),"",DATEDIF($L1664,TODAY(),"Y"))</f>
        <v/>
      </c>
      <c r="N1664" s="40" t="str">
        <f aca="false">IF($M1664="","",INDEX(usia_label,MATCH($M1664,usia_min,1)))</f>
        <v/>
      </c>
      <c r="O1664" s="37"/>
      <c r="P1664" s="41"/>
      <c r="Q1664" s="37"/>
      <c r="R1664" s="37"/>
      <c r="S1664" s="40" t="str">
        <f aca="false">IF($G1664="","",$G1664&amp;"#"&amp;COUNTIF($G$4:$G1664,$G1664))</f>
        <v/>
      </c>
      <c r="T1664" s="40" t="str">
        <f aca="false">IF($B1664="","",IF($C1664="","NIK kosong",IF(LEN($C1664)&lt;&gt;16,"NIK bukan 16 digit",IF(COUNTIF($C$4:$C$2003,$C1664&amp;"*")&gt;1,"NIK ganda",IF($E1664="","Kadus kosong",IF($F1664="","RT kosong",IF($H1664="","Jabatan kosong",IF($I1664="","No. HP kosong",IF($J1664="","Alamat kosong",IF(AND($M1664&lt;&gt;"",$M1664&lt;17),"Usia di bawah 17",""))))))))))</f>
        <v/>
      </c>
      <c r="U1664" s="40" t="str">
        <f aca="false">IF($B1664="","",IF(AND(OR(CARI!$C$5="",ISNUMBER(SEARCH(CARI!$C$5,$B1664&amp;" "&amp;$C1664&amp;" "&amp;$I1664&amp;" "&amp;$J1664&amp;" "&amp;$Q1664))),OR(CARI!$C$6="",$E1664=CARI!$C$6),OR(CARI!$C$7="",$F1664=CARI!$C$7),OR(CARI!$C$8="",$O1664=CARI!$C$8)),MAX($U$3:U1663)+1,""))</f>
        <v/>
      </c>
      <c r="V1664" s="40" t="str">
        <f aca="false">IF($T1664="","",MAX($V$3:V1663)+1)</f>
        <v/>
      </c>
      <c r="W1664" s="40" t="str">
        <f aca="false">IF($E1664="","",$E1664&amp;"#"&amp;COUNTIF($E$4:$E1664,$E1664))</f>
        <v/>
      </c>
      <c r="X1664" s="40" t="str">
        <f aca="false">IF($B1664="","",IF(AND(OR(CETAK!$J$10="",$E1664=CETAK!$J$10),OR(CETAK!$J$11="",$F1664=CETAK!$J$11),OR(CETAK!$J$12="",$K1664=CETAK!$J$12),OR(CETAK!$J$13="",$H1664=CETAK!$J$13),OR(CETAK!$J$14="",$O1664=CETAK!$J$14)),MAX($X$3:X1663)+1,""))</f>
        <v/>
      </c>
      <c r="Y1664" s="40" t="str">
        <f aca="false">IF($B1664="","",IF(AND(OR(ABSENSI!$H$10="",$E1664=ABSENSI!$H$10),OR(ABSENSI!$H$11="",$F1664=ABSENSI!$H$11),OR(ABSENSI!$H$12="",$K1664=ABSENSI!$H$12)),MAX($Y$3:Y1663)+1,""))</f>
        <v/>
      </c>
      <c r="Z1664" s="40" t="str">
        <f aca="false">IF($B1664="","",IF(AND(OR(KARTU!$K$6="",$E1664=KARTU!$K$6),OR(KARTU!$K$7="",$F1664=KARTU!$K$7),OR(KARTU!$K$8="",$K1664=KARTU!$K$8)),MAX($Z$3:Z1663)+1,""))</f>
        <v/>
      </c>
    </row>
    <row r="1665" customFormat="false" ht="15" hidden="false" customHeight="false" outlineLevel="0" collapsed="false">
      <c r="A1665" s="36" t="str">
        <f aca="false">IF($B1665="","",COUNTA($B$4:$B1665))</f>
        <v/>
      </c>
      <c r="B1665" s="37"/>
      <c r="C1665" s="38"/>
      <c r="D1665" s="39"/>
      <c r="E1665" s="37"/>
      <c r="F1665" s="39"/>
      <c r="G1665" s="40" t="str">
        <f aca="false">IF(OR($E1665="",$F1665=""),"",$E1665&amp;" - RT "&amp;$F1665)</f>
        <v/>
      </c>
      <c r="H1665" s="37"/>
      <c r="I1665" s="38"/>
      <c r="J1665" s="37"/>
      <c r="K1665" s="39"/>
      <c r="L1665" s="41"/>
      <c r="M1665" s="36" t="str">
        <f aca="true">IF(OR($B1665="",$L1665=""),"",DATEDIF($L1665,TODAY(),"Y"))</f>
        <v/>
      </c>
      <c r="N1665" s="40" t="str">
        <f aca="false">IF($M1665="","",INDEX(usia_label,MATCH($M1665,usia_min,1)))</f>
        <v/>
      </c>
      <c r="O1665" s="37"/>
      <c r="P1665" s="41"/>
      <c r="Q1665" s="37"/>
      <c r="R1665" s="37"/>
      <c r="S1665" s="40" t="str">
        <f aca="false">IF($G1665="","",$G1665&amp;"#"&amp;COUNTIF($G$4:$G1665,$G1665))</f>
        <v/>
      </c>
      <c r="T1665" s="40" t="str">
        <f aca="false">IF($B1665="","",IF($C1665="","NIK kosong",IF(LEN($C1665)&lt;&gt;16,"NIK bukan 16 digit",IF(COUNTIF($C$4:$C$2003,$C1665&amp;"*")&gt;1,"NIK ganda",IF($E1665="","Kadus kosong",IF($F1665="","RT kosong",IF($H1665="","Jabatan kosong",IF($I1665="","No. HP kosong",IF($J1665="","Alamat kosong",IF(AND($M1665&lt;&gt;"",$M1665&lt;17),"Usia di bawah 17",""))))))))))</f>
        <v/>
      </c>
      <c r="U1665" s="40" t="str">
        <f aca="false">IF($B1665="","",IF(AND(OR(CARI!$C$5="",ISNUMBER(SEARCH(CARI!$C$5,$B1665&amp;" "&amp;$C1665&amp;" "&amp;$I1665&amp;" "&amp;$J1665&amp;" "&amp;$Q1665))),OR(CARI!$C$6="",$E1665=CARI!$C$6),OR(CARI!$C$7="",$F1665=CARI!$C$7),OR(CARI!$C$8="",$O1665=CARI!$C$8)),MAX($U$3:U1664)+1,""))</f>
        <v/>
      </c>
      <c r="V1665" s="40" t="str">
        <f aca="false">IF($T1665="","",MAX($V$3:V1664)+1)</f>
        <v/>
      </c>
      <c r="W1665" s="40" t="str">
        <f aca="false">IF($E1665="","",$E1665&amp;"#"&amp;COUNTIF($E$4:$E1665,$E1665))</f>
        <v/>
      </c>
      <c r="X1665" s="40" t="str">
        <f aca="false">IF($B1665="","",IF(AND(OR(CETAK!$J$10="",$E1665=CETAK!$J$10),OR(CETAK!$J$11="",$F1665=CETAK!$J$11),OR(CETAK!$J$12="",$K1665=CETAK!$J$12),OR(CETAK!$J$13="",$H1665=CETAK!$J$13),OR(CETAK!$J$14="",$O1665=CETAK!$J$14)),MAX($X$3:X1664)+1,""))</f>
        <v/>
      </c>
      <c r="Y1665" s="40" t="str">
        <f aca="false">IF($B1665="","",IF(AND(OR(ABSENSI!$H$10="",$E1665=ABSENSI!$H$10),OR(ABSENSI!$H$11="",$F1665=ABSENSI!$H$11),OR(ABSENSI!$H$12="",$K1665=ABSENSI!$H$12)),MAX($Y$3:Y1664)+1,""))</f>
        <v/>
      </c>
      <c r="Z1665" s="40" t="str">
        <f aca="false">IF($B1665="","",IF(AND(OR(KARTU!$K$6="",$E1665=KARTU!$K$6),OR(KARTU!$K$7="",$F1665=KARTU!$K$7),OR(KARTU!$K$8="",$K1665=KARTU!$K$8)),MAX($Z$3:Z1664)+1,""))</f>
        <v/>
      </c>
    </row>
    <row r="1666" customFormat="false" ht="15" hidden="false" customHeight="false" outlineLevel="0" collapsed="false">
      <c r="A1666" s="36" t="str">
        <f aca="false">IF($B1666="","",COUNTA($B$4:$B1666))</f>
        <v/>
      </c>
      <c r="B1666" s="37"/>
      <c r="C1666" s="38"/>
      <c r="D1666" s="39"/>
      <c r="E1666" s="37"/>
      <c r="F1666" s="39"/>
      <c r="G1666" s="40" t="str">
        <f aca="false">IF(OR($E1666="",$F1666=""),"",$E1666&amp;" - RT "&amp;$F1666)</f>
        <v/>
      </c>
      <c r="H1666" s="37"/>
      <c r="I1666" s="38"/>
      <c r="J1666" s="37"/>
      <c r="K1666" s="39"/>
      <c r="L1666" s="41"/>
      <c r="M1666" s="36" t="str">
        <f aca="true">IF(OR($B1666="",$L1666=""),"",DATEDIF($L1666,TODAY(),"Y"))</f>
        <v/>
      </c>
      <c r="N1666" s="40" t="str">
        <f aca="false">IF($M1666="","",INDEX(usia_label,MATCH($M1666,usia_min,1)))</f>
        <v/>
      </c>
      <c r="O1666" s="37"/>
      <c r="P1666" s="41"/>
      <c r="Q1666" s="37"/>
      <c r="R1666" s="37"/>
      <c r="S1666" s="40" t="str">
        <f aca="false">IF($G1666="","",$G1666&amp;"#"&amp;COUNTIF($G$4:$G1666,$G1666))</f>
        <v/>
      </c>
      <c r="T1666" s="40" t="str">
        <f aca="false">IF($B1666="","",IF($C1666="","NIK kosong",IF(LEN($C1666)&lt;&gt;16,"NIK bukan 16 digit",IF(COUNTIF($C$4:$C$2003,$C1666&amp;"*")&gt;1,"NIK ganda",IF($E1666="","Kadus kosong",IF($F1666="","RT kosong",IF($H1666="","Jabatan kosong",IF($I1666="","No. HP kosong",IF($J1666="","Alamat kosong",IF(AND($M1666&lt;&gt;"",$M1666&lt;17),"Usia di bawah 17",""))))))))))</f>
        <v/>
      </c>
      <c r="U1666" s="40" t="str">
        <f aca="false">IF($B1666="","",IF(AND(OR(CARI!$C$5="",ISNUMBER(SEARCH(CARI!$C$5,$B1666&amp;" "&amp;$C1666&amp;" "&amp;$I1666&amp;" "&amp;$J1666&amp;" "&amp;$Q1666))),OR(CARI!$C$6="",$E1666=CARI!$C$6),OR(CARI!$C$7="",$F1666=CARI!$C$7),OR(CARI!$C$8="",$O1666=CARI!$C$8)),MAX($U$3:U1665)+1,""))</f>
        <v/>
      </c>
      <c r="V1666" s="40" t="str">
        <f aca="false">IF($T1666="","",MAX($V$3:V1665)+1)</f>
        <v/>
      </c>
      <c r="W1666" s="40" t="str">
        <f aca="false">IF($E1666="","",$E1666&amp;"#"&amp;COUNTIF($E$4:$E1666,$E1666))</f>
        <v/>
      </c>
      <c r="X1666" s="40" t="str">
        <f aca="false">IF($B1666="","",IF(AND(OR(CETAK!$J$10="",$E1666=CETAK!$J$10),OR(CETAK!$J$11="",$F1666=CETAK!$J$11),OR(CETAK!$J$12="",$K1666=CETAK!$J$12),OR(CETAK!$J$13="",$H1666=CETAK!$J$13),OR(CETAK!$J$14="",$O1666=CETAK!$J$14)),MAX($X$3:X1665)+1,""))</f>
        <v/>
      </c>
      <c r="Y1666" s="40" t="str">
        <f aca="false">IF($B1666="","",IF(AND(OR(ABSENSI!$H$10="",$E1666=ABSENSI!$H$10),OR(ABSENSI!$H$11="",$F1666=ABSENSI!$H$11),OR(ABSENSI!$H$12="",$K1666=ABSENSI!$H$12)),MAX($Y$3:Y1665)+1,""))</f>
        <v/>
      </c>
      <c r="Z1666" s="40" t="str">
        <f aca="false">IF($B1666="","",IF(AND(OR(KARTU!$K$6="",$E1666=KARTU!$K$6),OR(KARTU!$K$7="",$F1666=KARTU!$K$7),OR(KARTU!$K$8="",$K1666=KARTU!$K$8)),MAX($Z$3:Z1665)+1,""))</f>
        <v/>
      </c>
    </row>
    <row r="1667" customFormat="false" ht="15" hidden="false" customHeight="false" outlineLevel="0" collapsed="false">
      <c r="A1667" s="36" t="str">
        <f aca="false">IF($B1667="","",COUNTA($B$4:$B1667))</f>
        <v/>
      </c>
      <c r="B1667" s="37"/>
      <c r="C1667" s="38"/>
      <c r="D1667" s="39"/>
      <c r="E1667" s="37"/>
      <c r="F1667" s="39"/>
      <c r="G1667" s="40" t="str">
        <f aca="false">IF(OR($E1667="",$F1667=""),"",$E1667&amp;" - RT "&amp;$F1667)</f>
        <v/>
      </c>
      <c r="H1667" s="37"/>
      <c r="I1667" s="38"/>
      <c r="J1667" s="37"/>
      <c r="K1667" s="39"/>
      <c r="L1667" s="41"/>
      <c r="M1667" s="36" t="str">
        <f aca="true">IF(OR($B1667="",$L1667=""),"",DATEDIF($L1667,TODAY(),"Y"))</f>
        <v/>
      </c>
      <c r="N1667" s="40" t="str">
        <f aca="false">IF($M1667="","",INDEX(usia_label,MATCH($M1667,usia_min,1)))</f>
        <v/>
      </c>
      <c r="O1667" s="37"/>
      <c r="P1667" s="41"/>
      <c r="Q1667" s="37"/>
      <c r="R1667" s="37"/>
      <c r="S1667" s="40" t="str">
        <f aca="false">IF($G1667="","",$G1667&amp;"#"&amp;COUNTIF($G$4:$G1667,$G1667))</f>
        <v/>
      </c>
      <c r="T1667" s="40" t="str">
        <f aca="false">IF($B1667="","",IF($C1667="","NIK kosong",IF(LEN($C1667)&lt;&gt;16,"NIK bukan 16 digit",IF(COUNTIF($C$4:$C$2003,$C1667&amp;"*")&gt;1,"NIK ganda",IF($E1667="","Kadus kosong",IF($F1667="","RT kosong",IF($H1667="","Jabatan kosong",IF($I1667="","No. HP kosong",IF($J1667="","Alamat kosong",IF(AND($M1667&lt;&gt;"",$M1667&lt;17),"Usia di bawah 17",""))))))))))</f>
        <v/>
      </c>
      <c r="U1667" s="40" t="str">
        <f aca="false">IF($B1667="","",IF(AND(OR(CARI!$C$5="",ISNUMBER(SEARCH(CARI!$C$5,$B1667&amp;" "&amp;$C1667&amp;" "&amp;$I1667&amp;" "&amp;$J1667&amp;" "&amp;$Q1667))),OR(CARI!$C$6="",$E1667=CARI!$C$6),OR(CARI!$C$7="",$F1667=CARI!$C$7),OR(CARI!$C$8="",$O1667=CARI!$C$8)),MAX($U$3:U1666)+1,""))</f>
        <v/>
      </c>
      <c r="V1667" s="40" t="str">
        <f aca="false">IF($T1667="","",MAX($V$3:V1666)+1)</f>
        <v/>
      </c>
      <c r="W1667" s="40" t="str">
        <f aca="false">IF($E1667="","",$E1667&amp;"#"&amp;COUNTIF($E$4:$E1667,$E1667))</f>
        <v/>
      </c>
      <c r="X1667" s="40" t="str">
        <f aca="false">IF($B1667="","",IF(AND(OR(CETAK!$J$10="",$E1667=CETAK!$J$10),OR(CETAK!$J$11="",$F1667=CETAK!$J$11),OR(CETAK!$J$12="",$K1667=CETAK!$J$12),OR(CETAK!$J$13="",$H1667=CETAK!$J$13),OR(CETAK!$J$14="",$O1667=CETAK!$J$14)),MAX($X$3:X1666)+1,""))</f>
        <v/>
      </c>
      <c r="Y1667" s="40" t="str">
        <f aca="false">IF($B1667="","",IF(AND(OR(ABSENSI!$H$10="",$E1667=ABSENSI!$H$10),OR(ABSENSI!$H$11="",$F1667=ABSENSI!$H$11),OR(ABSENSI!$H$12="",$K1667=ABSENSI!$H$12)),MAX($Y$3:Y1666)+1,""))</f>
        <v/>
      </c>
      <c r="Z1667" s="40" t="str">
        <f aca="false">IF($B1667="","",IF(AND(OR(KARTU!$K$6="",$E1667=KARTU!$K$6),OR(KARTU!$K$7="",$F1667=KARTU!$K$7),OR(KARTU!$K$8="",$K1667=KARTU!$K$8)),MAX($Z$3:Z1666)+1,""))</f>
        <v/>
      </c>
    </row>
    <row r="1668" customFormat="false" ht="15" hidden="false" customHeight="false" outlineLevel="0" collapsed="false">
      <c r="A1668" s="36" t="str">
        <f aca="false">IF($B1668="","",COUNTA($B$4:$B1668))</f>
        <v/>
      </c>
      <c r="B1668" s="37"/>
      <c r="C1668" s="38"/>
      <c r="D1668" s="39"/>
      <c r="E1668" s="37"/>
      <c r="F1668" s="39"/>
      <c r="G1668" s="40" t="str">
        <f aca="false">IF(OR($E1668="",$F1668=""),"",$E1668&amp;" - RT "&amp;$F1668)</f>
        <v/>
      </c>
      <c r="H1668" s="37"/>
      <c r="I1668" s="38"/>
      <c r="J1668" s="37"/>
      <c r="K1668" s="39"/>
      <c r="L1668" s="41"/>
      <c r="M1668" s="36" t="str">
        <f aca="true">IF(OR($B1668="",$L1668=""),"",DATEDIF($L1668,TODAY(),"Y"))</f>
        <v/>
      </c>
      <c r="N1668" s="40" t="str">
        <f aca="false">IF($M1668="","",INDEX(usia_label,MATCH($M1668,usia_min,1)))</f>
        <v/>
      </c>
      <c r="O1668" s="37"/>
      <c r="P1668" s="41"/>
      <c r="Q1668" s="37"/>
      <c r="R1668" s="37"/>
      <c r="S1668" s="40" t="str">
        <f aca="false">IF($G1668="","",$G1668&amp;"#"&amp;COUNTIF($G$4:$G1668,$G1668))</f>
        <v/>
      </c>
      <c r="T1668" s="40" t="str">
        <f aca="false">IF($B1668="","",IF($C1668="","NIK kosong",IF(LEN($C1668)&lt;&gt;16,"NIK bukan 16 digit",IF(COUNTIF($C$4:$C$2003,$C1668&amp;"*")&gt;1,"NIK ganda",IF($E1668="","Kadus kosong",IF($F1668="","RT kosong",IF($H1668="","Jabatan kosong",IF($I1668="","No. HP kosong",IF($J1668="","Alamat kosong",IF(AND($M1668&lt;&gt;"",$M1668&lt;17),"Usia di bawah 17",""))))))))))</f>
        <v/>
      </c>
      <c r="U1668" s="40" t="str">
        <f aca="false">IF($B1668="","",IF(AND(OR(CARI!$C$5="",ISNUMBER(SEARCH(CARI!$C$5,$B1668&amp;" "&amp;$C1668&amp;" "&amp;$I1668&amp;" "&amp;$J1668&amp;" "&amp;$Q1668))),OR(CARI!$C$6="",$E1668=CARI!$C$6),OR(CARI!$C$7="",$F1668=CARI!$C$7),OR(CARI!$C$8="",$O1668=CARI!$C$8)),MAX($U$3:U1667)+1,""))</f>
        <v/>
      </c>
      <c r="V1668" s="40" t="str">
        <f aca="false">IF($T1668="","",MAX($V$3:V1667)+1)</f>
        <v/>
      </c>
      <c r="W1668" s="40" t="str">
        <f aca="false">IF($E1668="","",$E1668&amp;"#"&amp;COUNTIF($E$4:$E1668,$E1668))</f>
        <v/>
      </c>
      <c r="X1668" s="40" t="str">
        <f aca="false">IF($B1668="","",IF(AND(OR(CETAK!$J$10="",$E1668=CETAK!$J$10),OR(CETAK!$J$11="",$F1668=CETAK!$J$11),OR(CETAK!$J$12="",$K1668=CETAK!$J$12),OR(CETAK!$J$13="",$H1668=CETAK!$J$13),OR(CETAK!$J$14="",$O1668=CETAK!$J$14)),MAX($X$3:X1667)+1,""))</f>
        <v/>
      </c>
      <c r="Y1668" s="40" t="str">
        <f aca="false">IF($B1668="","",IF(AND(OR(ABSENSI!$H$10="",$E1668=ABSENSI!$H$10),OR(ABSENSI!$H$11="",$F1668=ABSENSI!$H$11),OR(ABSENSI!$H$12="",$K1668=ABSENSI!$H$12)),MAX($Y$3:Y1667)+1,""))</f>
        <v/>
      </c>
      <c r="Z1668" s="40" t="str">
        <f aca="false">IF($B1668="","",IF(AND(OR(KARTU!$K$6="",$E1668=KARTU!$K$6),OR(KARTU!$K$7="",$F1668=KARTU!$K$7),OR(KARTU!$K$8="",$K1668=KARTU!$K$8)),MAX($Z$3:Z1667)+1,""))</f>
        <v/>
      </c>
    </row>
    <row r="1669" customFormat="false" ht="15" hidden="false" customHeight="false" outlineLevel="0" collapsed="false">
      <c r="A1669" s="36" t="str">
        <f aca="false">IF($B1669="","",COUNTA($B$4:$B1669))</f>
        <v/>
      </c>
      <c r="B1669" s="37"/>
      <c r="C1669" s="38"/>
      <c r="D1669" s="39"/>
      <c r="E1669" s="37"/>
      <c r="F1669" s="39"/>
      <c r="G1669" s="40" t="str">
        <f aca="false">IF(OR($E1669="",$F1669=""),"",$E1669&amp;" - RT "&amp;$F1669)</f>
        <v/>
      </c>
      <c r="H1669" s="37"/>
      <c r="I1669" s="38"/>
      <c r="J1669" s="37"/>
      <c r="K1669" s="39"/>
      <c r="L1669" s="41"/>
      <c r="M1669" s="36" t="str">
        <f aca="true">IF(OR($B1669="",$L1669=""),"",DATEDIF($L1669,TODAY(),"Y"))</f>
        <v/>
      </c>
      <c r="N1669" s="40" t="str">
        <f aca="false">IF($M1669="","",INDEX(usia_label,MATCH($M1669,usia_min,1)))</f>
        <v/>
      </c>
      <c r="O1669" s="37"/>
      <c r="P1669" s="41"/>
      <c r="Q1669" s="37"/>
      <c r="R1669" s="37"/>
      <c r="S1669" s="40" t="str">
        <f aca="false">IF($G1669="","",$G1669&amp;"#"&amp;COUNTIF($G$4:$G1669,$G1669))</f>
        <v/>
      </c>
      <c r="T1669" s="40" t="str">
        <f aca="false">IF($B1669="","",IF($C1669="","NIK kosong",IF(LEN($C1669)&lt;&gt;16,"NIK bukan 16 digit",IF(COUNTIF($C$4:$C$2003,$C1669&amp;"*")&gt;1,"NIK ganda",IF($E1669="","Kadus kosong",IF($F1669="","RT kosong",IF($H1669="","Jabatan kosong",IF($I1669="","No. HP kosong",IF($J1669="","Alamat kosong",IF(AND($M1669&lt;&gt;"",$M1669&lt;17),"Usia di bawah 17",""))))))))))</f>
        <v/>
      </c>
      <c r="U1669" s="40" t="str">
        <f aca="false">IF($B1669="","",IF(AND(OR(CARI!$C$5="",ISNUMBER(SEARCH(CARI!$C$5,$B1669&amp;" "&amp;$C1669&amp;" "&amp;$I1669&amp;" "&amp;$J1669&amp;" "&amp;$Q1669))),OR(CARI!$C$6="",$E1669=CARI!$C$6),OR(CARI!$C$7="",$F1669=CARI!$C$7),OR(CARI!$C$8="",$O1669=CARI!$C$8)),MAX($U$3:U1668)+1,""))</f>
        <v/>
      </c>
      <c r="V1669" s="40" t="str">
        <f aca="false">IF($T1669="","",MAX($V$3:V1668)+1)</f>
        <v/>
      </c>
      <c r="W1669" s="40" t="str">
        <f aca="false">IF($E1669="","",$E1669&amp;"#"&amp;COUNTIF($E$4:$E1669,$E1669))</f>
        <v/>
      </c>
      <c r="X1669" s="40" t="str">
        <f aca="false">IF($B1669="","",IF(AND(OR(CETAK!$J$10="",$E1669=CETAK!$J$10),OR(CETAK!$J$11="",$F1669=CETAK!$J$11),OR(CETAK!$J$12="",$K1669=CETAK!$J$12),OR(CETAK!$J$13="",$H1669=CETAK!$J$13),OR(CETAK!$J$14="",$O1669=CETAK!$J$14)),MAX($X$3:X1668)+1,""))</f>
        <v/>
      </c>
      <c r="Y1669" s="40" t="str">
        <f aca="false">IF($B1669="","",IF(AND(OR(ABSENSI!$H$10="",$E1669=ABSENSI!$H$10),OR(ABSENSI!$H$11="",$F1669=ABSENSI!$H$11),OR(ABSENSI!$H$12="",$K1669=ABSENSI!$H$12)),MAX($Y$3:Y1668)+1,""))</f>
        <v/>
      </c>
      <c r="Z1669" s="40" t="str">
        <f aca="false">IF($B1669="","",IF(AND(OR(KARTU!$K$6="",$E1669=KARTU!$K$6),OR(KARTU!$K$7="",$F1669=KARTU!$K$7),OR(KARTU!$K$8="",$K1669=KARTU!$K$8)),MAX($Z$3:Z1668)+1,""))</f>
        <v/>
      </c>
    </row>
    <row r="1670" customFormat="false" ht="15" hidden="false" customHeight="false" outlineLevel="0" collapsed="false">
      <c r="A1670" s="36" t="str">
        <f aca="false">IF($B1670="","",COUNTA($B$4:$B1670))</f>
        <v/>
      </c>
      <c r="B1670" s="37"/>
      <c r="C1670" s="38"/>
      <c r="D1670" s="39"/>
      <c r="E1670" s="37"/>
      <c r="F1670" s="39"/>
      <c r="G1670" s="40" t="str">
        <f aca="false">IF(OR($E1670="",$F1670=""),"",$E1670&amp;" - RT "&amp;$F1670)</f>
        <v/>
      </c>
      <c r="H1670" s="37"/>
      <c r="I1670" s="38"/>
      <c r="J1670" s="37"/>
      <c r="K1670" s="39"/>
      <c r="L1670" s="41"/>
      <c r="M1670" s="36" t="str">
        <f aca="true">IF(OR($B1670="",$L1670=""),"",DATEDIF($L1670,TODAY(),"Y"))</f>
        <v/>
      </c>
      <c r="N1670" s="40" t="str">
        <f aca="false">IF($M1670="","",INDEX(usia_label,MATCH($M1670,usia_min,1)))</f>
        <v/>
      </c>
      <c r="O1670" s="37"/>
      <c r="P1670" s="41"/>
      <c r="Q1670" s="37"/>
      <c r="R1670" s="37"/>
      <c r="S1670" s="40" t="str">
        <f aca="false">IF($G1670="","",$G1670&amp;"#"&amp;COUNTIF($G$4:$G1670,$G1670))</f>
        <v/>
      </c>
      <c r="T1670" s="40" t="str">
        <f aca="false">IF($B1670="","",IF($C1670="","NIK kosong",IF(LEN($C1670)&lt;&gt;16,"NIK bukan 16 digit",IF(COUNTIF($C$4:$C$2003,$C1670&amp;"*")&gt;1,"NIK ganda",IF($E1670="","Kadus kosong",IF($F1670="","RT kosong",IF($H1670="","Jabatan kosong",IF($I1670="","No. HP kosong",IF($J1670="","Alamat kosong",IF(AND($M1670&lt;&gt;"",$M1670&lt;17),"Usia di bawah 17",""))))))))))</f>
        <v/>
      </c>
      <c r="U1670" s="40" t="str">
        <f aca="false">IF($B1670="","",IF(AND(OR(CARI!$C$5="",ISNUMBER(SEARCH(CARI!$C$5,$B1670&amp;" "&amp;$C1670&amp;" "&amp;$I1670&amp;" "&amp;$J1670&amp;" "&amp;$Q1670))),OR(CARI!$C$6="",$E1670=CARI!$C$6),OR(CARI!$C$7="",$F1670=CARI!$C$7),OR(CARI!$C$8="",$O1670=CARI!$C$8)),MAX($U$3:U1669)+1,""))</f>
        <v/>
      </c>
      <c r="V1670" s="40" t="str">
        <f aca="false">IF($T1670="","",MAX($V$3:V1669)+1)</f>
        <v/>
      </c>
      <c r="W1670" s="40" t="str">
        <f aca="false">IF($E1670="","",$E1670&amp;"#"&amp;COUNTIF($E$4:$E1670,$E1670))</f>
        <v/>
      </c>
      <c r="X1670" s="40" t="str">
        <f aca="false">IF($B1670="","",IF(AND(OR(CETAK!$J$10="",$E1670=CETAK!$J$10),OR(CETAK!$J$11="",$F1670=CETAK!$J$11),OR(CETAK!$J$12="",$K1670=CETAK!$J$12),OR(CETAK!$J$13="",$H1670=CETAK!$J$13),OR(CETAK!$J$14="",$O1670=CETAK!$J$14)),MAX($X$3:X1669)+1,""))</f>
        <v/>
      </c>
      <c r="Y1670" s="40" t="str">
        <f aca="false">IF($B1670="","",IF(AND(OR(ABSENSI!$H$10="",$E1670=ABSENSI!$H$10),OR(ABSENSI!$H$11="",$F1670=ABSENSI!$H$11),OR(ABSENSI!$H$12="",$K1670=ABSENSI!$H$12)),MAX($Y$3:Y1669)+1,""))</f>
        <v/>
      </c>
      <c r="Z1670" s="40" t="str">
        <f aca="false">IF($B1670="","",IF(AND(OR(KARTU!$K$6="",$E1670=KARTU!$K$6),OR(KARTU!$K$7="",$F1670=KARTU!$K$7),OR(KARTU!$K$8="",$K1670=KARTU!$K$8)),MAX($Z$3:Z1669)+1,""))</f>
        <v/>
      </c>
    </row>
    <row r="1671" customFormat="false" ht="15" hidden="false" customHeight="false" outlineLevel="0" collapsed="false">
      <c r="A1671" s="36" t="str">
        <f aca="false">IF($B1671="","",COUNTA($B$4:$B1671))</f>
        <v/>
      </c>
      <c r="B1671" s="37"/>
      <c r="C1671" s="38"/>
      <c r="D1671" s="39"/>
      <c r="E1671" s="37"/>
      <c r="F1671" s="39"/>
      <c r="G1671" s="40" t="str">
        <f aca="false">IF(OR($E1671="",$F1671=""),"",$E1671&amp;" - RT "&amp;$F1671)</f>
        <v/>
      </c>
      <c r="H1671" s="37"/>
      <c r="I1671" s="38"/>
      <c r="J1671" s="37"/>
      <c r="K1671" s="39"/>
      <c r="L1671" s="41"/>
      <c r="M1671" s="36" t="str">
        <f aca="true">IF(OR($B1671="",$L1671=""),"",DATEDIF($L1671,TODAY(),"Y"))</f>
        <v/>
      </c>
      <c r="N1671" s="40" t="str">
        <f aca="false">IF($M1671="","",INDEX(usia_label,MATCH($M1671,usia_min,1)))</f>
        <v/>
      </c>
      <c r="O1671" s="37"/>
      <c r="P1671" s="41"/>
      <c r="Q1671" s="37"/>
      <c r="R1671" s="37"/>
      <c r="S1671" s="40" t="str">
        <f aca="false">IF($G1671="","",$G1671&amp;"#"&amp;COUNTIF($G$4:$G1671,$G1671))</f>
        <v/>
      </c>
      <c r="T1671" s="40" t="str">
        <f aca="false">IF($B1671="","",IF($C1671="","NIK kosong",IF(LEN($C1671)&lt;&gt;16,"NIK bukan 16 digit",IF(COUNTIF($C$4:$C$2003,$C1671&amp;"*")&gt;1,"NIK ganda",IF($E1671="","Kadus kosong",IF($F1671="","RT kosong",IF($H1671="","Jabatan kosong",IF($I1671="","No. HP kosong",IF($J1671="","Alamat kosong",IF(AND($M1671&lt;&gt;"",$M1671&lt;17),"Usia di bawah 17",""))))))))))</f>
        <v/>
      </c>
      <c r="U1671" s="40" t="str">
        <f aca="false">IF($B1671="","",IF(AND(OR(CARI!$C$5="",ISNUMBER(SEARCH(CARI!$C$5,$B1671&amp;" "&amp;$C1671&amp;" "&amp;$I1671&amp;" "&amp;$J1671&amp;" "&amp;$Q1671))),OR(CARI!$C$6="",$E1671=CARI!$C$6),OR(CARI!$C$7="",$F1671=CARI!$C$7),OR(CARI!$C$8="",$O1671=CARI!$C$8)),MAX($U$3:U1670)+1,""))</f>
        <v/>
      </c>
      <c r="V1671" s="40" t="str">
        <f aca="false">IF($T1671="","",MAX($V$3:V1670)+1)</f>
        <v/>
      </c>
      <c r="W1671" s="40" t="str">
        <f aca="false">IF($E1671="","",$E1671&amp;"#"&amp;COUNTIF($E$4:$E1671,$E1671))</f>
        <v/>
      </c>
      <c r="X1671" s="40" t="str">
        <f aca="false">IF($B1671="","",IF(AND(OR(CETAK!$J$10="",$E1671=CETAK!$J$10),OR(CETAK!$J$11="",$F1671=CETAK!$J$11),OR(CETAK!$J$12="",$K1671=CETAK!$J$12),OR(CETAK!$J$13="",$H1671=CETAK!$J$13),OR(CETAK!$J$14="",$O1671=CETAK!$J$14)),MAX($X$3:X1670)+1,""))</f>
        <v/>
      </c>
      <c r="Y1671" s="40" t="str">
        <f aca="false">IF($B1671="","",IF(AND(OR(ABSENSI!$H$10="",$E1671=ABSENSI!$H$10),OR(ABSENSI!$H$11="",$F1671=ABSENSI!$H$11),OR(ABSENSI!$H$12="",$K1671=ABSENSI!$H$12)),MAX($Y$3:Y1670)+1,""))</f>
        <v/>
      </c>
      <c r="Z1671" s="40" t="str">
        <f aca="false">IF($B1671="","",IF(AND(OR(KARTU!$K$6="",$E1671=KARTU!$K$6),OR(KARTU!$K$7="",$F1671=KARTU!$K$7),OR(KARTU!$K$8="",$K1671=KARTU!$K$8)),MAX($Z$3:Z1670)+1,""))</f>
        <v/>
      </c>
    </row>
    <row r="1672" customFormat="false" ht="15" hidden="false" customHeight="false" outlineLevel="0" collapsed="false">
      <c r="A1672" s="36" t="str">
        <f aca="false">IF($B1672="","",COUNTA($B$4:$B1672))</f>
        <v/>
      </c>
      <c r="B1672" s="37"/>
      <c r="C1672" s="38"/>
      <c r="D1672" s="39"/>
      <c r="E1672" s="37"/>
      <c r="F1672" s="39"/>
      <c r="G1672" s="40" t="str">
        <f aca="false">IF(OR($E1672="",$F1672=""),"",$E1672&amp;" - RT "&amp;$F1672)</f>
        <v/>
      </c>
      <c r="H1672" s="37"/>
      <c r="I1672" s="38"/>
      <c r="J1672" s="37"/>
      <c r="K1672" s="39"/>
      <c r="L1672" s="41"/>
      <c r="M1672" s="36" t="str">
        <f aca="true">IF(OR($B1672="",$L1672=""),"",DATEDIF($L1672,TODAY(),"Y"))</f>
        <v/>
      </c>
      <c r="N1672" s="40" t="str">
        <f aca="false">IF($M1672="","",INDEX(usia_label,MATCH($M1672,usia_min,1)))</f>
        <v/>
      </c>
      <c r="O1672" s="37"/>
      <c r="P1672" s="41"/>
      <c r="Q1672" s="37"/>
      <c r="R1672" s="37"/>
      <c r="S1672" s="40" t="str">
        <f aca="false">IF($G1672="","",$G1672&amp;"#"&amp;COUNTIF($G$4:$G1672,$G1672))</f>
        <v/>
      </c>
      <c r="T1672" s="40" t="str">
        <f aca="false">IF($B1672="","",IF($C1672="","NIK kosong",IF(LEN($C1672)&lt;&gt;16,"NIK bukan 16 digit",IF(COUNTIF($C$4:$C$2003,$C1672&amp;"*")&gt;1,"NIK ganda",IF($E1672="","Kadus kosong",IF($F1672="","RT kosong",IF($H1672="","Jabatan kosong",IF($I1672="","No. HP kosong",IF($J1672="","Alamat kosong",IF(AND($M1672&lt;&gt;"",$M1672&lt;17),"Usia di bawah 17",""))))))))))</f>
        <v/>
      </c>
      <c r="U1672" s="40" t="str">
        <f aca="false">IF($B1672="","",IF(AND(OR(CARI!$C$5="",ISNUMBER(SEARCH(CARI!$C$5,$B1672&amp;" "&amp;$C1672&amp;" "&amp;$I1672&amp;" "&amp;$J1672&amp;" "&amp;$Q1672))),OR(CARI!$C$6="",$E1672=CARI!$C$6),OR(CARI!$C$7="",$F1672=CARI!$C$7),OR(CARI!$C$8="",$O1672=CARI!$C$8)),MAX($U$3:U1671)+1,""))</f>
        <v/>
      </c>
      <c r="V1672" s="40" t="str">
        <f aca="false">IF($T1672="","",MAX($V$3:V1671)+1)</f>
        <v/>
      </c>
      <c r="W1672" s="40" t="str">
        <f aca="false">IF($E1672="","",$E1672&amp;"#"&amp;COUNTIF($E$4:$E1672,$E1672))</f>
        <v/>
      </c>
      <c r="X1672" s="40" t="str">
        <f aca="false">IF($B1672="","",IF(AND(OR(CETAK!$J$10="",$E1672=CETAK!$J$10),OR(CETAK!$J$11="",$F1672=CETAK!$J$11),OR(CETAK!$J$12="",$K1672=CETAK!$J$12),OR(CETAK!$J$13="",$H1672=CETAK!$J$13),OR(CETAK!$J$14="",$O1672=CETAK!$J$14)),MAX($X$3:X1671)+1,""))</f>
        <v/>
      </c>
      <c r="Y1672" s="40" t="str">
        <f aca="false">IF($B1672="","",IF(AND(OR(ABSENSI!$H$10="",$E1672=ABSENSI!$H$10),OR(ABSENSI!$H$11="",$F1672=ABSENSI!$H$11),OR(ABSENSI!$H$12="",$K1672=ABSENSI!$H$12)),MAX($Y$3:Y1671)+1,""))</f>
        <v/>
      </c>
      <c r="Z1672" s="40" t="str">
        <f aca="false">IF($B1672="","",IF(AND(OR(KARTU!$K$6="",$E1672=KARTU!$K$6),OR(KARTU!$K$7="",$F1672=KARTU!$K$7),OR(KARTU!$K$8="",$K1672=KARTU!$K$8)),MAX($Z$3:Z1671)+1,""))</f>
        <v/>
      </c>
    </row>
    <row r="1673" customFormat="false" ht="15" hidden="false" customHeight="false" outlineLevel="0" collapsed="false">
      <c r="A1673" s="36" t="str">
        <f aca="false">IF($B1673="","",COUNTA($B$4:$B1673))</f>
        <v/>
      </c>
      <c r="B1673" s="37"/>
      <c r="C1673" s="38"/>
      <c r="D1673" s="39"/>
      <c r="E1673" s="37"/>
      <c r="F1673" s="39"/>
      <c r="G1673" s="40" t="str">
        <f aca="false">IF(OR($E1673="",$F1673=""),"",$E1673&amp;" - RT "&amp;$F1673)</f>
        <v/>
      </c>
      <c r="H1673" s="37"/>
      <c r="I1673" s="38"/>
      <c r="J1673" s="37"/>
      <c r="K1673" s="39"/>
      <c r="L1673" s="41"/>
      <c r="M1673" s="36" t="str">
        <f aca="true">IF(OR($B1673="",$L1673=""),"",DATEDIF($L1673,TODAY(),"Y"))</f>
        <v/>
      </c>
      <c r="N1673" s="40" t="str">
        <f aca="false">IF($M1673="","",INDEX(usia_label,MATCH($M1673,usia_min,1)))</f>
        <v/>
      </c>
      <c r="O1673" s="37"/>
      <c r="P1673" s="41"/>
      <c r="Q1673" s="37"/>
      <c r="R1673" s="37"/>
      <c r="S1673" s="40" t="str">
        <f aca="false">IF($G1673="","",$G1673&amp;"#"&amp;COUNTIF($G$4:$G1673,$G1673))</f>
        <v/>
      </c>
      <c r="T1673" s="40" t="str">
        <f aca="false">IF($B1673="","",IF($C1673="","NIK kosong",IF(LEN($C1673)&lt;&gt;16,"NIK bukan 16 digit",IF(COUNTIF($C$4:$C$2003,$C1673&amp;"*")&gt;1,"NIK ganda",IF($E1673="","Kadus kosong",IF($F1673="","RT kosong",IF($H1673="","Jabatan kosong",IF($I1673="","No. HP kosong",IF($J1673="","Alamat kosong",IF(AND($M1673&lt;&gt;"",$M1673&lt;17),"Usia di bawah 17",""))))))))))</f>
        <v/>
      </c>
      <c r="U1673" s="40" t="str">
        <f aca="false">IF($B1673="","",IF(AND(OR(CARI!$C$5="",ISNUMBER(SEARCH(CARI!$C$5,$B1673&amp;" "&amp;$C1673&amp;" "&amp;$I1673&amp;" "&amp;$J1673&amp;" "&amp;$Q1673))),OR(CARI!$C$6="",$E1673=CARI!$C$6),OR(CARI!$C$7="",$F1673=CARI!$C$7),OR(CARI!$C$8="",$O1673=CARI!$C$8)),MAX($U$3:U1672)+1,""))</f>
        <v/>
      </c>
      <c r="V1673" s="40" t="str">
        <f aca="false">IF($T1673="","",MAX($V$3:V1672)+1)</f>
        <v/>
      </c>
      <c r="W1673" s="40" t="str">
        <f aca="false">IF($E1673="","",$E1673&amp;"#"&amp;COUNTIF($E$4:$E1673,$E1673))</f>
        <v/>
      </c>
      <c r="X1673" s="40" t="str">
        <f aca="false">IF($B1673="","",IF(AND(OR(CETAK!$J$10="",$E1673=CETAK!$J$10),OR(CETAK!$J$11="",$F1673=CETAK!$J$11),OR(CETAK!$J$12="",$K1673=CETAK!$J$12),OR(CETAK!$J$13="",$H1673=CETAK!$J$13),OR(CETAK!$J$14="",$O1673=CETAK!$J$14)),MAX($X$3:X1672)+1,""))</f>
        <v/>
      </c>
      <c r="Y1673" s="40" t="str">
        <f aca="false">IF($B1673="","",IF(AND(OR(ABSENSI!$H$10="",$E1673=ABSENSI!$H$10),OR(ABSENSI!$H$11="",$F1673=ABSENSI!$H$11),OR(ABSENSI!$H$12="",$K1673=ABSENSI!$H$12)),MAX($Y$3:Y1672)+1,""))</f>
        <v/>
      </c>
      <c r="Z1673" s="40" t="str">
        <f aca="false">IF($B1673="","",IF(AND(OR(KARTU!$K$6="",$E1673=KARTU!$K$6),OR(KARTU!$K$7="",$F1673=KARTU!$K$7),OR(KARTU!$K$8="",$K1673=KARTU!$K$8)),MAX($Z$3:Z1672)+1,""))</f>
        <v/>
      </c>
    </row>
    <row r="1674" customFormat="false" ht="15" hidden="false" customHeight="false" outlineLevel="0" collapsed="false">
      <c r="A1674" s="36" t="str">
        <f aca="false">IF($B1674="","",COUNTA($B$4:$B1674))</f>
        <v/>
      </c>
      <c r="B1674" s="37"/>
      <c r="C1674" s="38"/>
      <c r="D1674" s="39"/>
      <c r="E1674" s="37"/>
      <c r="F1674" s="39"/>
      <c r="G1674" s="40" t="str">
        <f aca="false">IF(OR($E1674="",$F1674=""),"",$E1674&amp;" - RT "&amp;$F1674)</f>
        <v/>
      </c>
      <c r="H1674" s="37"/>
      <c r="I1674" s="38"/>
      <c r="J1674" s="37"/>
      <c r="K1674" s="39"/>
      <c r="L1674" s="41"/>
      <c r="M1674" s="36" t="str">
        <f aca="true">IF(OR($B1674="",$L1674=""),"",DATEDIF($L1674,TODAY(),"Y"))</f>
        <v/>
      </c>
      <c r="N1674" s="40" t="str">
        <f aca="false">IF($M1674="","",INDEX(usia_label,MATCH($M1674,usia_min,1)))</f>
        <v/>
      </c>
      <c r="O1674" s="37"/>
      <c r="P1674" s="41"/>
      <c r="Q1674" s="37"/>
      <c r="R1674" s="37"/>
      <c r="S1674" s="40" t="str">
        <f aca="false">IF($G1674="","",$G1674&amp;"#"&amp;COUNTIF($G$4:$G1674,$G1674))</f>
        <v/>
      </c>
      <c r="T1674" s="40" t="str">
        <f aca="false">IF($B1674="","",IF($C1674="","NIK kosong",IF(LEN($C1674)&lt;&gt;16,"NIK bukan 16 digit",IF(COUNTIF($C$4:$C$2003,$C1674&amp;"*")&gt;1,"NIK ganda",IF($E1674="","Kadus kosong",IF($F1674="","RT kosong",IF($H1674="","Jabatan kosong",IF($I1674="","No. HP kosong",IF($J1674="","Alamat kosong",IF(AND($M1674&lt;&gt;"",$M1674&lt;17),"Usia di bawah 17",""))))))))))</f>
        <v/>
      </c>
      <c r="U1674" s="40" t="str">
        <f aca="false">IF($B1674="","",IF(AND(OR(CARI!$C$5="",ISNUMBER(SEARCH(CARI!$C$5,$B1674&amp;" "&amp;$C1674&amp;" "&amp;$I1674&amp;" "&amp;$J1674&amp;" "&amp;$Q1674))),OR(CARI!$C$6="",$E1674=CARI!$C$6),OR(CARI!$C$7="",$F1674=CARI!$C$7),OR(CARI!$C$8="",$O1674=CARI!$C$8)),MAX($U$3:U1673)+1,""))</f>
        <v/>
      </c>
      <c r="V1674" s="40" t="str">
        <f aca="false">IF($T1674="","",MAX($V$3:V1673)+1)</f>
        <v/>
      </c>
      <c r="W1674" s="40" t="str">
        <f aca="false">IF($E1674="","",$E1674&amp;"#"&amp;COUNTIF($E$4:$E1674,$E1674))</f>
        <v/>
      </c>
      <c r="X1674" s="40" t="str">
        <f aca="false">IF($B1674="","",IF(AND(OR(CETAK!$J$10="",$E1674=CETAK!$J$10),OR(CETAK!$J$11="",$F1674=CETAK!$J$11),OR(CETAK!$J$12="",$K1674=CETAK!$J$12),OR(CETAK!$J$13="",$H1674=CETAK!$J$13),OR(CETAK!$J$14="",$O1674=CETAK!$J$14)),MAX($X$3:X1673)+1,""))</f>
        <v/>
      </c>
      <c r="Y1674" s="40" t="str">
        <f aca="false">IF($B1674="","",IF(AND(OR(ABSENSI!$H$10="",$E1674=ABSENSI!$H$10),OR(ABSENSI!$H$11="",$F1674=ABSENSI!$H$11),OR(ABSENSI!$H$12="",$K1674=ABSENSI!$H$12)),MAX($Y$3:Y1673)+1,""))</f>
        <v/>
      </c>
      <c r="Z1674" s="40" t="str">
        <f aca="false">IF($B1674="","",IF(AND(OR(KARTU!$K$6="",$E1674=KARTU!$K$6),OR(KARTU!$K$7="",$F1674=KARTU!$K$7),OR(KARTU!$K$8="",$K1674=KARTU!$K$8)),MAX($Z$3:Z1673)+1,""))</f>
        <v/>
      </c>
    </row>
    <row r="1675" customFormat="false" ht="15" hidden="false" customHeight="false" outlineLevel="0" collapsed="false">
      <c r="A1675" s="36" t="str">
        <f aca="false">IF($B1675="","",COUNTA($B$4:$B1675))</f>
        <v/>
      </c>
      <c r="B1675" s="37"/>
      <c r="C1675" s="38"/>
      <c r="D1675" s="39"/>
      <c r="E1675" s="37"/>
      <c r="F1675" s="39"/>
      <c r="G1675" s="40" t="str">
        <f aca="false">IF(OR($E1675="",$F1675=""),"",$E1675&amp;" - RT "&amp;$F1675)</f>
        <v/>
      </c>
      <c r="H1675" s="37"/>
      <c r="I1675" s="38"/>
      <c r="J1675" s="37"/>
      <c r="K1675" s="39"/>
      <c r="L1675" s="41"/>
      <c r="M1675" s="36" t="str">
        <f aca="true">IF(OR($B1675="",$L1675=""),"",DATEDIF($L1675,TODAY(),"Y"))</f>
        <v/>
      </c>
      <c r="N1675" s="40" t="str">
        <f aca="false">IF($M1675="","",INDEX(usia_label,MATCH($M1675,usia_min,1)))</f>
        <v/>
      </c>
      <c r="O1675" s="37"/>
      <c r="P1675" s="41"/>
      <c r="Q1675" s="37"/>
      <c r="R1675" s="37"/>
      <c r="S1675" s="40" t="str">
        <f aca="false">IF($G1675="","",$G1675&amp;"#"&amp;COUNTIF($G$4:$G1675,$G1675))</f>
        <v/>
      </c>
      <c r="T1675" s="40" t="str">
        <f aca="false">IF($B1675="","",IF($C1675="","NIK kosong",IF(LEN($C1675)&lt;&gt;16,"NIK bukan 16 digit",IF(COUNTIF($C$4:$C$2003,$C1675&amp;"*")&gt;1,"NIK ganda",IF($E1675="","Kadus kosong",IF($F1675="","RT kosong",IF($H1675="","Jabatan kosong",IF($I1675="","No. HP kosong",IF($J1675="","Alamat kosong",IF(AND($M1675&lt;&gt;"",$M1675&lt;17),"Usia di bawah 17",""))))))))))</f>
        <v/>
      </c>
      <c r="U1675" s="40" t="str">
        <f aca="false">IF($B1675="","",IF(AND(OR(CARI!$C$5="",ISNUMBER(SEARCH(CARI!$C$5,$B1675&amp;" "&amp;$C1675&amp;" "&amp;$I1675&amp;" "&amp;$J1675&amp;" "&amp;$Q1675))),OR(CARI!$C$6="",$E1675=CARI!$C$6),OR(CARI!$C$7="",$F1675=CARI!$C$7),OR(CARI!$C$8="",$O1675=CARI!$C$8)),MAX($U$3:U1674)+1,""))</f>
        <v/>
      </c>
      <c r="V1675" s="40" t="str">
        <f aca="false">IF($T1675="","",MAX($V$3:V1674)+1)</f>
        <v/>
      </c>
      <c r="W1675" s="40" t="str">
        <f aca="false">IF($E1675="","",$E1675&amp;"#"&amp;COUNTIF($E$4:$E1675,$E1675))</f>
        <v/>
      </c>
      <c r="X1675" s="40" t="str">
        <f aca="false">IF($B1675="","",IF(AND(OR(CETAK!$J$10="",$E1675=CETAK!$J$10),OR(CETAK!$J$11="",$F1675=CETAK!$J$11),OR(CETAK!$J$12="",$K1675=CETAK!$J$12),OR(CETAK!$J$13="",$H1675=CETAK!$J$13),OR(CETAK!$J$14="",$O1675=CETAK!$J$14)),MAX($X$3:X1674)+1,""))</f>
        <v/>
      </c>
      <c r="Y1675" s="40" t="str">
        <f aca="false">IF($B1675="","",IF(AND(OR(ABSENSI!$H$10="",$E1675=ABSENSI!$H$10),OR(ABSENSI!$H$11="",$F1675=ABSENSI!$H$11),OR(ABSENSI!$H$12="",$K1675=ABSENSI!$H$12)),MAX($Y$3:Y1674)+1,""))</f>
        <v/>
      </c>
      <c r="Z1675" s="40" t="str">
        <f aca="false">IF($B1675="","",IF(AND(OR(KARTU!$K$6="",$E1675=KARTU!$K$6),OR(KARTU!$K$7="",$F1675=KARTU!$K$7),OR(KARTU!$K$8="",$K1675=KARTU!$K$8)),MAX($Z$3:Z1674)+1,""))</f>
        <v/>
      </c>
    </row>
    <row r="1676" customFormat="false" ht="15" hidden="false" customHeight="false" outlineLevel="0" collapsed="false">
      <c r="A1676" s="36" t="str">
        <f aca="false">IF($B1676="","",COUNTA($B$4:$B1676))</f>
        <v/>
      </c>
      <c r="B1676" s="37"/>
      <c r="C1676" s="38"/>
      <c r="D1676" s="39"/>
      <c r="E1676" s="37"/>
      <c r="F1676" s="39"/>
      <c r="G1676" s="40" t="str">
        <f aca="false">IF(OR($E1676="",$F1676=""),"",$E1676&amp;" - RT "&amp;$F1676)</f>
        <v/>
      </c>
      <c r="H1676" s="37"/>
      <c r="I1676" s="38"/>
      <c r="J1676" s="37"/>
      <c r="K1676" s="39"/>
      <c r="L1676" s="41"/>
      <c r="M1676" s="36" t="str">
        <f aca="true">IF(OR($B1676="",$L1676=""),"",DATEDIF($L1676,TODAY(),"Y"))</f>
        <v/>
      </c>
      <c r="N1676" s="40" t="str">
        <f aca="false">IF($M1676="","",INDEX(usia_label,MATCH($M1676,usia_min,1)))</f>
        <v/>
      </c>
      <c r="O1676" s="37"/>
      <c r="P1676" s="41"/>
      <c r="Q1676" s="37"/>
      <c r="R1676" s="37"/>
      <c r="S1676" s="40" t="str">
        <f aca="false">IF($G1676="","",$G1676&amp;"#"&amp;COUNTIF($G$4:$G1676,$G1676))</f>
        <v/>
      </c>
      <c r="T1676" s="40" t="str">
        <f aca="false">IF($B1676="","",IF($C1676="","NIK kosong",IF(LEN($C1676)&lt;&gt;16,"NIK bukan 16 digit",IF(COUNTIF($C$4:$C$2003,$C1676&amp;"*")&gt;1,"NIK ganda",IF($E1676="","Kadus kosong",IF($F1676="","RT kosong",IF($H1676="","Jabatan kosong",IF($I1676="","No. HP kosong",IF($J1676="","Alamat kosong",IF(AND($M1676&lt;&gt;"",$M1676&lt;17),"Usia di bawah 17",""))))))))))</f>
        <v/>
      </c>
      <c r="U1676" s="40" t="str">
        <f aca="false">IF($B1676="","",IF(AND(OR(CARI!$C$5="",ISNUMBER(SEARCH(CARI!$C$5,$B1676&amp;" "&amp;$C1676&amp;" "&amp;$I1676&amp;" "&amp;$J1676&amp;" "&amp;$Q1676))),OR(CARI!$C$6="",$E1676=CARI!$C$6),OR(CARI!$C$7="",$F1676=CARI!$C$7),OR(CARI!$C$8="",$O1676=CARI!$C$8)),MAX($U$3:U1675)+1,""))</f>
        <v/>
      </c>
      <c r="V1676" s="40" t="str">
        <f aca="false">IF($T1676="","",MAX($V$3:V1675)+1)</f>
        <v/>
      </c>
      <c r="W1676" s="40" t="str">
        <f aca="false">IF($E1676="","",$E1676&amp;"#"&amp;COUNTIF($E$4:$E1676,$E1676))</f>
        <v/>
      </c>
      <c r="X1676" s="40" t="str">
        <f aca="false">IF($B1676="","",IF(AND(OR(CETAK!$J$10="",$E1676=CETAK!$J$10),OR(CETAK!$J$11="",$F1676=CETAK!$J$11),OR(CETAK!$J$12="",$K1676=CETAK!$J$12),OR(CETAK!$J$13="",$H1676=CETAK!$J$13),OR(CETAK!$J$14="",$O1676=CETAK!$J$14)),MAX($X$3:X1675)+1,""))</f>
        <v/>
      </c>
      <c r="Y1676" s="40" t="str">
        <f aca="false">IF($B1676="","",IF(AND(OR(ABSENSI!$H$10="",$E1676=ABSENSI!$H$10),OR(ABSENSI!$H$11="",$F1676=ABSENSI!$H$11),OR(ABSENSI!$H$12="",$K1676=ABSENSI!$H$12)),MAX($Y$3:Y1675)+1,""))</f>
        <v/>
      </c>
      <c r="Z1676" s="40" t="str">
        <f aca="false">IF($B1676="","",IF(AND(OR(KARTU!$K$6="",$E1676=KARTU!$K$6),OR(KARTU!$K$7="",$F1676=KARTU!$K$7),OR(KARTU!$K$8="",$K1676=KARTU!$K$8)),MAX($Z$3:Z1675)+1,""))</f>
        <v/>
      </c>
    </row>
    <row r="1677" customFormat="false" ht="15" hidden="false" customHeight="false" outlineLevel="0" collapsed="false">
      <c r="A1677" s="36" t="str">
        <f aca="false">IF($B1677="","",COUNTA($B$4:$B1677))</f>
        <v/>
      </c>
      <c r="B1677" s="37"/>
      <c r="C1677" s="38"/>
      <c r="D1677" s="39"/>
      <c r="E1677" s="37"/>
      <c r="F1677" s="39"/>
      <c r="G1677" s="40" t="str">
        <f aca="false">IF(OR($E1677="",$F1677=""),"",$E1677&amp;" - RT "&amp;$F1677)</f>
        <v/>
      </c>
      <c r="H1677" s="37"/>
      <c r="I1677" s="38"/>
      <c r="J1677" s="37"/>
      <c r="K1677" s="39"/>
      <c r="L1677" s="41"/>
      <c r="M1677" s="36" t="str">
        <f aca="true">IF(OR($B1677="",$L1677=""),"",DATEDIF($L1677,TODAY(),"Y"))</f>
        <v/>
      </c>
      <c r="N1677" s="40" t="str">
        <f aca="false">IF($M1677="","",INDEX(usia_label,MATCH($M1677,usia_min,1)))</f>
        <v/>
      </c>
      <c r="O1677" s="37"/>
      <c r="P1677" s="41"/>
      <c r="Q1677" s="37"/>
      <c r="R1677" s="37"/>
      <c r="S1677" s="40" t="str">
        <f aca="false">IF($G1677="","",$G1677&amp;"#"&amp;COUNTIF($G$4:$G1677,$G1677))</f>
        <v/>
      </c>
      <c r="T1677" s="40" t="str">
        <f aca="false">IF($B1677="","",IF($C1677="","NIK kosong",IF(LEN($C1677)&lt;&gt;16,"NIK bukan 16 digit",IF(COUNTIF($C$4:$C$2003,$C1677&amp;"*")&gt;1,"NIK ganda",IF($E1677="","Kadus kosong",IF($F1677="","RT kosong",IF($H1677="","Jabatan kosong",IF($I1677="","No. HP kosong",IF($J1677="","Alamat kosong",IF(AND($M1677&lt;&gt;"",$M1677&lt;17),"Usia di bawah 17",""))))))))))</f>
        <v/>
      </c>
      <c r="U1677" s="40" t="str">
        <f aca="false">IF($B1677="","",IF(AND(OR(CARI!$C$5="",ISNUMBER(SEARCH(CARI!$C$5,$B1677&amp;" "&amp;$C1677&amp;" "&amp;$I1677&amp;" "&amp;$J1677&amp;" "&amp;$Q1677))),OR(CARI!$C$6="",$E1677=CARI!$C$6),OR(CARI!$C$7="",$F1677=CARI!$C$7),OR(CARI!$C$8="",$O1677=CARI!$C$8)),MAX($U$3:U1676)+1,""))</f>
        <v/>
      </c>
      <c r="V1677" s="40" t="str">
        <f aca="false">IF($T1677="","",MAX($V$3:V1676)+1)</f>
        <v/>
      </c>
      <c r="W1677" s="40" t="str">
        <f aca="false">IF($E1677="","",$E1677&amp;"#"&amp;COUNTIF($E$4:$E1677,$E1677))</f>
        <v/>
      </c>
      <c r="X1677" s="40" t="str">
        <f aca="false">IF($B1677="","",IF(AND(OR(CETAK!$J$10="",$E1677=CETAK!$J$10),OR(CETAK!$J$11="",$F1677=CETAK!$J$11),OR(CETAK!$J$12="",$K1677=CETAK!$J$12),OR(CETAK!$J$13="",$H1677=CETAK!$J$13),OR(CETAK!$J$14="",$O1677=CETAK!$J$14)),MAX($X$3:X1676)+1,""))</f>
        <v/>
      </c>
      <c r="Y1677" s="40" t="str">
        <f aca="false">IF($B1677="","",IF(AND(OR(ABSENSI!$H$10="",$E1677=ABSENSI!$H$10),OR(ABSENSI!$H$11="",$F1677=ABSENSI!$H$11),OR(ABSENSI!$H$12="",$K1677=ABSENSI!$H$12)),MAX($Y$3:Y1676)+1,""))</f>
        <v/>
      </c>
      <c r="Z1677" s="40" t="str">
        <f aca="false">IF($B1677="","",IF(AND(OR(KARTU!$K$6="",$E1677=KARTU!$K$6),OR(KARTU!$K$7="",$F1677=KARTU!$K$7),OR(KARTU!$K$8="",$K1677=KARTU!$K$8)),MAX($Z$3:Z1676)+1,""))</f>
        <v/>
      </c>
    </row>
    <row r="1678" customFormat="false" ht="15" hidden="false" customHeight="false" outlineLevel="0" collapsed="false">
      <c r="A1678" s="36" t="str">
        <f aca="false">IF($B1678="","",COUNTA($B$4:$B1678))</f>
        <v/>
      </c>
      <c r="B1678" s="37"/>
      <c r="C1678" s="38"/>
      <c r="D1678" s="39"/>
      <c r="E1678" s="37"/>
      <c r="F1678" s="39"/>
      <c r="G1678" s="40" t="str">
        <f aca="false">IF(OR($E1678="",$F1678=""),"",$E1678&amp;" - RT "&amp;$F1678)</f>
        <v/>
      </c>
      <c r="H1678" s="37"/>
      <c r="I1678" s="38"/>
      <c r="J1678" s="37"/>
      <c r="K1678" s="39"/>
      <c r="L1678" s="41"/>
      <c r="M1678" s="36" t="str">
        <f aca="true">IF(OR($B1678="",$L1678=""),"",DATEDIF($L1678,TODAY(),"Y"))</f>
        <v/>
      </c>
      <c r="N1678" s="40" t="str">
        <f aca="false">IF($M1678="","",INDEX(usia_label,MATCH($M1678,usia_min,1)))</f>
        <v/>
      </c>
      <c r="O1678" s="37"/>
      <c r="P1678" s="41"/>
      <c r="Q1678" s="37"/>
      <c r="R1678" s="37"/>
      <c r="S1678" s="40" t="str">
        <f aca="false">IF($G1678="","",$G1678&amp;"#"&amp;COUNTIF($G$4:$G1678,$G1678))</f>
        <v/>
      </c>
      <c r="T1678" s="40" t="str">
        <f aca="false">IF($B1678="","",IF($C1678="","NIK kosong",IF(LEN($C1678)&lt;&gt;16,"NIK bukan 16 digit",IF(COUNTIF($C$4:$C$2003,$C1678&amp;"*")&gt;1,"NIK ganda",IF($E1678="","Kadus kosong",IF($F1678="","RT kosong",IF($H1678="","Jabatan kosong",IF($I1678="","No. HP kosong",IF($J1678="","Alamat kosong",IF(AND($M1678&lt;&gt;"",$M1678&lt;17),"Usia di bawah 17",""))))))))))</f>
        <v/>
      </c>
      <c r="U1678" s="40" t="str">
        <f aca="false">IF($B1678="","",IF(AND(OR(CARI!$C$5="",ISNUMBER(SEARCH(CARI!$C$5,$B1678&amp;" "&amp;$C1678&amp;" "&amp;$I1678&amp;" "&amp;$J1678&amp;" "&amp;$Q1678))),OR(CARI!$C$6="",$E1678=CARI!$C$6),OR(CARI!$C$7="",$F1678=CARI!$C$7),OR(CARI!$C$8="",$O1678=CARI!$C$8)),MAX($U$3:U1677)+1,""))</f>
        <v/>
      </c>
      <c r="V1678" s="40" t="str">
        <f aca="false">IF($T1678="","",MAX($V$3:V1677)+1)</f>
        <v/>
      </c>
      <c r="W1678" s="40" t="str">
        <f aca="false">IF($E1678="","",$E1678&amp;"#"&amp;COUNTIF($E$4:$E1678,$E1678))</f>
        <v/>
      </c>
      <c r="X1678" s="40" t="str">
        <f aca="false">IF($B1678="","",IF(AND(OR(CETAK!$J$10="",$E1678=CETAK!$J$10),OR(CETAK!$J$11="",$F1678=CETAK!$J$11),OR(CETAK!$J$12="",$K1678=CETAK!$J$12),OR(CETAK!$J$13="",$H1678=CETAK!$J$13),OR(CETAK!$J$14="",$O1678=CETAK!$J$14)),MAX($X$3:X1677)+1,""))</f>
        <v/>
      </c>
      <c r="Y1678" s="40" t="str">
        <f aca="false">IF($B1678="","",IF(AND(OR(ABSENSI!$H$10="",$E1678=ABSENSI!$H$10),OR(ABSENSI!$H$11="",$F1678=ABSENSI!$H$11),OR(ABSENSI!$H$12="",$K1678=ABSENSI!$H$12)),MAX($Y$3:Y1677)+1,""))</f>
        <v/>
      </c>
      <c r="Z1678" s="40" t="str">
        <f aca="false">IF($B1678="","",IF(AND(OR(KARTU!$K$6="",$E1678=KARTU!$K$6),OR(KARTU!$K$7="",$F1678=KARTU!$K$7),OR(KARTU!$K$8="",$K1678=KARTU!$K$8)),MAX($Z$3:Z1677)+1,""))</f>
        <v/>
      </c>
    </row>
    <row r="1679" customFormat="false" ht="15" hidden="false" customHeight="false" outlineLevel="0" collapsed="false">
      <c r="A1679" s="36" t="str">
        <f aca="false">IF($B1679="","",COUNTA($B$4:$B1679))</f>
        <v/>
      </c>
      <c r="B1679" s="37"/>
      <c r="C1679" s="38"/>
      <c r="D1679" s="39"/>
      <c r="E1679" s="37"/>
      <c r="F1679" s="39"/>
      <c r="G1679" s="40" t="str">
        <f aca="false">IF(OR($E1679="",$F1679=""),"",$E1679&amp;" - RT "&amp;$F1679)</f>
        <v/>
      </c>
      <c r="H1679" s="37"/>
      <c r="I1679" s="38"/>
      <c r="J1679" s="37"/>
      <c r="K1679" s="39"/>
      <c r="L1679" s="41"/>
      <c r="M1679" s="36" t="str">
        <f aca="true">IF(OR($B1679="",$L1679=""),"",DATEDIF($L1679,TODAY(),"Y"))</f>
        <v/>
      </c>
      <c r="N1679" s="40" t="str">
        <f aca="false">IF($M1679="","",INDEX(usia_label,MATCH($M1679,usia_min,1)))</f>
        <v/>
      </c>
      <c r="O1679" s="37"/>
      <c r="P1679" s="41"/>
      <c r="Q1679" s="37"/>
      <c r="R1679" s="37"/>
      <c r="S1679" s="40" t="str">
        <f aca="false">IF($G1679="","",$G1679&amp;"#"&amp;COUNTIF($G$4:$G1679,$G1679))</f>
        <v/>
      </c>
      <c r="T1679" s="40" t="str">
        <f aca="false">IF($B1679="","",IF($C1679="","NIK kosong",IF(LEN($C1679)&lt;&gt;16,"NIK bukan 16 digit",IF(COUNTIF($C$4:$C$2003,$C1679&amp;"*")&gt;1,"NIK ganda",IF($E1679="","Kadus kosong",IF($F1679="","RT kosong",IF($H1679="","Jabatan kosong",IF($I1679="","No. HP kosong",IF($J1679="","Alamat kosong",IF(AND($M1679&lt;&gt;"",$M1679&lt;17),"Usia di bawah 17",""))))))))))</f>
        <v/>
      </c>
      <c r="U1679" s="40" t="str">
        <f aca="false">IF($B1679="","",IF(AND(OR(CARI!$C$5="",ISNUMBER(SEARCH(CARI!$C$5,$B1679&amp;" "&amp;$C1679&amp;" "&amp;$I1679&amp;" "&amp;$J1679&amp;" "&amp;$Q1679))),OR(CARI!$C$6="",$E1679=CARI!$C$6),OR(CARI!$C$7="",$F1679=CARI!$C$7),OR(CARI!$C$8="",$O1679=CARI!$C$8)),MAX($U$3:U1678)+1,""))</f>
        <v/>
      </c>
      <c r="V1679" s="40" t="str">
        <f aca="false">IF($T1679="","",MAX($V$3:V1678)+1)</f>
        <v/>
      </c>
      <c r="W1679" s="40" t="str">
        <f aca="false">IF($E1679="","",$E1679&amp;"#"&amp;COUNTIF($E$4:$E1679,$E1679))</f>
        <v/>
      </c>
      <c r="X1679" s="40" t="str">
        <f aca="false">IF($B1679="","",IF(AND(OR(CETAK!$J$10="",$E1679=CETAK!$J$10),OR(CETAK!$J$11="",$F1679=CETAK!$J$11),OR(CETAK!$J$12="",$K1679=CETAK!$J$12),OR(CETAK!$J$13="",$H1679=CETAK!$J$13),OR(CETAK!$J$14="",$O1679=CETAK!$J$14)),MAX($X$3:X1678)+1,""))</f>
        <v/>
      </c>
      <c r="Y1679" s="40" t="str">
        <f aca="false">IF($B1679="","",IF(AND(OR(ABSENSI!$H$10="",$E1679=ABSENSI!$H$10),OR(ABSENSI!$H$11="",$F1679=ABSENSI!$H$11),OR(ABSENSI!$H$12="",$K1679=ABSENSI!$H$12)),MAX($Y$3:Y1678)+1,""))</f>
        <v/>
      </c>
      <c r="Z1679" s="40" t="str">
        <f aca="false">IF($B1679="","",IF(AND(OR(KARTU!$K$6="",$E1679=KARTU!$K$6),OR(KARTU!$K$7="",$F1679=KARTU!$K$7),OR(KARTU!$K$8="",$K1679=KARTU!$K$8)),MAX($Z$3:Z1678)+1,""))</f>
        <v/>
      </c>
    </row>
    <row r="1680" customFormat="false" ht="15" hidden="false" customHeight="false" outlineLevel="0" collapsed="false">
      <c r="A1680" s="36" t="str">
        <f aca="false">IF($B1680="","",COUNTA($B$4:$B1680))</f>
        <v/>
      </c>
      <c r="B1680" s="37"/>
      <c r="C1680" s="38"/>
      <c r="D1680" s="39"/>
      <c r="E1680" s="37"/>
      <c r="F1680" s="39"/>
      <c r="G1680" s="40" t="str">
        <f aca="false">IF(OR($E1680="",$F1680=""),"",$E1680&amp;" - RT "&amp;$F1680)</f>
        <v/>
      </c>
      <c r="H1680" s="37"/>
      <c r="I1680" s="38"/>
      <c r="J1680" s="37"/>
      <c r="K1680" s="39"/>
      <c r="L1680" s="41"/>
      <c r="M1680" s="36" t="str">
        <f aca="true">IF(OR($B1680="",$L1680=""),"",DATEDIF($L1680,TODAY(),"Y"))</f>
        <v/>
      </c>
      <c r="N1680" s="40" t="str">
        <f aca="false">IF($M1680="","",INDEX(usia_label,MATCH($M1680,usia_min,1)))</f>
        <v/>
      </c>
      <c r="O1680" s="37"/>
      <c r="P1680" s="41"/>
      <c r="Q1680" s="37"/>
      <c r="R1680" s="37"/>
      <c r="S1680" s="40" t="str">
        <f aca="false">IF($G1680="","",$G1680&amp;"#"&amp;COUNTIF($G$4:$G1680,$G1680))</f>
        <v/>
      </c>
      <c r="T1680" s="40" t="str">
        <f aca="false">IF($B1680="","",IF($C1680="","NIK kosong",IF(LEN($C1680)&lt;&gt;16,"NIK bukan 16 digit",IF(COUNTIF($C$4:$C$2003,$C1680&amp;"*")&gt;1,"NIK ganda",IF($E1680="","Kadus kosong",IF($F1680="","RT kosong",IF($H1680="","Jabatan kosong",IF($I1680="","No. HP kosong",IF($J1680="","Alamat kosong",IF(AND($M1680&lt;&gt;"",$M1680&lt;17),"Usia di bawah 17",""))))))))))</f>
        <v/>
      </c>
      <c r="U1680" s="40" t="str">
        <f aca="false">IF($B1680="","",IF(AND(OR(CARI!$C$5="",ISNUMBER(SEARCH(CARI!$C$5,$B1680&amp;" "&amp;$C1680&amp;" "&amp;$I1680&amp;" "&amp;$J1680&amp;" "&amp;$Q1680))),OR(CARI!$C$6="",$E1680=CARI!$C$6),OR(CARI!$C$7="",$F1680=CARI!$C$7),OR(CARI!$C$8="",$O1680=CARI!$C$8)),MAX($U$3:U1679)+1,""))</f>
        <v/>
      </c>
      <c r="V1680" s="40" t="str">
        <f aca="false">IF($T1680="","",MAX($V$3:V1679)+1)</f>
        <v/>
      </c>
      <c r="W1680" s="40" t="str">
        <f aca="false">IF($E1680="","",$E1680&amp;"#"&amp;COUNTIF($E$4:$E1680,$E1680))</f>
        <v/>
      </c>
      <c r="X1680" s="40" t="str">
        <f aca="false">IF($B1680="","",IF(AND(OR(CETAK!$J$10="",$E1680=CETAK!$J$10),OR(CETAK!$J$11="",$F1680=CETAK!$J$11),OR(CETAK!$J$12="",$K1680=CETAK!$J$12),OR(CETAK!$J$13="",$H1680=CETAK!$J$13),OR(CETAK!$J$14="",$O1680=CETAK!$J$14)),MAX($X$3:X1679)+1,""))</f>
        <v/>
      </c>
      <c r="Y1680" s="40" t="str">
        <f aca="false">IF($B1680="","",IF(AND(OR(ABSENSI!$H$10="",$E1680=ABSENSI!$H$10),OR(ABSENSI!$H$11="",$F1680=ABSENSI!$H$11),OR(ABSENSI!$H$12="",$K1680=ABSENSI!$H$12)),MAX($Y$3:Y1679)+1,""))</f>
        <v/>
      </c>
      <c r="Z1680" s="40" t="str">
        <f aca="false">IF($B1680="","",IF(AND(OR(KARTU!$K$6="",$E1680=KARTU!$K$6),OR(KARTU!$K$7="",$F1680=KARTU!$K$7),OR(KARTU!$K$8="",$K1680=KARTU!$K$8)),MAX($Z$3:Z1679)+1,""))</f>
        <v/>
      </c>
    </row>
    <row r="1681" customFormat="false" ht="15" hidden="false" customHeight="false" outlineLevel="0" collapsed="false">
      <c r="A1681" s="36" t="str">
        <f aca="false">IF($B1681="","",COUNTA($B$4:$B1681))</f>
        <v/>
      </c>
      <c r="B1681" s="37"/>
      <c r="C1681" s="38"/>
      <c r="D1681" s="39"/>
      <c r="E1681" s="37"/>
      <c r="F1681" s="39"/>
      <c r="G1681" s="40" t="str">
        <f aca="false">IF(OR($E1681="",$F1681=""),"",$E1681&amp;" - RT "&amp;$F1681)</f>
        <v/>
      </c>
      <c r="H1681" s="37"/>
      <c r="I1681" s="38"/>
      <c r="J1681" s="37"/>
      <c r="K1681" s="39"/>
      <c r="L1681" s="41"/>
      <c r="M1681" s="36" t="str">
        <f aca="true">IF(OR($B1681="",$L1681=""),"",DATEDIF($L1681,TODAY(),"Y"))</f>
        <v/>
      </c>
      <c r="N1681" s="40" t="str">
        <f aca="false">IF($M1681="","",INDEX(usia_label,MATCH($M1681,usia_min,1)))</f>
        <v/>
      </c>
      <c r="O1681" s="37"/>
      <c r="P1681" s="41"/>
      <c r="Q1681" s="37"/>
      <c r="R1681" s="37"/>
      <c r="S1681" s="40" t="str">
        <f aca="false">IF($G1681="","",$G1681&amp;"#"&amp;COUNTIF($G$4:$G1681,$G1681))</f>
        <v/>
      </c>
      <c r="T1681" s="40" t="str">
        <f aca="false">IF($B1681="","",IF($C1681="","NIK kosong",IF(LEN($C1681)&lt;&gt;16,"NIK bukan 16 digit",IF(COUNTIF($C$4:$C$2003,$C1681&amp;"*")&gt;1,"NIK ganda",IF($E1681="","Kadus kosong",IF($F1681="","RT kosong",IF($H1681="","Jabatan kosong",IF($I1681="","No. HP kosong",IF($J1681="","Alamat kosong",IF(AND($M1681&lt;&gt;"",$M1681&lt;17),"Usia di bawah 17",""))))))))))</f>
        <v/>
      </c>
      <c r="U1681" s="40" t="str">
        <f aca="false">IF($B1681="","",IF(AND(OR(CARI!$C$5="",ISNUMBER(SEARCH(CARI!$C$5,$B1681&amp;" "&amp;$C1681&amp;" "&amp;$I1681&amp;" "&amp;$J1681&amp;" "&amp;$Q1681))),OR(CARI!$C$6="",$E1681=CARI!$C$6),OR(CARI!$C$7="",$F1681=CARI!$C$7),OR(CARI!$C$8="",$O1681=CARI!$C$8)),MAX($U$3:U1680)+1,""))</f>
        <v/>
      </c>
      <c r="V1681" s="40" t="str">
        <f aca="false">IF($T1681="","",MAX($V$3:V1680)+1)</f>
        <v/>
      </c>
      <c r="W1681" s="40" t="str">
        <f aca="false">IF($E1681="","",$E1681&amp;"#"&amp;COUNTIF($E$4:$E1681,$E1681))</f>
        <v/>
      </c>
      <c r="X1681" s="40" t="str">
        <f aca="false">IF($B1681="","",IF(AND(OR(CETAK!$J$10="",$E1681=CETAK!$J$10),OR(CETAK!$J$11="",$F1681=CETAK!$J$11),OR(CETAK!$J$12="",$K1681=CETAK!$J$12),OR(CETAK!$J$13="",$H1681=CETAK!$J$13),OR(CETAK!$J$14="",$O1681=CETAK!$J$14)),MAX($X$3:X1680)+1,""))</f>
        <v/>
      </c>
      <c r="Y1681" s="40" t="str">
        <f aca="false">IF($B1681="","",IF(AND(OR(ABSENSI!$H$10="",$E1681=ABSENSI!$H$10),OR(ABSENSI!$H$11="",$F1681=ABSENSI!$H$11),OR(ABSENSI!$H$12="",$K1681=ABSENSI!$H$12)),MAX($Y$3:Y1680)+1,""))</f>
        <v/>
      </c>
      <c r="Z1681" s="40" t="str">
        <f aca="false">IF($B1681="","",IF(AND(OR(KARTU!$K$6="",$E1681=KARTU!$K$6),OR(KARTU!$K$7="",$F1681=KARTU!$K$7),OR(KARTU!$K$8="",$K1681=KARTU!$K$8)),MAX($Z$3:Z1680)+1,""))</f>
        <v/>
      </c>
    </row>
    <row r="1682" customFormat="false" ht="15" hidden="false" customHeight="false" outlineLevel="0" collapsed="false">
      <c r="A1682" s="36" t="str">
        <f aca="false">IF($B1682="","",COUNTA($B$4:$B1682))</f>
        <v/>
      </c>
      <c r="B1682" s="37"/>
      <c r="C1682" s="38"/>
      <c r="D1682" s="39"/>
      <c r="E1682" s="37"/>
      <c r="F1682" s="39"/>
      <c r="G1682" s="40" t="str">
        <f aca="false">IF(OR($E1682="",$F1682=""),"",$E1682&amp;" - RT "&amp;$F1682)</f>
        <v/>
      </c>
      <c r="H1682" s="37"/>
      <c r="I1682" s="38"/>
      <c r="J1682" s="37"/>
      <c r="K1682" s="39"/>
      <c r="L1682" s="41"/>
      <c r="M1682" s="36" t="str">
        <f aca="true">IF(OR($B1682="",$L1682=""),"",DATEDIF($L1682,TODAY(),"Y"))</f>
        <v/>
      </c>
      <c r="N1682" s="40" t="str">
        <f aca="false">IF($M1682="","",INDEX(usia_label,MATCH($M1682,usia_min,1)))</f>
        <v/>
      </c>
      <c r="O1682" s="37"/>
      <c r="P1682" s="41"/>
      <c r="Q1682" s="37"/>
      <c r="R1682" s="37"/>
      <c r="S1682" s="40" t="str">
        <f aca="false">IF($G1682="","",$G1682&amp;"#"&amp;COUNTIF($G$4:$G1682,$G1682))</f>
        <v/>
      </c>
      <c r="T1682" s="40" t="str">
        <f aca="false">IF($B1682="","",IF($C1682="","NIK kosong",IF(LEN($C1682)&lt;&gt;16,"NIK bukan 16 digit",IF(COUNTIF($C$4:$C$2003,$C1682&amp;"*")&gt;1,"NIK ganda",IF($E1682="","Kadus kosong",IF($F1682="","RT kosong",IF($H1682="","Jabatan kosong",IF($I1682="","No. HP kosong",IF($J1682="","Alamat kosong",IF(AND($M1682&lt;&gt;"",$M1682&lt;17),"Usia di bawah 17",""))))))))))</f>
        <v/>
      </c>
      <c r="U1682" s="40" t="str">
        <f aca="false">IF($B1682="","",IF(AND(OR(CARI!$C$5="",ISNUMBER(SEARCH(CARI!$C$5,$B1682&amp;" "&amp;$C1682&amp;" "&amp;$I1682&amp;" "&amp;$J1682&amp;" "&amp;$Q1682))),OR(CARI!$C$6="",$E1682=CARI!$C$6),OR(CARI!$C$7="",$F1682=CARI!$C$7),OR(CARI!$C$8="",$O1682=CARI!$C$8)),MAX($U$3:U1681)+1,""))</f>
        <v/>
      </c>
      <c r="V1682" s="40" t="str">
        <f aca="false">IF($T1682="","",MAX($V$3:V1681)+1)</f>
        <v/>
      </c>
      <c r="W1682" s="40" t="str">
        <f aca="false">IF($E1682="","",$E1682&amp;"#"&amp;COUNTIF($E$4:$E1682,$E1682))</f>
        <v/>
      </c>
      <c r="X1682" s="40" t="str">
        <f aca="false">IF($B1682="","",IF(AND(OR(CETAK!$J$10="",$E1682=CETAK!$J$10),OR(CETAK!$J$11="",$F1682=CETAK!$J$11),OR(CETAK!$J$12="",$K1682=CETAK!$J$12),OR(CETAK!$J$13="",$H1682=CETAK!$J$13),OR(CETAK!$J$14="",$O1682=CETAK!$J$14)),MAX($X$3:X1681)+1,""))</f>
        <v/>
      </c>
      <c r="Y1682" s="40" t="str">
        <f aca="false">IF($B1682="","",IF(AND(OR(ABSENSI!$H$10="",$E1682=ABSENSI!$H$10),OR(ABSENSI!$H$11="",$F1682=ABSENSI!$H$11),OR(ABSENSI!$H$12="",$K1682=ABSENSI!$H$12)),MAX($Y$3:Y1681)+1,""))</f>
        <v/>
      </c>
      <c r="Z1682" s="40" t="str">
        <f aca="false">IF($B1682="","",IF(AND(OR(KARTU!$K$6="",$E1682=KARTU!$K$6),OR(KARTU!$K$7="",$F1682=KARTU!$K$7),OR(KARTU!$K$8="",$K1682=KARTU!$K$8)),MAX($Z$3:Z1681)+1,""))</f>
        <v/>
      </c>
    </row>
    <row r="1683" customFormat="false" ht="15" hidden="false" customHeight="false" outlineLevel="0" collapsed="false">
      <c r="A1683" s="36" t="str">
        <f aca="false">IF($B1683="","",COUNTA($B$4:$B1683))</f>
        <v/>
      </c>
      <c r="B1683" s="37"/>
      <c r="C1683" s="38"/>
      <c r="D1683" s="39"/>
      <c r="E1683" s="37"/>
      <c r="F1683" s="39"/>
      <c r="G1683" s="40" t="str">
        <f aca="false">IF(OR($E1683="",$F1683=""),"",$E1683&amp;" - RT "&amp;$F1683)</f>
        <v/>
      </c>
      <c r="H1683" s="37"/>
      <c r="I1683" s="38"/>
      <c r="J1683" s="37"/>
      <c r="K1683" s="39"/>
      <c r="L1683" s="41"/>
      <c r="M1683" s="36" t="str">
        <f aca="true">IF(OR($B1683="",$L1683=""),"",DATEDIF($L1683,TODAY(),"Y"))</f>
        <v/>
      </c>
      <c r="N1683" s="40" t="str">
        <f aca="false">IF($M1683="","",INDEX(usia_label,MATCH($M1683,usia_min,1)))</f>
        <v/>
      </c>
      <c r="O1683" s="37"/>
      <c r="P1683" s="41"/>
      <c r="Q1683" s="37"/>
      <c r="R1683" s="37"/>
      <c r="S1683" s="40" t="str">
        <f aca="false">IF($G1683="","",$G1683&amp;"#"&amp;COUNTIF($G$4:$G1683,$G1683))</f>
        <v/>
      </c>
      <c r="T1683" s="40" t="str">
        <f aca="false">IF($B1683="","",IF($C1683="","NIK kosong",IF(LEN($C1683)&lt;&gt;16,"NIK bukan 16 digit",IF(COUNTIF($C$4:$C$2003,$C1683&amp;"*")&gt;1,"NIK ganda",IF($E1683="","Kadus kosong",IF($F1683="","RT kosong",IF($H1683="","Jabatan kosong",IF($I1683="","No. HP kosong",IF($J1683="","Alamat kosong",IF(AND($M1683&lt;&gt;"",$M1683&lt;17),"Usia di bawah 17",""))))))))))</f>
        <v/>
      </c>
      <c r="U1683" s="40" t="str">
        <f aca="false">IF($B1683="","",IF(AND(OR(CARI!$C$5="",ISNUMBER(SEARCH(CARI!$C$5,$B1683&amp;" "&amp;$C1683&amp;" "&amp;$I1683&amp;" "&amp;$J1683&amp;" "&amp;$Q1683))),OR(CARI!$C$6="",$E1683=CARI!$C$6),OR(CARI!$C$7="",$F1683=CARI!$C$7),OR(CARI!$C$8="",$O1683=CARI!$C$8)),MAX($U$3:U1682)+1,""))</f>
        <v/>
      </c>
      <c r="V1683" s="40" t="str">
        <f aca="false">IF($T1683="","",MAX($V$3:V1682)+1)</f>
        <v/>
      </c>
      <c r="W1683" s="40" t="str">
        <f aca="false">IF($E1683="","",$E1683&amp;"#"&amp;COUNTIF($E$4:$E1683,$E1683))</f>
        <v/>
      </c>
      <c r="X1683" s="40" t="str">
        <f aca="false">IF($B1683="","",IF(AND(OR(CETAK!$J$10="",$E1683=CETAK!$J$10),OR(CETAK!$J$11="",$F1683=CETAK!$J$11),OR(CETAK!$J$12="",$K1683=CETAK!$J$12),OR(CETAK!$J$13="",$H1683=CETAK!$J$13),OR(CETAK!$J$14="",$O1683=CETAK!$J$14)),MAX($X$3:X1682)+1,""))</f>
        <v/>
      </c>
      <c r="Y1683" s="40" t="str">
        <f aca="false">IF($B1683="","",IF(AND(OR(ABSENSI!$H$10="",$E1683=ABSENSI!$H$10),OR(ABSENSI!$H$11="",$F1683=ABSENSI!$H$11),OR(ABSENSI!$H$12="",$K1683=ABSENSI!$H$12)),MAX($Y$3:Y1682)+1,""))</f>
        <v/>
      </c>
      <c r="Z1683" s="40" t="str">
        <f aca="false">IF($B1683="","",IF(AND(OR(KARTU!$K$6="",$E1683=KARTU!$K$6),OR(KARTU!$K$7="",$F1683=KARTU!$K$7),OR(KARTU!$K$8="",$K1683=KARTU!$K$8)),MAX($Z$3:Z1682)+1,""))</f>
        <v/>
      </c>
    </row>
    <row r="1684" customFormat="false" ht="15" hidden="false" customHeight="false" outlineLevel="0" collapsed="false">
      <c r="A1684" s="36" t="str">
        <f aca="false">IF($B1684="","",COUNTA($B$4:$B1684))</f>
        <v/>
      </c>
      <c r="B1684" s="37"/>
      <c r="C1684" s="38"/>
      <c r="D1684" s="39"/>
      <c r="E1684" s="37"/>
      <c r="F1684" s="39"/>
      <c r="G1684" s="40" t="str">
        <f aca="false">IF(OR($E1684="",$F1684=""),"",$E1684&amp;" - RT "&amp;$F1684)</f>
        <v/>
      </c>
      <c r="H1684" s="37"/>
      <c r="I1684" s="38"/>
      <c r="J1684" s="37"/>
      <c r="K1684" s="39"/>
      <c r="L1684" s="41"/>
      <c r="M1684" s="36" t="str">
        <f aca="true">IF(OR($B1684="",$L1684=""),"",DATEDIF($L1684,TODAY(),"Y"))</f>
        <v/>
      </c>
      <c r="N1684" s="40" t="str">
        <f aca="false">IF($M1684="","",INDEX(usia_label,MATCH($M1684,usia_min,1)))</f>
        <v/>
      </c>
      <c r="O1684" s="37"/>
      <c r="P1684" s="41"/>
      <c r="Q1684" s="37"/>
      <c r="R1684" s="37"/>
      <c r="S1684" s="40" t="str">
        <f aca="false">IF($G1684="","",$G1684&amp;"#"&amp;COUNTIF($G$4:$G1684,$G1684))</f>
        <v/>
      </c>
      <c r="T1684" s="40" t="str">
        <f aca="false">IF($B1684="","",IF($C1684="","NIK kosong",IF(LEN($C1684)&lt;&gt;16,"NIK bukan 16 digit",IF(COUNTIF($C$4:$C$2003,$C1684&amp;"*")&gt;1,"NIK ganda",IF($E1684="","Kadus kosong",IF($F1684="","RT kosong",IF($H1684="","Jabatan kosong",IF($I1684="","No. HP kosong",IF($J1684="","Alamat kosong",IF(AND($M1684&lt;&gt;"",$M1684&lt;17),"Usia di bawah 17",""))))))))))</f>
        <v/>
      </c>
      <c r="U1684" s="40" t="str">
        <f aca="false">IF($B1684="","",IF(AND(OR(CARI!$C$5="",ISNUMBER(SEARCH(CARI!$C$5,$B1684&amp;" "&amp;$C1684&amp;" "&amp;$I1684&amp;" "&amp;$J1684&amp;" "&amp;$Q1684))),OR(CARI!$C$6="",$E1684=CARI!$C$6),OR(CARI!$C$7="",$F1684=CARI!$C$7),OR(CARI!$C$8="",$O1684=CARI!$C$8)),MAX($U$3:U1683)+1,""))</f>
        <v/>
      </c>
      <c r="V1684" s="40" t="str">
        <f aca="false">IF($T1684="","",MAX($V$3:V1683)+1)</f>
        <v/>
      </c>
      <c r="W1684" s="40" t="str">
        <f aca="false">IF($E1684="","",$E1684&amp;"#"&amp;COUNTIF($E$4:$E1684,$E1684))</f>
        <v/>
      </c>
      <c r="X1684" s="40" t="str">
        <f aca="false">IF($B1684="","",IF(AND(OR(CETAK!$J$10="",$E1684=CETAK!$J$10),OR(CETAK!$J$11="",$F1684=CETAK!$J$11),OR(CETAK!$J$12="",$K1684=CETAK!$J$12),OR(CETAK!$J$13="",$H1684=CETAK!$J$13),OR(CETAK!$J$14="",$O1684=CETAK!$J$14)),MAX($X$3:X1683)+1,""))</f>
        <v/>
      </c>
      <c r="Y1684" s="40" t="str">
        <f aca="false">IF($B1684="","",IF(AND(OR(ABSENSI!$H$10="",$E1684=ABSENSI!$H$10),OR(ABSENSI!$H$11="",$F1684=ABSENSI!$H$11),OR(ABSENSI!$H$12="",$K1684=ABSENSI!$H$12)),MAX($Y$3:Y1683)+1,""))</f>
        <v/>
      </c>
      <c r="Z1684" s="40" t="str">
        <f aca="false">IF($B1684="","",IF(AND(OR(KARTU!$K$6="",$E1684=KARTU!$K$6),OR(KARTU!$K$7="",$F1684=KARTU!$K$7),OR(KARTU!$K$8="",$K1684=KARTU!$K$8)),MAX($Z$3:Z1683)+1,""))</f>
        <v/>
      </c>
    </row>
    <row r="1685" customFormat="false" ht="15" hidden="false" customHeight="false" outlineLevel="0" collapsed="false">
      <c r="A1685" s="36" t="str">
        <f aca="false">IF($B1685="","",COUNTA($B$4:$B1685))</f>
        <v/>
      </c>
      <c r="B1685" s="37"/>
      <c r="C1685" s="38"/>
      <c r="D1685" s="39"/>
      <c r="E1685" s="37"/>
      <c r="F1685" s="39"/>
      <c r="G1685" s="40" t="str">
        <f aca="false">IF(OR($E1685="",$F1685=""),"",$E1685&amp;" - RT "&amp;$F1685)</f>
        <v/>
      </c>
      <c r="H1685" s="37"/>
      <c r="I1685" s="38"/>
      <c r="J1685" s="37"/>
      <c r="K1685" s="39"/>
      <c r="L1685" s="41"/>
      <c r="M1685" s="36" t="str">
        <f aca="true">IF(OR($B1685="",$L1685=""),"",DATEDIF($L1685,TODAY(),"Y"))</f>
        <v/>
      </c>
      <c r="N1685" s="40" t="str">
        <f aca="false">IF($M1685="","",INDEX(usia_label,MATCH($M1685,usia_min,1)))</f>
        <v/>
      </c>
      <c r="O1685" s="37"/>
      <c r="P1685" s="41"/>
      <c r="Q1685" s="37"/>
      <c r="R1685" s="37"/>
      <c r="S1685" s="40" t="str">
        <f aca="false">IF($G1685="","",$G1685&amp;"#"&amp;COUNTIF($G$4:$G1685,$G1685))</f>
        <v/>
      </c>
      <c r="T1685" s="40" t="str">
        <f aca="false">IF($B1685="","",IF($C1685="","NIK kosong",IF(LEN($C1685)&lt;&gt;16,"NIK bukan 16 digit",IF(COUNTIF($C$4:$C$2003,$C1685&amp;"*")&gt;1,"NIK ganda",IF($E1685="","Kadus kosong",IF($F1685="","RT kosong",IF($H1685="","Jabatan kosong",IF($I1685="","No. HP kosong",IF($J1685="","Alamat kosong",IF(AND($M1685&lt;&gt;"",$M1685&lt;17),"Usia di bawah 17",""))))))))))</f>
        <v/>
      </c>
      <c r="U1685" s="40" t="str">
        <f aca="false">IF($B1685="","",IF(AND(OR(CARI!$C$5="",ISNUMBER(SEARCH(CARI!$C$5,$B1685&amp;" "&amp;$C1685&amp;" "&amp;$I1685&amp;" "&amp;$J1685&amp;" "&amp;$Q1685))),OR(CARI!$C$6="",$E1685=CARI!$C$6),OR(CARI!$C$7="",$F1685=CARI!$C$7),OR(CARI!$C$8="",$O1685=CARI!$C$8)),MAX($U$3:U1684)+1,""))</f>
        <v/>
      </c>
      <c r="V1685" s="40" t="str">
        <f aca="false">IF($T1685="","",MAX($V$3:V1684)+1)</f>
        <v/>
      </c>
      <c r="W1685" s="40" t="str">
        <f aca="false">IF($E1685="","",$E1685&amp;"#"&amp;COUNTIF($E$4:$E1685,$E1685))</f>
        <v/>
      </c>
      <c r="X1685" s="40" t="str">
        <f aca="false">IF($B1685="","",IF(AND(OR(CETAK!$J$10="",$E1685=CETAK!$J$10),OR(CETAK!$J$11="",$F1685=CETAK!$J$11),OR(CETAK!$J$12="",$K1685=CETAK!$J$12),OR(CETAK!$J$13="",$H1685=CETAK!$J$13),OR(CETAK!$J$14="",$O1685=CETAK!$J$14)),MAX($X$3:X1684)+1,""))</f>
        <v/>
      </c>
      <c r="Y1685" s="40" t="str">
        <f aca="false">IF($B1685="","",IF(AND(OR(ABSENSI!$H$10="",$E1685=ABSENSI!$H$10),OR(ABSENSI!$H$11="",$F1685=ABSENSI!$H$11),OR(ABSENSI!$H$12="",$K1685=ABSENSI!$H$12)),MAX($Y$3:Y1684)+1,""))</f>
        <v/>
      </c>
      <c r="Z1685" s="40" t="str">
        <f aca="false">IF($B1685="","",IF(AND(OR(KARTU!$K$6="",$E1685=KARTU!$K$6),OR(KARTU!$K$7="",$F1685=KARTU!$K$7),OR(KARTU!$K$8="",$K1685=KARTU!$K$8)),MAX($Z$3:Z1684)+1,""))</f>
        <v/>
      </c>
    </row>
    <row r="1686" customFormat="false" ht="15" hidden="false" customHeight="false" outlineLevel="0" collapsed="false">
      <c r="A1686" s="36" t="str">
        <f aca="false">IF($B1686="","",COUNTA($B$4:$B1686))</f>
        <v/>
      </c>
      <c r="B1686" s="37"/>
      <c r="C1686" s="38"/>
      <c r="D1686" s="39"/>
      <c r="E1686" s="37"/>
      <c r="F1686" s="39"/>
      <c r="G1686" s="40" t="str">
        <f aca="false">IF(OR($E1686="",$F1686=""),"",$E1686&amp;" - RT "&amp;$F1686)</f>
        <v/>
      </c>
      <c r="H1686" s="37"/>
      <c r="I1686" s="38"/>
      <c r="J1686" s="37"/>
      <c r="K1686" s="39"/>
      <c r="L1686" s="41"/>
      <c r="M1686" s="36" t="str">
        <f aca="true">IF(OR($B1686="",$L1686=""),"",DATEDIF($L1686,TODAY(),"Y"))</f>
        <v/>
      </c>
      <c r="N1686" s="40" t="str">
        <f aca="false">IF($M1686="","",INDEX(usia_label,MATCH($M1686,usia_min,1)))</f>
        <v/>
      </c>
      <c r="O1686" s="37"/>
      <c r="P1686" s="41"/>
      <c r="Q1686" s="37"/>
      <c r="R1686" s="37"/>
      <c r="S1686" s="40" t="str">
        <f aca="false">IF($G1686="","",$G1686&amp;"#"&amp;COUNTIF($G$4:$G1686,$G1686))</f>
        <v/>
      </c>
      <c r="T1686" s="40" t="str">
        <f aca="false">IF($B1686="","",IF($C1686="","NIK kosong",IF(LEN($C1686)&lt;&gt;16,"NIK bukan 16 digit",IF(COUNTIF($C$4:$C$2003,$C1686&amp;"*")&gt;1,"NIK ganda",IF($E1686="","Kadus kosong",IF($F1686="","RT kosong",IF($H1686="","Jabatan kosong",IF($I1686="","No. HP kosong",IF($J1686="","Alamat kosong",IF(AND($M1686&lt;&gt;"",$M1686&lt;17),"Usia di bawah 17",""))))))))))</f>
        <v/>
      </c>
      <c r="U1686" s="40" t="str">
        <f aca="false">IF($B1686="","",IF(AND(OR(CARI!$C$5="",ISNUMBER(SEARCH(CARI!$C$5,$B1686&amp;" "&amp;$C1686&amp;" "&amp;$I1686&amp;" "&amp;$J1686&amp;" "&amp;$Q1686))),OR(CARI!$C$6="",$E1686=CARI!$C$6),OR(CARI!$C$7="",$F1686=CARI!$C$7),OR(CARI!$C$8="",$O1686=CARI!$C$8)),MAX($U$3:U1685)+1,""))</f>
        <v/>
      </c>
      <c r="V1686" s="40" t="str">
        <f aca="false">IF($T1686="","",MAX($V$3:V1685)+1)</f>
        <v/>
      </c>
      <c r="W1686" s="40" t="str">
        <f aca="false">IF($E1686="","",$E1686&amp;"#"&amp;COUNTIF($E$4:$E1686,$E1686))</f>
        <v/>
      </c>
      <c r="X1686" s="40" t="str">
        <f aca="false">IF($B1686="","",IF(AND(OR(CETAK!$J$10="",$E1686=CETAK!$J$10),OR(CETAK!$J$11="",$F1686=CETAK!$J$11),OR(CETAK!$J$12="",$K1686=CETAK!$J$12),OR(CETAK!$J$13="",$H1686=CETAK!$J$13),OR(CETAK!$J$14="",$O1686=CETAK!$J$14)),MAX($X$3:X1685)+1,""))</f>
        <v/>
      </c>
      <c r="Y1686" s="40" t="str">
        <f aca="false">IF($B1686="","",IF(AND(OR(ABSENSI!$H$10="",$E1686=ABSENSI!$H$10),OR(ABSENSI!$H$11="",$F1686=ABSENSI!$H$11),OR(ABSENSI!$H$12="",$K1686=ABSENSI!$H$12)),MAX($Y$3:Y1685)+1,""))</f>
        <v/>
      </c>
      <c r="Z1686" s="40" t="str">
        <f aca="false">IF($B1686="","",IF(AND(OR(KARTU!$K$6="",$E1686=KARTU!$K$6),OR(KARTU!$K$7="",$F1686=KARTU!$K$7),OR(KARTU!$K$8="",$K1686=KARTU!$K$8)),MAX($Z$3:Z1685)+1,""))</f>
        <v/>
      </c>
    </row>
    <row r="1687" customFormat="false" ht="15" hidden="false" customHeight="false" outlineLevel="0" collapsed="false">
      <c r="A1687" s="36" t="str">
        <f aca="false">IF($B1687="","",COUNTA($B$4:$B1687))</f>
        <v/>
      </c>
      <c r="B1687" s="37"/>
      <c r="C1687" s="38"/>
      <c r="D1687" s="39"/>
      <c r="E1687" s="37"/>
      <c r="F1687" s="39"/>
      <c r="G1687" s="40" t="str">
        <f aca="false">IF(OR($E1687="",$F1687=""),"",$E1687&amp;" - RT "&amp;$F1687)</f>
        <v/>
      </c>
      <c r="H1687" s="37"/>
      <c r="I1687" s="38"/>
      <c r="J1687" s="37"/>
      <c r="K1687" s="39"/>
      <c r="L1687" s="41"/>
      <c r="M1687" s="36" t="str">
        <f aca="true">IF(OR($B1687="",$L1687=""),"",DATEDIF($L1687,TODAY(),"Y"))</f>
        <v/>
      </c>
      <c r="N1687" s="40" t="str">
        <f aca="false">IF($M1687="","",INDEX(usia_label,MATCH($M1687,usia_min,1)))</f>
        <v/>
      </c>
      <c r="O1687" s="37"/>
      <c r="P1687" s="41"/>
      <c r="Q1687" s="37"/>
      <c r="R1687" s="37"/>
      <c r="S1687" s="40" t="str">
        <f aca="false">IF($G1687="","",$G1687&amp;"#"&amp;COUNTIF($G$4:$G1687,$G1687))</f>
        <v/>
      </c>
      <c r="T1687" s="40" t="str">
        <f aca="false">IF($B1687="","",IF($C1687="","NIK kosong",IF(LEN($C1687)&lt;&gt;16,"NIK bukan 16 digit",IF(COUNTIF($C$4:$C$2003,$C1687&amp;"*")&gt;1,"NIK ganda",IF($E1687="","Kadus kosong",IF($F1687="","RT kosong",IF($H1687="","Jabatan kosong",IF($I1687="","No. HP kosong",IF($J1687="","Alamat kosong",IF(AND($M1687&lt;&gt;"",$M1687&lt;17),"Usia di bawah 17",""))))))))))</f>
        <v/>
      </c>
      <c r="U1687" s="40" t="str">
        <f aca="false">IF($B1687="","",IF(AND(OR(CARI!$C$5="",ISNUMBER(SEARCH(CARI!$C$5,$B1687&amp;" "&amp;$C1687&amp;" "&amp;$I1687&amp;" "&amp;$J1687&amp;" "&amp;$Q1687))),OR(CARI!$C$6="",$E1687=CARI!$C$6),OR(CARI!$C$7="",$F1687=CARI!$C$7),OR(CARI!$C$8="",$O1687=CARI!$C$8)),MAX($U$3:U1686)+1,""))</f>
        <v/>
      </c>
      <c r="V1687" s="40" t="str">
        <f aca="false">IF($T1687="","",MAX($V$3:V1686)+1)</f>
        <v/>
      </c>
      <c r="W1687" s="40" t="str">
        <f aca="false">IF($E1687="","",$E1687&amp;"#"&amp;COUNTIF($E$4:$E1687,$E1687))</f>
        <v/>
      </c>
      <c r="X1687" s="40" t="str">
        <f aca="false">IF($B1687="","",IF(AND(OR(CETAK!$J$10="",$E1687=CETAK!$J$10),OR(CETAK!$J$11="",$F1687=CETAK!$J$11),OR(CETAK!$J$12="",$K1687=CETAK!$J$12),OR(CETAK!$J$13="",$H1687=CETAK!$J$13),OR(CETAK!$J$14="",$O1687=CETAK!$J$14)),MAX($X$3:X1686)+1,""))</f>
        <v/>
      </c>
      <c r="Y1687" s="40" t="str">
        <f aca="false">IF($B1687="","",IF(AND(OR(ABSENSI!$H$10="",$E1687=ABSENSI!$H$10),OR(ABSENSI!$H$11="",$F1687=ABSENSI!$H$11),OR(ABSENSI!$H$12="",$K1687=ABSENSI!$H$12)),MAX($Y$3:Y1686)+1,""))</f>
        <v/>
      </c>
      <c r="Z1687" s="40" t="str">
        <f aca="false">IF($B1687="","",IF(AND(OR(KARTU!$K$6="",$E1687=KARTU!$K$6),OR(KARTU!$K$7="",$F1687=KARTU!$K$7),OR(KARTU!$K$8="",$K1687=KARTU!$K$8)),MAX($Z$3:Z1686)+1,""))</f>
        <v/>
      </c>
    </row>
    <row r="1688" customFormat="false" ht="15" hidden="false" customHeight="false" outlineLevel="0" collapsed="false">
      <c r="A1688" s="36" t="str">
        <f aca="false">IF($B1688="","",COUNTA($B$4:$B1688))</f>
        <v/>
      </c>
      <c r="B1688" s="37"/>
      <c r="C1688" s="38"/>
      <c r="D1688" s="39"/>
      <c r="E1688" s="37"/>
      <c r="F1688" s="39"/>
      <c r="G1688" s="40" t="str">
        <f aca="false">IF(OR($E1688="",$F1688=""),"",$E1688&amp;" - RT "&amp;$F1688)</f>
        <v/>
      </c>
      <c r="H1688" s="37"/>
      <c r="I1688" s="38"/>
      <c r="J1688" s="37"/>
      <c r="K1688" s="39"/>
      <c r="L1688" s="41"/>
      <c r="M1688" s="36" t="str">
        <f aca="true">IF(OR($B1688="",$L1688=""),"",DATEDIF($L1688,TODAY(),"Y"))</f>
        <v/>
      </c>
      <c r="N1688" s="40" t="str">
        <f aca="false">IF($M1688="","",INDEX(usia_label,MATCH($M1688,usia_min,1)))</f>
        <v/>
      </c>
      <c r="O1688" s="37"/>
      <c r="P1688" s="41"/>
      <c r="Q1688" s="37"/>
      <c r="R1688" s="37"/>
      <c r="S1688" s="40" t="str">
        <f aca="false">IF($G1688="","",$G1688&amp;"#"&amp;COUNTIF($G$4:$G1688,$G1688))</f>
        <v/>
      </c>
      <c r="T1688" s="40" t="str">
        <f aca="false">IF($B1688="","",IF($C1688="","NIK kosong",IF(LEN($C1688)&lt;&gt;16,"NIK bukan 16 digit",IF(COUNTIF($C$4:$C$2003,$C1688&amp;"*")&gt;1,"NIK ganda",IF($E1688="","Kadus kosong",IF($F1688="","RT kosong",IF($H1688="","Jabatan kosong",IF($I1688="","No. HP kosong",IF($J1688="","Alamat kosong",IF(AND($M1688&lt;&gt;"",$M1688&lt;17),"Usia di bawah 17",""))))))))))</f>
        <v/>
      </c>
      <c r="U1688" s="40" t="str">
        <f aca="false">IF($B1688="","",IF(AND(OR(CARI!$C$5="",ISNUMBER(SEARCH(CARI!$C$5,$B1688&amp;" "&amp;$C1688&amp;" "&amp;$I1688&amp;" "&amp;$J1688&amp;" "&amp;$Q1688))),OR(CARI!$C$6="",$E1688=CARI!$C$6),OR(CARI!$C$7="",$F1688=CARI!$C$7),OR(CARI!$C$8="",$O1688=CARI!$C$8)),MAX($U$3:U1687)+1,""))</f>
        <v/>
      </c>
      <c r="V1688" s="40" t="str">
        <f aca="false">IF($T1688="","",MAX($V$3:V1687)+1)</f>
        <v/>
      </c>
      <c r="W1688" s="40" t="str">
        <f aca="false">IF($E1688="","",$E1688&amp;"#"&amp;COUNTIF($E$4:$E1688,$E1688))</f>
        <v/>
      </c>
      <c r="X1688" s="40" t="str">
        <f aca="false">IF($B1688="","",IF(AND(OR(CETAK!$J$10="",$E1688=CETAK!$J$10),OR(CETAK!$J$11="",$F1688=CETAK!$J$11),OR(CETAK!$J$12="",$K1688=CETAK!$J$12),OR(CETAK!$J$13="",$H1688=CETAK!$J$13),OR(CETAK!$J$14="",$O1688=CETAK!$J$14)),MAX($X$3:X1687)+1,""))</f>
        <v/>
      </c>
      <c r="Y1688" s="40" t="str">
        <f aca="false">IF($B1688="","",IF(AND(OR(ABSENSI!$H$10="",$E1688=ABSENSI!$H$10),OR(ABSENSI!$H$11="",$F1688=ABSENSI!$H$11),OR(ABSENSI!$H$12="",$K1688=ABSENSI!$H$12)),MAX($Y$3:Y1687)+1,""))</f>
        <v/>
      </c>
      <c r="Z1688" s="40" t="str">
        <f aca="false">IF($B1688="","",IF(AND(OR(KARTU!$K$6="",$E1688=KARTU!$K$6),OR(KARTU!$K$7="",$F1688=KARTU!$K$7),OR(KARTU!$K$8="",$K1688=KARTU!$K$8)),MAX($Z$3:Z1687)+1,""))</f>
        <v/>
      </c>
    </row>
    <row r="1689" customFormat="false" ht="15" hidden="false" customHeight="false" outlineLevel="0" collapsed="false">
      <c r="A1689" s="36" t="str">
        <f aca="false">IF($B1689="","",COUNTA($B$4:$B1689))</f>
        <v/>
      </c>
      <c r="B1689" s="37"/>
      <c r="C1689" s="38"/>
      <c r="D1689" s="39"/>
      <c r="E1689" s="37"/>
      <c r="F1689" s="39"/>
      <c r="G1689" s="40" t="str">
        <f aca="false">IF(OR($E1689="",$F1689=""),"",$E1689&amp;" - RT "&amp;$F1689)</f>
        <v/>
      </c>
      <c r="H1689" s="37"/>
      <c r="I1689" s="38"/>
      <c r="J1689" s="37"/>
      <c r="K1689" s="39"/>
      <c r="L1689" s="41"/>
      <c r="M1689" s="36" t="str">
        <f aca="true">IF(OR($B1689="",$L1689=""),"",DATEDIF($L1689,TODAY(),"Y"))</f>
        <v/>
      </c>
      <c r="N1689" s="40" t="str">
        <f aca="false">IF($M1689="","",INDEX(usia_label,MATCH($M1689,usia_min,1)))</f>
        <v/>
      </c>
      <c r="O1689" s="37"/>
      <c r="P1689" s="41"/>
      <c r="Q1689" s="37"/>
      <c r="R1689" s="37"/>
      <c r="S1689" s="40" t="str">
        <f aca="false">IF($G1689="","",$G1689&amp;"#"&amp;COUNTIF($G$4:$G1689,$G1689))</f>
        <v/>
      </c>
      <c r="T1689" s="40" t="str">
        <f aca="false">IF($B1689="","",IF($C1689="","NIK kosong",IF(LEN($C1689)&lt;&gt;16,"NIK bukan 16 digit",IF(COUNTIF($C$4:$C$2003,$C1689&amp;"*")&gt;1,"NIK ganda",IF($E1689="","Kadus kosong",IF($F1689="","RT kosong",IF($H1689="","Jabatan kosong",IF($I1689="","No. HP kosong",IF($J1689="","Alamat kosong",IF(AND($M1689&lt;&gt;"",$M1689&lt;17),"Usia di bawah 17",""))))))))))</f>
        <v/>
      </c>
      <c r="U1689" s="40" t="str">
        <f aca="false">IF($B1689="","",IF(AND(OR(CARI!$C$5="",ISNUMBER(SEARCH(CARI!$C$5,$B1689&amp;" "&amp;$C1689&amp;" "&amp;$I1689&amp;" "&amp;$J1689&amp;" "&amp;$Q1689))),OR(CARI!$C$6="",$E1689=CARI!$C$6),OR(CARI!$C$7="",$F1689=CARI!$C$7),OR(CARI!$C$8="",$O1689=CARI!$C$8)),MAX($U$3:U1688)+1,""))</f>
        <v/>
      </c>
      <c r="V1689" s="40" t="str">
        <f aca="false">IF($T1689="","",MAX($V$3:V1688)+1)</f>
        <v/>
      </c>
      <c r="W1689" s="40" t="str">
        <f aca="false">IF($E1689="","",$E1689&amp;"#"&amp;COUNTIF($E$4:$E1689,$E1689))</f>
        <v/>
      </c>
      <c r="X1689" s="40" t="str">
        <f aca="false">IF($B1689="","",IF(AND(OR(CETAK!$J$10="",$E1689=CETAK!$J$10),OR(CETAK!$J$11="",$F1689=CETAK!$J$11),OR(CETAK!$J$12="",$K1689=CETAK!$J$12),OR(CETAK!$J$13="",$H1689=CETAK!$J$13),OR(CETAK!$J$14="",$O1689=CETAK!$J$14)),MAX($X$3:X1688)+1,""))</f>
        <v/>
      </c>
      <c r="Y1689" s="40" t="str">
        <f aca="false">IF($B1689="","",IF(AND(OR(ABSENSI!$H$10="",$E1689=ABSENSI!$H$10),OR(ABSENSI!$H$11="",$F1689=ABSENSI!$H$11),OR(ABSENSI!$H$12="",$K1689=ABSENSI!$H$12)),MAX($Y$3:Y1688)+1,""))</f>
        <v/>
      </c>
      <c r="Z1689" s="40" t="str">
        <f aca="false">IF($B1689="","",IF(AND(OR(KARTU!$K$6="",$E1689=KARTU!$K$6),OR(KARTU!$K$7="",$F1689=KARTU!$K$7),OR(KARTU!$K$8="",$K1689=KARTU!$K$8)),MAX($Z$3:Z1688)+1,""))</f>
        <v/>
      </c>
    </row>
    <row r="1690" customFormat="false" ht="15" hidden="false" customHeight="false" outlineLevel="0" collapsed="false">
      <c r="A1690" s="36" t="str">
        <f aca="false">IF($B1690="","",COUNTA($B$4:$B1690))</f>
        <v/>
      </c>
      <c r="B1690" s="37"/>
      <c r="C1690" s="38"/>
      <c r="D1690" s="39"/>
      <c r="E1690" s="37"/>
      <c r="F1690" s="39"/>
      <c r="G1690" s="40" t="str">
        <f aca="false">IF(OR($E1690="",$F1690=""),"",$E1690&amp;" - RT "&amp;$F1690)</f>
        <v/>
      </c>
      <c r="H1690" s="37"/>
      <c r="I1690" s="38"/>
      <c r="J1690" s="37"/>
      <c r="K1690" s="39"/>
      <c r="L1690" s="41"/>
      <c r="M1690" s="36" t="str">
        <f aca="true">IF(OR($B1690="",$L1690=""),"",DATEDIF($L1690,TODAY(),"Y"))</f>
        <v/>
      </c>
      <c r="N1690" s="40" t="str">
        <f aca="false">IF($M1690="","",INDEX(usia_label,MATCH($M1690,usia_min,1)))</f>
        <v/>
      </c>
      <c r="O1690" s="37"/>
      <c r="P1690" s="41"/>
      <c r="Q1690" s="37"/>
      <c r="R1690" s="37"/>
      <c r="S1690" s="40" t="str">
        <f aca="false">IF($G1690="","",$G1690&amp;"#"&amp;COUNTIF($G$4:$G1690,$G1690))</f>
        <v/>
      </c>
      <c r="T1690" s="40" t="str">
        <f aca="false">IF($B1690="","",IF($C1690="","NIK kosong",IF(LEN($C1690)&lt;&gt;16,"NIK bukan 16 digit",IF(COUNTIF($C$4:$C$2003,$C1690&amp;"*")&gt;1,"NIK ganda",IF($E1690="","Kadus kosong",IF($F1690="","RT kosong",IF($H1690="","Jabatan kosong",IF($I1690="","No. HP kosong",IF($J1690="","Alamat kosong",IF(AND($M1690&lt;&gt;"",$M1690&lt;17),"Usia di bawah 17",""))))))))))</f>
        <v/>
      </c>
      <c r="U1690" s="40" t="str">
        <f aca="false">IF($B1690="","",IF(AND(OR(CARI!$C$5="",ISNUMBER(SEARCH(CARI!$C$5,$B1690&amp;" "&amp;$C1690&amp;" "&amp;$I1690&amp;" "&amp;$J1690&amp;" "&amp;$Q1690))),OR(CARI!$C$6="",$E1690=CARI!$C$6),OR(CARI!$C$7="",$F1690=CARI!$C$7),OR(CARI!$C$8="",$O1690=CARI!$C$8)),MAX($U$3:U1689)+1,""))</f>
        <v/>
      </c>
      <c r="V1690" s="40" t="str">
        <f aca="false">IF($T1690="","",MAX($V$3:V1689)+1)</f>
        <v/>
      </c>
      <c r="W1690" s="40" t="str">
        <f aca="false">IF($E1690="","",$E1690&amp;"#"&amp;COUNTIF($E$4:$E1690,$E1690))</f>
        <v/>
      </c>
      <c r="X1690" s="40" t="str">
        <f aca="false">IF($B1690="","",IF(AND(OR(CETAK!$J$10="",$E1690=CETAK!$J$10),OR(CETAK!$J$11="",$F1690=CETAK!$J$11),OR(CETAK!$J$12="",$K1690=CETAK!$J$12),OR(CETAK!$J$13="",$H1690=CETAK!$J$13),OR(CETAK!$J$14="",$O1690=CETAK!$J$14)),MAX($X$3:X1689)+1,""))</f>
        <v/>
      </c>
      <c r="Y1690" s="40" t="str">
        <f aca="false">IF($B1690="","",IF(AND(OR(ABSENSI!$H$10="",$E1690=ABSENSI!$H$10),OR(ABSENSI!$H$11="",$F1690=ABSENSI!$H$11),OR(ABSENSI!$H$12="",$K1690=ABSENSI!$H$12)),MAX($Y$3:Y1689)+1,""))</f>
        <v/>
      </c>
      <c r="Z1690" s="40" t="str">
        <f aca="false">IF($B1690="","",IF(AND(OR(KARTU!$K$6="",$E1690=KARTU!$K$6),OR(KARTU!$K$7="",$F1690=KARTU!$K$7),OR(KARTU!$K$8="",$K1690=KARTU!$K$8)),MAX($Z$3:Z1689)+1,""))</f>
        <v/>
      </c>
    </row>
    <row r="1691" customFormat="false" ht="15" hidden="false" customHeight="false" outlineLevel="0" collapsed="false">
      <c r="A1691" s="36" t="str">
        <f aca="false">IF($B1691="","",COUNTA($B$4:$B1691))</f>
        <v/>
      </c>
      <c r="B1691" s="37"/>
      <c r="C1691" s="38"/>
      <c r="D1691" s="39"/>
      <c r="E1691" s="37"/>
      <c r="F1691" s="39"/>
      <c r="G1691" s="40" t="str">
        <f aca="false">IF(OR($E1691="",$F1691=""),"",$E1691&amp;" - RT "&amp;$F1691)</f>
        <v/>
      </c>
      <c r="H1691" s="37"/>
      <c r="I1691" s="38"/>
      <c r="J1691" s="37"/>
      <c r="K1691" s="39"/>
      <c r="L1691" s="41"/>
      <c r="M1691" s="36" t="str">
        <f aca="true">IF(OR($B1691="",$L1691=""),"",DATEDIF($L1691,TODAY(),"Y"))</f>
        <v/>
      </c>
      <c r="N1691" s="40" t="str">
        <f aca="false">IF($M1691="","",INDEX(usia_label,MATCH($M1691,usia_min,1)))</f>
        <v/>
      </c>
      <c r="O1691" s="37"/>
      <c r="P1691" s="41"/>
      <c r="Q1691" s="37"/>
      <c r="R1691" s="37"/>
      <c r="S1691" s="40" t="str">
        <f aca="false">IF($G1691="","",$G1691&amp;"#"&amp;COUNTIF($G$4:$G1691,$G1691))</f>
        <v/>
      </c>
      <c r="T1691" s="40" t="str">
        <f aca="false">IF($B1691="","",IF($C1691="","NIK kosong",IF(LEN($C1691)&lt;&gt;16,"NIK bukan 16 digit",IF(COUNTIF($C$4:$C$2003,$C1691&amp;"*")&gt;1,"NIK ganda",IF($E1691="","Kadus kosong",IF($F1691="","RT kosong",IF($H1691="","Jabatan kosong",IF($I1691="","No. HP kosong",IF($J1691="","Alamat kosong",IF(AND($M1691&lt;&gt;"",$M1691&lt;17),"Usia di bawah 17",""))))))))))</f>
        <v/>
      </c>
      <c r="U1691" s="40" t="str">
        <f aca="false">IF($B1691="","",IF(AND(OR(CARI!$C$5="",ISNUMBER(SEARCH(CARI!$C$5,$B1691&amp;" "&amp;$C1691&amp;" "&amp;$I1691&amp;" "&amp;$J1691&amp;" "&amp;$Q1691))),OR(CARI!$C$6="",$E1691=CARI!$C$6),OR(CARI!$C$7="",$F1691=CARI!$C$7),OR(CARI!$C$8="",$O1691=CARI!$C$8)),MAX($U$3:U1690)+1,""))</f>
        <v/>
      </c>
      <c r="V1691" s="40" t="str">
        <f aca="false">IF($T1691="","",MAX($V$3:V1690)+1)</f>
        <v/>
      </c>
      <c r="W1691" s="40" t="str">
        <f aca="false">IF($E1691="","",$E1691&amp;"#"&amp;COUNTIF($E$4:$E1691,$E1691))</f>
        <v/>
      </c>
      <c r="X1691" s="40" t="str">
        <f aca="false">IF($B1691="","",IF(AND(OR(CETAK!$J$10="",$E1691=CETAK!$J$10),OR(CETAK!$J$11="",$F1691=CETAK!$J$11),OR(CETAK!$J$12="",$K1691=CETAK!$J$12),OR(CETAK!$J$13="",$H1691=CETAK!$J$13),OR(CETAK!$J$14="",$O1691=CETAK!$J$14)),MAX($X$3:X1690)+1,""))</f>
        <v/>
      </c>
      <c r="Y1691" s="40" t="str">
        <f aca="false">IF($B1691="","",IF(AND(OR(ABSENSI!$H$10="",$E1691=ABSENSI!$H$10),OR(ABSENSI!$H$11="",$F1691=ABSENSI!$H$11),OR(ABSENSI!$H$12="",$K1691=ABSENSI!$H$12)),MAX($Y$3:Y1690)+1,""))</f>
        <v/>
      </c>
      <c r="Z1691" s="40" t="str">
        <f aca="false">IF($B1691="","",IF(AND(OR(KARTU!$K$6="",$E1691=KARTU!$K$6),OR(KARTU!$K$7="",$F1691=KARTU!$K$7),OR(KARTU!$K$8="",$K1691=KARTU!$K$8)),MAX($Z$3:Z1690)+1,""))</f>
        <v/>
      </c>
    </row>
    <row r="1692" customFormat="false" ht="15" hidden="false" customHeight="false" outlineLevel="0" collapsed="false">
      <c r="A1692" s="36" t="str">
        <f aca="false">IF($B1692="","",COUNTA($B$4:$B1692))</f>
        <v/>
      </c>
      <c r="B1692" s="37"/>
      <c r="C1692" s="38"/>
      <c r="D1692" s="39"/>
      <c r="E1692" s="37"/>
      <c r="F1692" s="39"/>
      <c r="G1692" s="40" t="str">
        <f aca="false">IF(OR($E1692="",$F1692=""),"",$E1692&amp;" - RT "&amp;$F1692)</f>
        <v/>
      </c>
      <c r="H1692" s="37"/>
      <c r="I1692" s="38"/>
      <c r="J1692" s="37"/>
      <c r="K1692" s="39"/>
      <c r="L1692" s="41"/>
      <c r="M1692" s="36" t="str">
        <f aca="true">IF(OR($B1692="",$L1692=""),"",DATEDIF($L1692,TODAY(),"Y"))</f>
        <v/>
      </c>
      <c r="N1692" s="40" t="str">
        <f aca="false">IF($M1692="","",INDEX(usia_label,MATCH($M1692,usia_min,1)))</f>
        <v/>
      </c>
      <c r="O1692" s="37"/>
      <c r="P1692" s="41"/>
      <c r="Q1692" s="37"/>
      <c r="R1692" s="37"/>
      <c r="S1692" s="40" t="str">
        <f aca="false">IF($G1692="","",$G1692&amp;"#"&amp;COUNTIF($G$4:$G1692,$G1692))</f>
        <v/>
      </c>
      <c r="T1692" s="40" t="str">
        <f aca="false">IF($B1692="","",IF($C1692="","NIK kosong",IF(LEN($C1692)&lt;&gt;16,"NIK bukan 16 digit",IF(COUNTIF($C$4:$C$2003,$C1692&amp;"*")&gt;1,"NIK ganda",IF($E1692="","Kadus kosong",IF($F1692="","RT kosong",IF($H1692="","Jabatan kosong",IF($I1692="","No. HP kosong",IF($J1692="","Alamat kosong",IF(AND($M1692&lt;&gt;"",$M1692&lt;17),"Usia di bawah 17",""))))))))))</f>
        <v/>
      </c>
      <c r="U1692" s="40" t="str">
        <f aca="false">IF($B1692="","",IF(AND(OR(CARI!$C$5="",ISNUMBER(SEARCH(CARI!$C$5,$B1692&amp;" "&amp;$C1692&amp;" "&amp;$I1692&amp;" "&amp;$J1692&amp;" "&amp;$Q1692))),OR(CARI!$C$6="",$E1692=CARI!$C$6),OR(CARI!$C$7="",$F1692=CARI!$C$7),OR(CARI!$C$8="",$O1692=CARI!$C$8)),MAX($U$3:U1691)+1,""))</f>
        <v/>
      </c>
      <c r="V1692" s="40" t="str">
        <f aca="false">IF($T1692="","",MAX($V$3:V1691)+1)</f>
        <v/>
      </c>
      <c r="W1692" s="40" t="str">
        <f aca="false">IF($E1692="","",$E1692&amp;"#"&amp;COUNTIF($E$4:$E1692,$E1692))</f>
        <v/>
      </c>
      <c r="X1692" s="40" t="str">
        <f aca="false">IF($B1692="","",IF(AND(OR(CETAK!$J$10="",$E1692=CETAK!$J$10),OR(CETAK!$J$11="",$F1692=CETAK!$J$11),OR(CETAK!$J$12="",$K1692=CETAK!$J$12),OR(CETAK!$J$13="",$H1692=CETAK!$J$13),OR(CETAK!$J$14="",$O1692=CETAK!$J$14)),MAX($X$3:X1691)+1,""))</f>
        <v/>
      </c>
      <c r="Y1692" s="40" t="str">
        <f aca="false">IF($B1692="","",IF(AND(OR(ABSENSI!$H$10="",$E1692=ABSENSI!$H$10),OR(ABSENSI!$H$11="",$F1692=ABSENSI!$H$11),OR(ABSENSI!$H$12="",$K1692=ABSENSI!$H$12)),MAX($Y$3:Y1691)+1,""))</f>
        <v/>
      </c>
      <c r="Z1692" s="40" t="str">
        <f aca="false">IF($B1692="","",IF(AND(OR(KARTU!$K$6="",$E1692=KARTU!$K$6),OR(KARTU!$K$7="",$F1692=KARTU!$K$7),OR(KARTU!$K$8="",$K1692=KARTU!$K$8)),MAX($Z$3:Z1691)+1,""))</f>
        <v/>
      </c>
    </row>
    <row r="1693" customFormat="false" ht="15" hidden="false" customHeight="false" outlineLevel="0" collapsed="false">
      <c r="A1693" s="36" t="str">
        <f aca="false">IF($B1693="","",COUNTA($B$4:$B1693))</f>
        <v/>
      </c>
      <c r="B1693" s="37"/>
      <c r="C1693" s="38"/>
      <c r="D1693" s="39"/>
      <c r="E1693" s="37"/>
      <c r="F1693" s="39"/>
      <c r="G1693" s="40" t="str">
        <f aca="false">IF(OR($E1693="",$F1693=""),"",$E1693&amp;" - RT "&amp;$F1693)</f>
        <v/>
      </c>
      <c r="H1693" s="37"/>
      <c r="I1693" s="38"/>
      <c r="J1693" s="37"/>
      <c r="K1693" s="39"/>
      <c r="L1693" s="41"/>
      <c r="M1693" s="36" t="str">
        <f aca="true">IF(OR($B1693="",$L1693=""),"",DATEDIF($L1693,TODAY(),"Y"))</f>
        <v/>
      </c>
      <c r="N1693" s="40" t="str">
        <f aca="false">IF($M1693="","",INDEX(usia_label,MATCH($M1693,usia_min,1)))</f>
        <v/>
      </c>
      <c r="O1693" s="37"/>
      <c r="P1693" s="41"/>
      <c r="Q1693" s="37"/>
      <c r="R1693" s="37"/>
      <c r="S1693" s="40" t="str">
        <f aca="false">IF($G1693="","",$G1693&amp;"#"&amp;COUNTIF($G$4:$G1693,$G1693))</f>
        <v/>
      </c>
      <c r="T1693" s="40" t="str">
        <f aca="false">IF($B1693="","",IF($C1693="","NIK kosong",IF(LEN($C1693)&lt;&gt;16,"NIK bukan 16 digit",IF(COUNTIF($C$4:$C$2003,$C1693&amp;"*")&gt;1,"NIK ganda",IF($E1693="","Kadus kosong",IF($F1693="","RT kosong",IF($H1693="","Jabatan kosong",IF($I1693="","No. HP kosong",IF($J1693="","Alamat kosong",IF(AND($M1693&lt;&gt;"",$M1693&lt;17),"Usia di bawah 17",""))))))))))</f>
        <v/>
      </c>
      <c r="U1693" s="40" t="str">
        <f aca="false">IF($B1693="","",IF(AND(OR(CARI!$C$5="",ISNUMBER(SEARCH(CARI!$C$5,$B1693&amp;" "&amp;$C1693&amp;" "&amp;$I1693&amp;" "&amp;$J1693&amp;" "&amp;$Q1693))),OR(CARI!$C$6="",$E1693=CARI!$C$6),OR(CARI!$C$7="",$F1693=CARI!$C$7),OR(CARI!$C$8="",$O1693=CARI!$C$8)),MAX($U$3:U1692)+1,""))</f>
        <v/>
      </c>
      <c r="V1693" s="40" t="str">
        <f aca="false">IF($T1693="","",MAX($V$3:V1692)+1)</f>
        <v/>
      </c>
      <c r="W1693" s="40" t="str">
        <f aca="false">IF($E1693="","",$E1693&amp;"#"&amp;COUNTIF($E$4:$E1693,$E1693))</f>
        <v/>
      </c>
      <c r="X1693" s="40" t="str">
        <f aca="false">IF($B1693="","",IF(AND(OR(CETAK!$J$10="",$E1693=CETAK!$J$10),OR(CETAK!$J$11="",$F1693=CETAK!$J$11),OR(CETAK!$J$12="",$K1693=CETAK!$J$12),OR(CETAK!$J$13="",$H1693=CETAK!$J$13),OR(CETAK!$J$14="",$O1693=CETAK!$J$14)),MAX($X$3:X1692)+1,""))</f>
        <v/>
      </c>
      <c r="Y1693" s="40" t="str">
        <f aca="false">IF($B1693="","",IF(AND(OR(ABSENSI!$H$10="",$E1693=ABSENSI!$H$10),OR(ABSENSI!$H$11="",$F1693=ABSENSI!$H$11),OR(ABSENSI!$H$12="",$K1693=ABSENSI!$H$12)),MAX($Y$3:Y1692)+1,""))</f>
        <v/>
      </c>
      <c r="Z1693" s="40" t="str">
        <f aca="false">IF($B1693="","",IF(AND(OR(KARTU!$K$6="",$E1693=KARTU!$K$6),OR(KARTU!$K$7="",$F1693=KARTU!$K$7),OR(KARTU!$K$8="",$K1693=KARTU!$K$8)),MAX($Z$3:Z1692)+1,""))</f>
        <v/>
      </c>
    </row>
    <row r="1694" customFormat="false" ht="15" hidden="false" customHeight="false" outlineLevel="0" collapsed="false">
      <c r="A1694" s="36" t="str">
        <f aca="false">IF($B1694="","",COUNTA($B$4:$B1694))</f>
        <v/>
      </c>
      <c r="B1694" s="37"/>
      <c r="C1694" s="38"/>
      <c r="D1694" s="39"/>
      <c r="E1694" s="37"/>
      <c r="F1694" s="39"/>
      <c r="G1694" s="40" t="str">
        <f aca="false">IF(OR($E1694="",$F1694=""),"",$E1694&amp;" - RT "&amp;$F1694)</f>
        <v/>
      </c>
      <c r="H1694" s="37"/>
      <c r="I1694" s="38"/>
      <c r="J1694" s="37"/>
      <c r="K1694" s="39"/>
      <c r="L1694" s="41"/>
      <c r="M1694" s="36" t="str">
        <f aca="true">IF(OR($B1694="",$L1694=""),"",DATEDIF($L1694,TODAY(),"Y"))</f>
        <v/>
      </c>
      <c r="N1694" s="40" t="str">
        <f aca="false">IF($M1694="","",INDEX(usia_label,MATCH($M1694,usia_min,1)))</f>
        <v/>
      </c>
      <c r="O1694" s="37"/>
      <c r="P1694" s="41"/>
      <c r="Q1694" s="37"/>
      <c r="R1694" s="37"/>
      <c r="S1694" s="40" t="str">
        <f aca="false">IF($G1694="","",$G1694&amp;"#"&amp;COUNTIF($G$4:$G1694,$G1694))</f>
        <v/>
      </c>
      <c r="T1694" s="40" t="str">
        <f aca="false">IF($B1694="","",IF($C1694="","NIK kosong",IF(LEN($C1694)&lt;&gt;16,"NIK bukan 16 digit",IF(COUNTIF($C$4:$C$2003,$C1694&amp;"*")&gt;1,"NIK ganda",IF($E1694="","Kadus kosong",IF($F1694="","RT kosong",IF($H1694="","Jabatan kosong",IF($I1694="","No. HP kosong",IF($J1694="","Alamat kosong",IF(AND($M1694&lt;&gt;"",$M1694&lt;17),"Usia di bawah 17",""))))))))))</f>
        <v/>
      </c>
      <c r="U1694" s="40" t="str">
        <f aca="false">IF($B1694="","",IF(AND(OR(CARI!$C$5="",ISNUMBER(SEARCH(CARI!$C$5,$B1694&amp;" "&amp;$C1694&amp;" "&amp;$I1694&amp;" "&amp;$J1694&amp;" "&amp;$Q1694))),OR(CARI!$C$6="",$E1694=CARI!$C$6),OR(CARI!$C$7="",$F1694=CARI!$C$7),OR(CARI!$C$8="",$O1694=CARI!$C$8)),MAX($U$3:U1693)+1,""))</f>
        <v/>
      </c>
      <c r="V1694" s="40" t="str">
        <f aca="false">IF($T1694="","",MAX($V$3:V1693)+1)</f>
        <v/>
      </c>
      <c r="W1694" s="40" t="str">
        <f aca="false">IF($E1694="","",$E1694&amp;"#"&amp;COUNTIF($E$4:$E1694,$E1694))</f>
        <v/>
      </c>
      <c r="X1694" s="40" t="str">
        <f aca="false">IF($B1694="","",IF(AND(OR(CETAK!$J$10="",$E1694=CETAK!$J$10),OR(CETAK!$J$11="",$F1694=CETAK!$J$11),OR(CETAK!$J$12="",$K1694=CETAK!$J$12),OR(CETAK!$J$13="",$H1694=CETAK!$J$13),OR(CETAK!$J$14="",$O1694=CETAK!$J$14)),MAX($X$3:X1693)+1,""))</f>
        <v/>
      </c>
      <c r="Y1694" s="40" t="str">
        <f aca="false">IF($B1694="","",IF(AND(OR(ABSENSI!$H$10="",$E1694=ABSENSI!$H$10),OR(ABSENSI!$H$11="",$F1694=ABSENSI!$H$11),OR(ABSENSI!$H$12="",$K1694=ABSENSI!$H$12)),MAX($Y$3:Y1693)+1,""))</f>
        <v/>
      </c>
      <c r="Z1694" s="40" t="str">
        <f aca="false">IF($B1694="","",IF(AND(OR(KARTU!$K$6="",$E1694=KARTU!$K$6),OR(KARTU!$K$7="",$F1694=KARTU!$K$7),OR(KARTU!$K$8="",$K1694=KARTU!$K$8)),MAX($Z$3:Z1693)+1,""))</f>
        <v/>
      </c>
    </row>
    <row r="1695" customFormat="false" ht="15" hidden="false" customHeight="false" outlineLevel="0" collapsed="false">
      <c r="A1695" s="36" t="str">
        <f aca="false">IF($B1695="","",COUNTA($B$4:$B1695))</f>
        <v/>
      </c>
      <c r="B1695" s="37"/>
      <c r="C1695" s="38"/>
      <c r="D1695" s="39"/>
      <c r="E1695" s="37"/>
      <c r="F1695" s="39"/>
      <c r="G1695" s="40" t="str">
        <f aca="false">IF(OR($E1695="",$F1695=""),"",$E1695&amp;" - RT "&amp;$F1695)</f>
        <v/>
      </c>
      <c r="H1695" s="37"/>
      <c r="I1695" s="38"/>
      <c r="J1695" s="37"/>
      <c r="K1695" s="39"/>
      <c r="L1695" s="41"/>
      <c r="M1695" s="36" t="str">
        <f aca="true">IF(OR($B1695="",$L1695=""),"",DATEDIF($L1695,TODAY(),"Y"))</f>
        <v/>
      </c>
      <c r="N1695" s="40" t="str">
        <f aca="false">IF($M1695="","",INDEX(usia_label,MATCH($M1695,usia_min,1)))</f>
        <v/>
      </c>
      <c r="O1695" s="37"/>
      <c r="P1695" s="41"/>
      <c r="Q1695" s="37"/>
      <c r="R1695" s="37"/>
      <c r="S1695" s="40" t="str">
        <f aca="false">IF($G1695="","",$G1695&amp;"#"&amp;COUNTIF($G$4:$G1695,$G1695))</f>
        <v/>
      </c>
      <c r="T1695" s="40" t="str">
        <f aca="false">IF($B1695="","",IF($C1695="","NIK kosong",IF(LEN($C1695)&lt;&gt;16,"NIK bukan 16 digit",IF(COUNTIF($C$4:$C$2003,$C1695&amp;"*")&gt;1,"NIK ganda",IF($E1695="","Kadus kosong",IF($F1695="","RT kosong",IF($H1695="","Jabatan kosong",IF($I1695="","No. HP kosong",IF($J1695="","Alamat kosong",IF(AND($M1695&lt;&gt;"",$M1695&lt;17),"Usia di bawah 17",""))))))))))</f>
        <v/>
      </c>
      <c r="U1695" s="40" t="str">
        <f aca="false">IF($B1695="","",IF(AND(OR(CARI!$C$5="",ISNUMBER(SEARCH(CARI!$C$5,$B1695&amp;" "&amp;$C1695&amp;" "&amp;$I1695&amp;" "&amp;$J1695&amp;" "&amp;$Q1695))),OR(CARI!$C$6="",$E1695=CARI!$C$6),OR(CARI!$C$7="",$F1695=CARI!$C$7),OR(CARI!$C$8="",$O1695=CARI!$C$8)),MAX($U$3:U1694)+1,""))</f>
        <v/>
      </c>
      <c r="V1695" s="40" t="str">
        <f aca="false">IF($T1695="","",MAX($V$3:V1694)+1)</f>
        <v/>
      </c>
      <c r="W1695" s="40" t="str">
        <f aca="false">IF($E1695="","",$E1695&amp;"#"&amp;COUNTIF($E$4:$E1695,$E1695))</f>
        <v/>
      </c>
      <c r="X1695" s="40" t="str">
        <f aca="false">IF($B1695="","",IF(AND(OR(CETAK!$J$10="",$E1695=CETAK!$J$10),OR(CETAK!$J$11="",$F1695=CETAK!$J$11),OR(CETAK!$J$12="",$K1695=CETAK!$J$12),OR(CETAK!$J$13="",$H1695=CETAK!$J$13),OR(CETAK!$J$14="",$O1695=CETAK!$J$14)),MAX($X$3:X1694)+1,""))</f>
        <v/>
      </c>
      <c r="Y1695" s="40" t="str">
        <f aca="false">IF($B1695="","",IF(AND(OR(ABSENSI!$H$10="",$E1695=ABSENSI!$H$10),OR(ABSENSI!$H$11="",$F1695=ABSENSI!$H$11),OR(ABSENSI!$H$12="",$K1695=ABSENSI!$H$12)),MAX($Y$3:Y1694)+1,""))</f>
        <v/>
      </c>
      <c r="Z1695" s="40" t="str">
        <f aca="false">IF($B1695="","",IF(AND(OR(KARTU!$K$6="",$E1695=KARTU!$K$6),OR(KARTU!$K$7="",$F1695=KARTU!$K$7),OR(KARTU!$K$8="",$K1695=KARTU!$K$8)),MAX($Z$3:Z1694)+1,""))</f>
        <v/>
      </c>
    </row>
    <row r="1696" customFormat="false" ht="15" hidden="false" customHeight="false" outlineLevel="0" collapsed="false">
      <c r="A1696" s="36" t="str">
        <f aca="false">IF($B1696="","",COUNTA($B$4:$B1696))</f>
        <v/>
      </c>
      <c r="B1696" s="37"/>
      <c r="C1696" s="38"/>
      <c r="D1696" s="39"/>
      <c r="E1696" s="37"/>
      <c r="F1696" s="39"/>
      <c r="G1696" s="40" t="str">
        <f aca="false">IF(OR($E1696="",$F1696=""),"",$E1696&amp;" - RT "&amp;$F1696)</f>
        <v/>
      </c>
      <c r="H1696" s="37"/>
      <c r="I1696" s="38"/>
      <c r="J1696" s="37"/>
      <c r="K1696" s="39"/>
      <c r="L1696" s="41"/>
      <c r="M1696" s="36" t="str">
        <f aca="true">IF(OR($B1696="",$L1696=""),"",DATEDIF($L1696,TODAY(),"Y"))</f>
        <v/>
      </c>
      <c r="N1696" s="40" t="str">
        <f aca="false">IF($M1696="","",INDEX(usia_label,MATCH($M1696,usia_min,1)))</f>
        <v/>
      </c>
      <c r="O1696" s="37"/>
      <c r="P1696" s="41"/>
      <c r="Q1696" s="37"/>
      <c r="R1696" s="37"/>
      <c r="S1696" s="40" t="str">
        <f aca="false">IF($G1696="","",$G1696&amp;"#"&amp;COUNTIF($G$4:$G1696,$G1696))</f>
        <v/>
      </c>
      <c r="T1696" s="40" t="str">
        <f aca="false">IF($B1696="","",IF($C1696="","NIK kosong",IF(LEN($C1696)&lt;&gt;16,"NIK bukan 16 digit",IF(COUNTIF($C$4:$C$2003,$C1696&amp;"*")&gt;1,"NIK ganda",IF($E1696="","Kadus kosong",IF($F1696="","RT kosong",IF($H1696="","Jabatan kosong",IF($I1696="","No. HP kosong",IF($J1696="","Alamat kosong",IF(AND($M1696&lt;&gt;"",$M1696&lt;17),"Usia di bawah 17",""))))))))))</f>
        <v/>
      </c>
      <c r="U1696" s="40" t="str">
        <f aca="false">IF($B1696="","",IF(AND(OR(CARI!$C$5="",ISNUMBER(SEARCH(CARI!$C$5,$B1696&amp;" "&amp;$C1696&amp;" "&amp;$I1696&amp;" "&amp;$J1696&amp;" "&amp;$Q1696))),OR(CARI!$C$6="",$E1696=CARI!$C$6),OR(CARI!$C$7="",$F1696=CARI!$C$7),OR(CARI!$C$8="",$O1696=CARI!$C$8)),MAX($U$3:U1695)+1,""))</f>
        <v/>
      </c>
      <c r="V1696" s="40" t="str">
        <f aca="false">IF($T1696="","",MAX($V$3:V1695)+1)</f>
        <v/>
      </c>
      <c r="W1696" s="40" t="str">
        <f aca="false">IF($E1696="","",$E1696&amp;"#"&amp;COUNTIF($E$4:$E1696,$E1696))</f>
        <v/>
      </c>
      <c r="X1696" s="40" t="str">
        <f aca="false">IF($B1696="","",IF(AND(OR(CETAK!$J$10="",$E1696=CETAK!$J$10),OR(CETAK!$J$11="",$F1696=CETAK!$J$11),OR(CETAK!$J$12="",$K1696=CETAK!$J$12),OR(CETAK!$J$13="",$H1696=CETAK!$J$13),OR(CETAK!$J$14="",$O1696=CETAK!$J$14)),MAX($X$3:X1695)+1,""))</f>
        <v/>
      </c>
      <c r="Y1696" s="40" t="str">
        <f aca="false">IF($B1696="","",IF(AND(OR(ABSENSI!$H$10="",$E1696=ABSENSI!$H$10),OR(ABSENSI!$H$11="",$F1696=ABSENSI!$H$11),OR(ABSENSI!$H$12="",$K1696=ABSENSI!$H$12)),MAX($Y$3:Y1695)+1,""))</f>
        <v/>
      </c>
      <c r="Z1696" s="40" t="str">
        <f aca="false">IF($B1696="","",IF(AND(OR(KARTU!$K$6="",$E1696=KARTU!$K$6),OR(KARTU!$K$7="",$F1696=KARTU!$K$7),OR(KARTU!$K$8="",$K1696=KARTU!$K$8)),MAX($Z$3:Z1695)+1,""))</f>
        <v/>
      </c>
    </row>
    <row r="1697" customFormat="false" ht="15" hidden="false" customHeight="false" outlineLevel="0" collapsed="false">
      <c r="A1697" s="36" t="str">
        <f aca="false">IF($B1697="","",COUNTA($B$4:$B1697))</f>
        <v/>
      </c>
      <c r="B1697" s="37"/>
      <c r="C1697" s="38"/>
      <c r="D1697" s="39"/>
      <c r="E1697" s="37"/>
      <c r="F1697" s="39"/>
      <c r="G1697" s="40" t="str">
        <f aca="false">IF(OR($E1697="",$F1697=""),"",$E1697&amp;" - RT "&amp;$F1697)</f>
        <v/>
      </c>
      <c r="H1697" s="37"/>
      <c r="I1697" s="38"/>
      <c r="J1697" s="37"/>
      <c r="K1697" s="39"/>
      <c r="L1697" s="41"/>
      <c r="M1697" s="36" t="str">
        <f aca="true">IF(OR($B1697="",$L1697=""),"",DATEDIF($L1697,TODAY(),"Y"))</f>
        <v/>
      </c>
      <c r="N1697" s="40" t="str">
        <f aca="false">IF($M1697="","",INDEX(usia_label,MATCH($M1697,usia_min,1)))</f>
        <v/>
      </c>
      <c r="O1697" s="37"/>
      <c r="P1697" s="41"/>
      <c r="Q1697" s="37"/>
      <c r="R1697" s="37"/>
      <c r="S1697" s="40" t="str">
        <f aca="false">IF($G1697="","",$G1697&amp;"#"&amp;COUNTIF($G$4:$G1697,$G1697))</f>
        <v/>
      </c>
      <c r="T1697" s="40" t="str">
        <f aca="false">IF($B1697="","",IF($C1697="","NIK kosong",IF(LEN($C1697)&lt;&gt;16,"NIK bukan 16 digit",IF(COUNTIF($C$4:$C$2003,$C1697&amp;"*")&gt;1,"NIK ganda",IF($E1697="","Kadus kosong",IF($F1697="","RT kosong",IF($H1697="","Jabatan kosong",IF($I1697="","No. HP kosong",IF($J1697="","Alamat kosong",IF(AND($M1697&lt;&gt;"",$M1697&lt;17),"Usia di bawah 17",""))))))))))</f>
        <v/>
      </c>
      <c r="U1697" s="40" t="str">
        <f aca="false">IF($B1697="","",IF(AND(OR(CARI!$C$5="",ISNUMBER(SEARCH(CARI!$C$5,$B1697&amp;" "&amp;$C1697&amp;" "&amp;$I1697&amp;" "&amp;$J1697&amp;" "&amp;$Q1697))),OR(CARI!$C$6="",$E1697=CARI!$C$6),OR(CARI!$C$7="",$F1697=CARI!$C$7),OR(CARI!$C$8="",$O1697=CARI!$C$8)),MAX($U$3:U1696)+1,""))</f>
        <v/>
      </c>
      <c r="V1697" s="40" t="str">
        <f aca="false">IF($T1697="","",MAX($V$3:V1696)+1)</f>
        <v/>
      </c>
      <c r="W1697" s="40" t="str">
        <f aca="false">IF($E1697="","",$E1697&amp;"#"&amp;COUNTIF($E$4:$E1697,$E1697))</f>
        <v/>
      </c>
      <c r="X1697" s="40" t="str">
        <f aca="false">IF($B1697="","",IF(AND(OR(CETAK!$J$10="",$E1697=CETAK!$J$10),OR(CETAK!$J$11="",$F1697=CETAK!$J$11),OR(CETAK!$J$12="",$K1697=CETAK!$J$12),OR(CETAK!$J$13="",$H1697=CETAK!$J$13),OR(CETAK!$J$14="",$O1697=CETAK!$J$14)),MAX($X$3:X1696)+1,""))</f>
        <v/>
      </c>
      <c r="Y1697" s="40" t="str">
        <f aca="false">IF($B1697="","",IF(AND(OR(ABSENSI!$H$10="",$E1697=ABSENSI!$H$10),OR(ABSENSI!$H$11="",$F1697=ABSENSI!$H$11),OR(ABSENSI!$H$12="",$K1697=ABSENSI!$H$12)),MAX($Y$3:Y1696)+1,""))</f>
        <v/>
      </c>
      <c r="Z1697" s="40" t="str">
        <f aca="false">IF($B1697="","",IF(AND(OR(KARTU!$K$6="",$E1697=KARTU!$K$6),OR(KARTU!$K$7="",$F1697=KARTU!$K$7),OR(KARTU!$K$8="",$K1697=KARTU!$K$8)),MAX($Z$3:Z1696)+1,""))</f>
        <v/>
      </c>
    </row>
    <row r="1698" customFormat="false" ht="15" hidden="false" customHeight="false" outlineLevel="0" collapsed="false">
      <c r="A1698" s="36" t="str">
        <f aca="false">IF($B1698="","",COUNTA($B$4:$B1698))</f>
        <v/>
      </c>
      <c r="B1698" s="37"/>
      <c r="C1698" s="38"/>
      <c r="D1698" s="39"/>
      <c r="E1698" s="37"/>
      <c r="F1698" s="39"/>
      <c r="G1698" s="40" t="str">
        <f aca="false">IF(OR($E1698="",$F1698=""),"",$E1698&amp;" - RT "&amp;$F1698)</f>
        <v/>
      </c>
      <c r="H1698" s="37"/>
      <c r="I1698" s="38"/>
      <c r="J1698" s="37"/>
      <c r="K1698" s="39"/>
      <c r="L1698" s="41"/>
      <c r="M1698" s="36" t="str">
        <f aca="true">IF(OR($B1698="",$L1698=""),"",DATEDIF($L1698,TODAY(),"Y"))</f>
        <v/>
      </c>
      <c r="N1698" s="40" t="str">
        <f aca="false">IF($M1698="","",INDEX(usia_label,MATCH($M1698,usia_min,1)))</f>
        <v/>
      </c>
      <c r="O1698" s="37"/>
      <c r="P1698" s="41"/>
      <c r="Q1698" s="37"/>
      <c r="R1698" s="37"/>
      <c r="S1698" s="40" t="str">
        <f aca="false">IF($G1698="","",$G1698&amp;"#"&amp;COUNTIF($G$4:$G1698,$G1698))</f>
        <v/>
      </c>
      <c r="T1698" s="40" t="str">
        <f aca="false">IF($B1698="","",IF($C1698="","NIK kosong",IF(LEN($C1698)&lt;&gt;16,"NIK bukan 16 digit",IF(COUNTIF($C$4:$C$2003,$C1698&amp;"*")&gt;1,"NIK ganda",IF($E1698="","Kadus kosong",IF($F1698="","RT kosong",IF($H1698="","Jabatan kosong",IF($I1698="","No. HP kosong",IF($J1698="","Alamat kosong",IF(AND($M1698&lt;&gt;"",$M1698&lt;17),"Usia di bawah 17",""))))))))))</f>
        <v/>
      </c>
      <c r="U1698" s="40" t="str">
        <f aca="false">IF($B1698="","",IF(AND(OR(CARI!$C$5="",ISNUMBER(SEARCH(CARI!$C$5,$B1698&amp;" "&amp;$C1698&amp;" "&amp;$I1698&amp;" "&amp;$J1698&amp;" "&amp;$Q1698))),OR(CARI!$C$6="",$E1698=CARI!$C$6),OR(CARI!$C$7="",$F1698=CARI!$C$7),OR(CARI!$C$8="",$O1698=CARI!$C$8)),MAX($U$3:U1697)+1,""))</f>
        <v/>
      </c>
      <c r="V1698" s="40" t="str">
        <f aca="false">IF($T1698="","",MAX($V$3:V1697)+1)</f>
        <v/>
      </c>
      <c r="W1698" s="40" t="str">
        <f aca="false">IF($E1698="","",$E1698&amp;"#"&amp;COUNTIF($E$4:$E1698,$E1698))</f>
        <v/>
      </c>
      <c r="X1698" s="40" t="str">
        <f aca="false">IF($B1698="","",IF(AND(OR(CETAK!$J$10="",$E1698=CETAK!$J$10),OR(CETAK!$J$11="",$F1698=CETAK!$J$11),OR(CETAK!$J$12="",$K1698=CETAK!$J$12),OR(CETAK!$J$13="",$H1698=CETAK!$J$13),OR(CETAK!$J$14="",$O1698=CETAK!$J$14)),MAX($X$3:X1697)+1,""))</f>
        <v/>
      </c>
      <c r="Y1698" s="40" t="str">
        <f aca="false">IF($B1698="","",IF(AND(OR(ABSENSI!$H$10="",$E1698=ABSENSI!$H$10),OR(ABSENSI!$H$11="",$F1698=ABSENSI!$H$11),OR(ABSENSI!$H$12="",$K1698=ABSENSI!$H$12)),MAX($Y$3:Y1697)+1,""))</f>
        <v/>
      </c>
      <c r="Z1698" s="40" t="str">
        <f aca="false">IF($B1698="","",IF(AND(OR(KARTU!$K$6="",$E1698=KARTU!$K$6),OR(KARTU!$K$7="",$F1698=KARTU!$K$7),OR(KARTU!$K$8="",$K1698=KARTU!$K$8)),MAX($Z$3:Z1697)+1,""))</f>
        <v/>
      </c>
    </row>
    <row r="1699" customFormat="false" ht="15" hidden="false" customHeight="false" outlineLevel="0" collapsed="false">
      <c r="A1699" s="36" t="str">
        <f aca="false">IF($B1699="","",COUNTA($B$4:$B1699))</f>
        <v/>
      </c>
      <c r="B1699" s="37"/>
      <c r="C1699" s="38"/>
      <c r="D1699" s="39"/>
      <c r="E1699" s="37"/>
      <c r="F1699" s="39"/>
      <c r="G1699" s="40" t="str">
        <f aca="false">IF(OR($E1699="",$F1699=""),"",$E1699&amp;" - RT "&amp;$F1699)</f>
        <v/>
      </c>
      <c r="H1699" s="37"/>
      <c r="I1699" s="38"/>
      <c r="J1699" s="37"/>
      <c r="K1699" s="39"/>
      <c r="L1699" s="41"/>
      <c r="M1699" s="36" t="str">
        <f aca="true">IF(OR($B1699="",$L1699=""),"",DATEDIF($L1699,TODAY(),"Y"))</f>
        <v/>
      </c>
      <c r="N1699" s="40" t="str">
        <f aca="false">IF($M1699="","",INDEX(usia_label,MATCH($M1699,usia_min,1)))</f>
        <v/>
      </c>
      <c r="O1699" s="37"/>
      <c r="P1699" s="41"/>
      <c r="Q1699" s="37"/>
      <c r="R1699" s="37"/>
      <c r="S1699" s="40" t="str">
        <f aca="false">IF($G1699="","",$G1699&amp;"#"&amp;COUNTIF($G$4:$G1699,$G1699))</f>
        <v/>
      </c>
      <c r="T1699" s="40" t="str">
        <f aca="false">IF($B1699="","",IF($C1699="","NIK kosong",IF(LEN($C1699)&lt;&gt;16,"NIK bukan 16 digit",IF(COUNTIF($C$4:$C$2003,$C1699&amp;"*")&gt;1,"NIK ganda",IF($E1699="","Kadus kosong",IF($F1699="","RT kosong",IF($H1699="","Jabatan kosong",IF($I1699="","No. HP kosong",IF($J1699="","Alamat kosong",IF(AND($M1699&lt;&gt;"",$M1699&lt;17),"Usia di bawah 17",""))))))))))</f>
        <v/>
      </c>
      <c r="U1699" s="40" t="str">
        <f aca="false">IF($B1699="","",IF(AND(OR(CARI!$C$5="",ISNUMBER(SEARCH(CARI!$C$5,$B1699&amp;" "&amp;$C1699&amp;" "&amp;$I1699&amp;" "&amp;$J1699&amp;" "&amp;$Q1699))),OR(CARI!$C$6="",$E1699=CARI!$C$6),OR(CARI!$C$7="",$F1699=CARI!$C$7),OR(CARI!$C$8="",$O1699=CARI!$C$8)),MAX($U$3:U1698)+1,""))</f>
        <v/>
      </c>
      <c r="V1699" s="40" t="str">
        <f aca="false">IF($T1699="","",MAX($V$3:V1698)+1)</f>
        <v/>
      </c>
      <c r="W1699" s="40" t="str">
        <f aca="false">IF($E1699="","",$E1699&amp;"#"&amp;COUNTIF($E$4:$E1699,$E1699))</f>
        <v/>
      </c>
      <c r="X1699" s="40" t="str">
        <f aca="false">IF($B1699="","",IF(AND(OR(CETAK!$J$10="",$E1699=CETAK!$J$10),OR(CETAK!$J$11="",$F1699=CETAK!$J$11),OR(CETAK!$J$12="",$K1699=CETAK!$J$12),OR(CETAK!$J$13="",$H1699=CETAK!$J$13),OR(CETAK!$J$14="",$O1699=CETAK!$J$14)),MAX($X$3:X1698)+1,""))</f>
        <v/>
      </c>
      <c r="Y1699" s="40" t="str">
        <f aca="false">IF($B1699="","",IF(AND(OR(ABSENSI!$H$10="",$E1699=ABSENSI!$H$10),OR(ABSENSI!$H$11="",$F1699=ABSENSI!$H$11),OR(ABSENSI!$H$12="",$K1699=ABSENSI!$H$12)),MAX($Y$3:Y1698)+1,""))</f>
        <v/>
      </c>
      <c r="Z1699" s="40" t="str">
        <f aca="false">IF($B1699="","",IF(AND(OR(KARTU!$K$6="",$E1699=KARTU!$K$6),OR(KARTU!$K$7="",$F1699=KARTU!$K$7),OR(KARTU!$K$8="",$K1699=KARTU!$K$8)),MAX($Z$3:Z1698)+1,""))</f>
        <v/>
      </c>
    </row>
    <row r="1700" customFormat="false" ht="15" hidden="false" customHeight="false" outlineLevel="0" collapsed="false">
      <c r="A1700" s="36" t="str">
        <f aca="false">IF($B1700="","",COUNTA($B$4:$B1700))</f>
        <v/>
      </c>
      <c r="B1700" s="37"/>
      <c r="C1700" s="38"/>
      <c r="D1700" s="39"/>
      <c r="E1700" s="37"/>
      <c r="F1700" s="39"/>
      <c r="G1700" s="40" t="str">
        <f aca="false">IF(OR($E1700="",$F1700=""),"",$E1700&amp;" - RT "&amp;$F1700)</f>
        <v/>
      </c>
      <c r="H1700" s="37"/>
      <c r="I1700" s="38"/>
      <c r="J1700" s="37"/>
      <c r="K1700" s="39"/>
      <c r="L1700" s="41"/>
      <c r="M1700" s="36" t="str">
        <f aca="true">IF(OR($B1700="",$L1700=""),"",DATEDIF($L1700,TODAY(),"Y"))</f>
        <v/>
      </c>
      <c r="N1700" s="40" t="str">
        <f aca="false">IF($M1700="","",INDEX(usia_label,MATCH($M1700,usia_min,1)))</f>
        <v/>
      </c>
      <c r="O1700" s="37"/>
      <c r="P1700" s="41"/>
      <c r="Q1700" s="37"/>
      <c r="R1700" s="37"/>
      <c r="S1700" s="40" t="str">
        <f aca="false">IF($G1700="","",$G1700&amp;"#"&amp;COUNTIF($G$4:$G1700,$G1700))</f>
        <v/>
      </c>
      <c r="T1700" s="40" t="str">
        <f aca="false">IF($B1700="","",IF($C1700="","NIK kosong",IF(LEN($C1700)&lt;&gt;16,"NIK bukan 16 digit",IF(COUNTIF($C$4:$C$2003,$C1700&amp;"*")&gt;1,"NIK ganda",IF($E1700="","Kadus kosong",IF($F1700="","RT kosong",IF($H1700="","Jabatan kosong",IF($I1700="","No. HP kosong",IF($J1700="","Alamat kosong",IF(AND($M1700&lt;&gt;"",$M1700&lt;17),"Usia di bawah 17",""))))))))))</f>
        <v/>
      </c>
      <c r="U1700" s="40" t="str">
        <f aca="false">IF($B1700="","",IF(AND(OR(CARI!$C$5="",ISNUMBER(SEARCH(CARI!$C$5,$B1700&amp;" "&amp;$C1700&amp;" "&amp;$I1700&amp;" "&amp;$J1700&amp;" "&amp;$Q1700))),OR(CARI!$C$6="",$E1700=CARI!$C$6),OR(CARI!$C$7="",$F1700=CARI!$C$7),OR(CARI!$C$8="",$O1700=CARI!$C$8)),MAX($U$3:U1699)+1,""))</f>
        <v/>
      </c>
      <c r="V1700" s="40" t="str">
        <f aca="false">IF($T1700="","",MAX($V$3:V1699)+1)</f>
        <v/>
      </c>
      <c r="W1700" s="40" t="str">
        <f aca="false">IF($E1700="","",$E1700&amp;"#"&amp;COUNTIF($E$4:$E1700,$E1700))</f>
        <v/>
      </c>
      <c r="X1700" s="40" t="str">
        <f aca="false">IF($B1700="","",IF(AND(OR(CETAK!$J$10="",$E1700=CETAK!$J$10),OR(CETAK!$J$11="",$F1700=CETAK!$J$11),OR(CETAK!$J$12="",$K1700=CETAK!$J$12),OR(CETAK!$J$13="",$H1700=CETAK!$J$13),OR(CETAK!$J$14="",$O1700=CETAK!$J$14)),MAX($X$3:X1699)+1,""))</f>
        <v/>
      </c>
      <c r="Y1700" s="40" t="str">
        <f aca="false">IF($B1700="","",IF(AND(OR(ABSENSI!$H$10="",$E1700=ABSENSI!$H$10),OR(ABSENSI!$H$11="",$F1700=ABSENSI!$H$11),OR(ABSENSI!$H$12="",$K1700=ABSENSI!$H$12)),MAX($Y$3:Y1699)+1,""))</f>
        <v/>
      </c>
      <c r="Z1700" s="40" t="str">
        <f aca="false">IF($B1700="","",IF(AND(OR(KARTU!$K$6="",$E1700=KARTU!$K$6),OR(KARTU!$K$7="",$F1700=KARTU!$K$7),OR(KARTU!$K$8="",$K1700=KARTU!$K$8)),MAX($Z$3:Z1699)+1,""))</f>
        <v/>
      </c>
    </row>
    <row r="1701" customFormat="false" ht="15" hidden="false" customHeight="false" outlineLevel="0" collapsed="false">
      <c r="A1701" s="36" t="str">
        <f aca="false">IF($B1701="","",COUNTA($B$4:$B1701))</f>
        <v/>
      </c>
      <c r="B1701" s="37"/>
      <c r="C1701" s="38"/>
      <c r="D1701" s="39"/>
      <c r="E1701" s="37"/>
      <c r="F1701" s="39"/>
      <c r="G1701" s="40" t="str">
        <f aca="false">IF(OR($E1701="",$F1701=""),"",$E1701&amp;" - RT "&amp;$F1701)</f>
        <v/>
      </c>
      <c r="H1701" s="37"/>
      <c r="I1701" s="38"/>
      <c r="J1701" s="37"/>
      <c r="K1701" s="39"/>
      <c r="L1701" s="41"/>
      <c r="M1701" s="36" t="str">
        <f aca="true">IF(OR($B1701="",$L1701=""),"",DATEDIF($L1701,TODAY(),"Y"))</f>
        <v/>
      </c>
      <c r="N1701" s="40" t="str">
        <f aca="false">IF($M1701="","",INDEX(usia_label,MATCH($M1701,usia_min,1)))</f>
        <v/>
      </c>
      <c r="O1701" s="37"/>
      <c r="P1701" s="41"/>
      <c r="Q1701" s="37"/>
      <c r="R1701" s="37"/>
      <c r="S1701" s="40" t="str">
        <f aca="false">IF($G1701="","",$G1701&amp;"#"&amp;COUNTIF($G$4:$G1701,$G1701))</f>
        <v/>
      </c>
      <c r="T1701" s="40" t="str">
        <f aca="false">IF($B1701="","",IF($C1701="","NIK kosong",IF(LEN($C1701)&lt;&gt;16,"NIK bukan 16 digit",IF(COUNTIF($C$4:$C$2003,$C1701&amp;"*")&gt;1,"NIK ganda",IF($E1701="","Kadus kosong",IF($F1701="","RT kosong",IF($H1701="","Jabatan kosong",IF($I1701="","No. HP kosong",IF($J1701="","Alamat kosong",IF(AND($M1701&lt;&gt;"",$M1701&lt;17),"Usia di bawah 17",""))))))))))</f>
        <v/>
      </c>
      <c r="U1701" s="40" t="str">
        <f aca="false">IF($B1701="","",IF(AND(OR(CARI!$C$5="",ISNUMBER(SEARCH(CARI!$C$5,$B1701&amp;" "&amp;$C1701&amp;" "&amp;$I1701&amp;" "&amp;$J1701&amp;" "&amp;$Q1701))),OR(CARI!$C$6="",$E1701=CARI!$C$6),OR(CARI!$C$7="",$F1701=CARI!$C$7),OR(CARI!$C$8="",$O1701=CARI!$C$8)),MAX($U$3:U1700)+1,""))</f>
        <v/>
      </c>
      <c r="V1701" s="40" t="str">
        <f aca="false">IF($T1701="","",MAX($V$3:V1700)+1)</f>
        <v/>
      </c>
      <c r="W1701" s="40" t="str">
        <f aca="false">IF($E1701="","",$E1701&amp;"#"&amp;COUNTIF($E$4:$E1701,$E1701))</f>
        <v/>
      </c>
      <c r="X1701" s="40" t="str">
        <f aca="false">IF($B1701="","",IF(AND(OR(CETAK!$J$10="",$E1701=CETAK!$J$10),OR(CETAK!$J$11="",$F1701=CETAK!$J$11),OR(CETAK!$J$12="",$K1701=CETAK!$J$12),OR(CETAK!$J$13="",$H1701=CETAK!$J$13),OR(CETAK!$J$14="",$O1701=CETAK!$J$14)),MAX($X$3:X1700)+1,""))</f>
        <v/>
      </c>
      <c r="Y1701" s="40" t="str">
        <f aca="false">IF($B1701="","",IF(AND(OR(ABSENSI!$H$10="",$E1701=ABSENSI!$H$10),OR(ABSENSI!$H$11="",$F1701=ABSENSI!$H$11),OR(ABSENSI!$H$12="",$K1701=ABSENSI!$H$12)),MAX($Y$3:Y1700)+1,""))</f>
        <v/>
      </c>
      <c r="Z1701" s="40" t="str">
        <f aca="false">IF($B1701="","",IF(AND(OR(KARTU!$K$6="",$E1701=KARTU!$K$6),OR(KARTU!$K$7="",$F1701=KARTU!$K$7),OR(KARTU!$K$8="",$K1701=KARTU!$K$8)),MAX($Z$3:Z1700)+1,""))</f>
        <v/>
      </c>
    </row>
    <row r="1702" customFormat="false" ht="15" hidden="false" customHeight="false" outlineLevel="0" collapsed="false">
      <c r="A1702" s="36" t="str">
        <f aca="false">IF($B1702="","",COUNTA($B$4:$B1702))</f>
        <v/>
      </c>
      <c r="B1702" s="37"/>
      <c r="C1702" s="38"/>
      <c r="D1702" s="39"/>
      <c r="E1702" s="37"/>
      <c r="F1702" s="39"/>
      <c r="G1702" s="40" t="str">
        <f aca="false">IF(OR($E1702="",$F1702=""),"",$E1702&amp;" - RT "&amp;$F1702)</f>
        <v/>
      </c>
      <c r="H1702" s="37"/>
      <c r="I1702" s="38"/>
      <c r="J1702" s="37"/>
      <c r="K1702" s="39"/>
      <c r="L1702" s="41"/>
      <c r="M1702" s="36" t="str">
        <f aca="true">IF(OR($B1702="",$L1702=""),"",DATEDIF($L1702,TODAY(),"Y"))</f>
        <v/>
      </c>
      <c r="N1702" s="40" t="str">
        <f aca="false">IF($M1702="","",INDEX(usia_label,MATCH($M1702,usia_min,1)))</f>
        <v/>
      </c>
      <c r="O1702" s="37"/>
      <c r="P1702" s="41"/>
      <c r="Q1702" s="37"/>
      <c r="R1702" s="37"/>
      <c r="S1702" s="40" t="str">
        <f aca="false">IF($G1702="","",$G1702&amp;"#"&amp;COUNTIF($G$4:$G1702,$G1702))</f>
        <v/>
      </c>
      <c r="T1702" s="40" t="str">
        <f aca="false">IF($B1702="","",IF($C1702="","NIK kosong",IF(LEN($C1702)&lt;&gt;16,"NIK bukan 16 digit",IF(COUNTIF($C$4:$C$2003,$C1702&amp;"*")&gt;1,"NIK ganda",IF($E1702="","Kadus kosong",IF($F1702="","RT kosong",IF($H1702="","Jabatan kosong",IF($I1702="","No. HP kosong",IF($J1702="","Alamat kosong",IF(AND($M1702&lt;&gt;"",$M1702&lt;17),"Usia di bawah 17",""))))))))))</f>
        <v/>
      </c>
      <c r="U1702" s="40" t="str">
        <f aca="false">IF($B1702="","",IF(AND(OR(CARI!$C$5="",ISNUMBER(SEARCH(CARI!$C$5,$B1702&amp;" "&amp;$C1702&amp;" "&amp;$I1702&amp;" "&amp;$J1702&amp;" "&amp;$Q1702))),OR(CARI!$C$6="",$E1702=CARI!$C$6),OR(CARI!$C$7="",$F1702=CARI!$C$7),OR(CARI!$C$8="",$O1702=CARI!$C$8)),MAX($U$3:U1701)+1,""))</f>
        <v/>
      </c>
      <c r="V1702" s="40" t="str">
        <f aca="false">IF($T1702="","",MAX($V$3:V1701)+1)</f>
        <v/>
      </c>
      <c r="W1702" s="40" t="str">
        <f aca="false">IF($E1702="","",$E1702&amp;"#"&amp;COUNTIF($E$4:$E1702,$E1702))</f>
        <v/>
      </c>
      <c r="X1702" s="40" t="str">
        <f aca="false">IF($B1702="","",IF(AND(OR(CETAK!$J$10="",$E1702=CETAK!$J$10),OR(CETAK!$J$11="",$F1702=CETAK!$J$11),OR(CETAK!$J$12="",$K1702=CETAK!$J$12),OR(CETAK!$J$13="",$H1702=CETAK!$J$13),OR(CETAK!$J$14="",$O1702=CETAK!$J$14)),MAX($X$3:X1701)+1,""))</f>
        <v/>
      </c>
      <c r="Y1702" s="40" t="str">
        <f aca="false">IF($B1702="","",IF(AND(OR(ABSENSI!$H$10="",$E1702=ABSENSI!$H$10),OR(ABSENSI!$H$11="",$F1702=ABSENSI!$H$11),OR(ABSENSI!$H$12="",$K1702=ABSENSI!$H$12)),MAX($Y$3:Y1701)+1,""))</f>
        <v/>
      </c>
      <c r="Z1702" s="40" t="str">
        <f aca="false">IF($B1702="","",IF(AND(OR(KARTU!$K$6="",$E1702=KARTU!$K$6),OR(KARTU!$K$7="",$F1702=KARTU!$K$7),OR(KARTU!$K$8="",$K1702=KARTU!$K$8)),MAX($Z$3:Z1701)+1,""))</f>
        <v/>
      </c>
    </row>
    <row r="1703" customFormat="false" ht="15" hidden="false" customHeight="false" outlineLevel="0" collapsed="false">
      <c r="A1703" s="36" t="str">
        <f aca="false">IF($B1703="","",COUNTA($B$4:$B1703))</f>
        <v/>
      </c>
      <c r="B1703" s="37"/>
      <c r="C1703" s="38"/>
      <c r="D1703" s="39"/>
      <c r="E1703" s="37"/>
      <c r="F1703" s="39"/>
      <c r="G1703" s="40" t="str">
        <f aca="false">IF(OR($E1703="",$F1703=""),"",$E1703&amp;" - RT "&amp;$F1703)</f>
        <v/>
      </c>
      <c r="H1703" s="37"/>
      <c r="I1703" s="38"/>
      <c r="J1703" s="37"/>
      <c r="K1703" s="39"/>
      <c r="L1703" s="41"/>
      <c r="M1703" s="36" t="str">
        <f aca="true">IF(OR($B1703="",$L1703=""),"",DATEDIF($L1703,TODAY(),"Y"))</f>
        <v/>
      </c>
      <c r="N1703" s="40" t="str">
        <f aca="false">IF($M1703="","",INDEX(usia_label,MATCH($M1703,usia_min,1)))</f>
        <v/>
      </c>
      <c r="O1703" s="37"/>
      <c r="P1703" s="41"/>
      <c r="Q1703" s="37"/>
      <c r="R1703" s="37"/>
      <c r="S1703" s="40" t="str">
        <f aca="false">IF($G1703="","",$G1703&amp;"#"&amp;COUNTIF($G$4:$G1703,$G1703))</f>
        <v/>
      </c>
      <c r="T1703" s="40" t="str">
        <f aca="false">IF($B1703="","",IF($C1703="","NIK kosong",IF(LEN($C1703)&lt;&gt;16,"NIK bukan 16 digit",IF(COUNTIF($C$4:$C$2003,$C1703&amp;"*")&gt;1,"NIK ganda",IF($E1703="","Kadus kosong",IF($F1703="","RT kosong",IF($H1703="","Jabatan kosong",IF($I1703="","No. HP kosong",IF($J1703="","Alamat kosong",IF(AND($M1703&lt;&gt;"",$M1703&lt;17),"Usia di bawah 17",""))))))))))</f>
        <v/>
      </c>
      <c r="U1703" s="40" t="str">
        <f aca="false">IF($B1703="","",IF(AND(OR(CARI!$C$5="",ISNUMBER(SEARCH(CARI!$C$5,$B1703&amp;" "&amp;$C1703&amp;" "&amp;$I1703&amp;" "&amp;$J1703&amp;" "&amp;$Q1703))),OR(CARI!$C$6="",$E1703=CARI!$C$6),OR(CARI!$C$7="",$F1703=CARI!$C$7),OR(CARI!$C$8="",$O1703=CARI!$C$8)),MAX($U$3:U1702)+1,""))</f>
        <v/>
      </c>
      <c r="V1703" s="40" t="str">
        <f aca="false">IF($T1703="","",MAX($V$3:V1702)+1)</f>
        <v/>
      </c>
      <c r="W1703" s="40" t="str">
        <f aca="false">IF($E1703="","",$E1703&amp;"#"&amp;COUNTIF($E$4:$E1703,$E1703))</f>
        <v/>
      </c>
      <c r="X1703" s="40" t="str">
        <f aca="false">IF($B1703="","",IF(AND(OR(CETAK!$J$10="",$E1703=CETAK!$J$10),OR(CETAK!$J$11="",$F1703=CETAK!$J$11),OR(CETAK!$J$12="",$K1703=CETAK!$J$12),OR(CETAK!$J$13="",$H1703=CETAK!$J$13),OR(CETAK!$J$14="",$O1703=CETAK!$J$14)),MAX($X$3:X1702)+1,""))</f>
        <v/>
      </c>
      <c r="Y1703" s="40" t="str">
        <f aca="false">IF($B1703="","",IF(AND(OR(ABSENSI!$H$10="",$E1703=ABSENSI!$H$10),OR(ABSENSI!$H$11="",$F1703=ABSENSI!$H$11),OR(ABSENSI!$H$12="",$K1703=ABSENSI!$H$12)),MAX($Y$3:Y1702)+1,""))</f>
        <v/>
      </c>
      <c r="Z1703" s="40" t="str">
        <f aca="false">IF($B1703="","",IF(AND(OR(KARTU!$K$6="",$E1703=KARTU!$K$6),OR(KARTU!$K$7="",$F1703=KARTU!$K$7),OR(KARTU!$K$8="",$K1703=KARTU!$K$8)),MAX($Z$3:Z1702)+1,""))</f>
        <v/>
      </c>
    </row>
    <row r="1704" customFormat="false" ht="15" hidden="false" customHeight="false" outlineLevel="0" collapsed="false">
      <c r="A1704" s="36" t="str">
        <f aca="false">IF($B1704="","",COUNTA($B$4:$B1704))</f>
        <v/>
      </c>
      <c r="B1704" s="37"/>
      <c r="C1704" s="38"/>
      <c r="D1704" s="39"/>
      <c r="E1704" s="37"/>
      <c r="F1704" s="39"/>
      <c r="G1704" s="40" t="str">
        <f aca="false">IF(OR($E1704="",$F1704=""),"",$E1704&amp;" - RT "&amp;$F1704)</f>
        <v/>
      </c>
      <c r="H1704" s="37"/>
      <c r="I1704" s="38"/>
      <c r="J1704" s="37"/>
      <c r="K1704" s="39"/>
      <c r="L1704" s="41"/>
      <c r="M1704" s="36" t="str">
        <f aca="true">IF(OR($B1704="",$L1704=""),"",DATEDIF($L1704,TODAY(),"Y"))</f>
        <v/>
      </c>
      <c r="N1704" s="40" t="str">
        <f aca="false">IF($M1704="","",INDEX(usia_label,MATCH($M1704,usia_min,1)))</f>
        <v/>
      </c>
      <c r="O1704" s="37"/>
      <c r="P1704" s="41"/>
      <c r="Q1704" s="37"/>
      <c r="R1704" s="37"/>
      <c r="S1704" s="40" t="str">
        <f aca="false">IF($G1704="","",$G1704&amp;"#"&amp;COUNTIF($G$4:$G1704,$G1704))</f>
        <v/>
      </c>
      <c r="T1704" s="40" t="str">
        <f aca="false">IF($B1704="","",IF($C1704="","NIK kosong",IF(LEN($C1704)&lt;&gt;16,"NIK bukan 16 digit",IF(COUNTIF($C$4:$C$2003,$C1704&amp;"*")&gt;1,"NIK ganda",IF($E1704="","Kadus kosong",IF($F1704="","RT kosong",IF($H1704="","Jabatan kosong",IF($I1704="","No. HP kosong",IF($J1704="","Alamat kosong",IF(AND($M1704&lt;&gt;"",$M1704&lt;17),"Usia di bawah 17",""))))))))))</f>
        <v/>
      </c>
      <c r="U1704" s="40" t="str">
        <f aca="false">IF($B1704="","",IF(AND(OR(CARI!$C$5="",ISNUMBER(SEARCH(CARI!$C$5,$B1704&amp;" "&amp;$C1704&amp;" "&amp;$I1704&amp;" "&amp;$J1704&amp;" "&amp;$Q1704))),OR(CARI!$C$6="",$E1704=CARI!$C$6),OR(CARI!$C$7="",$F1704=CARI!$C$7),OR(CARI!$C$8="",$O1704=CARI!$C$8)),MAX($U$3:U1703)+1,""))</f>
        <v/>
      </c>
      <c r="V1704" s="40" t="str">
        <f aca="false">IF($T1704="","",MAX($V$3:V1703)+1)</f>
        <v/>
      </c>
      <c r="W1704" s="40" t="str">
        <f aca="false">IF($E1704="","",$E1704&amp;"#"&amp;COUNTIF($E$4:$E1704,$E1704))</f>
        <v/>
      </c>
      <c r="X1704" s="40" t="str">
        <f aca="false">IF($B1704="","",IF(AND(OR(CETAK!$J$10="",$E1704=CETAK!$J$10),OR(CETAK!$J$11="",$F1704=CETAK!$J$11),OR(CETAK!$J$12="",$K1704=CETAK!$J$12),OR(CETAK!$J$13="",$H1704=CETAK!$J$13),OR(CETAK!$J$14="",$O1704=CETAK!$J$14)),MAX($X$3:X1703)+1,""))</f>
        <v/>
      </c>
      <c r="Y1704" s="40" t="str">
        <f aca="false">IF($B1704="","",IF(AND(OR(ABSENSI!$H$10="",$E1704=ABSENSI!$H$10),OR(ABSENSI!$H$11="",$F1704=ABSENSI!$H$11),OR(ABSENSI!$H$12="",$K1704=ABSENSI!$H$12)),MAX($Y$3:Y1703)+1,""))</f>
        <v/>
      </c>
      <c r="Z1704" s="40" t="str">
        <f aca="false">IF($B1704="","",IF(AND(OR(KARTU!$K$6="",$E1704=KARTU!$K$6),OR(KARTU!$K$7="",$F1704=KARTU!$K$7),OR(KARTU!$K$8="",$K1704=KARTU!$K$8)),MAX($Z$3:Z1703)+1,""))</f>
        <v/>
      </c>
    </row>
    <row r="1705" customFormat="false" ht="15" hidden="false" customHeight="false" outlineLevel="0" collapsed="false">
      <c r="A1705" s="36" t="str">
        <f aca="false">IF($B1705="","",COUNTA($B$4:$B1705))</f>
        <v/>
      </c>
      <c r="B1705" s="37"/>
      <c r="C1705" s="38"/>
      <c r="D1705" s="39"/>
      <c r="E1705" s="37"/>
      <c r="F1705" s="39"/>
      <c r="G1705" s="40" t="str">
        <f aca="false">IF(OR($E1705="",$F1705=""),"",$E1705&amp;" - RT "&amp;$F1705)</f>
        <v/>
      </c>
      <c r="H1705" s="37"/>
      <c r="I1705" s="38"/>
      <c r="J1705" s="37"/>
      <c r="K1705" s="39"/>
      <c r="L1705" s="41"/>
      <c r="M1705" s="36" t="str">
        <f aca="true">IF(OR($B1705="",$L1705=""),"",DATEDIF($L1705,TODAY(),"Y"))</f>
        <v/>
      </c>
      <c r="N1705" s="40" t="str">
        <f aca="false">IF($M1705="","",INDEX(usia_label,MATCH($M1705,usia_min,1)))</f>
        <v/>
      </c>
      <c r="O1705" s="37"/>
      <c r="P1705" s="41"/>
      <c r="Q1705" s="37"/>
      <c r="R1705" s="37"/>
      <c r="S1705" s="40" t="str">
        <f aca="false">IF($G1705="","",$G1705&amp;"#"&amp;COUNTIF($G$4:$G1705,$G1705))</f>
        <v/>
      </c>
      <c r="T1705" s="40" t="str">
        <f aca="false">IF($B1705="","",IF($C1705="","NIK kosong",IF(LEN($C1705)&lt;&gt;16,"NIK bukan 16 digit",IF(COUNTIF($C$4:$C$2003,$C1705&amp;"*")&gt;1,"NIK ganda",IF($E1705="","Kadus kosong",IF($F1705="","RT kosong",IF($H1705="","Jabatan kosong",IF($I1705="","No. HP kosong",IF($J1705="","Alamat kosong",IF(AND($M1705&lt;&gt;"",$M1705&lt;17),"Usia di bawah 17",""))))))))))</f>
        <v/>
      </c>
      <c r="U1705" s="40" t="str">
        <f aca="false">IF($B1705="","",IF(AND(OR(CARI!$C$5="",ISNUMBER(SEARCH(CARI!$C$5,$B1705&amp;" "&amp;$C1705&amp;" "&amp;$I1705&amp;" "&amp;$J1705&amp;" "&amp;$Q1705))),OR(CARI!$C$6="",$E1705=CARI!$C$6),OR(CARI!$C$7="",$F1705=CARI!$C$7),OR(CARI!$C$8="",$O1705=CARI!$C$8)),MAX($U$3:U1704)+1,""))</f>
        <v/>
      </c>
      <c r="V1705" s="40" t="str">
        <f aca="false">IF($T1705="","",MAX($V$3:V1704)+1)</f>
        <v/>
      </c>
      <c r="W1705" s="40" t="str">
        <f aca="false">IF($E1705="","",$E1705&amp;"#"&amp;COUNTIF($E$4:$E1705,$E1705))</f>
        <v/>
      </c>
      <c r="X1705" s="40" t="str">
        <f aca="false">IF($B1705="","",IF(AND(OR(CETAK!$J$10="",$E1705=CETAK!$J$10),OR(CETAK!$J$11="",$F1705=CETAK!$J$11),OR(CETAK!$J$12="",$K1705=CETAK!$J$12),OR(CETAK!$J$13="",$H1705=CETAK!$J$13),OR(CETAK!$J$14="",$O1705=CETAK!$J$14)),MAX($X$3:X1704)+1,""))</f>
        <v/>
      </c>
      <c r="Y1705" s="40" t="str">
        <f aca="false">IF($B1705="","",IF(AND(OR(ABSENSI!$H$10="",$E1705=ABSENSI!$H$10),OR(ABSENSI!$H$11="",$F1705=ABSENSI!$H$11),OR(ABSENSI!$H$12="",$K1705=ABSENSI!$H$12)),MAX($Y$3:Y1704)+1,""))</f>
        <v/>
      </c>
      <c r="Z1705" s="40" t="str">
        <f aca="false">IF($B1705="","",IF(AND(OR(KARTU!$K$6="",$E1705=KARTU!$K$6),OR(KARTU!$K$7="",$F1705=KARTU!$K$7),OR(KARTU!$K$8="",$K1705=KARTU!$K$8)),MAX($Z$3:Z1704)+1,""))</f>
        <v/>
      </c>
    </row>
    <row r="1706" customFormat="false" ht="15" hidden="false" customHeight="false" outlineLevel="0" collapsed="false">
      <c r="A1706" s="36" t="str">
        <f aca="false">IF($B1706="","",COUNTA($B$4:$B1706))</f>
        <v/>
      </c>
      <c r="B1706" s="37"/>
      <c r="C1706" s="38"/>
      <c r="D1706" s="39"/>
      <c r="E1706" s="37"/>
      <c r="F1706" s="39"/>
      <c r="G1706" s="40" t="str">
        <f aca="false">IF(OR($E1706="",$F1706=""),"",$E1706&amp;" - RT "&amp;$F1706)</f>
        <v/>
      </c>
      <c r="H1706" s="37"/>
      <c r="I1706" s="38"/>
      <c r="J1706" s="37"/>
      <c r="K1706" s="39"/>
      <c r="L1706" s="41"/>
      <c r="M1706" s="36" t="str">
        <f aca="true">IF(OR($B1706="",$L1706=""),"",DATEDIF($L1706,TODAY(),"Y"))</f>
        <v/>
      </c>
      <c r="N1706" s="40" t="str">
        <f aca="false">IF($M1706="","",INDEX(usia_label,MATCH($M1706,usia_min,1)))</f>
        <v/>
      </c>
      <c r="O1706" s="37"/>
      <c r="P1706" s="41"/>
      <c r="Q1706" s="37"/>
      <c r="R1706" s="37"/>
      <c r="S1706" s="40" t="str">
        <f aca="false">IF($G1706="","",$G1706&amp;"#"&amp;COUNTIF($G$4:$G1706,$G1706))</f>
        <v/>
      </c>
      <c r="T1706" s="40" t="str">
        <f aca="false">IF($B1706="","",IF($C1706="","NIK kosong",IF(LEN($C1706)&lt;&gt;16,"NIK bukan 16 digit",IF(COUNTIF($C$4:$C$2003,$C1706&amp;"*")&gt;1,"NIK ganda",IF($E1706="","Kadus kosong",IF($F1706="","RT kosong",IF($H1706="","Jabatan kosong",IF($I1706="","No. HP kosong",IF($J1706="","Alamat kosong",IF(AND($M1706&lt;&gt;"",$M1706&lt;17),"Usia di bawah 17",""))))))))))</f>
        <v/>
      </c>
      <c r="U1706" s="40" t="str">
        <f aca="false">IF($B1706="","",IF(AND(OR(CARI!$C$5="",ISNUMBER(SEARCH(CARI!$C$5,$B1706&amp;" "&amp;$C1706&amp;" "&amp;$I1706&amp;" "&amp;$J1706&amp;" "&amp;$Q1706))),OR(CARI!$C$6="",$E1706=CARI!$C$6),OR(CARI!$C$7="",$F1706=CARI!$C$7),OR(CARI!$C$8="",$O1706=CARI!$C$8)),MAX($U$3:U1705)+1,""))</f>
        <v/>
      </c>
      <c r="V1706" s="40" t="str">
        <f aca="false">IF($T1706="","",MAX($V$3:V1705)+1)</f>
        <v/>
      </c>
      <c r="W1706" s="40" t="str">
        <f aca="false">IF($E1706="","",$E1706&amp;"#"&amp;COUNTIF($E$4:$E1706,$E1706))</f>
        <v/>
      </c>
      <c r="X1706" s="40" t="str">
        <f aca="false">IF($B1706="","",IF(AND(OR(CETAK!$J$10="",$E1706=CETAK!$J$10),OR(CETAK!$J$11="",$F1706=CETAK!$J$11),OR(CETAK!$J$12="",$K1706=CETAK!$J$12),OR(CETAK!$J$13="",$H1706=CETAK!$J$13),OR(CETAK!$J$14="",$O1706=CETAK!$J$14)),MAX($X$3:X1705)+1,""))</f>
        <v/>
      </c>
      <c r="Y1706" s="40" t="str">
        <f aca="false">IF($B1706="","",IF(AND(OR(ABSENSI!$H$10="",$E1706=ABSENSI!$H$10),OR(ABSENSI!$H$11="",$F1706=ABSENSI!$H$11),OR(ABSENSI!$H$12="",$K1706=ABSENSI!$H$12)),MAX($Y$3:Y1705)+1,""))</f>
        <v/>
      </c>
      <c r="Z1706" s="40" t="str">
        <f aca="false">IF($B1706="","",IF(AND(OR(KARTU!$K$6="",$E1706=KARTU!$K$6),OR(KARTU!$K$7="",$F1706=KARTU!$K$7),OR(KARTU!$K$8="",$K1706=KARTU!$K$8)),MAX($Z$3:Z1705)+1,""))</f>
        <v/>
      </c>
    </row>
    <row r="1707" customFormat="false" ht="15" hidden="false" customHeight="false" outlineLevel="0" collapsed="false">
      <c r="A1707" s="36" t="str">
        <f aca="false">IF($B1707="","",COUNTA($B$4:$B1707))</f>
        <v/>
      </c>
      <c r="B1707" s="37"/>
      <c r="C1707" s="38"/>
      <c r="D1707" s="39"/>
      <c r="E1707" s="37"/>
      <c r="F1707" s="39"/>
      <c r="G1707" s="40" t="str">
        <f aca="false">IF(OR($E1707="",$F1707=""),"",$E1707&amp;" - RT "&amp;$F1707)</f>
        <v/>
      </c>
      <c r="H1707" s="37"/>
      <c r="I1707" s="38"/>
      <c r="J1707" s="37"/>
      <c r="K1707" s="39"/>
      <c r="L1707" s="41"/>
      <c r="M1707" s="36" t="str">
        <f aca="true">IF(OR($B1707="",$L1707=""),"",DATEDIF($L1707,TODAY(),"Y"))</f>
        <v/>
      </c>
      <c r="N1707" s="40" t="str">
        <f aca="false">IF($M1707="","",INDEX(usia_label,MATCH($M1707,usia_min,1)))</f>
        <v/>
      </c>
      <c r="O1707" s="37"/>
      <c r="P1707" s="41"/>
      <c r="Q1707" s="37"/>
      <c r="R1707" s="37"/>
      <c r="S1707" s="40" t="str">
        <f aca="false">IF($G1707="","",$G1707&amp;"#"&amp;COUNTIF($G$4:$G1707,$G1707))</f>
        <v/>
      </c>
      <c r="T1707" s="40" t="str">
        <f aca="false">IF($B1707="","",IF($C1707="","NIK kosong",IF(LEN($C1707)&lt;&gt;16,"NIK bukan 16 digit",IF(COUNTIF($C$4:$C$2003,$C1707&amp;"*")&gt;1,"NIK ganda",IF($E1707="","Kadus kosong",IF($F1707="","RT kosong",IF($H1707="","Jabatan kosong",IF($I1707="","No. HP kosong",IF($J1707="","Alamat kosong",IF(AND($M1707&lt;&gt;"",$M1707&lt;17),"Usia di bawah 17",""))))))))))</f>
        <v/>
      </c>
      <c r="U1707" s="40" t="str">
        <f aca="false">IF($B1707="","",IF(AND(OR(CARI!$C$5="",ISNUMBER(SEARCH(CARI!$C$5,$B1707&amp;" "&amp;$C1707&amp;" "&amp;$I1707&amp;" "&amp;$J1707&amp;" "&amp;$Q1707))),OR(CARI!$C$6="",$E1707=CARI!$C$6),OR(CARI!$C$7="",$F1707=CARI!$C$7),OR(CARI!$C$8="",$O1707=CARI!$C$8)),MAX($U$3:U1706)+1,""))</f>
        <v/>
      </c>
      <c r="V1707" s="40" t="str">
        <f aca="false">IF($T1707="","",MAX($V$3:V1706)+1)</f>
        <v/>
      </c>
      <c r="W1707" s="40" t="str">
        <f aca="false">IF($E1707="","",$E1707&amp;"#"&amp;COUNTIF($E$4:$E1707,$E1707))</f>
        <v/>
      </c>
      <c r="X1707" s="40" t="str">
        <f aca="false">IF($B1707="","",IF(AND(OR(CETAK!$J$10="",$E1707=CETAK!$J$10),OR(CETAK!$J$11="",$F1707=CETAK!$J$11),OR(CETAK!$J$12="",$K1707=CETAK!$J$12),OR(CETAK!$J$13="",$H1707=CETAK!$J$13),OR(CETAK!$J$14="",$O1707=CETAK!$J$14)),MAX($X$3:X1706)+1,""))</f>
        <v/>
      </c>
      <c r="Y1707" s="40" t="str">
        <f aca="false">IF($B1707="","",IF(AND(OR(ABSENSI!$H$10="",$E1707=ABSENSI!$H$10),OR(ABSENSI!$H$11="",$F1707=ABSENSI!$H$11),OR(ABSENSI!$H$12="",$K1707=ABSENSI!$H$12)),MAX($Y$3:Y1706)+1,""))</f>
        <v/>
      </c>
      <c r="Z1707" s="40" t="str">
        <f aca="false">IF($B1707="","",IF(AND(OR(KARTU!$K$6="",$E1707=KARTU!$K$6),OR(KARTU!$K$7="",$F1707=KARTU!$K$7),OR(KARTU!$K$8="",$K1707=KARTU!$K$8)),MAX($Z$3:Z1706)+1,""))</f>
        <v/>
      </c>
    </row>
    <row r="1708" customFormat="false" ht="15" hidden="false" customHeight="false" outlineLevel="0" collapsed="false">
      <c r="A1708" s="36" t="str">
        <f aca="false">IF($B1708="","",COUNTA($B$4:$B1708))</f>
        <v/>
      </c>
      <c r="B1708" s="37"/>
      <c r="C1708" s="38"/>
      <c r="D1708" s="39"/>
      <c r="E1708" s="37"/>
      <c r="F1708" s="39"/>
      <c r="G1708" s="40" t="str">
        <f aca="false">IF(OR($E1708="",$F1708=""),"",$E1708&amp;" - RT "&amp;$F1708)</f>
        <v/>
      </c>
      <c r="H1708" s="37"/>
      <c r="I1708" s="38"/>
      <c r="J1708" s="37"/>
      <c r="K1708" s="39"/>
      <c r="L1708" s="41"/>
      <c r="M1708" s="36" t="str">
        <f aca="true">IF(OR($B1708="",$L1708=""),"",DATEDIF($L1708,TODAY(),"Y"))</f>
        <v/>
      </c>
      <c r="N1708" s="40" t="str">
        <f aca="false">IF($M1708="","",INDEX(usia_label,MATCH($M1708,usia_min,1)))</f>
        <v/>
      </c>
      <c r="O1708" s="37"/>
      <c r="P1708" s="41"/>
      <c r="Q1708" s="37"/>
      <c r="R1708" s="37"/>
      <c r="S1708" s="40" t="str">
        <f aca="false">IF($G1708="","",$G1708&amp;"#"&amp;COUNTIF($G$4:$G1708,$G1708))</f>
        <v/>
      </c>
      <c r="T1708" s="40" t="str">
        <f aca="false">IF($B1708="","",IF($C1708="","NIK kosong",IF(LEN($C1708)&lt;&gt;16,"NIK bukan 16 digit",IF(COUNTIF($C$4:$C$2003,$C1708&amp;"*")&gt;1,"NIK ganda",IF($E1708="","Kadus kosong",IF($F1708="","RT kosong",IF($H1708="","Jabatan kosong",IF($I1708="","No. HP kosong",IF($J1708="","Alamat kosong",IF(AND($M1708&lt;&gt;"",$M1708&lt;17),"Usia di bawah 17",""))))))))))</f>
        <v/>
      </c>
      <c r="U1708" s="40" t="str">
        <f aca="false">IF($B1708="","",IF(AND(OR(CARI!$C$5="",ISNUMBER(SEARCH(CARI!$C$5,$B1708&amp;" "&amp;$C1708&amp;" "&amp;$I1708&amp;" "&amp;$J1708&amp;" "&amp;$Q1708))),OR(CARI!$C$6="",$E1708=CARI!$C$6),OR(CARI!$C$7="",$F1708=CARI!$C$7),OR(CARI!$C$8="",$O1708=CARI!$C$8)),MAX($U$3:U1707)+1,""))</f>
        <v/>
      </c>
      <c r="V1708" s="40" t="str">
        <f aca="false">IF($T1708="","",MAX($V$3:V1707)+1)</f>
        <v/>
      </c>
      <c r="W1708" s="40" t="str">
        <f aca="false">IF($E1708="","",$E1708&amp;"#"&amp;COUNTIF($E$4:$E1708,$E1708))</f>
        <v/>
      </c>
      <c r="X1708" s="40" t="str">
        <f aca="false">IF($B1708="","",IF(AND(OR(CETAK!$J$10="",$E1708=CETAK!$J$10),OR(CETAK!$J$11="",$F1708=CETAK!$J$11),OR(CETAK!$J$12="",$K1708=CETAK!$J$12),OR(CETAK!$J$13="",$H1708=CETAK!$J$13),OR(CETAK!$J$14="",$O1708=CETAK!$J$14)),MAX($X$3:X1707)+1,""))</f>
        <v/>
      </c>
      <c r="Y1708" s="40" t="str">
        <f aca="false">IF($B1708="","",IF(AND(OR(ABSENSI!$H$10="",$E1708=ABSENSI!$H$10),OR(ABSENSI!$H$11="",$F1708=ABSENSI!$H$11),OR(ABSENSI!$H$12="",$K1708=ABSENSI!$H$12)),MAX($Y$3:Y1707)+1,""))</f>
        <v/>
      </c>
      <c r="Z1708" s="40" t="str">
        <f aca="false">IF($B1708="","",IF(AND(OR(KARTU!$K$6="",$E1708=KARTU!$K$6),OR(KARTU!$K$7="",$F1708=KARTU!$K$7),OR(KARTU!$K$8="",$K1708=KARTU!$K$8)),MAX($Z$3:Z1707)+1,""))</f>
        <v/>
      </c>
    </row>
    <row r="1709" customFormat="false" ht="15" hidden="false" customHeight="false" outlineLevel="0" collapsed="false">
      <c r="A1709" s="36" t="str">
        <f aca="false">IF($B1709="","",COUNTA($B$4:$B1709))</f>
        <v/>
      </c>
      <c r="B1709" s="37"/>
      <c r="C1709" s="38"/>
      <c r="D1709" s="39"/>
      <c r="E1709" s="37"/>
      <c r="F1709" s="39"/>
      <c r="G1709" s="40" t="str">
        <f aca="false">IF(OR($E1709="",$F1709=""),"",$E1709&amp;" - RT "&amp;$F1709)</f>
        <v/>
      </c>
      <c r="H1709" s="37"/>
      <c r="I1709" s="38"/>
      <c r="J1709" s="37"/>
      <c r="K1709" s="39"/>
      <c r="L1709" s="41"/>
      <c r="M1709" s="36" t="str">
        <f aca="true">IF(OR($B1709="",$L1709=""),"",DATEDIF($L1709,TODAY(),"Y"))</f>
        <v/>
      </c>
      <c r="N1709" s="40" t="str">
        <f aca="false">IF($M1709="","",INDEX(usia_label,MATCH($M1709,usia_min,1)))</f>
        <v/>
      </c>
      <c r="O1709" s="37"/>
      <c r="P1709" s="41"/>
      <c r="Q1709" s="37"/>
      <c r="R1709" s="37"/>
      <c r="S1709" s="40" t="str">
        <f aca="false">IF($G1709="","",$G1709&amp;"#"&amp;COUNTIF($G$4:$G1709,$G1709))</f>
        <v/>
      </c>
      <c r="T1709" s="40" t="str">
        <f aca="false">IF($B1709="","",IF($C1709="","NIK kosong",IF(LEN($C1709)&lt;&gt;16,"NIK bukan 16 digit",IF(COUNTIF($C$4:$C$2003,$C1709&amp;"*")&gt;1,"NIK ganda",IF($E1709="","Kadus kosong",IF($F1709="","RT kosong",IF($H1709="","Jabatan kosong",IF($I1709="","No. HP kosong",IF($J1709="","Alamat kosong",IF(AND($M1709&lt;&gt;"",$M1709&lt;17),"Usia di bawah 17",""))))))))))</f>
        <v/>
      </c>
      <c r="U1709" s="40" t="str">
        <f aca="false">IF($B1709="","",IF(AND(OR(CARI!$C$5="",ISNUMBER(SEARCH(CARI!$C$5,$B1709&amp;" "&amp;$C1709&amp;" "&amp;$I1709&amp;" "&amp;$J1709&amp;" "&amp;$Q1709))),OR(CARI!$C$6="",$E1709=CARI!$C$6),OR(CARI!$C$7="",$F1709=CARI!$C$7),OR(CARI!$C$8="",$O1709=CARI!$C$8)),MAX($U$3:U1708)+1,""))</f>
        <v/>
      </c>
      <c r="V1709" s="40" t="str">
        <f aca="false">IF($T1709="","",MAX($V$3:V1708)+1)</f>
        <v/>
      </c>
      <c r="W1709" s="40" t="str">
        <f aca="false">IF($E1709="","",$E1709&amp;"#"&amp;COUNTIF($E$4:$E1709,$E1709))</f>
        <v/>
      </c>
      <c r="X1709" s="40" t="str">
        <f aca="false">IF($B1709="","",IF(AND(OR(CETAK!$J$10="",$E1709=CETAK!$J$10),OR(CETAK!$J$11="",$F1709=CETAK!$J$11),OR(CETAK!$J$12="",$K1709=CETAK!$J$12),OR(CETAK!$J$13="",$H1709=CETAK!$J$13),OR(CETAK!$J$14="",$O1709=CETAK!$J$14)),MAX($X$3:X1708)+1,""))</f>
        <v/>
      </c>
      <c r="Y1709" s="40" t="str">
        <f aca="false">IF($B1709="","",IF(AND(OR(ABSENSI!$H$10="",$E1709=ABSENSI!$H$10),OR(ABSENSI!$H$11="",$F1709=ABSENSI!$H$11),OR(ABSENSI!$H$12="",$K1709=ABSENSI!$H$12)),MAX($Y$3:Y1708)+1,""))</f>
        <v/>
      </c>
      <c r="Z1709" s="40" t="str">
        <f aca="false">IF($B1709="","",IF(AND(OR(KARTU!$K$6="",$E1709=KARTU!$K$6),OR(KARTU!$K$7="",$F1709=KARTU!$K$7),OR(KARTU!$K$8="",$K1709=KARTU!$K$8)),MAX($Z$3:Z1708)+1,""))</f>
        <v/>
      </c>
    </row>
    <row r="1710" customFormat="false" ht="15" hidden="false" customHeight="false" outlineLevel="0" collapsed="false">
      <c r="A1710" s="36" t="str">
        <f aca="false">IF($B1710="","",COUNTA($B$4:$B1710))</f>
        <v/>
      </c>
      <c r="B1710" s="37"/>
      <c r="C1710" s="38"/>
      <c r="D1710" s="39"/>
      <c r="E1710" s="37"/>
      <c r="F1710" s="39"/>
      <c r="G1710" s="40" t="str">
        <f aca="false">IF(OR($E1710="",$F1710=""),"",$E1710&amp;" - RT "&amp;$F1710)</f>
        <v/>
      </c>
      <c r="H1710" s="37"/>
      <c r="I1710" s="38"/>
      <c r="J1710" s="37"/>
      <c r="K1710" s="39"/>
      <c r="L1710" s="41"/>
      <c r="M1710" s="36" t="str">
        <f aca="true">IF(OR($B1710="",$L1710=""),"",DATEDIF($L1710,TODAY(),"Y"))</f>
        <v/>
      </c>
      <c r="N1710" s="40" t="str">
        <f aca="false">IF($M1710="","",INDEX(usia_label,MATCH($M1710,usia_min,1)))</f>
        <v/>
      </c>
      <c r="O1710" s="37"/>
      <c r="P1710" s="41"/>
      <c r="Q1710" s="37"/>
      <c r="R1710" s="37"/>
      <c r="S1710" s="40" t="str">
        <f aca="false">IF($G1710="","",$G1710&amp;"#"&amp;COUNTIF($G$4:$G1710,$G1710))</f>
        <v/>
      </c>
      <c r="T1710" s="40" t="str">
        <f aca="false">IF($B1710="","",IF($C1710="","NIK kosong",IF(LEN($C1710)&lt;&gt;16,"NIK bukan 16 digit",IF(COUNTIF($C$4:$C$2003,$C1710&amp;"*")&gt;1,"NIK ganda",IF($E1710="","Kadus kosong",IF($F1710="","RT kosong",IF($H1710="","Jabatan kosong",IF($I1710="","No. HP kosong",IF($J1710="","Alamat kosong",IF(AND($M1710&lt;&gt;"",$M1710&lt;17),"Usia di bawah 17",""))))))))))</f>
        <v/>
      </c>
      <c r="U1710" s="40" t="str">
        <f aca="false">IF($B1710="","",IF(AND(OR(CARI!$C$5="",ISNUMBER(SEARCH(CARI!$C$5,$B1710&amp;" "&amp;$C1710&amp;" "&amp;$I1710&amp;" "&amp;$J1710&amp;" "&amp;$Q1710))),OR(CARI!$C$6="",$E1710=CARI!$C$6),OR(CARI!$C$7="",$F1710=CARI!$C$7),OR(CARI!$C$8="",$O1710=CARI!$C$8)),MAX($U$3:U1709)+1,""))</f>
        <v/>
      </c>
      <c r="V1710" s="40" t="str">
        <f aca="false">IF($T1710="","",MAX($V$3:V1709)+1)</f>
        <v/>
      </c>
      <c r="W1710" s="40" t="str">
        <f aca="false">IF($E1710="","",$E1710&amp;"#"&amp;COUNTIF($E$4:$E1710,$E1710))</f>
        <v/>
      </c>
      <c r="X1710" s="40" t="str">
        <f aca="false">IF($B1710="","",IF(AND(OR(CETAK!$J$10="",$E1710=CETAK!$J$10),OR(CETAK!$J$11="",$F1710=CETAK!$J$11),OR(CETAK!$J$12="",$K1710=CETAK!$J$12),OR(CETAK!$J$13="",$H1710=CETAK!$J$13),OR(CETAK!$J$14="",$O1710=CETAK!$J$14)),MAX($X$3:X1709)+1,""))</f>
        <v/>
      </c>
      <c r="Y1710" s="40" t="str">
        <f aca="false">IF($B1710="","",IF(AND(OR(ABSENSI!$H$10="",$E1710=ABSENSI!$H$10),OR(ABSENSI!$H$11="",$F1710=ABSENSI!$H$11),OR(ABSENSI!$H$12="",$K1710=ABSENSI!$H$12)),MAX($Y$3:Y1709)+1,""))</f>
        <v/>
      </c>
      <c r="Z1710" s="40" t="str">
        <f aca="false">IF($B1710="","",IF(AND(OR(KARTU!$K$6="",$E1710=KARTU!$K$6),OR(KARTU!$K$7="",$F1710=KARTU!$K$7),OR(KARTU!$K$8="",$K1710=KARTU!$K$8)),MAX($Z$3:Z1709)+1,""))</f>
        <v/>
      </c>
    </row>
    <row r="1711" customFormat="false" ht="15" hidden="false" customHeight="false" outlineLevel="0" collapsed="false">
      <c r="A1711" s="36" t="str">
        <f aca="false">IF($B1711="","",COUNTA($B$4:$B1711))</f>
        <v/>
      </c>
      <c r="B1711" s="37"/>
      <c r="C1711" s="38"/>
      <c r="D1711" s="39"/>
      <c r="E1711" s="37"/>
      <c r="F1711" s="39"/>
      <c r="G1711" s="40" t="str">
        <f aca="false">IF(OR($E1711="",$F1711=""),"",$E1711&amp;" - RT "&amp;$F1711)</f>
        <v/>
      </c>
      <c r="H1711" s="37"/>
      <c r="I1711" s="38"/>
      <c r="J1711" s="37"/>
      <c r="K1711" s="39"/>
      <c r="L1711" s="41"/>
      <c r="M1711" s="36" t="str">
        <f aca="true">IF(OR($B1711="",$L1711=""),"",DATEDIF($L1711,TODAY(),"Y"))</f>
        <v/>
      </c>
      <c r="N1711" s="40" t="str">
        <f aca="false">IF($M1711="","",INDEX(usia_label,MATCH($M1711,usia_min,1)))</f>
        <v/>
      </c>
      <c r="O1711" s="37"/>
      <c r="P1711" s="41"/>
      <c r="Q1711" s="37"/>
      <c r="R1711" s="37"/>
      <c r="S1711" s="40" t="str">
        <f aca="false">IF($G1711="","",$G1711&amp;"#"&amp;COUNTIF($G$4:$G1711,$G1711))</f>
        <v/>
      </c>
      <c r="T1711" s="40" t="str">
        <f aca="false">IF($B1711="","",IF($C1711="","NIK kosong",IF(LEN($C1711)&lt;&gt;16,"NIK bukan 16 digit",IF(COUNTIF($C$4:$C$2003,$C1711&amp;"*")&gt;1,"NIK ganda",IF($E1711="","Kadus kosong",IF($F1711="","RT kosong",IF($H1711="","Jabatan kosong",IF($I1711="","No. HP kosong",IF($J1711="","Alamat kosong",IF(AND($M1711&lt;&gt;"",$M1711&lt;17),"Usia di bawah 17",""))))))))))</f>
        <v/>
      </c>
      <c r="U1711" s="40" t="str">
        <f aca="false">IF($B1711="","",IF(AND(OR(CARI!$C$5="",ISNUMBER(SEARCH(CARI!$C$5,$B1711&amp;" "&amp;$C1711&amp;" "&amp;$I1711&amp;" "&amp;$J1711&amp;" "&amp;$Q1711))),OR(CARI!$C$6="",$E1711=CARI!$C$6),OR(CARI!$C$7="",$F1711=CARI!$C$7),OR(CARI!$C$8="",$O1711=CARI!$C$8)),MAX($U$3:U1710)+1,""))</f>
        <v/>
      </c>
      <c r="V1711" s="40" t="str">
        <f aca="false">IF($T1711="","",MAX($V$3:V1710)+1)</f>
        <v/>
      </c>
      <c r="W1711" s="40" t="str">
        <f aca="false">IF($E1711="","",$E1711&amp;"#"&amp;COUNTIF($E$4:$E1711,$E1711))</f>
        <v/>
      </c>
      <c r="X1711" s="40" t="str">
        <f aca="false">IF($B1711="","",IF(AND(OR(CETAK!$J$10="",$E1711=CETAK!$J$10),OR(CETAK!$J$11="",$F1711=CETAK!$J$11),OR(CETAK!$J$12="",$K1711=CETAK!$J$12),OR(CETAK!$J$13="",$H1711=CETAK!$J$13),OR(CETAK!$J$14="",$O1711=CETAK!$J$14)),MAX($X$3:X1710)+1,""))</f>
        <v/>
      </c>
      <c r="Y1711" s="40" t="str">
        <f aca="false">IF($B1711="","",IF(AND(OR(ABSENSI!$H$10="",$E1711=ABSENSI!$H$10),OR(ABSENSI!$H$11="",$F1711=ABSENSI!$H$11),OR(ABSENSI!$H$12="",$K1711=ABSENSI!$H$12)),MAX($Y$3:Y1710)+1,""))</f>
        <v/>
      </c>
      <c r="Z1711" s="40" t="str">
        <f aca="false">IF($B1711="","",IF(AND(OR(KARTU!$K$6="",$E1711=KARTU!$K$6),OR(KARTU!$K$7="",$F1711=KARTU!$K$7),OR(KARTU!$K$8="",$K1711=KARTU!$K$8)),MAX($Z$3:Z1710)+1,""))</f>
        <v/>
      </c>
    </row>
    <row r="1712" customFormat="false" ht="15" hidden="false" customHeight="false" outlineLevel="0" collapsed="false">
      <c r="A1712" s="36" t="str">
        <f aca="false">IF($B1712="","",COUNTA($B$4:$B1712))</f>
        <v/>
      </c>
      <c r="B1712" s="37"/>
      <c r="C1712" s="38"/>
      <c r="D1712" s="39"/>
      <c r="E1712" s="37"/>
      <c r="F1712" s="39"/>
      <c r="G1712" s="40" t="str">
        <f aca="false">IF(OR($E1712="",$F1712=""),"",$E1712&amp;" - RT "&amp;$F1712)</f>
        <v/>
      </c>
      <c r="H1712" s="37"/>
      <c r="I1712" s="38"/>
      <c r="J1712" s="37"/>
      <c r="K1712" s="39"/>
      <c r="L1712" s="41"/>
      <c r="M1712" s="36" t="str">
        <f aca="true">IF(OR($B1712="",$L1712=""),"",DATEDIF($L1712,TODAY(),"Y"))</f>
        <v/>
      </c>
      <c r="N1712" s="40" t="str">
        <f aca="false">IF($M1712="","",INDEX(usia_label,MATCH($M1712,usia_min,1)))</f>
        <v/>
      </c>
      <c r="O1712" s="37"/>
      <c r="P1712" s="41"/>
      <c r="Q1712" s="37"/>
      <c r="R1712" s="37"/>
      <c r="S1712" s="40" t="str">
        <f aca="false">IF($G1712="","",$G1712&amp;"#"&amp;COUNTIF($G$4:$G1712,$G1712))</f>
        <v/>
      </c>
      <c r="T1712" s="40" t="str">
        <f aca="false">IF($B1712="","",IF($C1712="","NIK kosong",IF(LEN($C1712)&lt;&gt;16,"NIK bukan 16 digit",IF(COUNTIF($C$4:$C$2003,$C1712&amp;"*")&gt;1,"NIK ganda",IF($E1712="","Kadus kosong",IF($F1712="","RT kosong",IF($H1712="","Jabatan kosong",IF($I1712="","No. HP kosong",IF($J1712="","Alamat kosong",IF(AND($M1712&lt;&gt;"",$M1712&lt;17),"Usia di bawah 17",""))))))))))</f>
        <v/>
      </c>
      <c r="U1712" s="40" t="str">
        <f aca="false">IF($B1712="","",IF(AND(OR(CARI!$C$5="",ISNUMBER(SEARCH(CARI!$C$5,$B1712&amp;" "&amp;$C1712&amp;" "&amp;$I1712&amp;" "&amp;$J1712&amp;" "&amp;$Q1712))),OR(CARI!$C$6="",$E1712=CARI!$C$6),OR(CARI!$C$7="",$F1712=CARI!$C$7),OR(CARI!$C$8="",$O1712=CARI!$C$8)),MAX($U$3:U1711)+1,""))</f>
        <v/>
      </c>
      <c r="V1712" s="40" t="str">
        <f aca="false">IF($T1712="","",MAX($V$3:V1711)+1)</f>
        <v/>
      </c>
      <c r="W1712" s="40" t="str">
        <f aca="false">IF($E1712="","",$E1712&amp;"#"&amp;COUNTIF($E$4:$E1712,$E1712))</f>
        <v/>
      </c>
      <c r="X1712" s="40" t="str">
        <f aca="false">IF($B1712="","",IF(AND(OR(CETAK!$J$10="",$E1712=CETAK!$J$10),OR(CETAK!$J$11="",$F1712=CETAK!$J$11),OR(CETAK!$J$12="",$K1712=CETAK!$J$12),OR(CETAK!$J$13="",$H1712=CETAK!$J$13),OR(CETAK!$J$14="",$O1712=CETAK!$J$14)),MAX($X$3:X1711)+1,""))</f>
        <v/>
      </c>
      <c r="Y1712" s="40" t="str">
        <f aca="false">IF($B1712="","",IF(AND(OR(ABSENSI!$H$10="",$E1712=ABSENSI!$H$10),OR(ABSENSI!$H$11="",$F1712=ABSENSI!$H$11),OR(ABSENSI!$H$12="",$K1712=ABSENSI!$H$12)),MAX($Y$3:Y1711)+1,""))</f>
        <v/>
      </c>
      <c r="Z1712" s="40" t="str">
        <f aca="false">IF($B1712="","",IF(AND(OR(KARTU!$K$6="",$E1712=KARTU!$K$6),OR(KARTU!$K$7="",$F1712=KARTU!$K$7),OR(KARTU!$K$8="",$K1712=KARTU!$K$8)),MAX($Z$3:Z1711)+1,""))</f>
        <v/>
      </c>
    </row>
    <row r="1713" customFormat="false" ht="15" hidden="false" customHeight="false" outlineLevel="0" collapsed="false">
      <c r="A1713" s="36" t="str">
        <f aca="false">IF($B1713="","",COUNTA($B$4:$B1713))</f>
        <v/>
      </c>
      <c r="B1713" s="37"/>
      <c r="C1713" s="38"/>
      <c r="D1713" s="39"/>
      <c r="E1713" s="37"/>
      <c r="F1713" s="39"/>
      <c r="G1713" s="40" t="str">
        <f aca="false">IF(OR($E1713="",$F1713=""),"",$E1713&amp;" - RT "&amp;$F1713)</f>
        <v/>
      </c>
      <c r="H1713" s="37"/>
      <c r="I1713" s="38"/>
      <c r="J1713" s="37"/>
      <c r="K1713" s="39"/>
      <c r="L1713" s="41"/>
      <c r="M1713" s="36" t="str">
        <f aca="true">IF(OR($B1713="",$L1713=""),"",DATEDIF($L1713,TODAY(),"Y"))</f>
        <v/>
      </c>
      <c r="N1713" s="40" t="str">
        <f aca="false">IF($M1713="","",INDEX(usia_label,MATCH($M1713,usia_min,1)))</f>
        <v/>
      </c>
      <c r="O1713" s="37"/>
      <c r="P1713" s="41"/>
      <c r="Q1713" s="37"/>
      <c r="R1713" s="37"/>
      <c r="S1713" s="40" t="str">
        <f aca="false">IF($G1713="","",$G1713&amp;"#"&amp;COUNTIF($G$4:$G1713,$G1713))</f>
        <v/>
      </c>
      <c r="T1713" s="40" t="str">
        <f aca="false">IF($B1713="","",IF($C1713="","NIK kosong",IF(LEN($C1713)&lt;&gt;16,"NIK bukan 16 digit",IF(COUNTIF($C$4:$C$2003,$C1713&amp;"*")&gt;1,"NIK ganda",IF($E1713="","Kadus kosong",IF($F1713="","RT kosong",IF($H1713="","Jabatan kosong",IF($I1713="","No. HP kosong",IF($J1713="","Alamat kosong",IF(AND($M1713&lt;&gt;"",$M1713&lt;17),"Usia di bawah 17",""))))))))))</f>
        <v/>
      </c>
      <c r="U1713" s="40" t="str">
        <f aca="false">IF($B1713="","",IF(AND(OR(CARI!$C$5="",ISNUMBER(SEARCH(CARI!$C$5,$B1713&amp;" "&amp;$C1713&amp;" "&amp;$I1713&amp;" "&amp;$J1713&amp;" "&amp;$Q1713))),OR(CARI!$C$6="",$E1713=CARI!$C$6),OR(CARI!$C$7="",$F1713=CARI!$C$7),OR(CARI!$C$8="",$O1713=CARI!$C$8)),MAX($U$3:U1712)+1,""))</f>
        <v/>
      </c>
      <c r="V1713" s="40" t="str">
        <f aca="false">IF($T1713="","",MAX($V$3:V1712)+1)</f>
        <v/>
      </c>
      <c r="W1713" s="40" t="str">
        <f aca="false">IF($E1713="","",$E1713&amp;"#"&amp;COUNTIF($E$4:$E1713,$E1713))</f>
        <v/>
      </c>
      <c r="X1713" s="40" t="str">
        <f aca="false">IF($B1713="","",IF(AND(OR(CETAK!$J$10="",$E1713=CETAK!$J$10),OR(CETAK!$J$11="",$F1713=CETAK!$J$11),OR(CETAK!$J$12="",$K1713=CETAK!$J$12),OR(CETAK!$J$13="",$H1713=CETAK!$J$13),OR(CETAK!$J$14="",$O1713=CETAK!$J$14)),MAX($X$3:X1712)+1,""))</f>
        <v/>
      </c>
      <c r="Y1713" s="40" t="str">
        <f aca="false">IF($B1713="","",IF(AND(OR(ABSENSI!$H$10="",$E1713=ABSENSI!$H$10),OR(ABSENSI!$H$11="",$F1713=ABSENSI!$H$11),OR(ABSENSI!$H$12="",$K1713=ABSENSI!$H$12)),MAX($Y$3:Y1712)+1,""))</f>
        <v/>
      </c>
      <c r="Z1713" s="40" t="str">
        <f aca="false">IF($B1713="","",IF(AND(OR(KARTU!$K$6="",$E1713=KARTU!$K$6),OR(KARTU!$K$7="",$F1713=KARTU!$K$7),OR(KARTU!$K$8="",$K1713=KARTU!$K$8)),MAX($Z$3:Z1712)+1,""))</f>
        <v/>
      </c>
    </row>
    <row r="1714" customFormat="false" ht="15" hidden="false" customHeight="false" outlineLevel="0" collapsed="false">
      <c r="A1714" s="36" t="str">
        <f aca="false">IF($B1714="","",COUNTA($B$4:$B1714))</f>
        <v/>
      </c>
      <c r="B1714" s="37"/>
      <c r="C1714" s="38"/>
      <c r="D1714" s="39"/>
      <c r="E1714" s="37"/>
      <c r="F1714" s="39"/>
      <c r="G1714" s="40" t="str">
        <f aca="false">IF(OR($E1714="",$F1714=""),"",$E1714&amp;" - RT "&amp;$F1714)</f>
        <v/>
      </c>
      <c r="H1714" s="37"/>
      <c r="I1714" s="38"/>
      <c r="J1714" s="37"/>
      <c r="K1714" s="39"/>
      <c r="L1714" s="41"/>
      <c r="M1714" s="36" t="str">
        <f aca="true">IF(OR($B1714="",$L1714=""),"",DATEDIF($L1714,TODAY(),"Y"))</f>
        <v/>
      </c>
      <c r="N1714" s="40" t="str">
        <f aca="false">IF($M1714="","",INDEX(usia_label,MATCH($M1714,usia_min,1)))</f>
        <v/>
      </c>
      <c r="O1714" s="37"/>
      <c r="P1714" s="41"/>
      <c r="Q1714" s="37"/>
      <c r="R1714" s="37"/>
      <c r="S1714" s="40" t="str">
        <f aca="false">IF($G1714="","",$G1714&amp;"#"&amp;COUNTIF($G$4:$G1714,$G1714))</f>
        <v/>
      </c>
      <c r="T1714" s="40" t="str">
        <f aca="false">IF($B1714="","",IF($C1714="","NIK kosong",IF(LEN($C1714)&lt;&gt;16,"NIK bukan 16 digit",IF(COUNTIF($C$4:$C$2003,$C1714&amp;"*")&gt;1,"NIK ganda",IF($E1714="","Kadus kosong",IF($F1714="","RT kosong",IF($H1714="","Jabatan kosong",IF($I1714="","No. HP kosong",IF($J1714="","Alamat kosong",IF(AND($M1714&lt;&gt;"",$M1714&lt;17),"Usia di bawah 17",""))))))))))</f>
        <v/>
      </c>
      <c r="U1714" s="40" t="str">
        <f aca="false">IF($B1714="","",IF(AND(OR(CARI!$C$5="",ISNUMBER(SEARCH(CARI!$C$5,$B1714&amp;" "&amp;$C1714&amp;" "&amp;$I1714&amp;" "&amp;$J1714&amp;" "&amp;$Q1714))),OR(CARI!$C$6="",$E1714=CARI!$C$6),OR(CARI!$C$7="",$F1714=CARI!$C$7),OR(CARI!$C$8="",$O1714=CARI!$C$8)),MAX($U$3:U1713)+1,""))</f>
        <v/>
      </c>
      <c r="V1714" s="40" t="str">
        <f aca="false">IF($T1714="","",MAX($V$3:V1713)+1)</f>
        <v/>
      </c>
      <c r="W1714" s="40" t="str">
        <f aca="false">IF($E1714="","",$E1714&amp;"#"&amp;COUNTIF($E$4:$E1714,$E1714))</f>
        <v/>
      </c>
      <c r="X1714" s="40" t="str">
        <f aca="false">IF($B1714="","",IF(AND(OR(CETAK!$J$10="",$E1714=CETAK!$J$10),OR(CETAK!$J$11="",$F1714=CETAK!$J$11),OR(CETAK!$J$12="",$K1714=CETAK!$J$12),OR(CETAK!$J$13="",$H1714=CETAK!$J$13),OR(CETAK!$J$14="",$O1714=CETAK!$J$14)),MAX($X$3:X1713)+1,""))</f>
        <v/>
      </c>
      <c r="Y1714" s="40" t="str">
        <f aca="false">IF($B1714="","",IF(AND(OR(ABSENSI!$H$10="",$E1714=ABSENSI!$H$10),OR(ABSENSI!$H$11="",$F1714=ABSENSI!$H$11),OR(ABSENSI!$H$12="",$K1714=ABSENSI!$H$12)),MAX($Y$3:Y1713)+1,""))</f>
        <v/>
      </c>
      <c r="Z1714" s="40" t="str">
        <f aca="false">IF($B1714="","",IF(AND(OR(KARTU!$K$6="",$E1714=KARTU!$K$6),OR(KARTU!$K$7="",$F1714=KARTU!$K$7),OR(KARTU!$K$8="",$K1714=KARTU!$K$8)),MAX($Z$3:Z1713)+1,""))</f>
        <v/>
      </c>
    </row>
    <row r="1715" customFormat="false" ht="15" hidden="false" customHeight="false" outlineLevel="0" collapsed="false">
      <c r="A1715" s="36" t="str">
        <f aca="false">IF($B1715="","",COUNTA($B$4:$B1715))</f>
        <v/>
      </c>
      <c r="B1715" s="37"/>
      <c r="C1715" s="38"/>
      <c r="D1715" s="39"/>
      <c r="E1715" s="37"/>
      <c r="F1715" s="39"/>
      <c r="G1715" s="40" t="str">
        <f aca="false">IF(OR($E1715="",$F1715=""),"",$E1715&amp;" - RT "&amp;$F1715)</f>
        <v/>
      </c>
      <c r="H1715" s="37"/>
      <c r="I1715" s="38"/>
      <c r="J1715" s="37"/>
      <c r="K1715" s="39"/>
      <c r="L1715" s="41"/>
      <c r="M1715" s="36" t="str">
        <f aca="true">IF(OR($B1715="",$L1715=""),"",DATEDIF($L1715,TODAY(),"Y"))</f>
        <v/>
      </c>
      <c r="N1715" s="40" t="str">
        <f aca="false">IF($M1715="","",INDEX(usia_label,MATCH($M1715,usia_min,1)))</f>
        <v/>
      </c>
      <c r="O1715" s="37"/>
      <c r="P1715" s="41"/>
      <c r="Q1715" s="37"/>
      <c r="R1715" s="37"/>
      <c r="S1715" s="40" t="str">
        <f aca="false">IF($G1715="","",$G1715&amp;"#"&amp;COUNTIF($G$4:$G1715,$G1715))</f>
        <v/>
      </c>
      <c r="T1715" s="40" t="str">
        <f aca="false">IF($B1715="","",IF($C1715="","NIK kosong",IF(LEN($C1715)&lt;&gt;16,"NIK bukan 16 digit",IF(COUNTIF($C$4:$C$2003,$C1715&amp;"*")&gt;1,"NIK ganda",IF($E1715="","Kadus kosong",IF($F1715="","RT kosong",IF($H1715="","Jabatan kosong",IF($I1715="","No. HP kosong",IF($J1715="","Alamat kosong",IF(AND($M1715&lt;&gt;"",$M1715&lt;17),"Usia di bawah 17",""))))))))))</f>
        <v/>
      </c>
      <c r="U1715" s="40" t="str">
        <f aca="false">IF($B1715="","",IF(AND(OR(CARI!$C$5="",ISNUMBER(SEARCH(CARI!$C$5,$B1715&amp;" "&amp;$C1715&amp;" "&amp;$I1715&amp;" "&amp;$J1715&amp;" "&amp;$Q1715))),OR(CARI!$C$6="",$E1715=CARI!$C$6),OR(CARI!$C$7="",$F1715=CARI!$C$7),OR(CARI!$C$8="",$O1715=CARI!$C$8)),MAX($U$3:U1714)+1,""))</f>
        <v/>
      </c>
      <c r="V1715" s="40" t="str">
        <f aca="false">IF($T1715="","",MAX($V$3:V1714)+1)</f>
        <v/>
      </c>
      <c r="W1715" s="40" t="str">
        <f aca="false">IF($E1715="","",$E1715&amp;"#"&amp;COUNTIF($E$4:$E1715,$E1715))</f>
        <v/>
      </c>
      <c r="X1715" s="40" t="str">
        <f aca="false">IF($B1715="","",IF(AND(OR(CETAK!$J$10="",$E1715=CETAK!$J$10),OR(CETAK!$J$11="",$F1715=CETAK!$J$11),OR(CETAK!$J$12="",$K1715=CETAK!$J$12),OR(CETAK!$J$13="",$H1715=CETAK!$J$13),OR(CETAK!$J$14="",$O1715=CETAK!$J$14)),MAX($X$3:X1714)+1,""))</f>
        <v/>
      </c>
      <c r="Y1715" s="40" t="str">
        <f aca="false">IF($B1715="","",IF(AND(OR(ABSENSI!$H$10="",$E1715=ABSENSI!$H$10),OR(ABSENSI!$H$11="",$F1715=ABSENSI!$H$11),OR(ABSENSI!$H$12="",$K1715=ABSENSI!$H$12)),MAX($Y$3:Y1714)+1,""))</f>
        <v/>
      </c>
      <c r="Z1715" s="40" t="str">
        <f aca="false">IF($B1715="","",IF(AND(OR(KARTU!$K$6="",$E1715=KARTU!$K$6),OR(KARTU!$K$7="",$F1715=KARTU!$K$7),OR(KARTU!$K$8="",$K1715=KARTU!$K$8)),MAX($Z$3:Z1714)+1,""))</f>
        <v/>
      </c>
    </row>
    <row r="1716" customFormat="false" ht="15" hidden="false" customHeight="false" outlineLevel="0" collapsed="false">
      <c r="A1716" s="36" t="str">
        <f aca="false">IF($B1716="","",COUNTA($B$4:$B1716))</f>
        <v/>
      </c>
      <c r="B1716" s="37"/>
      <c r="C1716" s="38"/>
      <c r="D1716" s="39"/>
      <c r="E1716" s="37"/>
      <c r="F1716" s="39"/>
      <c r="G1716" s="40" t="str">
        <f aca="false">IF(OR($E1716="",$F1716=""),"",$E1716&amp;" - RT "&amp;$F1716)</f>
        <v/>
      </c>
      <c r="H1716" s="37"/>
      <c r="I1716" s="38"/>
      <c r="J1716" s="37"/>
      <c r="K1716" s="39"/>
      <c r="L1716" s="41"/>
      <c r="M1716" s="36" t="str">
        <f aca="true">IF(OR($B1716="",$L1716=""),"",DATEDIF($L1716,TODAY(),"Y"))</f>
        <v/>
      </c>
      <c r="N1716" s="40" t="str">
        <f aca="false">IF($M1716="","",INDEX(usia_label,MATCH($M1716,usia_min,1)))</f>
        <v/>
      </c>
      <c r="O1716" s="37"/>
      <c r="P1716" s="41"/>
      <c r="Q1716" s="37"/>
      <c r="R1716" s="37"/>
      <c r="S1716" s="40" t="str">
        <f aca="false">IF($G1716="","",$G1716&amp;"#"&amp;COUNTIF($G$4:$G1716,$G1716))</f>
        <v/>
      </c>
      <c r="T1716" s="40" t="str">
        <f aca="false">IF($B1716="","",IF($C1716="","NIK kosong",IF(LEN($C1716)&lt;&gt;16,"NIK bukan 16 digit",IF(COUNTIF($C$4:$C$2003,$C1716&amp;"*")&gt;1,"NIK ganda",IF($E1716="","Kadus kosong",IF($F1716="","RT kosong",IF($H1716="","Jabatan kosong",IF($I1716="","No. HP kosong",IF($J1716="","Alamat kosong",IF(AND($M1716&lt;&gt;"",$M1716&lt;17),"Usia di bawah 17",""))))))))))</f>
        <v/>
      </c>
      <c r="U1716" s="40" t="str">
        <f aca="false">IF($B1716="","",IF(AND(OR(CARI!$C$5="",ISNUMBER(SEARCH(CARI!$C$5,$B1716&amp;" "&amp;$C1716&amp;" "&amp;$I1716&amp;" "&amp;$J1716&amp;" "&amp;$Q1716))),OR(CARI!$C$6="",$E1716=CARI!$C$6),OR(CARI!$C$7="",$F1716=CARI!$C$7),OR(CARI!$C$8="",$O1716=CARI!$C$8)),MAX($U$3:U1715)+1,""))</f>
        <v/>
      </c>
      <c r="V1716" s="40" t="str">
        <f aca="false">IF($T1716="","",MAX($V$3:V1715)+1)</f>
        <v/>
      </c>
      <c r="W1716" s="40" t="str">
        <f aca="false">IF($E1716="","",$E1716&amp;"#"&amp;COUNTIF($E$4:$E1716,$E1716))</f>
        <v/>
      </c>
      <c r="X1716" s="40" t="str">
        <f aca="false">IF($B1716="","",IF(AND(OR(CETAK!$J$10="",$E1716=CETAK!$J$10),OR(CETAK!$J$11="",$F1716=CETAK!$J$11),OR(CETAK!$J$12="",$K1716=CETAK!$J$12),OR(CETAK!$J$13="",$H1716=CETAK!$J$13),OR(CETAK!$J$14="",$O1716=CETAK!$J$14)),MAX($X$3:X1715)+1,""))</f>
        <v/>
      </c>
      <c r="Y1716" s="40" t="str">
        <f aca="false">IF($B1716="","",IF(AND(OR(ABSENSI!$H$10="",$E1716=ABSENSI!$H$10),OR(ABSENSI!$H$11="",$F1716=ABSENSI!$H$11),OR(ABSENSI!$H$12="",$K1716=ABSENSI!$H$12)),MAX($Y$3:Y1715)+1,""))</f>
        <v/>
      </c>
      <c r="Z1716" s="40" t="str">
        <f aca="false">IF($B1716="","",IF(AND(OR(KARTU!$K$6="",$E1716=KARTU!$K$6),OR(KARTU!$K$7="",$F1716=KARTU!$K$7),OR(KARTU!$K$8="",$K1716=KARTU!$K$8)),MAX($Z$3:Z1715)+1,""))</f>
        <v/>
      </c>
    </row>
    <row r="1717" customFormat="false" ht="15" hidden="false" customHeight="false" outlineLevel="0" collapsed="false">
      <c r="A1717" s="36" t="str">
        <f aca="false">IF($B1717="","",COUNTA($B$4:$B1717))</f>
        <v/>
      </c>
      <c r="B1717" s="37"/>
      <c r="C1717" s="38"/>
      <c r="D1717" s="39"/>
      <c r="E1717" s="37"/>
      <c r="F1717" s="39"/>
      <c r="G1717" s="40" t="str">
        <f aca="false">IF(OR($E1717="",$F1717=""),"",$E1717&amp;" - RT "&amp;$F1717)</f>
        <v/>
      </c>
      <c r="H1717" s="37"/>
      <c r="I1717" s="38"/>
      <c r="J1717" s="37"/>
      <c r="K1717" s="39"/>
      <c r="L1717" s="41"/>
      <c r="M1717" s="36" t="str">
        <f aca="true">IF(OR($B1717="",$L1717=""),"",DATEDIF($L1717,TODAY(),"Y"))</f>
        <v/>
      </c>
      <c r="N1717" s="40" t="str">
        <f aca="false">IF($M1717="","",INDEX(usia_label,MATCH($M1717,usia_min,1)))</f>
        <v/>
      </c>
      <c r="O1717" s="37"/>
      <c r="P1717" s="41"/>
      <c r="Q1717" s="37"/>
      <c r="R1717" s="37"/>
      <c r="S1717" s="40" t="str">
        <f aca="false">IF($G1717="","",$G1717&amp;"#"&amp;COUNTIF($G$4:$G1717,$G1717))</f>
        <v/>
      </c>
      <c r="T1717" s="40" t="str">
        <f aca="false">IF($B1717="","",IF($C1717="","NIK kosong",IF(LEN($C1717)&lt;&gt;16,"NIK bukan 16 digit",IF(COUNTIF($C$4:$C$2003,$C1717&amp;"*")&gt;1,"NIK ganda",IF($E1717="","Kadus kosong",IF($F1717="","RT kosong",IF($H1717="","Jabatan kosong",IF($I1717="","No. HP kosong",IF($J1717="","Alamat kosong",IF(AND($M1717&lt;&gt;"",$M1717&lt;17),"Usia di bawah 17",""))))))))))</f>
        <v/>
      </c>
      <c r="U1717" s="40" t="str">
        <f aca="false">IF($B1717="","",IF(AND(OR(CARI!$C$5="",ISNUMBER(SEARCH(CARI!$C$5,$B1717&amp;" "&amp;$C1717&amp;" "&amp;$I1717&amp;" "&amp;$J1717&amp;" "&amp;$Q1717))),OR(CARI!$C$6="",$E1717=CARI!$C$6),OR(CARI!$C$7="",$F1717=CARI!$C$7),OR(CARI!$C$8="",$O1717=CARI!$C$8)),MAX($U$3:U1716)+1,""))</f>
        <v/>
      </c>
      <c r="V1717" s="40" t="str">
        <f aca="false">IF($T1717="","",MAX($V$3:V1716)+1)</f>
        <v/>
      </c>
      <c r="W1717" s="40" t="str">
        <f aca="false">IF($E1717="","",$E1717&amp;"#"&amp;COUNTIF($E$4:$E1717,$E1717))</f>
        <v/>
      </c>
      <c r="X1717" s="40" t="str">
        <f aca="false">IF($B1717="","",IF(AND(OR(CETAK!$J$10="",$E1717=CETAK!$J$10),OR(CETAK!$J$11="",$F1717=CETAK!$J$11),OR(CETAK!$J$12="",$K1717=CETAK!$J$12),OR(CETAK!$J$13="",$H1717=CETAK!$J$13),OR(CETAK!$J$14="",$O1717=CETAK!$J$14)),MAX($X$3:X1716)+1,""))</f>
        <v/>
      </c>
      <c r="Y1717" s="40" t="str">
        <f aca="false">IF($B1717="","",IF(AND(OR(ABSENSI!$H$10="",$E1717=ABSENSI!$H$10),OR(ABSENSI!$H$11="",$F1717=ABSENSI!$H$11),OR(ABSENSI!$H$12="",$K1717=ABSENSI!$H$12)),MAX($Y$3:Y1716)+1,""))</f>
        <v/>
      </c>
      <c r="Z1717" s="40" t="str">
        <f aca="false">IF($B1717="","",IF(AND(OR(KARTU!$K$6="",$E1717=KARTU!$K$6),OR(KARTU!$K$7="",$F1717=KARTU!$K$7),OR(KARTU!$K$8="",$K1717=KARTU!$K$8)),MAX($Z$3:Z1716)+1,""))</f>
        <v/>
      </c>
    </row>
    <row r="1718" customFormat="false" ht="15" hidden="false" customHeight="false" outlineLevel="0" collapsed="false">
      <c r="A1718" s="36" t="str">
        <f aca="false">IF($B1718="","",COUNTA($B$4:$B1718))</f>
        <v/>
      </c>
      <c r="B1718" s="37"/>
      <c r="C1718" s="38"/>
      <c r="D1718" s="39"/>
      <c r="E1718" s="37"/>
      <c r="F1718" s="39"/>
      <c r="G1718" s="40" t="str">
        <f aca="false">IF(OR($E1718="",$F1718=""),"",$E1718&amp;" - RT "&amp;$F1718)</f>
        <v/>
      </c>
      <c r="H1718" s="37"/>
      <c r="I1718" s="38"/>
      <c r="J1718" s="37"/>
      <c r="K1718" s="39"/>
      <c r="L1718" s="41"/>
      <c r="M1718" s="36" t="str">
        <f aca="true">IF(OR($B1718="",$L1718=""),"",DATEDIF($L1718,TODAY(),"Y"))</f>
        <v/>
      </c>
      <c r="N1718" s="40" t="str">
        <f aca="false">IF($M1718="","",INDEX(usia_label,MATCH($M1718,usia_min,1)))</f>
        <v/>
      </c>
      <c r="O1718" s="37"/>
      <c r="P1718" s="41"/>
      <c r="Q1718" s="37"/>
      <c r="R1718" s="37"/>
      <c r="S1718" s="40" t="str">
        <f aca="false">IF($G1718="","",$G1718&amp;"#"&amp;COUNTIF($G$4:$G1718,$G1718))</f>
        <v/>
      </c>
      <c r="T1718" s="40" t="str">
        <f aca="false">IF($B1718="","",IF($C1718="","NIK kosong",IF(LEN($C1718)&lt;&gt;16,"NIK bukan 16 digit",IF(COUNTIF($C$4:$C$2003,$C1718&amp;"*")&gt;1,"NIK ganda",IF($E1718="","Kadus kosong",IF($F1718="","RT kosong",IF($H1718="","Jabatan kosong",IF($I1718="","No. HP kosong",IF($J1718="","Alamat kosong",IF(AND($M1718&lt;&gt;"",$M1718&lt;17),"Usia di bawah 17",""))))))))))</f>
        <v/>
      </c>
      <c r="U1718" s="40" t="str">
        <f aca="false">IF($B1718="","",IF(AND(OR(CARI!$C$5="",ISNUMBER(SEARCH(CARI!$C$5,$B1718&amp;" "&amp;$C1718&amp;" "&amp;$I1718&amp;" "&amp;$J1718&amp;" "&amp;$Q1718))),OR(CARI!$C$6="",$E1718=CARI!$C$6),OR(CARI!$C$7="",$F1718=CARI!$C$7),OR(CARI!$C$8="",$O1718=CARI!$C$8)),MAX($U$3:U1717)+1,""))</f>
        <v/>
      </c>
      <c r="V1718" s="40" t="str">
        <f aca="false">IF($T1718="","",MAX($V$3:V1717)+1)</f>
        <v/>
      </c>
      <c r="W1718" s="40" t="str">
        <f aca="false">IF($E1718="","",$E1718&amp;"#"&amp;COUNTIF($E$4:$E1718,$E1718))</f>
        <v/>
      </c>
      <c r="X1718" s="40" t="str">
        <f aca="false">IF($B1718="","",IF(AND(OR(CETAK!$J$10="",$E1718=CETAK!$J$10),OR(CETAK!$J$11="",$F1718=CETAK!$J$11),OR(CETAK!$J$12="",$K1718=CETAK!$J$12),OR(CETAK!$J$13="",$H1718=CETAK!$J$13),OR(CETAK!$J$14="",$O1718=CETAK!$J$14)),MAX($X$3:X1717)+1,""))</f>
        <v/>
      </c>
      <c r="Y1718" s="40" t="str">
        <f aca="false">IF($B1718="","",IF(AND(OR(ABSENSI!$H$10="",$E1718=ABSENSI!$H$10),OR(ABSENSI!$H$11="",$F1718=ABSENSI!$H$11),OR(ABSENSI!$H$12="",$K1718=ABSENSI!$H$12)),MAX($Y$3:Y1717)+1,""))</f>
        <v/>
      </c>
      <c r="Z1718" s="40" t="str">
        <f aca="false">IF($B1718="","",IF(AND(OR(KARTU!$K$6="",$E1718=KARTU!$K$6),OR(KARTU!$K$7="",$F1718=KARTU!$K$7),OR(KARTU!$K$8="",$K1718=KARTU!$K$8)),MAX($Z$3:Z1717)+1,""))</f>
        <v/>
      </c>
    </row>
    <row r="1719" customFormat="false" ht="15" hidden="false" customHeight="false" outlineLevel="0" collapsed="false">
      <c r="A1719" s="36" t="str">
        <f aca="false">IF($B1719="","",COUNTA($B$4:$B1719))</f>
        <v/>
      </c>
      <c r="B1719" s="37"/>
      <c r="C1719" s="38"/>
      <c r="D1719" s="39"/>
      <c r="E1719" s="37"/>
      <c r="F1719" s="39"/>
      <c r="G1719" s="40" t="str">
        <f aca="false">IF(OR($E1719="",$F1719=""),"",$E1719&amp;" - RT "&amp;$F1719)</f>
        <v/>
      </c>
      <c r="H1719" s="37"/>
      <c r="I1719" s="38"/>
      <c r="J1719" s="37"/>
      <c r="K1719" s="39"/>
      <c r="L1719" s="41"/>
      <c r="M1719" s="36" t="str">
        <f aca="true">IF(OR($B1719="",$L1719=""),"",DATEDIF($L1719,TODAY(),"Y"))</f>
        <v/>
      </c>
      <c r="N1719" s="40" t="str">
        <f aca="false">IF($M1719="","",INDEX(usia_label,MATCH($M1719,usia_min,1)))</f>
        <v/>
      </c>
      <c r="O1719" s="37"/>
      <c r="P1719" s="41"/>
      <c r="Q1719" s="37"/>
      <c r="R1719" s="37"/>
      <c r="S1719" s="40" t="str">
        <f aca="false">IF($G1719="","",$G1719&amp;"#"&amp;COUNTIF($G$4:$G1719,$G1719))</f>
        <v/>
      </c>
      <c r="T1719" s="40" t="str">
        <f aca="false">IF($B1719="","",IF($C1719="","NIK kosong",IF(LEN($C1719)&lt;&gt;16,"NIK bukan 16 digit",IF(COUNTIF($C$4:$C$2003,$C1719&amp;"*")&gt;1,"NIK ganda",IF($E1719="","Kadus kosong",IF($F1719="","RT kosong",IF($H1719="","Jabatan kosong",IF($I1719="","No. HP kosong",IF($J1719="","Alamat kosong",IF(AND($M1719&lt;&gt;"",$M1719&lt;17),"Usia di bawah 17",""))))))))))</f>
        <v/>
      </c>
      <c r="U1719" s="40" t="str">
        <f aca="false">IF($B1719="","",IF(AND(OR(CARI!$C$5="",ISNUMBER(SEARCH(CARI!$C$5,$B1719&amp;" "&amp;$C1719&amp;" "&amp;$I1719&amp;" "&amp;$J1719&amp;" "&amp;$Q1719))),OR(CARI!$C$6="",$E1719=CARI!$C$6),OR(CARI!$C$7="",$F1719=CARI!$C$7),OR(CARI!$C$8="",$O1719=CARI!$C$8)),MAX($U$3:U1718)+1,""))</f>
        <v/>
      </c>
      <c r="V1719" s="40" t="str">
        <f aca="false">IF($T1719="","",MAX($V$3:V1718)+1)</f>
        <v/>
      </c>
      <c r="W1719" s="40" t="str">
        <f aca="false">IF($E1719="","",$E1719&amp;"#"&amp;COUNTIF($E$4:$E1719,$E1719))</f>
        <v/>
      </c>
      <c r="X1719" s="40" t="str">
        <f aca="false">IF($B1719="","",IF(AND(OR(CETAK!$J$10="",$E1719=CETAK!$J$10),OR(CETAK!$J$11="",$F1719=CETAK!$J$11),OR(CETAK!$J$12="",$K1719=CETAK!$J$12),OR(CETAK!$J$13="",$H1719=CETAK!$J$13),OR(CETAK!$J$14="",$O1719=CETAK!$J$14)),MAX($X$3:X1718)+1,""))</f>
        <v/>
      </c>
      <c r="Y1719" s="40" t="str">
        <f aca="false">IF($B1719="","",IF(AND(OR(ABSENSI!$H$10="",$E1719=ABSENSI!$H$10),OR(ABSENSI!$H$11="",$F1719=ABSENSI!$H$11),OR(ABSENSI!$H$12="",$K1719=ABSENSI!$H$12)),MAX($Y$3:Y1718)+1,""))</f>
        <v/>
      </c>
      <c r="Z1719" s="40" t="str">
        <f aca="false">IF($B1719="","",IF(AND(OR(KARTU!$K$6="",$E1719=KARTU!$K$6),OR(KARTU!$K$7="",$F1719=KARTU!$K$7),OR(KARTU!$K$8="",$K1719=KARTU!$K$8)),MAX($Z$3:Z1718)+1,""))</f>
        <v/>
      </c>
    </row>
    <row r="1720" customFormat="false" ht="15" hidden="false" customHeight="false" outlineLevel="0" collapsed="false">
      <c r="A1720" s="36" t="str">
        <f aca="false">IF($B1720="","",COUNTA($B$4:$B1720))</f>
        <v/>
      </c>
      <c r="B1720" s="37"/>
      <c r="C1720" s="38"/>
      <c r="D1720" s="39"/>
      <c r="E1720" s="37"/>
      <c r="F1720" s="39"/>
      <c r="G1720" s="40" t="str">
        <f aca="false">IF(OR($E1720="",$F1720=""),"",$E1720&amp;" - RT "&amp;$F1720)</f>
        <v/>
      </c>
      <c r="H1720" s="37"/>
      <c r="I1720" s="38"/>
      <c r="J1720" s="37"/>
      <c r="K1720" s="39"/>
      <c r="L1720" s="41"/>
      <c r="M1720" s="36" t="str">
        <f aca="true">IF(OR($B1720="",$L1720=""),"",DATEDIF($L1720,TODAY(),"Y"))</f>
        <v/>
      </c>
      <c r="N1720" s="40" t="str">
        <f aca="false">IF($M1720="","",INDEX(usia_label,MATCH($M1720,usia_min,1)))</f>
        <v/>
      </c>
      <c r="O1720" s="37"/>
      <c r="P1720" s="41"/>
      <c r="Q1720" s="37"/>
      <c r="R1720" s="37"/>
      <c r="S1720" s="40" t="str">
        <f aca="false">IF($G1720="","",$G1720&amp;"#"&amp;COUNTIF($G$4:$G1720,$G1720))</f>
        <v/>
      </c>
      <c r="T1720" s="40" t="str">
        <f aca="false">IF($B1720="","",IF($C1720="","NIK kosong",IF(LEN($C1720)&lt;&gt;16,"NIK bukan 16 digit",IF(COUNTIF($C$4:$C$2003,$C1720&amp;"*")&gt;1,"NIK ganda",IF($E1720="","Kadus kosong",IF($F1720="","RT kosong",IF($H1720="","Jabatan kosong",IF($I1720="","No. HP kosong",IF($J1720="","Alamat kosong",IF(AND($M1720&lt;&gt;"",$M1720&lt;17),"Usia di bawah 17",""))))))))))</f>
        <v/>
      </c>
      <c r="U1720" s="40" t="str">
        <f aca="false">IF($B1720="","",IF(AND(OR(CARI!$C$5="",ISNUMBER(SEARCH(CARI!$C$5,$B1720&amp;" "&amp;$C1720&amp;" "&amp;$I1720&amp;" "&amp;$J1720&amp;" "&amp;$Q1720))),OR(CARI!$C$6="",$E1720=CARI!$C$6),OR(CARI!$C$7="",$F1720=CARI!$C$7),OR(CARI!$C$8="",$O1720=CARI!$C$8)),MAX($U$3:U1719)+1,""))</f>
        <v/>
      </c>
      <c r="V1720" s="40" t="str">
        <f aca="false">IF($T1720="","",MAX($V$3:V1719)+1)</f>
        <v/>
      </c>
      <c r="W1720" s="40" t="str">
        <f aca="false">IF($E1720="","",$E1720&amp;"#"&amp;COUNTIF($E$4:$E1720,$E1720))</f>
        <v/>
      </c>
      <c r="X1720" s="40" t="str">
        <f aca="false">IF($B1720="","",IF(AND(OR(CETAK!$J$10="",$E1720=CETAK!$J$10),OR(CETAK!$J$11="",$F1720=CETAK!$J$11),OR(CETAK!$J$12="",$K1720=CETAK!$J$12),OR(CETAK!$J$13="",$H1720=CETAK!$J$13),OR(CETAK!$J$14="",$O1720=CETAK!$J$14)),MAX($X$3:X1719)+1,""))</f>
        <v/>
      </c>
      <c r="Y1720" s="40" t="str">
        <f aca="false">IF($B1720="","",IF(AND(OR(ABSENSI!$H$10="",$E1720=ABSENSI!$H$10),OR(ABSENSI!$H$11="",$F1720=ABSENSI!$H$11),OR(ABSENSI!$H$12="",$K1720=ABSENSI!$H$12)),MAX($Y$3:Y1719)+1,""))</f>
        <v/>
      </c>
      <c r="Z1720" s="40" t="str">
        <f aca="false">IF($B1720="","",IF(AND(OR(KARTU!$K$6="",$E1720=KARTU!$K$6),OR(KARTU!$K$7="",$F1720=KARTU!$K$7),OR(KARTU!$K$8="",$K1720=KARTU!$K$8)),MAX($Z$3:Z1719)+1,""))</f>
        <v/>
      </c>
    </row>
    <row r="1721" customFormat="false" ht="15" hidden="false" customHeight="false" outlineLevel="0" collapsed="false">
      <c r="A1721" s="36" t="str">
        <f aca="false">IF($B1721="","",COUNTA($B$4:$B1721))</f>
        <v/>
      </c>
      <c r="B1721" s="37"/>
      <c r="C1721" s="38"/>
      <c r="D1721" s="39"/>
      <c r="E1721" s="37"/>
      <c r="F1721" s="39"/>
      <c r="G1721" s="40" t="str">
        <f aca="false">IF(OR($E1721="",$F1721=""),"",$E1721&amp;" - RT "&amp;$F1721)</f>
        <v/>
      </c>
      <c r="H1721" s="37"/>
      <c r="I1721" s="38"/>
      <c r="J1721" s="37"/>
      <c r="K1721" s="39"/>
      <c r="L1721" s="41"/>
      <c r="M1721" s="36" t="str">
        <f aca="true">IF(OR($B1721="",$L1721=""),"",DATEDIF($L1721,TODAY(),"Y"))</f>
        <v/>
      </c>
      <c r="N1721" s="40" t="str">
        <f aca="false">IF($M1721="","",INDEX(usia_label,MATCH($M1721,usia_min,1)))</f>
        <v/>
      </c>
      <c r="O1721" s="37"/>
      <c r="P1721" s="41"/>
      <c r="Q1721" s="37"/>
      <c r="R1721" s="37"/>
      <c r="S1721" s="40" t="str">
        <f aca="false">IF($G1721="","",$G1721&amp;"#"&amp;COUNTIF($G$4:$G1721,$G1721))</f>
        <v/>
      </c>
      <c r="T1721" s="40" t="str">
        <f aca="false">IF($B1721="","",IF($C1721="","NIK kosong",IF(LEN($C1721)&lt;&gt;16,"NIK bukan 16 digit",IF(COUNTIF($C$4:$C$2003,$C1721&amp;"*")&gt;1,"NIK ganda",IF($E1721="","Kadus kosong",IF($F1721="","RT kosong",IF($H1721="","Jabatan kosong",IF($I1721="","No. HP kosong",IF($J1721="","Alamat kosong",IF(AND($M1721&lt;&gt;"",$M1721&lt;17),"Usia di bawah 17",""))))))))))</f>
        <v/>
      </c>
      <c r="U1721" s="40" t="str">
        <f aca="false">IF($B1721="","",IF(AND(OR(CARI!$C$5="",ISNUMBER(SEARCH(CARI!$C$5,$B1721&amp;" "&amp;$C1721&amp;" "&amp;$I1721&amp;" "&amp;$J1721&amp;" "&amp;$Q1721))),OR(CARI!$C$6="",$E1721=CARI!$C$6),OR(CARI!$C$7="",$F1721=CARI!$C$7),OR(CARI!$C$8="",$O1721=CARI!$C$8)),MAX($U$3:U1720)+1,""))</f>
        <v/>
      </c>
      <c r="V1721" s="40" t="str">
        <f aca="false">IF($T1721="","",MAX($V$3:V1720)+1)</f>
        <v/>
      </c>
      <c r="W1721" s="40" t="str">
        <f aca="false">IF($E1721="","",$E1721&amp;"#"&amp;COUNTIF($E$4:$E1721,$E1721))</f>
        <v/>
      </c>
      <c r="X1721" s="40" t="str">
        <f aca="false">IF($B1721="","",IF(AND(OR(CETAK!$J$10="",$E1721=CETAK!$J$10),OR(CETAK!$J$11="",$F1721=CETAK!$J$11),OR(CETAK!$J$12="",$K1721=CETAK!$J$12),OR(CETAK!$J$13="",$H1721=CETAK!$J$13),OR(CETAK!$J$14="",$O1721=CETAK!$J$14)),MAX($X$3:X1720)+1,""))</f>
        <v/>
      </c>
      <c r="Y1721" s="40" t="str">
        <f aca="false">IF($B1721="","",IF(AND(OR(ABSENSI!$H$10="",$E1721=ABSENSI!$H$10),OR(ABSENSI!$H$11="",$F1721=ABSENSI!$H$11),OR(ABSENSI!$H$12="",$K1721=ABSENSI!$H$12)),MAX($Y$3:Y1720)+1,""))</f>
        <v/>
      </c>
      <c r="Z1721" s="40" t="str">
        <f aca="false">IF($B1721="","",IF(AND(OR(KARTU!$K$6="",$E1721=KARTU!$K$6),OR(KARTU!$K$7="",$F1721=KARTU!$K$7),OR(KARTU!$K$8="",$K1721=KARTU!$K$8)),MAX($Z$3:Z1720)+1,""))</f>
        <v/>
      </c>
    </row>
    <row r="1722" customFormat="false" ht="15" hidden="false" customHeight="false" outlineLevel="0" collapsed="false">
      <c r="A1722" s="36" t="str">
        <f aca="false">IF($B1722="","",COUNTA($B$4:$B1722))</f>
        <v/>
      </c>
      <c r="B1722" s="37"/>
      <c r="C1722" s="38"/>
      <c r="D1722" s="39"/>
      <c r="E1722" s="37"/>
      <c r="F1722" s="39"/>
      <c r="G1722" s="40" t="str">
        <f aca="false">IF(OR($E1722="",$F1722=""),"",$E1722&amp;" - RT "&amp;$F1722)</f>
        <v/>
      </c>
      <c r="H1722" s="37"/>
      <c r="I1722" s="38"/>
      <c r="J1722" s="37"/>
      <c r="K1722" s="39"/>
      <c r="L1722" s="41"/>
      <c r="M1722" s="36" t="str">
        <f aca="true">IF(OR($B1722="",$L1722=""),"",DATEDIF($L1722,TODAY(),"Y"))</f>
        <v/>
      </c>
      <c r="N1722" s="40" t="str">
        <f aca="false">IF($M1722="","",INDEX(usia_label,MATCH($M1722,usia_min,1)))</f>
        <v/>
      </c>
      <c r="O1722" s="37"/>
      <c r="P1722" s="41"/>
      <c r="Q1722" s="37"/>
      <c r="R1722" s="37"/>
      <c r="S1722" s="40" t="str">
        <f aca="false">IF($G1722="","",$G1722&amp;"#"&amp;COUNTIF($G$4:$G1722,$G1722))</f>
        <v/>
      </c>
      <c r="T1722" s="40" t="str">
        <f aca="false">IF($B1722="","",IF($C1722="","NIK kosong",IF(LEN($C1722)&lt;&gt;16,"NIK bukan 16 digit",IF(COUNTIF($C$4:$C$2003,$C1722&amp;"*")&gt;1,"NIK ganda",IF($E1722="","Kadus kosong",IF($F1722="","RT kosong",IF($H1722="","Jabatan kosong",IF($I1722="","No. HP kosong",IF($J1722="","Alamat kosong",IF(AND($M1722&lt;&gt;"",$M1722&lt;17),"Usia di bawah 17",""))))))))))</f>
        <v/>
      </c>
      <c r="U1722" s="40" t="str">
        <f aca="false">IF($B1722="","",IF(AND(OR(CARI!$C$5="",ISNUMBER(SEARCH(CARI!$C$5,$B1722&amp;" "&amp;$C1722&amp;" "&amp;$I1722&amp;" "&amp;$J1722&amp;" "&amp;$Q1722))),OR(CARI!$C$6="",$E1722=CARI!$C$6),OR(CARI!$C$7="",$F1722=CARI!$C$7),OR(CARI!$C$8="",$O1722=CARI!$C$8)),MAX($U$3:U1721)+1,""))</f>
        <v/>
      </c>
      <c r="V1722" s="40" t="str">
        <f aca="false">IF($T1722="","",MAX($V$3:V1721)+1)</f>
        <v/>
      </c>
      <c r="W1722" s="40" t="str">
        <f aca="false">IF($E1722="","",$E1722&amp;"#"&amp;COUNTIF($E$4:$E1722,$E1722))</f>
        <v/>
      </c>
      <c r="X1722" s="40" t="str">
        <f aca="false">IF($B1722="","",IF(AND(OR(CETAK!$J$10="",$E1722=CETAK!$J$10),OR(CETAK!$J$11="",$F1722=CETAK!$J$11),OR(CETAK!$J$12="",$K1722=CETAK!$J$12),OR(CETAK!$J$13="",$H1722=CETAK!$J$13),OR(CETAK!$J$14="",$O1722=CETAK!$J$14)),MAX($X$3:X1721)+1,""))</f>
        <v/>
      </c>
      <c r="Y1722" s="40" t="str">
        <f aca="false">IF($B1722="","",IF(AND(OR(ABSENSI!$H$10="",$E1722=ABSENSI!$H$10),OR(ABSENSI!$H$11="",$F1722=ABSENSI!$H$11),OR(ABSENSI!$H$12="",$K1722=ABSENSI!$H$12)),MAX($Y$3:Y1721)+1,""))</f>
        <v/>
      </c>
      <c r="Z1722" s="40" t="str">
        <f aca="false">IF($B1722="","",IF(AND(OR(KARTU!$K$6="",$E1722=KARTU!$K$6),OR(KARTU!$K$7="",$F1722=KARTU!$K$7),OR(KARTU!$K$8="",$K1722=KARTU!$K$8)),MAX($Z$3:Z1721)+1,""))</f>
        <v/>
      </c>
    </row>
    <row r="1723" customFormat="false" ht="15" hidden="false" customHeight="false" outlineLevel="0" collapsed="false">
      <c r="A1723" s="36" t="str">
        <f aca="false">IF($B1723="","",COUNTA($B$4:$B1723))</f>
        <v/>
      </c>
      <c r="B1723" s="37"/>
      <c r="C1723" s="38"/>
      <c r="D1723" s="39"/>
      <c r="E1723" s="37"/>
      <c r="F1723" s="39"/>
      <c r="G1723" s="40" t="str">
        <f aca="false">IF(OR($E1723="",$F1723=""),"",$E1723&amp;" - RT "&amp;$F1723)</f>
        <v/>
      </c>
      <c r="H1723" s="37"/>
      <c r="I1723" s="38"/>
      <c r="J1723" s="37"/>
      <c r="K1723" s="39"/>
      <c r="L1723" s="41"/>
      <c r="M1723" s="36" t="str">
        <f aca="true">IF(OR($B1723="",$L1723=""),"",DATEDIF($L1723,TODAY(),"Y"))</f>
        <v/>
      </c>
      <c r="N1723" s="40" t="str">
        <f aca="false">IF($M1723="","",INDEX(usia_label,MATCH($M1723,usia_min,1)))</f>
        <v/>
      </c>
      <c r="O1723" s="37"/>
      <c r="P1723" s="41"/>
      <c r="Q1723" s="37"/>
      <c r="R1723" s="37"/>
      <c r="S1723" s="40" t="str">
        <f aca="false">IF($G1723="","",$G1723&amp;"#"&amp;COUNTIF($G$4:$G1723,$G1723))</f>
        <v/>
      </c>
      <c r="T1723" s="40" t="str">
        <f aca="false">IF($B1723="","",IF($C1723="","NIK kosong",IF(LEN($C1723)&lt;&gt;16,"NIK bukan 16 digit",IF(COUNTIF($C$4:$C$2003,$C1723&amp;"*")&gt;1,"NIK ganda",IF($E1723="","Kadus kosong",IF($F1723="","RT kosong",IF($H1723="","Jabatan kosong",IF($I1723="","No. HP kosong",IF($J1723="","Alamat kosong",IF(AND($M1723&lt;&gt;"",$M1723&lt;17),"Usia di bawah 17",""))))))))))</f>
        <v/>
      </c>
      <c r="U1723" s="40" t="str">
        <f aca="false">IF($B1723="","",IF(AND(OR(CARI!$C$5="",ISNUMBER(SEARCH(CARI!$C$5,$B1723&amp;" "&amp;$C1723&amp;" "&amp;$I1723&amp;" "&amp;$J1723&amp;" "&amp;$Q1723))),OR(CARI!$C$6="",$E1723=CARI!$C$6),OR(CARI!$C$7="",$F1723=CARI!$C$7),OR(CARI!$C$8="",$O1723=CARI!$C$8)),MAX($U$3:U1722)+1,""))</f>
        <v/>
      </c>
      <c r="V1723" s="40" t="str">
        <f aca="false">IF($T1723="","",MAX($V$3:V1722)+1)</f>
        <v/>
      </c>
      <c r="W1723" s="40" t="str">
        <f aca="false">IF($E1723="","",$E1723&amp;"#"&amp;COUNTIF($E$4:$E1723,$E1723))</f>
        <v/>
      </c>
      <c r="X1723" s="40" t="str">
        <f aca="false">IF($B1723="","",IF(AND(OR(CETAK!$J$10="",$E1723=CETAK!$J$10),OR(CETAK!$J$11="",$F1723=CETAK!$J$11),OR(CETAK!$J$12="",$K1723=CETAK!$J$12),OR(CETAK!$J$13="",$H1723=CETAK!$J$13),OR(CETAK!$J$14="",$O1723=CETAK!$J$14)),MAX($X$3:X1722)+1,""))</f>
        <v/>
      </c>
      <c r="Y1723" s="40" t="str">
        <f aca="false">IF($B1723="","",IF(AND(OR(ABSENSI!$H$10="",$E1723=ABSENSI!$H$10),OR(ABSENSI!$H$11="",$F1723=ABSENSI!$H$11),OR(ABSENSI!$H$12="",$K1723=ABSENSI!$H$12)),MAX($Y$3:Y1722)+1,""))</f>
        <v/>
      </c>
      <c r="Z1723" s="40" t="str">
        <f aca="false">IF($B1723="","",IF(AND(OR(KARTU!$K$6="",$E1723=KARTU!$K$6),OR(KARTU!$K$7="",$F1723=KARTU!$K$7),OR(KARTU!$K$8="",$K1723=KARTU!$K$8)),MAX($Z$3:Z1722)+1,""))</f>
        <v/>
      </c>
    </row>
    <row r="1724" customFormat="false" ht="15" hidden="false" customHeight="false" outlineLevel="0" collapsed="false">
      <c r="A1724" s="36" t="str">
        <f aca="false">IF($B1724="","",COUNTA($B$4:$B1724))</f>
        <v/>
      </c>
      <c r="B1724" s="37"/>
      <c r="C1724" s="38"/>
      <c r="D1724" s="39"/>
      <c r="E1724" s="37"/>
      <c r="F1724" s="39"/>
      <c r="G1724" s="40" t="str">
        <f aca="false">IF(OR($E1724="",$F1724=""),"",$E1724&amp;" - RT "&amp;$F1724)</f>
        <v/>
      </c>
      <c r="H1724" s="37"/>
      <c r="I1724" s="38"/>
      <c r="J1724" s="37"/>
      <c r="K1724" s="39"/>
      <c r="L1724" s="41"/>
      <c r="M1724" s="36" t="str">
        <f aca="true">IF(OR($B1724="",$L1724=""),"",DATEDIF($L1724,TODAY(),"Y"))</f>
        <v/>
      </c>
      <c r="N1724" s="40" t="str">
        <f aca="false">IF($M1724="","",INDEX(usia_label,MATCH($M1724,usia_min,1)))</f>
        <v/>
      </c>
      <c r="O1724" s="37"/>
      <c r="P1724" s="41"/>
      <c r="Q1724" s="37"/>
      <c r="R1724" s="37"/>
      <c r="S1724" s="40" t="str">
        <f aca="false">IF($G1724="","",$G1724&amp;"#"&amp;COUNTIF($G$4:$G1724,$G1724))</f>
        <v/>
      </c>
      <c r="T1724" s="40" t="str">
        <f aca="false">IF($B1724="","",IF($C1724="","NIK kosong",IF(LEN($C1724)&lt;&gt;16,"NIK bukan 16 digit",IF(COUNTIF($C$4:$C$2003,$C1724&amp;"*")&gt;1,"NIK ganda",IF($E1724="","Kadus kosong",IF($F1724="","RT kosong",IF($H1724="","Jabatan kosong",IF($I1724="","No. HP kosong",IF($J1724="","Alamat kosong",IF(AND($M1724&lt;&gt;"",$M1724&lt;17),"Usia di bawah 17",""))))))))))</f>
        <v/>
      </c>
      <c r="U1724" s="40" t="str">
        <f aca="false">IF($B1724="","",IF(AND(OR(CARI!$C$5="",ISNUMBER(SEARCH(CARI!$C$5,$B1724&amp;" "&amp;$C1724&amp;" "&amp;$I1724&amp;" "&amp;$J1724&amp;" "&amp;$Q1724))),OR(CARI!$C$6="",$E1724=CARI!$C$6),OR(CARI!$C$7="",$F1724=CARI!$C$7),OR(CARI!$C$8="",$O1724=CARI!$C$8)),MAX($U$3:U1723)+1,""))</f>
        <v/>
      </c>
      <c r="V1724" s="40" t="str">
        <f aca="false">IF($T1724="","",MAX($V$3:V1723)+1)</f>
        <v/>
      </c>
      <c r="W1724" s="40" t="str">
        <f aca="false">IF($E1724="","",$E1724&amp;"#"&amp;COUNTIF($E$4:$E1724,$E1724))</f>
        <v/>
      </c>
      <c r="X1724" s="40" t="str">
        <f aca="false">IF($B1724="","",IF(AND(OR(CETAK!$J$10="",$E1724=CETAK!$J$10),OR(CETAK!$J$11="",$F1724=CETAK!$J$11),OR(CETAK!$J$12="",$K1724=CETAK!$J$12),OR(CETAK!$J$13="",$H1724=CETAK!$J$13),OR(CETAK!$J$14="",$O1724=CETAK!$J$14)),MAX($X$3:X1723)+1,""))</f>
        <v/>
      </c>
      <c r="Y1724" s="40" t="str">
        <f aca="false">IF($B1724="","",IF(AND(OR(ABSENSI!$H$10="",$E1724=ABSENSI!$H$10),OR(ABSENSI!$H$11="",$F1724=ABSENSI!$H$11),OR(ABSENSI!$H$12="",$K1724=ABSENSI!$H$12)),MAX($Y$3:Y1723)+1,""))</f>
        <v/>
      </c>
      <c r="Z1724" s="40" t="str">
        <f aca="false">IF($B1724="","",IF(AND(OR(KARTU!$K$6="",$E1724=KARTU!$K$6),OR(KARTU!$K$7="",$F1724=KARTU!$K$7),OR(KARTU!$K$8="",$K1724=KARTU!$K$8)),MAX($Z$3:Z1723)+1,""))</f>
        <v/>
      </c>
    </row>
    <row r="1725" customFormat="false" ht="15" hidden="false" customHeight="false" outlineLevel="0" collapsed="false">
      <c r="A1725" s="36" t="str">
        <f aca="false">IF($B1725="","",COUNTA($B$4:$B1725))</f>
        <v/>
      </c>
      <c r="B1725" s="37"/>
      <c r="C1725" s="38"/>
      <c r="D1725" s="39"/>
      <c r="E1725" s="37"/>
      <c r="F1725" s="39"/>
      <c r="G1725" s="40" t="str">
        <f aca="false">IF(OR($E1725="",$F1725=""),"",$E1725&amp;" - RT "&amp;$F1725)</f>
        <v/>
      </c>
      <c r="H1725" s="37"/>
      <c r="I1725" s="38"/>
      <c r="J1725" s="37"/>
      <c r="K1725" s="39"/>
      <c r="L1725" s="41"/>
      <c r="M1725" s="36" t="str">
        <f aca="true">IF(OR($B1725="",$L1725=""),"",DATEDIF($L1725,TODAY(),"Y"))</f>
        <v/>
      </c>
      <c r="N1725" s="40" t="str">
        <f aca="false">IF($M1725="","",INDEX(usia_label,MATCH($M1725,usia_min,1)))</f>
        <v/>
      </c>
      <c r="O1725" s="37"/>
      <c r="P1725" s="41"/>
      <c r="Q1725" s="37"/>
      <c r="R1725" s="37"/>
      <c r="S1725" s="40" t="str">
        <f aca="false">IF($G1725="","",$G1725&amp;"#"&amp;COUNTIF($G$4:$G1725,$G1725))</f>
        <v/>
      </c>
      <c r="T1725" s="40" t="str">
        <f aca="false">IF($B1725="","",IF($C1725="","NIK kosong",IF(LEN($C1725)&lt;&gt;16,"NIK bukan 16 digit",IF(COUNTIF($C$4:$C$2003,$C1725&amp;"*")&gt;1,"NIK ganda",IF($E1725="","Kadus kosong",IF($F1725="","RT kosong",IF($H1725="","Jabatan kosong",IF($I1725="","No. HP kosong",IF($J1725="","Alamat kosong",IF(AND($M1725&lt;&gt;"",$M1725&lt;17),"Usia di bawah 17",""))))))))))</f>
        <v/>
      </c>
      <c r="U1725" s="40" t="str">
        <f aca="false">IF($B1725="","",IF(AND(OR(CARI!$C$5="",ISNUMBER(SEARCH(CARI!$C$5,$B1725&amp;" "&amp;$C1725&amp;" "&amp;$I1725&amp;" "&amp;$J1725&amp;" "&amp;$Q1725))),OR(CARI!$C$6="",$E1725=CARI!$C$6),OR(CARI!$C$7="",$F1725=CARI!$C$7),OR(CARI!$C$8="",$O1725=CARI!$C$8)),MAX($U$3:U1724)+1,""))</f>
        <v/>
      </c>
      <c r="V1725" s="40" t="str">
        <f aca="false">IF($T1725="","",MAX($V$3:V1724)+1)</f>
        <v/>
      </c>
      <c r="W1725" s="40" t="str">
        <f aca="false">IF($E1725="","",$E1725&amp;"#"&amp;COUNTIF($E$4:$E1725,$E1725))</f>
        <v/>
      </c>
      <c r="X1725" s="40" t="str">
        <f aca="false">IF($B1725="","",IF(AND(OR(CETAK!$J$10="",$E1725=CETAK!$J$10),OR(CETAK!$J$11="",$F1725=CETAK!$J$11),OR(CETAK!$J$12="",$K1725=CETAK!$J$12),OR(CETAK!$J$13="",$H1725=CETAK!$J$13),OR(CETAK!$J$14="",$O1725=CETAK!$J$14)),MAX($X$3:X1724)+1,""))</f>
        <v/>
      </c>
      <c r="Y1725" s="40" t="str">
        <f aca="false">IF($B1725="","",IF(AND(OR(ABSENSI!$H$10="",$E1725=ABSENSI!$H$10),OR(ABSENSI!$H$11="",$F1725=ABSENSI!$H$11),OR(ABSENSI!$H$12="",$K1725=ABSENSI!$H$12)),MAX($Y$3:Y1724)+1,""))</f>
        <v/>
      </c>
      <c r="Z1725" s="40" t="str">
        <f aca="false">IF($B1725="","",IF(AND(OR(KARTU!$K$6="",$E1725=KARTU!$K$6),OR(KARTU!$K$7="",$F1725=KARTU!$K$7),OR(KARTU!$K$8="",$K1725=KARTU!$K$8)),MAX($Z$3:Z1724)+1,""))</f>
        <v/>
      </c>
    </row>
    <row r="1726" customFormat="false" ht="15" hidden="false" customHeight="false" outlineLevel="0" collapsed="false">
      <c r="A1726" s="36" t="str">
        <f aca="false">IF($B1726="","",COUNTA($B$4:$B1726))</f>
        <v/>
      </c>
      <c r="B1726" s="37"/>
      <c r="C1726" s="38"/>
      <c r="D1726" s="39"/>
      <c r="E1726" s="37"/>
      <c r="F1726" s="39"/>
      <c r="G1726" s="40" t="str">
        <f aca="false">IF(OR($E1726="",$F1726=""),"",$E1726&amp;" - RT "&amp;$F1726)</f>
        <v/>
      </c>
      <c r="H1726" s="37"/>
      <c r="I1726" s="38"/>
      <c r="J1726" s="37"/>
      <c r="K1726" s="39"/>
      <c r="L1726" s="41"/>
      <c r="M1726" s="36" t="str">
        <f aca="true">IF(OR($B1726="",$L1726=""),"",DATEDIF($L1726,TODAY(),"Y"))</f>
        <v/>
      </c>
      <c r="N1726" s="40" t="str">
        <f aca="false">IF($M1726="","",INDEX(usia_label,MATCH($M1726,usia_min,1)))</f>
        <v/>
      </c>
      <c r="O1726" s="37"/>
      <c r="P1726" s="41"/>
      <c r="Q1726" s="37"/>
      <c r="R1726" s="37"/>
      <c r="S1726" s="40" t="str">
        <f aca="false">IF($G1726="","",$G1726&amp;"#"&amp;COUNTIF($G$4:$G1726,$G1726))</f>
        <v/>
      </c>
      <c r="T1726" s="40" t="str">
        <f aca="false">IF($B1726="","",IF($C1726="","NIK kosong",IF(LEN($C1726)&lt;&gt;16,"NIK bukan 16 digit",IF(COUNTIF($C$4:$C$2003,$C1726&amp;"*")&gt;1,"NIK ganda",IF($E1726="","Kadus kosong",IF($F1726="","RT kosong",IF($H1726="","Jabatan kosong",IF($I1726="","No. HP kosong",IF($J1726="","Alamat kosong",IF(AND($M1726&lt;&gt;"",$M1726&lt;17),"Usia di bawah 17",""))))))))))</f>
        <v/>
      </c>
      <c r="U1726" s="40" t="str">
        <f aca="false">IF($B1726="","",IF(AND(OR(CARI!$C$5="",ISNUMBER(SEARCH(CARI!$C$5,$B1726&amp;" "&amp;$C1726&amp;" "&amp;$I1726&amp;" "&amp;$J1726&amp;" "&amp;$Q1726))),OR(CARI!$C$6="",$E1726=CARI!$C$6),OR(CARI!$C$7="",$F1726=CARI!$C$7),OR(CARI!$C$8="",$O1726=CARI!$C$8)),MAX($U$3:U1725)+1,""))</f>
        <v/>
      </c>
      <c r="V1726" s="40" t="str">
        <f aca="false">IF($T1726="","",MAX($V$3:V1725)+1)</f>
        <v/>
      </c>
      <c r="W1726" s="40" t="str">
        <f aca="false">IF($E1726="","",$E1726&amp;"#"&amp;COUNTIF($E$4:$E1726,$E1726))</f>
        <v/>
      </c>
      <c r="X1726" s="40" t="str">
        <f aca="false">IF($B1726="","",IF(AND(OR(CETAK!$J$10="",$E1726=CETAK!$J$10),OR(CETAK!$J$11="",$F1726=CETAK!$J$11),OR(CETAK!$J$12="",$K1726=CETAK!$J$12),OR(CETAK!$J$13="",$H1726=CETAK!$J$13),OR(CETAK!$J$14="",$O1726=CETAK!$J$14)),MAX($X$3:X1725)+1,""))</f>
        <v/>
      </c>
      <c r="Y1726" s="40" t="str">
        <f aca="false">IF($B1726="","",IF(AND(OR(ABSENSI!$H$10="",$E1726=ABSENSI!$H$10),OR(ABSENSI!$H$11="",$F1726=ABSENSI!$H$11),OR(ABSENSI!$H$12="",$K1726=ABSENSI!$H$12)),MAX($Y$3:Y1725)+1,""))</f>
        <v/>
      </c>
      <c r="Z1726" s="40" t="str">
        <f aca="false">IF($B1726="","",IF(AND(OR(KARTU!$K$6="",$E1726=KARTU!$K$6),OR(KARTU!$K$7="",$F1726=KARTU!$K$7),OR(KARTU!$K$8="",$K1726=KARTU!$K$8)),MAX($Z$3:Z1725)+1,""))</f>
        <v/>
      </c>
    </row>
    <row r="1727" customFormat="false" ht="15" hidden="false" customHeight="false" outlineLevel="0" collapsed="false">
      <c r="A1727" s="36" t="str">
        <f aca="false">IF($B1727="","",COUNTA($B$4:$B1727))</f>
        <v/>
      </c>
      <c r="B1727" s="37"/>
      <c r="C1727" s="38"/>
      <c r="D1727" s="39"/>
      <c r="E1727" s="37"/>
      <c r="F1727" s="39"/>
      <c r="G1727" s="40" t="str">
        <f aca="false">IF(OR($E1727="",$F1727=""),"",$E1727&amp;" - RT "&amp;$F1727)</f>
        <v/>
      </c>
      <c r="H1727" s="37"/>
      <c r="I1727" s="38"/>
      <c r="J1727" s="37"/>
      <c r="K1727" s="39"/>
      <c r="L1727" s="41"/>
      <c r="M1727" s="36" t="str">
        <f aca="true">IF(OR($B1727="",$L1727=""),"",DATEDIF($L1727,TODAY(),"Y"))</f>
        <v/>
      </c>
      <c r="N1727" s="40" t="str">
        <f aca="false">IF($M1727="","",INDEX(usia_label,MATCH($M1727,usia_min,1)))</f>
        <v/>
      </c>
      <c r="O1727" s="37"/>
      <c r="P1727" s="41"/>
      <c r="Q1727" s="37"/>
      <c r="R1727" s="37"/>
      <c r="S1727" s="40" t="str">
        <f aca="false">IF($G1727="","",$G1727&amp;"#"&amp;COUNTIF($G$4:$G1727,$G1727))</f>
        <v/>
      </c>
      <c r="T1727" s="40" t="str">
        <f aca="false">IF($B1727="","",IF($C1727="","NIK kosong",IF(LEN($C1727)&lt;&gt;16,"NIK bukan 16 digit",IF(COUNTIF($C$4:$C$2003,$C1727&amp;"*")&gt;1,"NIK ganda",IF($E1727="","Kadus kosong",IF($F1727="","RT kosong",IF($H1727="","Jabatan kosong",IF($I1727="","No. HP kosong",IF($J1727="","Alamat kosong",IF(AND($M1727&lt;&gt;"",$M1727&lt;17),"Usia di bawah 17",""))))))))))</f>
        <v/>
      </c>
      <c r="U1727" s="40" t="str">
        <f aca="false">IF($B1727="","",IF(AND(OR(CARI!$C$5="",ISNUMBER(SEARCH(CARI!$C$5,$B1727&amp;" "&amp;$C1727&amp;" "&amp;$I1727&amp;" "&amp;$J1727&amp;" "&amp;$Q1727))),OR(CARI!$C$6="",$E1727=CARI!$C$6),OR(CARI!$C$7="",$F1727=CARI!$C$7),OR(CARI!$C$8="",$O1727=CARI!$C$8)),MAX($U$3:U1726)+1,""))</f>
        <v/>
      </c>
      <c r="V1727" s="40" t="str">
        <f aca="false">IF($T1727="","",MAX($V$3:V1726)+1)</f>
        <v/>
      </c>
      <c r="W1727" s="40" t="str">
        <f aca="false">IF($E1727="","",$E1727&amp;"#"&amp;COUNTIF($E$4:$E1727,$E1727))</f>
        <v/>
      </c>
      <c r="X1727" s="40" t="str">
        <f aca="false">IF($B1727="","",IF(AND(OR(CETAK!$J$10="",$E1727=CETAK!$J$10),OR(CETAK!$J$11="",$F1727=CETAK!$J$11),OR(CETAK!$J$12="",$K1727=CETAK!$J$12),OR(CETAK!$J$13="",$H1727=CETAK!$J$13),OR(CETAK!$J$14="",$O1727=CETAK!$J$14)),MAX($X$3:X1726)+1,""))</f>
        <v/>
      </c>
      <c r="Y1727" s="40" t="str">
        <f aca="false">IF($B1727="","",IF(AND(OR(ABSENSI!$H$10="",$E1727=ABSENSI!$H$10),OR(ABSENSI!$H$11="",$F1727=ABSENSI!$H$11),OR(ABSENSI!$H$12="",$K1727=ABSENSI!$H$12)),MAX($Y$3:Y1726)+1,""))</f>
        <v/>
      </c>
      <c r="Z1727" s="40" t="str">
        <f aca="false">IF($B1727="","",IF(AND(OR(KARTU!$K$6="",$E1727=KARTU!$K$6),OR(KARTU!$K$7="",$F1727=KARTU!$K$7),OR(KARTU!$K$8="",$K1727=KARTU!$K$8)),MAX($Z$3:Z1726)+1,""))</f>
        <v/>
      </c>
    </row>
    <row r="1728" customFormat="false" ht="15" hidden="false" customHeight="false" outlineLevel="0" collapsed="false">
      <c r="A1728" s="36" t="str">
        <f aca="false">IF($B1728="","",COUNTA($B$4:$B1728))</f>
        <v/>
      </c>
      <c r="B1728" s="37"/>
      <c r="C1728" s="38"/>
      <c r="D1728" s="39"/>
      <c r="E1728" s="37"/>
      <c r="F1728" s="39"/>
      <c r="G1728" s="40" t="str">
        <f aca="false">IF(OR($E1728="",$F1728=""),"",$E1728&amp;" - RT "&amp;$F1728)</f>
        <v/>
      </c>
      <c r="H1728" s="37"/>
      <c r="I1728" s="38"/>
      <c r="J1728" s="37"/>
      <c r="K1728" s="39"/>
      <c r="L1728" s="41"/>
      <c r="M1728" s="36" t="str">
        <f aca="true">IF(OR($B1728="",$L1728=""),"",DATEDIF($L1728,TODAY(),"Y"))</f>
        <v/>
      </c>
      <c r="N1728" s="40" t="str">
        <f aca="false">IF($M1728="","",INDEX(usia_label,MATCH($M1728,usia_min,1)))</f>
        <v/>
      </c>
      <c r="O1728" s="37"/>
      <c r="P1728" s="41"/>
      <c r="Q1728" s="37"/>
      <c r="R1728" s="37"/>
      <c r="S1728" s="40" t="str">
        <f aca="false">IF($G1728="","",$G1728&amp;"#"&amp;COUNTIF($G$4:$G1728,$G1728))</f>
        <v/>
      </c>
      <c r="T1728" s="40" t="str">
        <f aca="false">IF($B1728="","",IF($C1728="","NIK kosong",IF(LEN($C1728)&lt;&gt;16,"NIK bukan 16 digit",IF(COUNTIF($C$4:$C$2003,$C1728&amp;"*")&gt;1,"NIK ganda",IF($E1728="","Kadus kosong",IF($F1728="","RT kosong",IF($H1728="","Jabatan kosong",IF($I1728="","No. HP kosong",IF($J1728="","Alamat kosong",IF(AND($M1728&lt;&gt;"",$M1728&lt;17),"Usia di bawah 17",""))))))))))</f>
        <v/>
      </c>
      <c r="U1728" s="40" t="str">
        <f aca="false">IF($B1728="","",IF(AND(OR(CARI!$C$5="",ISNUMBER(SEARCH(CARI!$C$5,$B1728&amp;" "&amp;$C1728&amp;" "&amp;$I1728&amp;" "&amp;$J1728&amp;" "&amp;$Q1728))),OR(CARI!$C$6="",$E1728=CARI!$C$6),OR(CARI!$C$7="",$F1728=CARI!$C$7),OR(CARI!$C$8="",$O1728=CARI!$C$8)),MAX($U$3:U1727)+1,""))</f>
        <v/>
      </c>
      <c r="V1728" s="40" t="str">
        <f aca="false">IF($T1728="","",MAX($V$3:V1727)+1)</f>
        <v/>
      </c>
      <c r="W1728" s="40" t="str">
        <f aca="false">IF($E1728="","",$E1728&amp;"#"&amp;COUNTIF($E$4:$E1728,$E1728))</f>
        <v/>
      </c>
      <c r="X1728" s="40" t="str">
        <f aca="false">IF($B1728="","",IF(AND(OR(CETAK!$J$10="",$E1728=CETAK!$J$10),OR(CETAK!$J$11="",$F1728=CETAK!$J$11),OR(CETAK!$J$12="",$K1728=CETAK!$J$12),OR(CETAK!$J$13="",$H1728=CETAK!$J$13),OR(CETAK!$J$14="",$O1728=CETAK!$J$14)),MAX($X$3:X1727)+1,""))</f>
        <v/>
      </c>
      <c r="Y1728" s="40" t="str">
        <f aca="false">IF($B1728="","",IF(AND(OR(ABSENSI!$H$10="",$E1728=ABSENSI!$H$10),OR(ABSENSI!$H$11="",$F1728=ABSENSI!$H$11),OR(ABSENSI!$H$12="",$K1728=ABSENSI!$H$12)),MAX($Y$3:Y1727)+1,""))</f>
        <v/>
      </c>
      <c r="Z1728" s="40" t="str">
        <f aca="false">IF($B1728="","",IF(AND(OR(KARTU!$K$6="",$E1728=KARTU!$K$6),OR(KARTU!$K$7="",$F1728=KARTU!$K$7),OR(KARTU!$K$8="",$K1728=KARTU!$K$8)),MAX($Z$3:Z1727)+1,""))</f>
        <v/>
      </c>
    </row>
    <row r="1729" customFormat="false" ht="15" hidden="false" customHeight="false" outlineLevel="0" collapsed="false">
      <c r="A1729" s="36" t="str">
        <f aca="false">IF($B1729="","",COUNTA($B$4:$B1729))</f>
        <v/>
      </c>
      <c r="B1729" s="37"/>
      <c r="C1729" s="38"/>
      <c r="D1729" s="39"/>
      <c r="E1729" s="37"/>
      <c r="F1729" s="39"/>
      <c r="G1729" s="40" t="str">
        <f aca="false">IF(OR($E1729="",$F1729=""),"",$E1729&amp;" - RT "&amp;$F1729)</f>
        <v/>
      </c>
      <c r="H1729" s="37"/>
      <c r="I1729" s="38"/>
      <c r="J1729" s="37"/>
      <c r="K1729" s="39"/>
      <c r="L1729" s="41"/>
      <c r="M1729" s="36" t="str">
        <f aca="true">IF(OR($B1729="",$L1729=""),"",DATEDIF($L1729,TODAY(),"Y"))</f>
        <v/>
      </c>
      <c r="N1729" s="40" t="str">
        <f aca="false">IF($M1729="","",INDEX(usia_label,MATCH($M1729,usia_min,1)))</f>
        <v/>
      </c>
      <c r="O1729" s="37"/>
      <c r="P1729" s="41"/>
      <c r="Q1729" s="37"/>
      <c r="R1729" s="37"/>
      <c r="S1729" s="40" t="str">
        <f aca="false">IF($G1729="","",$G1729&amp;"#"&amp;COUNTIF($G$4:$G1729,$G1729))</f>
        <v/>
      </c>
      <c r="T1729" s="40" t="str">
        <f aca="false">IF($B1729="","",IF($C1729="","NIK kosong",IF(LEN($C1729)&lt;&gt;16,"NIK bukan 16 digit",IF(COUNTIF($C$4:$C$2003,$C1729&amp;"*")&gt;1,"NIK ganda",IF($E1729="","Kadus kosong",IF($F1729="","RT kosong",IF($H1729="","Jabatan kosong",IF($I1729="","No. HP kosong",IF($J1729="","Alamat kosong",IF(AND($M1729&lt;&gt;"",$M1729&lt;17),"Usia di bawah 17",""))))))))))</f>
        <v/>
      </c>
      <c r="U1729" s="40" t="str">
        <f aca="false">IF($B1729="","",IF(AND(OR(CARI!$C$5="",ISNUMBER(SEARCH(CARI!$C$5,$B1729&amp;" "&amp;$C1729&amp;" "&amp;$I1729&amp;" "&amp;$J1729&amp;" "&amp;$Q1729))),OR(CARI!$C$6="",$E1729=CARI!$C$6),OR(CARI!$C$7="",$F1729=CARI!$C$7),OR(CARI!$C$8="",$O1729=CARI!$C$8)),MAX($U$3:U1728)+1,""))</f>
        <v/>
      </c>
      <c r="V1729" s="40" t="str">
        <f aca="false">IF($T1729="","",MAX($V$3:V1728)+1)</f>
        <v/>
      </c>
      <c r="W1729" s="40" t="str">
        <f aca="false">IF($E1729="","",$E1729&amp;"#"&amp;COUNTIF($E$4:$E1729,$E1729))</f>
        <v/>
      </c>
      <c r="X1729" s="40" t="str">
        <f aca="false">IF($B1729="","",IF(AND(OR(CETAK!$J$10="",$E1729=CETAK!$J$10),OR(CETAK!$J$11="",$F1729=CETAK!$J$11),OR(CETAK!$J$12="",$K1729=CETAK!$J$12),OR(CETAK!$J$13="",$H1729=CETAK!$J$13),OR(CETAK!$J$14="",$O1729=CETAK!$J$14)),MAX($X$3:X1728)+1,""))</f>
        <v/>
      </c>
      <c r="Y1729" s="40" t="str">
        <f aca="false">IF($B1729="","",IF(AND(OR(ABSENSI!$H$10="",$E1729=ABSENSI!$H$10),OR(ABSENSI!$H$11="",$F1729=ABSENSI!$H$11),OR(ABSENSI!$H$12="",$K1729=ABSENSI!$H$12)),MAX($Y$3:Y1728)+1,""))</f>
        <v/>
      </c>
      <c r="Z1729" s="40" t="str">
        <f aca="false">IF($B1729="","",IF(AND(OR(KARTU!$K$6="",$E1729=KARTU!$K$6),OR(KARTU!$K$7="",$F1729=KARTU!$K$7),OR(KARTU!$K$8="",$K1729=KARTU!$K$8)),MAX($Z$3:Z1728)+1,""))</f>
        <v/>
      </c>
    </row>
    <row r="1730" customFormat="false" ht="15" hidden="false" customHeight="false" outlineLevel="0" collapsed="false">
      <c r="A1730" s="36" t="str">
        <f aca="false">IF($B1730="","",COUNTA($B$4:$B1730))</f>
        <v/>
      </c>
      <c r="B1730" s="37"/>
      <c r="C1730" s="38"/>
      <c r="D1730" s="39"/>
      <c r="E1730" s="37"/>
      <c r="F1730" s="39"/>
      <c r="G1730" s="40" t="str">
        <f aca="false">IF(OR($E1730="",$F1730=""),"",$E1730&amp;" - RT "&amp;$F1730)</f>
        <v/>
      </c>
      <c r="H1730" s="37"/>
      <c r="I1730" s="38"/>
      <c r="J1730" s="37"/>
      <c r="K1730" s="39"/>
      <c r="L1730" s="41"/>
      <c r="M1730" s="36" t="str">
        <f aca="true">IF(OR($B1730="",$L1730=""),"",DATEDIF($L1730,TODAY(),"Y"))</f>
        <v/>
      </c>
      <c r="N1730" s="40" t="str">
        <f aca="false">IF($M1730="","",INDEX(usia_label,MATCH($M1730,usia_min,1)))</f>
        <v/>
      </c>
      <c r="O1730" s="37"/>
      <c r="P1730" s="41"/>
      <c r="Q1730" s="37"/>
      <c r="R1730" s="37"/>
      <c r="S1730" s="40" t="str">
        <f aca="false">IF($G1730="","",$G1730&amp;"#"&amp;COUNTIF($G$4:$G1730,$G1730))</f>
        <v/>
      </c>
      <c r="T1730" s="40" t="str">
        <f aca="false">IF($B1730="","",IF($C1730="","NIK kosong",IF(LEN($C1730)&lt;&gt;16,"NIK bukan 16 digit",IF(COUNTIF($C$4:$C$2003,$C1730&amp;"*")&gt;1,"NIK ganda",IF($E1730="","Kadus kosong",IF($F1730="","RT kosong",IF($H1730="","Jabatan kosong",IF($I1730="","No. HP kosong",IF($J1730="","Alamat kosong",IF(AND($M1730&lt;&gt;"",$M1730&lt;17),"Usia di bawah 17",""))))))))))</f>
        <v/>
      </c>
      <c r="U1730" s="40" t="str">
        <f aca="false">IF($B1730="","",IF(AND(OR(CARI!$C$5="",ISNUMBER(SEARCH(CARI!$C$5,$B1730&amp;" "&amp;$C1730&amp;" "&amp;$I1730&amp;" "&amp;$J1730&amp;" "&amp;$Q1730))),OR(CARI!$C$6="",$E1730=CARI!$C$6),OR(CARI!$C$7="",$F1730=CARI!$C$7),OR(CARI!$C$8="",$O1730=CARI!$C$8)),MAX($U$3:U1729)+1,""))</f>
        <v/>
      </c>
      <c r="V1730" s="40" t="str">
        <f aca="false">IF($T1730="","",MAX($V$3:V1729)+1)</f>
        <v/>
      </c>
      <c r="W1730" s="40" t="str">
        <f aca="false">IF($E1730="","",$E1730&amp;"#"&amp;COUNTIF($E$4:$E1730,$E1730))</f>
        <v/>
      </c>
      <c r="X1730" s="40" t="str">
        <f aca="false">IF($B1730="","",IF(AND(OR(CETAK!$J$10="",$E1730=CETAK!$J$10),OR(CETAK!$J$11="",$F1730=CETAK!$J$11),OR(CETAK!$J$12="",$K1730=CETAK!$J$12),OR(CETAK!$J$13="",$H1730=CETAK!$J$13),OR(CETAK!$J$14="",$O1730=CETAK!$J$14)),MAX($X$3:X1729)+1,""))</f>
        <v/>
      </c>
      <c r="Y1730" s="40" t="str">
        <f aca="false">IF($B1730="","",IF(AND(OR(ABSENSI!$H$10="",$E1730=ABSENSI!$H$10),OR(ABSENSI!$H$11="",$F1730=ABSENSI!$H$11),OR(ABSENSI!$H$12="",$K1730=ABSENSI!$H$12)),MAX($Y$3:Y1729)+1,""))</f>
        <v/>
      </c>
      <c r="Z1730" s="40" t="str">
        <f aca="false">IF($B1730="","",IF(AND(OR(KARTU!$K$6="",$E1730=KARTU!$K$6),OR(KARTU!$K$7="",$F1730=KARTU!$K$7),OR(KARTU!$K$8="",$K1730=KARTU!$K$8)),MAX($Z$3:Z1729)+1,""))</f>
        <v/>
      </c>
    </row>
    <row r="1731" customFormat="false" ht="15" hidden="false" customHeight="false" outlineLevel="0" collapsed="false">
      <c r="A1731" s="36" t="str">
        <f aca="false">IF($B1731="","",COUNTA($B$4:$B1731))</f>
        <v/>
      </c>
      <c r="B1731" s="37"/>
      <c r="C1731" s="38"/>
      <c r="D1731" s="39"/>
      <c r="E1731" s="37"/>
      <c r="F1731" s="39"/>
      <c r="G1731" s="40" t="str">
        <f aca="false">IF(OR($E1731="",$F1731=""),"",$E1731&amp;" - RT "&amp;$F1731)</f>
        <v/>
      </c>
      <c r="H1731" s="37"/>
      <c r="I1731" s="38"/>
      <c r="J1731" s="37"/>
      <c r="K1731" s="39"/>
      <c r="L1731" s="41"/>
      <c r="M1731" s="36" t="str">
        <f aca="true">IF(OR($B1731="",$L1731=""),"",DATEDIF($L1731,TODAY(),"Y"))</f>
        <v/>
      </c>
      <c r="N1731" s="40" t="str">
        <f aca="false">IF($M1731="","",INDEX(usia_label,MATCH($M1731,usia_min,1)))</f>
        <v/>
      </c>
      <c r="O1731" s="37"/>
      <c r="P1731" s="41"/>
      <c r="Q1731" s="37"/>
      <c r="R1731" s="37"/>
      <c r="S1731" s="40" t="str">
        <f aca="false">IF($G1731="","",$G1731&amp;"#"&amp;COUNTIF($G$4:$G1731,$G1731))</f>
        <v/>
      </c>
      <c r="T1731" s="40" t="str">
        <f aca="false">IF($B1731="","",IF($C1731="","NIK kosong",IF(LEN($C1731)&lt;&gt;16,"NIK bukan 16 digit",IF(COUNTIF($C$4:$C$2003,$C1731&amp;"*")&gt;1,"NIK ganda",IF($E1731="","Kadus kosong",IF($F1731="","RT kosong",IF($H1731="","Jabatan kosong",IF($I1731="","No. HP kosong",IF($J1731="","Alamat kosong",IF(AND($M1731&lt;&gt;"",$M1731&lt;17),"Usia di bawah 17",""))))))))))</f>
        <v/>
      </c>
      <c r="U1731" s="40" t="str">
        <f aca="false">IF($B1731="","",IF(AND(OR(CARI!$C$5="",ISNUMBER(SEARCH(CARI!$C$5,$B1731&amp;" "&amp;$C1731&amp;" "&amp;$I1731&amp;" "&amp;$J1731&amp;" "&amp;$Q1731))),OR(CARI!$C$6="",$E1731=CARI!$C$6),OR(CARI!$C$7="",$F1731=CARI!$C$7),OR(CARI!$C$8="",$O1731=CARI!$C$8)),MAX($U$3:U1730)+1,""))</f>
        <v/>
      </c>
      <c r="V1731" s="40" t="str">
        <f aca="false">IF($T1731="","",MAX($V$3:V1730)+1)</f>
        <v/>
      </c>
      <c r="W1731" s="40" t="str">
        <f aca="false">IF($E1731="","",$E1731&amp;"#"&amp;COUNTIF($E$4:$E1731,$E1731))</f>
        <v/>
      </c>
      <c r="X1731" s="40" t="str">
        <f aca="false">IF($B1731="","",IF(AND(OR(CETAK!$J$10="",$E1731=CETAK!$J$10),OR(CETAK!$J$11="",$F1731=CETAK!$J$11),OR(CETAK!$J$12="",$K1731=CETAK!$J$12),OR(CETAK!$J$13="",$H1731=CETAK!$J$13),OR(CETAK!$J$14="",$O1731=CETAK!$J$14)),MAX($X$3:X1730)+1,""))</f>
        <v/>
      </c>
      <c r="Y1731" s="40" t="str">
        <f aca="false">IF($B1731="","",IF(AND(OR(ABSENSI!$H$10="",$E1731=ABSENSI!$H$10),OR(ABSENSI!$H$11="",$F1731=ABSENSI!$H$11),OR(ABSENSI!$H$12="",$K1731=ABSENSI!$H$12)),MAX($Y$3:Y1730)+1,""))</f>
        <v/>
      </c>
      <c r="Z1731" s="40" t="str">
        <f aca="false">IF($B1731="","",IF(AND(OR(KARTU!$K$6="",$E1731=KARTU!$K$6),OR(KARTU!$K$7="",$F1731=KARTU!$K$7),OR(KARTU!$K$8="",$K1731=KARTU!$K$8)),MAX($Z$3:Z1730)+1,""))</f>
        <v/>
      </c>
    </row>
    <row r="1732" customFormat="false" ht="15" hidden="false" customHeight="false" outlineLevel="0" collapsed="false">
      <c r="A1732" s="36" t="str">
        <f aca="false">IF($B1732="","",COUNTA($B$4:$B1732))</f>
        <v/>
      </c>
      <c r="B1732" s="37"/>
      <c r="C1732" s="38"/>
      <c r="D1732" s="39"/>
      <c r="E1732" s="37"/>
      <c r="F1732" s="39"/>
      <c r="G1732" s="40" t="str">
        <f aca="false">IF(OR($E1732="",$F1732=""),"",$E1732&amp;" - RT "&amp;$F1732)</f>
        <v/>
      </c>
      <c r="H1732" s="37"/>
      <c r="I1732" s="38"/>
      <c r="J1732" s="37"/>
      <c r="K1732" s="39"/>
      <c r="L1732" s="41"/>
      <c r="M1732" s="36" t="str">
        <f aca="true">IF(OR($B1732="",$L1732=""),"",DATEDIF($L1732,TODAY(),"Y"))</f>
        <v/>
      </c>
      <c r="N1732" s="40" t="str">
        <f aca="false">IF($M1732="","",INDEX(usia_label,MATCH($M1732,usia_min,1)))</f>
        <v/>
      </c>
      <c r="O1732" s="37"/>
      <c r="P1732" s="41"/>
      <c r="Q1732" s="37"/>
      <c r="R1732" s="37"/>
      <c r="S1732" s="40" t="str">
        <f aca="false">IF($G1732="","",$G1732&amp;"#"&amp;COUNTIF($G$4:$G1732,$G1732))</f>
        <v/>
      </c>
      <c r="T1732" s="40" t="str">
        <f aca="false">IF($B1732="","",IF($C1732="","NIK kosong",IF(LEN($C1732)&lt;&gt;16,"NIK bukan 16 digit",IF(COUNTIF($C$4:$C$2003,$C1732&amp;"*")&gt;1,"NIK ganda",IF($E1732="","Kadus kosong",IF($F1732="","RT kosong",IF($H1732="","Jabatan kosong",IF($I1732="","No. HP kosong",IF($J1732="","Alamat kosong",IF(AND($M1732&lt;&gt;"",$M1732&lt;17),"Usia di bawah 17",""))))))))))</f>
        <v/>
      </c>
      <c r="U1732" s="40" t="str">
        <f aca="false">IF($B1732="","",IF(AND(OR(CARI!$C$5="",ISNUMBER(SEARCH(CARI!$C$5,$B1732&amp;" "&amp;$C1732&amp;" "&amp;$I1732&amp;" "&amp;$J1732&amp;" "&amp;$Q1732))),OR(CARI!$C$6="",$E1732=CARI!$C$6),OR(CARI!$C$7="",$F1732=CARI!$C$7),OR(CARI!$C$8="",$O1732=CARI!$C$8)),MAX($U$3:U1731)+1,""))</f>
        <v/>
      </c>
      <c r="V1732" s="40" t="str">
        <f aca="false">IF($T1732="","",MAX($V$3:V1731)+1)</f>
        <v/>
      </c>
      <c r="W1732" s="40" t="str">
        <f aca="false">IF($E1732="","",$E1732&amp;"#"&amp;COUNTIF($E$4:$E1732,$E1732))</f>
        <v/>
      </c>
      <c r="X1732" s="40" t="str">
        <f aca="false">IF($B1732="","",IF(AND(OR(CETAK!$J$10="",$E1732=CETAK!$J$10),OR(CETAK!$J$11="",$F1732=CETAK!$J$11),OR(CETAK!$J$12="",$K1732=CETAK!$J$12),OR(CETAK!$J$13="",$H1732=CETAK!$J$13),OR(CETAK!$J$14="",$O1732=CETAK!$J$14)),MAX($X$3:X1731)+1,""))</f>
        <v/>
      </c>
      <c r="Y1732" s="40" t="str">
        <f aca="false">IF($B1732="","",IF(AND(OR(ABSENSI!$H$10="",$E1732=ABSENSI!$H$10),OR(ABSENSI!$H$11="",$F1732=ABSENSI!$H$11),OR(ABSENSI!$H$12="",$K1732=ABSENSI!$H$12)),MAX($Y$3:Y1731)+1,""))</f>
        <v/>
      </c>
      <c r="Z1732" s="40" t="str">
        <f aca="false">IF($B1732="","",IF(AND(OR(KARTU!$K$6="",$E1732=KARTU!$K$6),OR(KARTU!$K$7="",$F1732=KARTU!$K$7),OR(KARTU!$K$8="",$K1732=KARTU!$K$8)),MAX($Z$3:Z1731)+1,""))</f>
        <v/>
      </c>
    </row>
    <row r="1733" customFormat="false" ht="15" hidden="false" customHeight="false" outlineLevel="0" collapsed="false">
      <c r="A1733" s="36" t="str">
        <f aca="false">IF($B1733="","",COUNTA($B$4:$B1733))</f>
        <v/>
      </c>
      <c r="B1733" s="37"/>
      <c r="C1733" s="38"/>
      <c r="D1733" s="39"/>
      <c r="E1733" s="37"/>
      <c r="F1733" s="39"/>
      <c r="G1733" s="40" t="str">
        <f aca="false">IF(OR($E1733="",$F1733=""),"",$E1733&amp;" - RT "&amp;$F1733)</f>
        <v/>
      </c>
      <c r="H1733" s="37"/>
      <c r="I1733" s="38"/>
      <c r="J1733" s="37"/>
      <c r="K1733" s="39"/>
      <c r="L1733" s="41"/>
      <c r="M1733" s="36" t="str">
        <f aca="true">IF(OR($B1733="",$L1733=""),"",DATEDIF($L1733,TODAY(),"Y"))</f>
        <v/>
      </c>
      <c r="N1733" s="40" t="str">
        <f aca="false">IF($M1733="","",INDEX(usia_label,MATCH($M1733,usia_min,1)))</f>
        <v/>
      </c>
      <c r="O1733" s="37"/>
      <c r="P1733" s="41"/>
      <c r="Q1733" s="37"/>
      <c r="R1733" s="37"/>
      <c r="S1733" s="40" t="str">
        <f aca="false">IF($G1733="","",$G1733&amp;"#"&amp;COUNTIF($G$4:$G1733,$G1733))</f>
        <v/>
      </c>
      <c r="T1733" s="40" t="str">
        <f aca="false">IF($B1733="","",IF($C1733="","NIK kosong",IF(LEN($C1733)&lt;&gt;16,"NIK bukan 16 digit",IF(COUNTIF($C$4:$C$2003,$C1733&amp;"*")&gt;1,"NIK ganda",IF($E1733="","Kadus kosong",IF($F1733="","RT kosong",IF($H1733="","Jabatan kosong",IF($I1733="","No. HP kosong",IF($J1733="","Alamat kosong",IF(AND($M1733&lt;&gt;"",$M1733&lt;17),"Usia di bawah 17",""))))))))))</f>
        <v/>
      </c>
      <c r="U1733" s="40" t="str">
        <f aca="false">IF($B1733="","",IF(AND(OR(CARI!$C$5="",ISNUMBER(SEARCH(CARI!$C$5,$B1733&amp;" "&amp;$C1733&amp;" "&amp;$I1733&amp;" "&amp;$J1733&amp;" "&amp;$Q1733))),OR(CARI!$C$6="",$E1733=CARI!$C$6),OR(CARI!$C$7="",$F1733=CARI!$C$7),OR(CARI!$C$8="",$O1733=CARI!$C$8)),MAX($U$3:U1732)+1,""))</f>
        <v/>
      </c>
      <c r="V1733" s="40" t="str">
        <f aca="false">IF($T1733="","",MAX($V$3:V1732)+1)</f>
        <v/>
      </c>
      <c r="W1733" s="40" t="str">
        <f aca="false">IF($E1733="","",$E1733&amp;"#"&amp;COUNTIF($E$4:$E1733,$E1733))</f>
        <v/>
      </c>
      <c r="X1733" s="40" t="str">
        <f aca="false">IF($B1733="","",IF(AND(OR(CETAK!$J$10="",$E1733=CETAK!$J$10),OR(CETAK!$J$11="",$F1733=CETAK!$J$11),OR(CETAK!$J$12="",$K1733=CETAK!$J$12),OR(CETAK!$J$13="",$H1733=CETAK!$J$13),OR(CETAK!$J$14="",$O1733=CETAK!$J$14)),MAX($X$3:X1732)+1,""))</f>
        <v/>
      </c>
      <c r="Y1733" s="40" t="str">
        <f aca="false">IF($B1733="","",IF(AND(OR(ABSENSI!$H$10="",$E1733=ABSENSI!$H$10),OR(ABSENSI!$H$11="",$F1733=ABSENSI!$H$11),OR(ABSENSI!$H$12="",$K1733=ABSENSI!$H$12)),MAX($Y$3:Y1732)+1,""))</f>
        <v/>
      </c>
      <c r="Z1733" s="40" t="str">
        <f aca="false">IF($B1733="","",IF(AND(OR(KARTU!$K$6="",$E1733=KARTU!$K$6),OR(KARTU!$K$7="",$F1733=KARTU!$K$7),OR(KARTU!$K$8="",$K1733=KARTU!$K$8)),MAX($Z$3:Z1732)+1,""))</f>
        <v/>
      </c>
    </row>
    <row r="1734" customFormat="false" ht="15" hidden="false" customHeight="false" outlineLevel="0" collapsed="false">
      <c r="A1734" s="36" t="str">
        <f aca="false">IF($B1734="","",COUNTA($B$4:$B1734))</f>
        <v/>
      </c>
      <c r="B1734" s="37"/>
      <c r="C1734" s="38"/>
      <c r="D1734" s="39"/>
      <c r="E1734" s="37"/>
      <c r="F1734" s="39"/>
      <c r="G1734" s="40" t="str">
        <f aca="false">IF(OR($E1734="",$F1734=""),"",$E1734&amp;" - RT "&amp;$F1734)</f>
        <v/>
      </c>
      <c r="H1734" s="37"/>
      <c r="I1734" s="38"/>
      <c r="J1734" s="37"/>
      <c r="K1734" s="39"/>
      <c r="L1734" s="41"/>
      <c r="M1734" s="36" t="str">
        <f aca="true">IF(OR($B1734="",$L1734=""),"",DATEDIF($L1734,TODAY(),"Y"))</f>
        <v/>
      </c>
      <c r="N1734" s="40" t="str">
        <f aca="false">IF($M1734="","",INDEX(usia_label,MATCH($M1734,usia_min,1)))</f>
        <v/>
      </c>
      <c r="O1734" s="37"/>
      <c r="P1734" s="41"/>
      <c r="Q1734" s="37"/>
      <c r="R1734" s="37"/>
      <c r="S1734" s="40" t="str">
        <f aca="false">IF($G1734="","",$G1734&amp;"#"&amp;COUNTIF($G$4:$G1734,$G1734))</f>
        <v/>
      </c>
      <c r="T1734" s="40" t="str">
        <f aca="false">IF($B1734="","",IF($C1734="","NIK kosong",IF(LEN($C1734)&lt;&gt;16,"NIK bukan 16 digit",IF(COUNTIF($C$4:$C$2003,$C1734&amp;"*")&gt;1,"NIK ganda",IF($E1734="","Kadus kosong",IF($F1734="","RT kosong",IF($H1734="","Jabatan kosong",IF($I1734="","No. HP kosong",IF($J1734="","Alamat kosong",IF(AND($M1734&lt;&gt;"",$M1734&lt;17),"Usia di bawah 17",""))))))))))</f>
        <v/>
      </c>
      <c r="U1734" s="40" t="str">
        <f aca="false">IF($B1734="","",IF(AND(OR(CARI!$C$5="",ISNUMBER(SEARCH(CARI!$C$5,$B1734&amp;" "&amp;$C1734&amp;" "&amp;$I1734&amp;" "&amp;$J1734&amp;" "&amp;$Q1734))),OR(CARI!$C$6="",$E1734=CARI!$C$6),OR(CARI!$C$7="",$F1734=CARI!$C$7),OR(CARI!$C$8="",$O1734=CARI!$C$8)),MAX($U$3:U1733)+1,""))</f>
        <v/>
      </c>
      <c r="V1734" s="40" t="str">
        <f aca="false">IF($T1734="","",MAX($V$3:V1733)+1)</f>
        <v/>
      </c>
      <c r="W1734" s="40" t="str">
        <f aca="false">IF($E1734="","",$E1734&amp;"#"&amp;COUNTIF($E$4:$E1734,$E1734))</f>
        <v/>
      </c>
      <c r="X1734" s="40" t="str">
        <f aca="false">IF($B1734="","",IF(AND(OR(CETAK!$J$10="",$E1734=CETAK!$J$10),OR(CETAK!$J$11="",$F1734=CETAK!$J$11),OR(CETAK!$J$12="",$K1734=CETAK!$J$12),OR(CETAK!$J$13="",$H1734=CETAK!$J$13),OR(CETAK!$J$14="",$O1734=CETAK!$J$14)),MAX($X$3:X1733)+1,""))</f>
        <v/>
      </c>
      <c r="Y1734" s="40" t="str">
        <f aca="false">IF($B1734="","",IF(AND(OR(ABSENSI!$H$10="",$E1734=ABSENSI!$H$10),OR(ABSENSI!$H$11="",$F1734=ABSENSI!$H$11),OR(ABSENSI!$H$12="",$K1734=ABSENSI!$H$12)),MAX($Y$3:Y1733)+1,""))</f>
        <v/>
      </c>
      <c r="Z1734" s="40" t="str">
        <f aca="false">IF($B1734="","",IF(AND(OR(KARTU!$K$6="",$E1734=KARTU!$K$6),OR(KARTU!$K$7="",$F1734=KARTU!$K$7),OR(KARTU!$K$8="",$K1734=KARTU!$K$8)),MAX($Z$3:Z1733)+1,""))</f>
        <v/>
      </c>
    </row>
    <row r="1735" customFormat="false" ht="15" hidden="false" customHeight="false" outlineLevel="0" collapsed="false">
      <c r="A1735" s="36" t="str">
        <f aca="false">IF($B1735="","",COUNTA($B$4:$B1735))</f>
        <v/>
      </c>
      <c r="B1735" s="37"/>
      <c r="C1735" s="38"/>
      <c r="D1735" s="39"/>
      <c r="E1735" s="37"/>
      <c r="F1735" s="39"/>
      <c r="G1735" s="40" t="str">
        <f aca="false">IF(OR($E1735="",$F1735=""),"",$E1735&amp;" - RT "&amp;$F1735)</f>
        <v/>
      </c>
      <c r="H1735" s="37"/>
      <c r="I1735" s="38"/>
      <c r="J1735" s="37"/>
      <c r="K1735" s="39"/>
      <c r="L1735" s="41"/>
      <c r="M1735" s="36" t="str">
        <f aca="true">IF(OR($B1735="",$L1735=""),"",DATEDIF($L1735,TODAY(),"Y"))</f>
        <v/>
      </c>
      <c r="N1735" s="40" t="str">
        <f aca="false">IF($M1735="","",INDEX(usia_label,MATCH($M1735,usia_min,1)))</f>
        <v/>
      </c>
      <c r="O1735" s="37"/>
      <c r="P1735" s="41"/>
      <c r="Q1735" s="37"/>
      <c r="R1735" s="37"/>
      <c r="S1735" s="40" t="str">
        <f aca="false">IF($G1735="","",$G1735&amp;"#"&amp;COUNTIF($G$4:$G1735,$G1735))</f>
        <v/>
      </c>
      <c r="T1735" s="40" t="str">
        <f aca="false">IF($B1735="","",IF($C1735="","NIK kosong",IF(LEN($C1735)&lt;&gt;16,"NIK bukan 16 digit",IF(COUNTIF($C$4:$C$2003,$C1735&amp;"*")&gt;1,"NIK ganda",IF($E1735="","Kadus kosong",IF($F1735="","RT kosong",IF($H1735="","Jabatan kosong",IF($I1735="","No. HP kosong",IF($J1735="","Alamat kosong",IF(AND($M1735&lt;&gt;"",$M1735&lt;17),"Usia di bawah 17",""))))))))))</f>
        <v/>
      </c>
      <c r="U1735" s="40" t="str">
        <f aca="false">IF($B1735="","",IF(AND(OR(CARI!$C$5="",ISNUMBER(SEARCH(CARI!$C$5,$B1735&amp;" "&amp;$C1735&amp;" "&amp;$I1735&amp;" "&amp;$J1735&amp;" "&amp;$Q1735))),OR(CARI!$C$6="",$E1735=CARI!$C$6),OR(CARI!$C$7="",$F1735=CARI!$C$7),OR(CARI!$C$8="",$O1735=CARI!$C$8)),MAX($U$3:U1734)+1,""))</f>
        <v/>
      </c>
      <c r="V1735" s="40" t="str">
        <f aca="false">IF($T1735="","",MAX($V$3:V1734)+1)</f>
        <v/>
      </c>
      <c r="W1735" s="40" t="str">
        <f aca="false">IF($E1735="","",$E1735&amp;"#"&amp;COUNTIF($E$4:$E1735,$E1735))</f>
        <v/>
      </c>
      <c r="X1735" s="40" t="str">
        <f aca="false">IF($B1735="","",IF(AND(OR(CETAK!$J$10="",$E1735=CETAK!$J$10),OR(CETAK!$J$11="",$F1735=CETAK!$J$11),OR(CETAK!$J$12="",$K1735=CETAK!$J$12),OR(CETAK!$J$13="",$H1735=CETAK!$J$13),OR(CETAK!$J$14="",$O1735=CETAK!$J$14)),MAX($X$3:X1734)+1,""))</f>
        <v/>
      </c>
      <c r="Y1735" s="40" t="str">
        <f aca="false">IF($B1735="","",IF(AND(OR(ABSENSI!$H$10="",$E1735=ABSENSI!$H$10),OR(ABSENSI!$H$11="",$F1735=ABSENSI!$H$11),OR(ABSENSI!$H$12="",$K1735=ABSENSI!$H$12)),MAX($Y$3:Y1734)+1,""))</f>
        <v/>
      </c>
      <c r="Z1735" s="40" t="str">
        <f aca="false">IF($B1735="","",IF(AND(OR(KARTU!$K$6="",$E1735=KARTU!$K$6),OR(KARTU!$K$7="",$F1735=KARTU!$K$7),OR(KARTU!$K$8="",$K1735=KARTU!$K$8)),MAX($Z$3:Z1734)+1,""))</f>
        <v/>
      </c>
    </row>
    <row r="1736" customFormat="false" ht="15" hidden="false" customHeight="false" outlineLevel="0" collapsed="false">
      <c r="A1736" s="36" t="str">
        <f aca="false">IF($B1736="","",COUNTA($B$4:$B1736))</f>
        <v/>
      </c>
      <c r="B1736" s="37"/>
      <c r="C1736" s="38"/>
      <c r="D1736" s="39"/>
      <c r="E1736" s="37"/>
      <c r="F1736" s="39"/>
      <c r="G1736" s="40" t="str">
        <f aca="false">IF(OR($E1736="",$F1736=""),"",$E1736&amp;" - RT "&amp;$F1736)</f>
        <v/>
      </c>
      <c r="H1736" s="37"/>
      <c r="I1736" s="38"/>
      <c r="J1736" s="37"/>
      <c r="K1736" s="39"/>
      <c r="L1736" s="41"/>
      <c r="M1736" s="36" t="str">
        <f aca="true">IF(OR($B1736="",$L1736=""),"",DATEDIF($L1736,TODAY(),"Y"))</f>
        <v/>
      </c>
      <c r="N1736" s="40" t="str">
        <f aca="false">IF($M1736="","",INDEX(usia_label,MATCH($M1736,usia_min,1)))</f>
        <v/>
      </c>
      <c r="O1736" s="37"/>
      <c r="P1736" s="41"/>
      <c r="Q1736" s="37"/>
      <c r="R1736" s="37"/>
      <c r="S1736" s="40" t="str">
        <f aca="false">IF($G1736="","",$G1736&amp;"#"&amp;COUNTIF($G$4:$G1736,$G1736))</f>
        <v/>
      </c>
      <c r="T1736" s="40" t="str">
        <f aca="false">IF($B1736="","",IF($C1736="","NIK kosong",IF(LEN($C1736)&lt;&gt;16,"NIK bukan 16 digit",IF(COUNTIF($C$4:$C$2003,$C1736&amp;"*")&gt;1,"NIK ganda",IF($E1736="","Kadus kosong",IF($F1736="","RT kosong",IF($H1736="","Jabatan kosong",IF($I1736="","No. HP kosong",IF($J1736="","Alamat kosong",IF(AND($M1736&lt;&gt;"",$M1736&lt;17),"Usia di bawah 17",""))))))))))</f>
        <v/>
      </c>
      <c r="U1736" s="40" t="str">
        <f aca="false">IF($B1736="","",IF(AND(OR(CARI!$C$5="",ISNUMBER(SEARCH(CARI!$C$5,$B1736&amp;" "&amp;$C1736&amp;" "&amp;$I1736&amp;" "&amp;$J1736&amp;" "&amp;$Q1736))),OR(CARI!$C$6="",$E1736=CARI!$C$6),OR(CARI!$C$7="",$F1736=CARI!$C$7),OR(CARI!$C$8="",$O1736=CARI!$C$8)),MAX($U$3:U1735)+1,""))</f>
        <v/>
      </c>
      <c r="V1736" s="40" t="str">
        <f aca="false">IF($T1736="","",MAX($V$3:V1735)+1)</f>
        <v/>
      </c>
      <c r="W1736" s="40" t="str">
        <f aca="false">IF($E1736="","",$E1736&amp;"#"&amp;COUNTIF($E$4:$E1736,$E1736))</f>
        <v/>
      </c>
      <c r="X1736" s="40" t="str">
        <f aca="false">IF($B1736="","",IF(AND(OR(CETAK!$J$10="",$E1736=CETAK!$J$10),OR(CETAK!$J$11="",$F1736=CETAK!$J$11),OR(CETAK!$J$12="",$K1736=CETAK!$J$12),OR(CETAK!$J$13="",$H1736=CETAK!$J$13),OR(CETAK!$J$14="",$O1736=CETAK!$J$14)),MAX($X$3:X1735)+1,""))</f>
        <v/>
      </c>
      <c r="Y1736" s="40" t="str">
        <f aca="false">IF($B1736="","",IF(AND(OR(ABSENSI!$H$10="",$E1736=ABSENSI!$H$10),OR(ABSENSI!$H$11="",$F1736=ABSENSI!$H$11),OR(ABSENSI!$H$12="",$K1736=ABSENSI!$H$12)),MAX($Y$3:Y1735)+1,""))</f>
        <v/>
      </c>
      <c r="Z1736" s="40" t="str">
        <f aca="false">IF($B1736="","",IF(AND(OR(KARTU!$K$6="",$E1736=KARTU!$K$6),OR(KARTU!$K$7="",$F1736=KARTU!$K$7),OR(KARTU!$K$8="",$K1736=KARTU!$K$8)),MAX($Z$3:Z1735)+1,""))</f>
        <v/>
      </c>
    </row>
    <row r="1737" customFormat="false" ht="15" hidden="false" customHeight="false" outlineLevel="0" collapsed="false">
      <c r="A1737" s="36" t="str">
        <f aca="false">IF($B1737="","",COUNTA($B$4:$B1737))</f>
        <v/>
      </c>
      <c r="B1737" s="37"/>
      <c r="C1737" s="38"/>
      <c r="D1737" s="39"/>
      <c r="E1737" s="37"/>
      <c r="F1737" s="39"/>
      <c r="G1737" s="40" t="str">
        <f aca="false">IF(OR($E1737="",$F1737=""),"",$E1737&amp;" - RT "&amp;$F1737)</f>
        <v/>
      </c>
      <c r="H1737" s="37"/>
      <c r="I1737" s="38"/>
      <c r="J1737" s="37"/>
      <c r="K1737" s="39"/>
      <c r="L1737" s="41"/>
      <c r="M1737" s="36" t="str">
        <f aca="true">IF(OR($B1737="",$L1737=""),"",DATEDIF($L1737,TODAY(),"Y"))</f>
        <v/>
      </c>
      <c r="N1737" s="40" t="str">
        <f aca="false">IF($M1737="","",INDEX(usia_label,MATCH($M1737,usia_min,1)))</f>
        <v/>
      </c>
      <c r="O1737" s="37"/>
      <c r="P1737" s="41"/>
      <c r="Q1737" s="37"/>
      <c r="R1737" s="37"/>
      <c r="S1737" s="40" t="str">
        <f aca="false">IF($G1737="","",$G1737&amp;"#"&amp;COUNTIF($G$4:$G1737,$G1737))</f>
        <v/>
      </c>
      <c r="T1737" s="40" t="str">
        <f aca="false">IF($B1737="","",IF($C1737="","NIK kosong",IF(LEN($C1737)&lt;&gt;16,"NIK bukan 16 digit",IF(COUNTIF($C$4:$C$2003,$C1737&amp;"*")&gt;1,"NIK ganda",IF($E1737="","Kadus kosong",IF($F1737="","RT kosong",IF($H1737="","Jabatan kosong",IF($I1737="","No. HP kosong",IF($J1737="","Alamat kosong",IF(AND($M1737&lt;&gt;"",$M1737&lt;17),"Usia di bawah 17",""))))))))))</f>
        <v/>
      </c>
      <c r="U1737" s="40" t="str">
        <f aca="false">IF($B1737="","",IF(AND(OR(CARI!$C$5="",ISNUMBER(SEARCH(CARI!$C$5,$B1737&amp;" "&amp;$C1737&amp;" "&amp;$I1737&amp;" "&amp;$J1737&amp;" "&amp;$Q1737))),OR(CARI!$C$6="",$E1737=CARI!$C$6),OR(CARI!$C$7="",$F1737=CARI!$C$7),OR(CARI!$C$8="",$O1737=CARI!$C$8)),MAX($U$3:U1736)+1,""))</f>
        <v/>
      </c>
      <c r="V1737" s="40" t="str">
        <f aca="false">IF($T1737="","",MAX($V$3:V1736)+1)</f>
        <v/>
      </c>
      <c r="W1737" s="40" t="str">
        <f aca="false">IF($E1737="","",$E1737&amp;"#"&amp;COUNTIF($E$4:$E1737,$E1737))</f>
        <v/>
      </c>
      <c r="X1737" s="40" t="str">
        <f aca="false">IF($B1737="","",IF(AND(OR(CETAK!$J$10="",$E1737=CETAK!$J$10),OR(CETAK!$J$11="",$F1737=CETAK!$J$11),OR(CETAK!$J$12="",$K1737=CETAK!$J$12),OR(CETAK!$J$13="",$H1737=CETAK!$J$13),OR(CETAK!$J$14="",$O1737=CETAK!$J$14)),MAX($X$3:X1736)+1,""))</f>
        <v/>
      </c>
      <c r="Y1737" s="40" t="str">
        <f aca="false">IF($B1737="","",IF(AND(OR(ABSENSI!$H$10="",$E1737=ABSENSI!$H$10),OR(ABSENSI!$H$11="",$F1737=ABSENSI!$H$11),OR(ABSENSI!$H$12="",$K1737=ABSENSI!$H$12)),MAX($Y$3:Y1736)+1,""))</f>
        <v/>
      </c>
      <c r="Z1737" s="40" t="str">
        <f aca="false">IF($B1737="","",IF(AND(OR(KARTU!$K$6="",$E1737=KARTU!$K$6),OR(KARTU!$K$7="",$F1737=KARTU!$K$7),OR(KARTU!$K$8="",$K1737=KARTU!$K$8)),MAX($Z$3:Z1736)+1,""))</f>
        <v/>
      </c>
    </row>
    <row r="1738" customFormat="false" ht="15" hidden="false" customHeight="false" outlineLevel="0" collapsed="false">
      <c r="A1738" s="36" t="str">
        <f aca="false">IF($B1738="","",COUNTA($B$4:$B1738))</f>
        <v/>
      </c>
      <c r="B1738" s="37"/>
      <c r="C1738" s="38"/>
      <c r="D1738" s="39"/>
      <c r="E1738" s="37"/>
      <c r="F1738" s="39"/>
      <c r="G1738" s="40" t="str">
        <f aca="false">IF(OR($E1738="",$F1738=""),"",$E1738&amp;" - RT "&amp;$F1738)</f>
        <v/>
      </c>
      <c r="H1738" s="37"/>
      <c r="I1738" s="38"/>
      <c r="J1738" s="37"/>
      <c r="K1738" s="39"/>
      <c r="L1738" s="41"/>
      <c r="M1738" s="36" t="str">
        <f aca="true">IF(OR($B1738="",$L1738=""),"",DATEDIF($L1738,TODAY(),"Y"))</f>
        <v/>
      </c>
      <c r="N1738" s="40" t="str">
        <f aca="false">IF($M1738="","",INDEX(usia_label,MATCH($M1738,usia_min,1)))</f>
        <v/>
      </c>
      <c r="O1738" s="37"/>
      <c r="P1738" s="41"/>
      <c r="Q1738" s="37"/>
      <c r="R1738" s="37"/>
      <c r="S1738" s="40" t="str">
        <f aca="false">IF($G1738="","",$G1738&amp;"#"&amp;COUNTIF($G$4:$G1738,$G1738))</f>
        <v/>
      </c>
      <c r="T1738" s="40" t="str">
        <f aca="false">IF($B1738="","",IF($C1738="","NIK kosong",IF(LEN($C1738)&lt;&gt;16,"NIK bukan 16 digit",IF(COUNTIF($C$4:$C$2003,$C1738&amp;"*")&gt;1,"NIK ganda",IF($E1738="","Kadus kosong",IF($F1738="","RT kosong",IF($H1738="","Jabatan kosong",IF($I1738="","No. HP kosong",IF($J1738="","Alamat kosong",IF(AND($M1738&lt;&gt;"",$M1738&lt;17),"Usia di bawah 17",""))))))))))</f>
        <v/>
      </c>
      <c r="U1738" s="40" t="str">
        <f aca="false">IF($B1738="","",IF(AND(OR(CARI!$C$5="",ISNUMBER(SEARCH(CARI!$C$5,$B1738&amp;" "&amp;$C1738&amp;" "&amp;$I1738&amp;" "&amp;$J1738&amp;" "&amp;$Q1738))),OR(CARI!$C$6="",$E1738=CARI!$C$6),OR(CARI!$C$7="",$F1738=CARI!$C$7),OR(CARI!$C$8="",$O1738=CARI!$C$8)),MAX($U$3:U1737)+1,""))</f>
        <v/>
      </c>
      <c r="V1738" s="40" t="str">
        <f aca="false">IF($T1738="","",MAX($V$3:V1737)+1)</f>
        <v/>
      </c>
      <c r="W1738" s="40" t="str">
        <f aca="false">IF($E1738="","",$E1738&amp;"#"&amp;COUNTIF($E$4:$E1738,$E1738))</f>
        <v/>
      </c>
      <c r="X1738" s="40" t="str">
        <f aca="false">IF($B1738="","",IF(AND(OR(CETAK!$J$10="",$E1738=CETAK!$J$10),OR(CETAK!$J$11="",$F1738=CETAK!$J$11),OR(CETAK!$J$12="",$K1738=CETAK!$J$12),OR(CETAK!$J$13="",$H1738=CETAK!$J$13),OR(CETAK!$J$14="",$O1738=CETAK!$J$14)),MAX($X$3:X1737)+1,""))</f>
        <v/>
      </c>
      <c r="Y1738" s="40" t="str">
        <f aca="false">IF($B1738="","",IF(AND(OR(ABSENSI!$H$10="",$E1738=ABSENSI!$H$10),OR(ABSENSI!$H$11="",$F1738=ABSENSI!$H$11),OR(ABSENSI!$H$12="",$K1738=ABSENSI!$H$12)),MAX($Y$3:Y1737)+1,""))</f>
        <v/>
      </c>
      <c r="Z1738" s="40" t="str">
        <f aca="false">IF($B1738="","",IF(AND(OR(KARTU!$K$6="",$E1738=KARTU!$K$6),OR(KARTU!$K$7="",$F1738=KARTU!$K$7),OR(KARTU!$K$8="",$K1738=KARTU!$K$8)),MAX($Z$3:Z1737)+1,""))</f>
        <v/>
      </c>
    </row>
    <row r="1739" customFormat="false" ht="15" hidden="false" customHeight="false" outlineLevel="0" collapsed="false">
      <c r="A1739" s="36" t="str">
        <f aca="false">IF($B1739="","",COUNTA($B$4:$B1739))</f>
        <v/>
      </c>
      <c r="B1739" s="37"/>
      <c r="C1739" s="38"/>
      <c r="D1739" s="39"/>
      <c r="E1739" s="37"/>
      <c r="F1739" s="39"/>
      <c r="G1739" s="40" t="str">
        <f aca="false">IF(OR($E1739="",$F1739=""),"",$E1739&amp;" - RT "&amp;$F1739)</f>
        <v/>
      </c>
      <c r="H1739" s="37"/>
      <c r="I1739" s="38"/>
      <c r="J1739" s="37"/>
      <c r="K1739" s="39"/>
      <c r="L1739" s="41"/>
      <c r="M1739" s="36" t="str">
        <f aca="true">IF(OR($B1739="",$L1739=""),"",DATEDIF($L1739,TODAY(),"Y"))</f>
        <v/>
      </c>
      <c r="N1739" s="40" t="str">
        <f aca="false">IF($M1739="","",INDEX(usia_label,MATCH($M1739,usia_min,1)))</f>
        <v/>
      </c>
      <c r="O1739" s="37"/>
      <c r="P1739" s="41"/>
      <c r="Q1739" s="37"/>
      <c r="R1739" s="37"/>
      <c r="S1739" s="40" t="str">
        <f aca="false">IF($G1739="","",$G1739&amp;"#"&amp;COUNTIF($G$4:$G1739,$G1739))</f>
        <v/>
      </c>
      <c r="T1739" s="40" t="str">
        <f aca="false">IF($B1739="","",IF($C1739="","NIK kosong",IF(LEN($C1739)&lt;&gt;16,"NIK bukan 16 digit",IF(COUNTIF($C$4:$C$2003,$C1739&amp;"*")&gt;1,"NIK ganda",IF($E1739="","Kadus kosong",IF($F1739="","RT kosong",IF($H1739="","Jabatan kosong",IF($I1739="","No. HP kosong",IF($J1739="","Alamat kosong",IF(AND($M1739&lt;&gt;"",$M1739&lt;17),"Usia di bawah 17",""))))))))))</f>
        <v/>
      </c>
      <c r="U1739" s="40" t="str">
        <f aca="false">IF($B1739="","",IF(AND(OR(CARI!$C$5="",ISNUMBER(SEARCH(CARI!$C$5,$B1739&amp;" "&amp;$C1739&amp;" "&amp;$I1739&amp;" "&amp;$J1739&amp;" "&amp;$Q1739))),OR(CARI!$C$6="",$E1739=CARI!$C$6),OR(CARI!$C$7="",$F1739=CARI!$C$7),OR(CARI!$C$8="",$O1739=CARI!$C$8)),MAX($U$3:U1738)+1,""))</f>
        <v/>
      </c>
      <c r="V1739" s="40" t="str">
        <f aca="false">IF($T1739="","",MAX($V$3:V1738)+1)</f>
        <v/>
      </c>
      <c r="W1739" s="40" t="str">
        <f aca="false">IF($E1739="","",$E1739&amp;"#"&amp;COUNTIF($E$4:$E1739,$E1739))</f>
        <v/>
      </c>
      <c r="X1739" s="40" t="str">
        <f aca="false">IF($B1739="","",IF(AND(OR(CETAK!$J$10="",$E1739=CETAK!$J$10),OR(CETAK!$J$11="",$F1739=CETAK!$J$11),OR(CETAK!$J$12="",$K1739=CETAK!$J$12),OR(CETAK!$J$13="",$H1739=CETAK!$J$13),OR(CETAK!$J$14="",$O1739=CETAK!$J$14)),MAX($X$3:X1738)+1,""))</f>
        <v/>
      </c>
      <c r="Y1739" s="40" t="str">
        <f aca="false">IF($B1739="","",IF(AND(OR(ABSENSI!$H$10="",$E1739=ABSENSI!$H$10),OR(ABSENSI!$H$11="",$F1739=ABSENSI!$H$11),OR(ABSENSI!$H$12="",$K1739=ABSENSI!$H$12)),MAX($Y$3:Y1738)+1,""))</f>
        <v/>
      </c>
      <c r="Z1739" s="40" t="str">
        <f aca="false">IF($B1739="","",IF(AND(OR(KARTU!$K$6="",$E1739=KARTU!$K$6),OR(KARTU!$K$7="",$F1739=KARTU!$K$7),OR(KARTU!$K$8="",$K1739=KARTU!$K$8)),MAX($Z$3:Z1738)+1,""))</f>
        <v/>
      </c>
    </row>
    <row r="1740" customFormat="false" ht="15" hidden="false" customHeight="false" outlineLevel="0" collapsed="false">
      <c r="A1740" s="36" t="str">
        <f aca="false">IF($B1740="","",COUNTA($B$4:$B1740))</f>
        <v/>
      </c>
      <c r="B1740" s="37"/>
      <c r="C1740" s="38"/>
      <c r="D1740" s="39"/>
      <c r="E1740" s="37"/>
      <c r="F1740" s="39"/>
      <c r="G1740" s="40" t="str">
        <f aca="false">IF(OR($E1740="",$F1740=""),"",$E1740&amp;" - RT "&amp;$F1740)</f>
        <v/>
      </c>
      <c r="H1740" s="37"/>
      <c r="I1740" s="38"/>
      <c r="J1740" s="37"/>
      <c r="K1740" s="39"/>
      <c r="L1740" s="41"/>
      <c r="M1740" s="36" t="str">
        <f aca="true">IF(OR($B1740="",$L1740=""),"",DATEDIF($L1740,TODAY(),"Y"))</f>
        <v/>
      </c>
      <c r="N1740" s="40" t="str">
        <f aca="false">IF($M1740="","",INDEX(usia_label,MATCH($M1740,usia_min,1)))</f>
        <v/>
      </c>
      <c r="O1740" s="37"/>
      <c r="P1740" s="41"/>
      <c r="Q1740" s="37"/>
      <c r="R1740" s="37"/>
      <c r="S1740" s="40" t="str">
        <f aca="false">IF($G1740="","",$G1740&amp;"#"&amp;COUNTIF($G$4:$G1740,$G1740))</f>
        <v/>
      </c>
      <c r="T1740" s="40" t="str">
        <f aca="false">IF($B1740="","",IF($C1740="","NIK kosong",IF(LEN($C1740)&lt;&gt;16,"NIK bukan 16 digit",IF(COUNTIF($C$4:$C$2003,$C1740&amp;"*")&gt;1,"NIK ganda",IF($E1740="","Kadus kosong",IF($F1740="","RT kosong",IF($H1740="","Jabatan kosong",IF($I1740="","No. HP kosong",IF($J1740="","Alamat kosong",IF(AND($M1740&lt;&gt;"",$M1740&lt;17),"Usia di bawah 17",""))))))))))</f>
        <v/>
      </c>
      <c r="U1740" s="40" t="str">
        <f aca="false">IF($B1740="","",IF(AND(OR(CARI!$C$5="",ISNUMBER(SEARCH(CARI!$C$5,$B1740&amp;" "&amp;$C1740&amp;" "&amp;$I1740&amp;" "&amp;$J1740&amp;" "&amp;$Q1740))),OR(CARI!$C$6="",$E1740=CARI!$C$6),OR(CARI!$C$7="",$F1740=CARI!$C$7),OR(CARI!$C$8="",$O1740=CARI!$C$8)),MAX($U$3:U1739)+1,""))</f>
        <v/>
      </c>
      <c r="V1740" s="40" t="str">
        <f aca="false">IF($T1740="","",MAX($V$3:V1739)+1)</f>
        <v/>
      </c>
      <c r="W1740" s="40" t="str">
        <f aca="false">IF($E1740="","",$E1740&amp;"#"&amp;COUNTIF($E$4:$E1740,$E1740))</f>
        <v/>
      </c>
      <c r="X1740" s="40" t="str">
        <f aca="false">IF($B1740="","",IF(AND(OR(CETAK!$J$10="",$E1740=CETAK!$J$10),OR(CETAK!$J$11="",$F1740=CETAK!$J$11),OR(CETAK!$J$12="",$K1740=CETAK!$J$12),OR(CETAK!$J$13="",$H1740=CETAK!$J$13),OR(CETAK!$J$14="",$O1740=CETAK!$J$14)),MAX($X$3:X1739)+1,""))</f>
        <v/>
      </c>
      <c r="Y1740" s="40" t="str">
        <f aca="false">IF($B1740="","",IF(AND(OR(ABSENSI!$H$10="",$E1740=ABSENSI!$H$10),OR(ABSENSI!$H$11="",$F1740=ABSENSI!$H$11),OR(ABSENSI!$H$12="",$K1740=ABSENSI!$H$12)),MAX($Y$3:Y1739)+1,""))</f>
        <v/>
      </c>
      <c r="Z1740" s="40" t="str">
        <f aca="false">IF($B1740="","",IF(AND(OR(KARTU!$K$6="",$E1740=KARTU!$K$6),OR(KARTU!$K$7="",$F1740=KARTU!$K$7),OR(KARTU!$K$8="",$K1740=KARTU!$K$8)),MAX($Z$3:Z1739)+1,""))</f>
        <v/>
      </c>
    </row>
    <row r="1741" customFormat="false" ht="15" hidden="false" customHeight="false" outlineLevel="0" collapsed="false">
      <c r="A1741" s="36" t="str">
        <f aca="false">IF($B1741="","",COUNTA($B$4:$B1741))</f>
        <v/>
      </c>
      <c r="B1741" s="37"/>
      <c r="C1741" s="38"/>
      <c r="D1741" s="39"/>
      <c r="E1741" s="37"/>
      <c r="F1741" s="39"/>
      <c r="G1741" s="40" t="str">
        <f aca="false">IF(OR($E1741="",$F1741=""),"",$E1741&amp;" - RT "&amp;$F1741)</f>
        <v/>
      </c>
      <c r="H1741" s="37"/>
      <c r="I1741" s="38"/>
      <c r="J1741" s="37"/>
      <c r="K1741" s="39"/>
      <c r="L1741" s="41"/>
      <c r="M1741" s="36" t="str">
        <f aca="true">IF(OR($B1741="",$L1741=""),"",DATEDIF($L1741,TODAY(),"Y"))</f>
        <v/>
      </c>
      <c r="N1741" s="40" t="str">
        <f aca="false">IF($M1741="","",INDEX(usia_label,MATCH($M1741,usia_min,1)))</f>
        <v/>
      </c>
      <c r="O1741" s="37"/>
      <c r="P1741" s="41"/>
      <c r="Q1741" s="37"/>
      <c r="R1741" s="37"/>
      <c r="S1741" s="40" t="str">
        <f aca="false">IF($G1741="","",$G1741&amp;"#"&amp;COUNTIF($G$4:$G1741,$G1741))</f>
        <v/>
      </c>
      <c r="T1741" s="40" t="str">
        <f aca="false">IF($B1741="","",IF($C1741="","NIK kosong",IF(LEN($C1741)&lt;&gt;16,"NIK bukan 16 digit",IF(COUNTIF($C$4:$C$2003,$C1741&amp;"*")&gt;1,"NIK ganda",IF($E1741="","Kadus kosong",IF($F1741="","RT kosong",IF($H1741="","Jabatan kosong",IF($I1741="","No. HP kosong",IF($J1741="","Alamat kosong",IF(AND($M1741&lt;&gt;"",$M1741&lt;17),"Usia di bawah 17",""))))))))))</f>
        <v/>
      </c>
      <c r="U1741" s="40" t="str">
        <f aca="false">IF($B1741="","",IF(AND(OR(CARI!$C$5="",ISNUMBER(SEARCH(CARI!$C$5,$B1741&amp;" "&amp;$C1741&amp;" "&amp;$I1741&amp;" "&amp;$J1741&amp;" "&amp;$Q1741))),OR(CARI!$C$6="",$E1741=CARI!$C$6),OR(CARI!$C$7="",$F1741=CARI!$C$7),OR(CARI!$C$8="",$O1741=CARI!$C$8)),MAX($U$3:U1740)+1,""))</f>
        <v/>
      </c>
      <c r="V1741" s="40" t="str">
        <f aca="false">IF($T1741="","",MAX($V$3:V1740)+1)</f>
        <v/>
      </c>
      <c r="W1741" s="40" t="str">
        <f aca="false">IF($E1741="","",$E1741&amp;"#"&amp;COUNTIF($E$4:$E1741,$E1741))</f>
        <v/>
      </c>
      <c r="X1741" s="40" t="str">
        <f aca="false">IF($B1741="","",IF(AND(OR(CETAK!$J$10="",$E1741=CETAK!$J$10),OR(CETAK!$J$11="",$F1741=CETAK!$J$11),OR(CETAK!$J$12="",$K1741=CETAK!$J$12),OR(CETAK!$J$13="",$H1741=CETAK!$J$13),OR(CETAK!$J$14="",$O1741=CETAK!$J$14)),MAX($X$3:X1740)+1,""))</f>
        <v/>
      </c>
      <c r="Y1741" s="40" t="str">
        <f aca="false">IF($B1741="","",IF(AND(OR(ABSENSI!$H$10="",$E1741=ABSENSI!$H$10),OR(ABSENSI!$H$11="",$F1741=ABSENSI!$H$11),OR(ABSENSI!$H$12="",$K1741=ABSENSI!$H$12)),MAX($Y$3:Y1740)+1,""))</f>
        <v/>
      </c>
      <c r="Z1741" s="40" t="str">
        <f aca="false">IF($B1741="","",IF(AND(OR(KARTU!$K$6="",$E1741=KARTU!$K$6),OR(KARTU!$K$7="",$F1741=KARTU!$K$7),OR(KARTU!$K$8="",$K1741=KARTU!$K$8)),MAX($Z$3:Z1740)+1,""))</f>
        <v/>
      </c>
    </row>
    <row r="1742" customFormat="false" ht="15" hidden="false" customHeight="false" outlineLevel="0" collapsed="false">
      <c r="A1742" s="36" t="str">
        <f aca="false">IF($B1742="","",COUNTA($B$4:$B1742))</f>
        <v/>
      </c>
      <c r="B1742" s="37"/>
      <c r="C1742" s="38"/>
      <c r="D1742" s="39"/>
      <c r="E1742" s="37"/>
      <c r="F1742" s="39"/>
      <c r="G1742" s="40" t="str">
        <f aca="false">IF(OR($E1742="",$F1742=""),"",$E1742&amp;" - RT "&amp;$F1742)</f>
        <v/>
      </c>
      <c r="H1742" s="37"/>
      <c r="I1742" s="38"/>
      <c r="J1742" s="37"/>
      <c r="K1742" s="39"/>
      <c r="L1742" s="41"/>
      <c r="M1742" s="36" t="str">
        <f aca="true">IF(OR($B1742="",$L1742=""),"",DATEDIF($L1742,TODAY(),"Y"))</f>
        <v/>
      </c>
      <c r="N1742" s="40" t="str">
        <f aca="false">IF($M1742="","",INDEX(usia_label,MATCH($M1742,usia_min,1)))</f>
        <v/>
      </c>
      <c r="O1742" s="37"/>
      <c r="P1742" s="41"/>
      <c r="Q1742" s="37"/>
      <c r="R1742" s="37"/>
      <c r="S1742" s="40" t="str">
        <f aca="false">IF($G1742="","",$G1742&amp;"#"&amp;COUNTIF($G$4:$G1742,$G1742))</f>
        <v/>
      </c>
      <c r="T1742" s="40" t="str">
        <f aca="false">IF($B1742="","",IF($C1742="","NIK kosong",IF(LEN($C1742)&lt;&gt;16,"NIK bukan 16 digit",IF(COUNTIF($C$4:$C$2003,$C1742&amp;"*")&gt;1,"NIK ganda",IF($E1742="","Kadus kosong",IF($F1742="","RT kosong",IF($H1742="","Jabatan kosong",IF($I1742="","No. HP kosong",IF($J1742="","Alamat kosong",IF(AND($M1742&lt;&gt;"",$M1742&lt;17),"Usia di bawah 17",""))))))))))</f>
        <v/>
      </c>
      <c r="U1742" s="40" t="str">
        <f aca="false">IF($B1742="","",IF(AND(OR(CARI!$C$5="",ISNUMBER(SEARCH(CARI!$C$5,$B1742&amp;" "&amp;$C1742&amp;" "&amp;$I1742&amp;" "&amp;$J1742&amp;" "&amp;$Q1742))),OR(CARI!$C$6="",$E1742=CARI!$C$6),OR(CARI!$C$7="",$F1742=CARI!$C$7),OR(CARI!$C$8="",$O1742=CARI!$C$8)),MAX($U$3:U1741)+1,""))</f>
        <v/>
      </c>
      <c r="V1742" s="40" t="str">
        <f aca="false">IF($T1742="","",MAX($V$3:V1741)+1)</f>
        <v/>
      </c>
      <c r="W1742" s="40" t="str">
        <f aca="false">IF($E1742="","",$E1742&amp;"#"&amp;COUNTIF($E$4:$E1742,$E1742))</f>
        <v/>
      </c>
      <c r="X1742" s="40" t="str">
        <f aca="false">IF($B1742="","",IF(AND(OR(CETAK!$J$10="",$E1742=CETAK!$J$10),OR(CETAK!$J$11="",$F1742=CETAK!$J$11),OR(CETAK!$J$12="",$K1742=CETAK!$J$12),OR(CETAK!$J$13="",$H1742=CETAK!$J$13),OR(CETAK!$J$14="",$O1742=CETAK!$J$14)),MAX($X$3:X1741)+1,""))</f>
        <v/>
      </c>
      <c r="Y1742" s="40" t="str">
        <f aca="false">IF($B1742="","",IF(AND(OR(ABSENSI!$H$10="",$E1742=ABSENSI!$H$10),OR(ABSENSI!$H$11="",$F1742=ABSENSI!$H$11),OR(ABSENSI!$H$12="",$K1742=ABSENSI!$H$12)),MAX($Y$3:Y1741)+1,""))</f>
        <v/>
      </c>
      <c r="Z1742" s="40" t="str">
        <f aca="false">IF($B1742="","",IF(AND(OR(KARTU!$K$6="",$E1742=KARTU!$K$6),OR(KARTU!$K$7="",$F1742=KARTU!$K$7),OR(KARTU!$K$8="",$K1742=KARTU!$K$8)),MAX($Z$3:Z1741)+1,""))</f>
        <v/>
      </c>
    </row>
    <row r="1743" customFormat="false" ht="15" hidden="false" customHeight="false" outlineLevel="0" collapsed="false">
      <c r="A1743" s="36" t="str">
        <f aca="false">IF($B1743="","",COUNTA($B$4:$B1743))</f>
        <v/>
      </c>
      <c r="B1743" s="37"/>
      <c r="C1743" s="38"/>
      <c r="D1743" s="39"/>
      <c r="E1743" s="37"/>
      <c r="F1743" s="39"/>
      <c r="G1743" s="40" t="str">
        <f aca="false">IF(OR($E1743="",$F1743=""),"",$E1743&amp;" - RT "&amp;$F1743)</f>
        <v/>
      </c>
      <c r="H1743" s="37"/>
      <c r="I1743" s="38"/>
      <c r="J1743" s="37"/>
      <c r="K1743" s="39"/>
      <c r="L1743" s="41"/>
      <c r="M1743" s="36" t="str">
        <f aca="true">IF(OR($B1743="",$L1743=""),"",DATEDIF($L1743,TODAY(),"Y"))</f>
        <v/>
      </c>
      <c r="N1743" s="40" t="str">
        <f aca="false">IF($M1743="","",INDEX(usia_label,MATCH($M1743,usia_min,1)))</f>
        <v/>
      </c>
      <c r="O1743" s="37"/>
      <c r="P1743" s="41"/>
      <c r="Q1743" s="37"/>
      <c r="R1743" s="37"/>
      <c r="S1743" s="40" t="str">
        <f aca="false">IF($G1743="","",$G1743&amp;"#"&amp;COUNTIF($G$4:$G1743,$G1743))</f>
        <v/>
      </c>
      <c r="T1743" s="40" t="str">
        <f aca="false">IF($B1743="","",IF($C1743="","NIK kosong",IF(LEN($C1743)&lt;&gt;16,"NIK bukan 16 digit",IF(COUNTIF($C$4:$C$2003,$C1743&amp;"*")&gt;1,"NIK ganda",IF($E1743="","Kadus kosong",IF($F1743="","RT kosong",IF($H1743="","Jabatan kosong",IF($I1743="","No. HP kosong",IF($J1743="","Alamat kosong",IF(AND($M1743&lt;&gt;"",$M1743&lt;17),"Usia di bawah 17",""))))))))))</f>
        <v/>
      </c>
      <c r="U1743" s="40" t="str">
        <f aca="false">IF($B1743="","",IF(AND(OR(CARI!$C$5="",ISNUMBER(SEARCH(CARI!$C$5,$B1743&amp;" "&amp;$C1743&amp;" "&amp;$I1743&amp;" "&amp;$J1743&amp;" "&amp;$Q1743))),OR(CARI!$C$6="",$E1743=CARI!$C$6),OR(CARI!$C$7="",$F1743=CARI!$C$7),OR(CARI!$C$8="",$O1743=CARI!$C$8)),MAX($U$3:U1742)+1,""))</f>
        <v/>
      </c>
      <c r="V1743" s="40" t="str">
        <f aca="false">IF($T1743="","",MAX($V$3:V1742)+1)</f>
        <v/>
      </c>
      <c r="W1743" s="40" t="str">
        <f aca="false">IF($E1743="","",$E1743&amp;"#"&amp;COUNTIF($E$4:$E1743,$E1743))</f>
        <v/>
      </c>
      <c r="X1743" s="40" t="str">
        <f aca="false">IF($B1743="","",IF(AND(OR(CETAK!$J$10="",$E1743=CETAK!$J$10),OR(CETAK!$J$11="",$F1743=CETAK!$J$11),OR(CETAK!$J$12="",$K1743=CETAK!$J$12),OR(CETAK!$J$13="",$H1743=CETAK!$J$13),OR(CETAK!$J$14="",$O1743=CETAK!$J$14)),MAX($X$3:X1742)+1,""))</f>
        <v/>
      </c>
      <c r="Y1743" s="40" t="str">
        <f aca="false">IF($B1743="","",IF(AND(OR(ABSENSI!$H$10="",$E1743=ABSENSI!$H$10),OR(ABSENSI!$H$11="",$F1743=ABSENSI!$H$11),OR(ABSENSI!$H$12="",$K1743=ABSENSI!$H$12)),MAX($Y$3:Y1742)+1,""))</f>
        <v/>
      </c>
      <c r="Z1743" s="40" t="str">
        <f aca="false">IF($B1743="","",IF(AND(OR(KARTU!$K$6="",$E1743=KARTU!$K$6),OR(KARTU!$K$7="",$F1743=KARTU!$K$7),OR(KARTU!$K$8="",$K1743=KARTU!$K$8)),MAX($Z$3:Z1742)+1,""))</f>
        <v/>
      </c>
    </row>
    <row r="1744" customFormat="false" ht="15" hidden="false" customHeight="false" outlineLevel="0" collapsed="false">
      <c r="A1744" s="36" t="str">
        <f aca="false">IF($B1744="","",COUNTA($B$4:$B1744))</f>
        <v/>
      </c>
      <c r="B1744" s="37"/>
      <c r="C1744" s="38"/>
      <c r="D1744" s="39"/>
      <c r="E1744" s="37"/>
      <c r="F1744" s="39"/>
      <c r="G1744" s="40" t="str">
        <f aca="false">IF(OR($E1744="",$F1744=""),"",$E1744&amp;" - RT "&amp;$F1744)</f>
        <v/>
      </c>
      <c r="H1744" s="37"/>
      <c r="I1744" s="38"/>
      <c r="J1744" s="37"/>
      <c r="K1744" s="39"/>
      <c r="L1744" s="41"/>
      <c r="M1744" s="36" t="str">
        <f aca="true">IF(OR($B1744="",$L1744=""),"",DATEDIF($L1744,TODAY(),"Y"))</f>
        <v/>
      </c>
      <c r="N1744" s="40" t="str">
        <f aca="false">IF($M1744="","",INDEX(usia_label,MATCH($M1744,usia_min,1)))</f>
        <v/>
      </c>
      <c r="O1744" s="37"/>
      <c r="P1744" s="41"/>
      <c r="Q1744" s="37"/>
      <c r="R1744" s="37"/>
      <c r="S1744" s="40" t="str">
        <f aca="false">IF($G1744="","",$G1744&amp;"#"&amp;COUNTIF($G$4:$G1744,$G1744))</f>
        <v/>
      </c>
      <c r="T1744" s="40" t="str">
        <f aca="false">IF($B1744="","",IF($C1744="","NIK kosong",IF(LEN($C1744)&lt;&gt;16,"NIK bukan 16 digit",IF(COUNTIF($C$4:$C$2003,$C1744&amp;"*")&gt;1,"NIK ganda",IF($E1744="","Kadus kosong",IF($F1744="","RT kosong",IF($H1744="","Jabatan kosong",IF($I1744="","No. HP kosong",IF($J1744="","Alamat kosong",IF(AND($M1744&lt;&gt;"",$M1744&lt;17),"Usia di bawah 17",""))))))))))</f>
        <v/>
      </c>
      <c r="U1744" s="40" t="str">
        <f aca="false">IF($B1744="","",IF(AND(OR(CARI!$C$5="",ISNUMBER(SEARCH(CARI!$C$5,$B1744&amp;" "&amp;$C1744&amp;" "&amp;$I1744&amp;" "&amp;$J1744&amp;" "&amp;$Q1744))),OR(CARI!$C$6="",$E1744=CARI!$C$6),OR(CARI!$C$7="",$F1744=CARI!$C$7),OR(CARI!$C$8="",$O1744=CARI!$C$8)),MAX($U$3:U1743)+1,""))</f>
        <v/>
      </c>
      <c r="V1744" s="40" t="str">
        <f aca="false">IF($T1744="","",MAX($V$3:V1743)+1)</f>
        <v/>
      </c>
      <c r="W1744" s="40" t="str">
        <f aca="false">IF($E1744="","",$E1744&amp;"#"&amp;COUNTIF($E$4:$E1744,$E1744))</f>
        <v/>
      </c>
      <c r="X1744" s="40" t="str">
        <f aca="false">IF($B1744="","",IF(AND(OR(CETAK!$J$10="",$E1744=CETAK!$J$10),OR(CETAK!$J$11="",$F1744=CETAK!$J$11),OR(CETAK!$J$12="",$K1744=CETAK!$J$12),OR(CETAK!$J$13="",$H1744=CETAK!$J$13),OR(CETAK!$J$14="",$O1744=CETAK!$J$14)),MAX($X$3:X1743)+1,""))</f>
        <v/>
      </c>
      <c r="Y1744" s="40" t="str">
        <f aca="false">IF($B1744="","",IF(AND(OR(ABSENSI!$H$10="",$E1744=ABSENSI!$H$10),OR(ABSENSI!$H$11="",$F1744=ABSENSI!$H$11),OR(ABSENSI!$H$12="",$K1744=ABSENSI!$H$12)),MAX($Y$3:Y1743)+1,""))</f>
        <v/>
      </c>
      <c r="Z1744" s="40" t="str">
        <f aca="false">IF($B1744="","",IF(AND(OR(KARTU!$K$6="",$E1744=KARTU!$K$6),OR(KARTU!$K$7="",$F1744=KARTU!$K$7),OR(KARTU!$K$8="",$K1744=KARTU!$K$8)),MAX($Z$3:Z1743)+1,""))</f>
        <v/>
      </c>
    </row>
    <row r="1745" customFormat="false" ht="15" hidden="false" customHeight="false" outlineLevel="0" collapsed="false">
      <c r="A1745" s="36" t="str">
        <f aca="false">IF($B1745="","",COUNTA($B$4:$B1745))</f>
        <v/>
      </c>
      <c r="B1745" s="37"/>
      <c r="C1745" s="38"/>
      <c r="D1745" s="39"/>
      <c r="E1745" s="37"/>
      <c r="F1745" s="39"/>
      <c r="G1745" s="40" t="str">
        <f aca="false">IF(OR($E1745="",$F1745=""),"",$E1745&amp;" - RT "&amp;$F1745)</f>
        <v/>
      </c>
      <c r="H1745" s="37"/>
      <c r="I1745" s="38"/>
      <c r="J1745" s="37"/>
      <c r="K1745" s="39"/>
      <c r="L1745" s="41"/>
      <c r="M1745" s="36" t="str">
        <f aca="true">IF(OR($B1745="",$L1745=""),"",DATEDIF($L1745,TODAY(),"Y"))</f>
        <v/>
      </c>
      <c r="N1745" s="40" t="str">
        <f aca="false">IF($M1745="","",INDEX(usia_label,MATCH($M1745,usia_min,1)))</f>
        <v/>
      </c>
      <c r="O1745" s="37"/>
      <c r="P1745" s="41"/>
      <c r="Q1745" s="37"/>
      <c r="R1745" s="37"/>
      <c r="S1745" s="40" t="str">
        <f aca="false">IF($G1745="","",$G1745&amp;"#"&amp;COUNTIF($G$4:$G1745,$G1745))</f>
        <v/>
      </c>
      <c r="T1745" s="40" t="str">
        <f aca="false">IF($B1745="","",IF($C1745="","NIK kosong",IF(LEN($C1745)&lt;&gt;16,"NIK bukan 16 digit",IF(COUNTIF($C$4:$C$2003,$C1745&amp;"*")&gt;1,"NIK ganda",IF($E1745="","Kadus kosong",IF($F1745="","RT kosong",IF($H1745="","Jabatan kosong",IF($I1745="","No. HP kosong",IF($J1745="","Alamat kosong",IF(AND($M1745&lt;&gt;"",$M1745&lt;17),"Usia di bawah 17",""))))))))))</f>
        <v/>
      </c>
      <c r="U1745" s="40" t="str">
        <f aca="false">IF($B1745="","",IF(AND(OR(CARI!$C$5="",ISNUMBER(SEARCH(CARI!$C$5,$B1745&amp;" "&amp;$C1745&amp;" "&amp;$I1745&amp;" "&amp;$J1745&amp;" "&amp;$Q1745))),OR(CARI!$C$6="",$E1745=CARI!$C$6),OR(CARI!$C$7="",$F1745=CARI!$C$7),OR(CARI!$C$8="",$O1745=CARI!$C$8)),MAX($U$3:U1744)+1,""))</f>
        <v/>
      </c>
      <c r="V1745" s="40" t="str">
        <f aca="false">IF($T1745="","",MAX($V$3:V1744)+1)</f>
        <v/>
      </c>
      <c r="W1745" s="40" t="str">
        <f aca="false">IF($E1745="","",$E1745&amp;"#"&amp;COUNTIF($E$4:$E1745,$E1745))</f>
        <v/>
      </c>
      <c r="X1745" s="40" t="str">
        <f aca="false">IF($B1745="","",IF(AND(OR(CETAK!$J$10="",$E1745=CETAK!$J$10),OR(CETAK!$J$11="",$F1745=CETAK!$J$11),OR(CETAK!$J$12="",$K1745=CETAK!$J$12),OR(CETAK!$J$13="",$H1745=CETAK!$J$13),OR(CETAK!$J$14="",$O1745=CETAK!$J$14)),MAX($X$3:X1744)+1,""))</f>
        <v/>
      </c>
      <c r="Y1745" s="40" t="str">
        <f aca="false">IF($B1745="","",IF(AND(OR(ABSENSI!$H$10="",$E1745=ABSENSI!$H$10),OR(ABSENSI!$H$11="",$F1745=ABSENSI!$H$11),OR(ABSENSI!$H$12="",$K1745=ABSENSI!$H$12)),MAX($Y$3:Y1744)+1,""))</f>
        <v/>
      </c>
      <c r="Z1745" s="40" t="str">
        <f aca="false">IF($B1745="","",IF(AND(OR(KARTU!$K$6="",$E1745=KARTU!$K$6),OR(KARTU!$K$7="",$F1745=KARTU!$K$7),OR(KARTU!$K$8="",$K1745=KARTU!$K$8)),MAX($Z$3:Z1744)+1,""))</f>
        <v/>
      </c>
    </row>
    <row r="1746" customFormat="false" ht="15" hidden="false" customHeight="false" outlineLevel="0" collapsed="false">
      <c r="A1746" s="36" t="str">
        <f aca="false">IF($B1746="","",COUNTA($B$4:$B1746))</f>
        <v/>
      </c>
      <c r="B1746" s="37"/>
      <c r="C1746" s="38"/>
      <c r="D1746" s="39"/>
      <c r="E1746" s="37"/>
      <c r="F1746" s="39"/>
      <c r="G1746" s="40" t="str">
        <f aca="false">IF(OR($E1746="",$F1746=""),"",$E1746&amp;" - RT "&amp;$F1746)</f>
        <v/>
      </c>
      <c r="H1746" s="37"/>
      <c r="I1746" s="38"/>
      <c r="J1746" s="37"/>
      <c r="K1746" s="39"/>
      <c r="L1746" s="41"/>
      <c r="M1746" s="36" t="str">
        <f aca="true">IF(OR($B1746="",$L1746=""),"",DATEDIF($L1746,TODAY(),"Y"))</f>
        <v/>
      </c>
      <c r="N1746" s="40" t="str">
        <f aca="false">IF($M1746="","",INDEX(usia_label,MATCH($M1746,usia_min,1)))</f>
        <v/>
      </c>
      <c r="O1746" s="37"/>
      <c r="P1746" s="41"/>
      <c r="Q1746" s="37"/>
      <c r="R1746" s="37"/>
      <c r="S1746" s="40" t="str">
        <f aca="false">IF($G1746="","",$G1746&amp;"#"&amp;COUNTIF($G$4:$G1746,$G1746))</f>
        <v/>
      </c>
      <c r="T1746" s="40" t="str">
        <f aca="false">IF($B1746="","",IF($C1746="","NIK kosong",IF(LEN($C1746)&lt;&gt;16,"NIK bukan 16 digit",IF(COUNTIF($C$4:$C$2003,$C1746&amp;"*")&gt;1,"NIK ganda",IF($E1746="","Kadus kosong",IF($F1746="","RT kosong",IF($H1746="","Jabatan kosong",IF($I1746="","No. HP kosong",IF($J1746="","Alamat kosong",IF(AND($M1746&lt;&gt;"",$M1746&lt;17),"Usia di bawah 17",""))))))))))</f>
        <v/>
      </c>
      <c r="U1746" s="40" t="str">
        <f aca="false">IF($B1746="","",IF(AND(OR(CARI!$C$5="",ISNUMBER(SEARCH(CARI!$C$5,$B1746&amp;" "&amp;$C1746&amp;" "&amp;$I1746&amp;" "&amp;$J1746&amp;" "&amp;$Q1746))),OR(CARI!$C$6="",$E1746=CARI!$C$6),OR(CARI!$C$7="",$F1746=CARI!$C$7),OR(CARI!$C$8="",$O1746=CARI!$C$8)),MAX($U$3:U1745)+1,""))</f>
        <v/>
      </c>
      <c r="V1746" s="40" t="str">
        <f aca="false">IF($T1746="","",MAX($V$3:V1745)+1)</f>
        <v/>
      </c>
      <c r="W1746" s="40" t="str">
        <f aca="false">IF($E1746="","",$E1746&amp;"#"&amp;COUNTIF($E$4:$E1746,$E1746))</f>
        <v/>
      </c>
      <c r="X1746" s="40" t="str">
        <f aca="false">IF($B1746="","",IF(AND(OR(CETAK!$J$10="",$E1746=CETAK!$J$10),OR(CETAK!$J$11="",$F1746=CETAK!$J$11),OR(CETAK!$J$12="",$K1746=CETAK!$J$12),OR(CETAK!$J$13="",$H1746=CETAK!$J$13),OR(CETAK!$J$14="",$O1746=CETAK!$J$14)),MAX($X$3:X1745)+1,""))</f>
        <v/>
      </c>
      <c r="Y1746" s="40" t="str">
        <f aca="false">IF($B1746="","",IF(AND(OR(ABSENSI!$H$10="",$E1746=ABSENSI!$H$10),OR(ABSENSI!$H$11="",$F1746=ABSENSI!$H$11),OR(ABSENSI!$H$12="",$K1746=ABSENSI!$H$12)),MAX($Y$3:Y1745)+1,""))</f>
        <v/>
      </c>
      <c r="Z1746" s="40" t="str">
        <f aca="false">IF($B1746="","",IF(AND(OR(KARTU!$K$6="",$E1746=KARTU!$K$6),OR(KARTU!$K$7="",$F1746=KARTU!$K$7),OR(KARTU!$K$8="",$K1746=KARTU!$K$8)),MAX($Z$3:Z1745)+1,""))</f>
        <v/>
      </c>
    </row>
    <row r="1747" customFormat="false" ht="15" hidden="false" customHeight="false" outlineLevel="0" collapsed="false">
      <c r="A1747" s="36" t="str">
        <f aca="false">IF($B1747="","",COUNTA($B$4:$B1747))</f>
        <v/>
      </c>
      <c r="B1747" s="37"/>
      <c r="C1747" s="38"/>
      <c r="D1747" s="39"/>
      <c r="E1747" s="37"/>
      <c r="F1747" s="39"/>
      <c r="G1747" s="40" t="str">
        <f aca="false">IF(OR($E1747="",$F1747=""),"",$E1747&amp;" - RT "&amp;$F1747)</f>
        <v/>
      </c>
      <c r="H1747" s="37"/>
      <c r="I1747" s="38"/>
      <c r="J1747" s="37"/>
      <c r="K1747" s="39"/>
      <c r="L1747" s="41"/>
      <c r="M1747" s="36" t="str">
        <f aca="true">IF(OR($B1747="",$L1747=""),"",DATEDIF($L1747,TODAY(),"Y"))</f>
        <v/>
      </c>
      <c r="N1747" s="40" t="str">
        <f aca="false">IF($M1747="","",INDEX(usia_label,MATCH($M1747,usia_min,1)))</f>
        <v/>
      </c>
      <c r="O1747" s="37"/>
      <c r="P1747" s="41"/>
      <c r="Q1747" s="37"/>
      <c r="R1747" s="37"/>
      <c r="S1747" s="40" t="str">
        <f aca="false">IF($G1747="","",$G1747&amp;"#"&amp;COUNTIF($G$4:$G1747,$G1747))</f>
        <v/>
      </c>
      <c r="T1747" s="40" t="str">
        <f aca="false">IF($B1747="","",IF($C1747="","NIK kosong",IF(LEN($C1747)&lt;&gt;16,"NIK bukan 16 digit",IF(COUNTIF($C$4:$C$2003,$C1747&amp;"*")&gt;1,"NIK ganda",IF($E1747="","Kadus kosong",IF($F1747="","RT kosong",IF($H1747="","Jabatan kosong",IF($I1747="","No. HP kosong",IF($J1747="","Alamat kosong",IF(AND($M1747&lt;&gt;"",$M1747&lt;17),"Usia di bawah 17",""))))))))))</f>
        <v/>
      </c>
      <c r="U1747" s="40" t="str">
        <f aca="false">IF($B1747="","",IF(AND(OR(CARI!$C$5="",ISNUMBER(SEARCH(CARI!$C$5,$B1747&amp;" "&amp;$C1747&amp;" "&amp;$I1747&amp;" "&amp;$J1747&amp;" "&amp;$Q1747))),OR(CARI!$C$6="",$E1747=CARI!$C$6),OR(CARI!$C$7="",$F1747=CARI!$C$7),OR(CARI!$C$8="",$O1747=CARI!$C$8)),MAX($U$3:U1746)+1,""))</f>
        <v/>
      </c>
      <c r="V1747" s="40" t="str">
        <f aca="false">IF($T1747="","",MAX($V$3:V1746)+1)</f>
        <v/>
      </c>
      <c r="W1747" s="40" t="str">
        <f aca="false">IF($E1747="","",$E1747&amp;"#"&amp;COUNTIF($E$4:$E1747,$E1747))</f>
        <v/>
      </c>
      <c r="X1747" s="40" t="str">
        <f aca="false">IF($B1747="","",IF(AND(OR(CETAK!$J$10="",$E1747=CETAK!$J$10),OR(CETAK!$J$11="",$F1747=CETAK!$J$11),OR(CETAK!$J$12="",$K1747=CETAK!$J$12),OR(CETAK!$J$13="",$H1747=CETAK!$J$13),OR(CETAK!$J$14="",$O1747=CETAK!$J$14)),MAX($X$3:X1746)+1,""))</f>
        <v/>
      </c>
      <c r="Y1747" s="40" t="str">
        <f aca="false">IF($B1747="","",IF(AND(OR(ABSENSI!$H$10="",$E1747=ABSENSI!$H$10),OR(ABSENSI!$H$11="",$F1747=ABSENSI!$H$11),OR(ABSENSI!$H$12="",$K1747=ABSENSI!$H$12)),MAX($Y$3:Y1746)+1,""))</f>
        <v/>
      </c>
      <c r="Z1747" s="40" t="str">
        <f aca="false">IF($B1747="","",IF(AND(OR(KARTU!$K$6="",$E1747=KARTU!$K$6),OR(KARTU!$K$7="",$F1747=KARTU!$K$7),OR(KARTU!$K$8="",$K1747=KARTU!$K$8)),MAX($Z$3:Z1746)+1,""))</f>
        <v/>
      </c>
    </row>
    <row r="1748" customFormat="false" ht="15" hidden="false" customHeight="false" outlineLevel="0" collapsed="false">
      <c r="A1748" s="36" t="str">
        <f aca="false">IF($B1748="","",COUNTA($B$4:$B1748))</f>
        <v/>
      </c>
      <c r="B1748" s="37"/>
      <c r="C1748" s="38"/>
      <c r="D1748" s="39"/>
      <c r="E1748" s="37"/>
      <c r="F1748" s="39"/>
      <c r="G1748" s="40" t="str">
        <f aca="false">IF(OR($E1748="",$F1748=""),"",$E1748&amp;" - RT "&amp;$F1748)</f>
        <v/>
      </c>
      <c r="H1748" s="37"/>
      <c r="I1748" s="38"/>
      <c r="J1748" s="37"/>
      <c r="K1748" s="39"/>
      <c r="L1748" s="41"/>
      <c r="M1748" s="36" t="str">
        <f aca="true">IF(OR($B1748="",$L1748=""),"",DATEDIF($L1748,TODAY(),"Y"))</f>
        <v/>
      </c>
      <c r="N1748" s="40" t="str">
        <f aca="false">IF($M1748="","",INDEX(usia_label,MATCH($M1748,usia_min,1)))</f>
        <v/>
      </c>
      <c r="O1748" s="37"/>
      <c r="P1748" s="41"/>
      <c r="Q1748" s="37"/>
      <c r="R1748" s="37"/>
      <c r="S1748" s="40" t="str">
        <f aca="false">IF($G1748="","",$G1748&amp;"#"&amp;COUNTIF($G$4:$G1748,$G1748))</f>
        <v/>
      </c>
      <c r="T1748" s="40" t="str">
        <f aca="false">IF($B1748="","",IF($C1748="","NIK kosong",IF(LEN($C1748)&lt;&gt;16,"NIK bukan 16 digit",IF(COUNTIF($C$4:$C$2003,$C1748&amp;"*")&gt;1,"NIK ganda",IF($E1748="","Kadus kosong",IF($F1748="","RT kosong",IF($H1748="","Jabatan kosong",IF($I1748="","No. HP kosong",IF($J1748="","Alamat kosong",IF(AND($M1748&lt;&gt;"",$M1748&lt;17),"Usia di bawah 17",""))))))))))</f>
        <v/>
      </c>
      <c r="U1748" s="40" t="str">
        <f aca="false">IF($B1748="","",IF(AND(OR(CARI!$C$5="",ISNUMBER(SEARCH(CARI!$C$5,$B1748&amp;" "&amp;$C1748&amp;" "&amp;$I1748&amp;" "&amp;$J1748&amp;" "&amp;$Q1748))),OR(CARI!$C$6="",$E1748=CARI!$C$6),OR(CARI!$C$7="",$F1748=CARI!$C$7),OR(CARI!$C$8="",$O1748=CARI!$C$8)),MAX($U$3:U1747)+1,""))</f>
        <v/>
      </c>
      <c r="V1748" s="40" t="str">
        <f aca="false">IF($T1748="","",MAX($V$3:V1747)+1)</f>
        <v/>
      </c>
      <c r="W1748" s="40" t="str">
        <f aca="false">IF($E1748="","",$E1748&amp;"#"&amp;COUNTIF($E$4:$E1748,$E1748))</f>
        <v/>
      </c>
      <c r="X1748" s="40" t="str">
        <f aca="false">IF($B1748="","",IF(AND(OR(CETAK!$J$10="",$E1748=CETAK!$J$10),OR(CETAK!$J$11="",$F1748=CETAK!$J$11),OR(CETAK!$J$12="",$K1748=CETAK!$J$12),OR(CETAK!$J$13="",$H1748=CETAK!$J$13),OR(CETAK!$J$14="",$O1748=CETAK!$J$14)),MAX($X$3:X1747)+1,""))</f>
        <v/>
      </c>
      <c r="Y1748" s="40" t="str">
        <f aca="false">IF($B1748="","",IF(AND(OR(ABSENSI!$H$10="",$E1748=ABSENSI!$H$10),OR(ABSENSI!$H$11="",$F1748=ABSENSI!$H$11),OR(ABSENSI!$H$12="",$K1748=ABSENSI!$H$12)),MAX($Y$3:Y1747)+1,""))</f>
        <v/>
      </c>
      <c r="Z1748" s="40" t="str">
        <f aca="false">IF($B1748="","",IF(AND(OR(KARTU!$K$6="",$E1748=KARTU!$K$6),OR(KARTU!$K$7="",$F1748=KARTU!$K$7),OR(KARTU!$K$8="",$K1748=KARTU!$K$8)),MAX($Z$3:Z1747)+1,""))</f>
        <v/>
      </c>
    </row>
    <row r="1749" customFormat="false" ht="15" hidden="false" customHeight="false" outlineLevel="0" collapsed="false">
      <c r="A1749" s="36" t="str">
        <f aca="false">IF($B1749="","",COUNTA($B$4:$B1749))</f>
        <v/>
      </c>
      <c r="B1749" s="37"/>
      <c r="C1749" s="38"/>
      <c r="D1749" s="39"/>
      <c r="E1749" s="37"/>
      <c r="F1749" s="39"/>
      <c r="G1749" s="40" t="str">
        <f aca="false">IF(OR($E1749="",$F1749=""),"",$E1749&amp;" - RT "&amp;$F1749)</f>
        <v/>
      </c>
      <c r="H1749" s="37"/>
      <c r="I1749" s="38"/>
      <c r="J1749" s="37"/>
      <c r="K1749" s="39"/>
      <c r="L1749" s="41"/>
      <c r="M1749" s="36" t="str">
        <f aca="true">IF(OR($B1749="",$L1749=""),"",DATEDIF($L1749,TODAY(),"Y"))</f>
        <v/>
      </c>
      <c r="N1749" s="40" t="str">
        <f aca="false">IF($M1749="","",INDEX(usia_label,MATCH($M1749,usia_min,1)))</f>
        <v/>
      </c>
      <c r="O1749" s="37"/>
      <c r="P1749" s="41"/>
      <c r="Q1749" s="37"/>
      <c r="R1749" s="37"/>
      <c r="S1749" s="40" t="str">
        <f aca="false">IF($G1749="","",$G1749&amp;"#"&amp;COUNTIF($G$4:$G1749,$G1749))</f>
        <v/>
      </c>
      <c r="T1749" s="40" t="str">
        <f aca="false">IF($B1749="","",IF($C1749="","NIK kosong",IF(LEN($C1749)&lt;&gt;16,"NIK bukan 16 digit",IF(COUNTIF($C$4:$C$2003,$C1749&amp;"*")&gt;1,"NIK ganda",IF($E1749="","Kadus kosong",IF($F1749="","RT kosong",IF($H1749="","Jabatan kosong",IF($I1749="","No. HP kosong",IF($J1749="","Alamat kosong",IF(AND($M1749&lt;&gt;"",$M1749&lt;17),"Usia di bawah 17",""))))))))))</f>
        <v/>
      </c>
      <c r="U1749" s="40" t="str">
        <f aca="false">IF($B1749="","",IF(AND(OR(CARI!$C$5="",ISNUMBER(SEARCH(CARI!$C$5,$B1749&amp;" "&amp;$C1749&amp;" "&amp;$I1749&amp;" "&amp;$J1749&amp;" "&amp;$Q1749))),OR(CARI!$C$6="",$E1749=CARI!$C$6),OR(CARI!$C$7="",$F1749=CARI!$C$7),OR(CARI!$C$8="",$O1749=CARI!$C$8)),MAX($U$3:U1748)+1,""))</f>
        <v/>
      </c>
      <c r="V1749" s="40" t="str">
        <f aca="false">IF($T1749="","",MAX($V$3:V1748)+1)</f>
        <v/>
      </c>
      <c r="W1749" s="40" t="str">
        <f aca="false">IF($E1749="","",$E1749&amp;"#"&amp;COUNTIF($E$4:$E1749,$E1749))</f>
        <v/>
      </c>
      <c r="X1749" s="40" t="str">
        <f aca="false">IF($B1749="","",IF(AND(OR(CETAK!$J$10="",$E1749=CETAK!$J$10),OR(CETAK!$J$11="",$F1749=CETAK!$J$11),OR(CETAK!$J$12="",$K1749=CETAK!$J$12),OR(CETAK!$J$13="",$H1749=CETAK!$J$13),OR(CETAK!$J$14="",$O1749=CETAK!$J$14)),MAX($X$3:X1748)+1,""))</f>
        <v/>
      </c>
      <c r="Y1749" s="40" t="str">
        <f aca="false">IF($B1749="","",IF(AND(OR(ABSENSI!$H$10="",$E1749=ABSENSI!$H$10),OR(ABSENSI!$H$11="",$F1749=ABSENSI!$H$11),OR(ABSENSI!$H$12="",$K1749=ABSENSI!$H$12)),MAX($Y$3:Y1748)+1,""))</f>
        <v/>
      </c>
      <c r="Z1749" s="40" t="str">
        <f aca="false">IF($B1749="","",IF(AND(OR(KARTU!$K$6="",$E1749=KARTU!$K$6),OR(KARTU!$K$7="",$F1749=KARTU!$K$7),OR(KARTU!$K$8="",$K1749=KARTU!$K$8)),MAX($Z$3:Z1748)+1,""))</f>
        <v/>
      </c>
    </row>
    <row r="1750" customFormat="false" ht="15" hidden="false" customHeight="false" outlineLevel="0" collapsed="false">
      <c r="A1750" s="36" t="str">
        <f aca="false">IF($B1750="","",COUNTA($B$4:$B1750))</f>
        <v/>
      </c>
      <c r="B1750" s="37"/>
      <c r="C1750" s="38"/>
      <c r="D1750" s="39"/>
      <c r="E1750" s="37"/>
      <c r="F1750" s="39"/>
      <c r="G1750" s="40" t="str">
        <f aca="false">IF(OR($E1750="",$F1750=""),"",$E1750&amp;" - RT "&amp;$F1750)</f>
        <v/>
      </c>
      <c r="H1750" s="37"/>
      <c r="I1750" s="38"/>
      <c r="J1750" s="37"/>
      <c r="K1750" s="39"/>
      <c r="L1750" s="41"/>
      <c r="M1750" s="36" t="str">
        <f aca="true">IF(OR($B1750="",$L1750=""),"",DATEDIF($L1750,TODAY(),"Y"))</f>
        <v/>
      </c>
      <c r="N1750" s="40" t="str">
        <f aca="false">IF($M1750="","",INDEX(usia_label,MATCH($M1750,usia_min,1)))</f>
        <v/>
      </c>
      <c r="O1750" s="37"/>
      <c r="P1750" s="41"/>
      <c r="Q1750" s="37"/>
      <c r="R1750" s="37"/>
      <c r="S1750" s="40" t="str">
        <f aca="false">IF($G1750="","",$G1750&amp;"#"&amp;COUNTIF($G$4:$G1750,$G1750))</f>
        <v/>
      </c>
      <c r="T1750" s="40" t="str">
        <f aca="false">IF($B1750="","",IF($C1750="","NIK kosong",IF(LEN($C1750)&lt;&gt;16,"NIK bukan 16 digit",IF(COUNTIF($C$4:$C$2003,$C1750&amp;"*")&gt;1,"NIK ganda",IF($E1750="","Kadus kosong",IF($F1750="","RT kosong",IF($H1750="","Jabatan kosong",IF($I1750="","No. HP kosong",IF($J1750="","Alamat kosong",IF(AND($M1750&lt;&gt;"",$M1750&lt;17),"Usia di bawah 17",""))))))))))</f>
        <v/>
      </c>
      <c r="U1750" s="40" t="str">
        <f aca="false">IF($B1750="","",IF(AND(OR(CARI!$C$5="",ISNUMBER(SEARCH(CARI!$C$5,$B1750&amp;" "&amp;$C1750&amp;" "&amp;$I1750&amp;" "&amp;$J1750&amp;" "&amp;$Q1750))),OR(CARI!$C$6="",$E1750=CARI!$C$6),OR(CARI!$C$7="",$F1750=CARI!$C$7),OR(CARI!$C$8="",$O1750=CARI!$C$8)),MAX($U$3:U1749)+1,""))</f>
        <v/>
      </c>
      <c r="V1750" s="40" t="str">
        <f aca="false">IF($T1750="","",MAX($V$3:V1749)+1)</f>
        <v/>
      </c>
      <c r="W1750" s="40" t="str">
        <f aca="false">IF($E1750="","",$E1750&amp;"#"&amp;COUNTIF($E$4:$E1750,$E1750))</f>
        <v/>
      </c>
      <c r="X1750" s="40" t="str">
        <f aca="false">IF($B1750="","",IF(AND(OR(CETAK!$J$10="",$E1750=CETAK!$J$10),OR(CETAK!$J$11="",$F1750=CETAK!$J$11),OR(CETAK!$J$12="",$K1750=CETAK!$J$12),OR(CETAK!$J$13="",$H1750=CETAK!$J$13),OR(CETAK!$J$14="",$O1750=CETAK!$J$14)),MAX($X$3:X1749)+1,""))</f>
        <v/>
      </c>
      <c r="Y1750" s="40" t="str">
        <f aca="false">IF($B1750="","",IF(AND(OR(ABSENSI!$H$10="",$E1750=ABSENSI!$H$10),OR(ABSENSI!$H$11="",$F1750=ABSENSI!$H$11),OR(ABSENSI!$H$12="",$K1750=ABSENSI!$H$12)),MAX($Y$3:Y1749)+1,""))</f>
        <v/>
      </c>
      <c r="Z1750" s="40" t="str">
        <f aca="false">IF($B1750="","",IF(AND(OR(KARTU!$K$6="",$E1750=KARTU!$K$6),OR(KARTU!$K$7="",$F1750=KARTU!$K$7),OR(KARTU!$K$8="",$K1750=KARTU!$K$8)),MAX($Z$3:Z1749)+1,""))</f>
        <v/>
      </c>
    </row>
    <row r="1751" customFormat="false" ht="15" hidden="false" customHeight="false" outlineLevel="0" collapsed="false">
      <c r="A1751" s="36" t="str">
        <f aca="false">IF($B1751="","",COUNTA($B$4:$B1751))</f>
        <v/>
      </c>
      <c r="B1751" s="37"/>
      <c r="C1751" s="38"/>
      <c r="D1751" s="39"/>
      <c r="E1751" s="37"/>
      <c r="F1751" s="39"/>
      <c r="G1751" s="40" t="str">
        <f aca="false">IF(OR($E1751="",$F1751=""),"",$E1751&amp;" - RT "&amp;$F1751)</f>
        <v/>
      </c>
      <c r="H1751" s="37"/>
      <c r="I1751" s="38"/>
      <c r="J1751" s="37"/>
      <c r="K1751" s="39"/>
      <c r="L1751" s="41"/>
      <c r="M1751" s="36" t="str">
        <f aca="true">IF(OR($B1751="",$L1751=""),"",DATEDIF($L1751,TODAY(),"Y"))</f>
        <v/>
      </c>
      <c r="N1751" s="40" t="str">
        <f aca="false">IF($M1751="","",INDEX(usia_label,MATCH($M1751,usia_min,1)))</f>
        <v/>
      </c>
      <c r="O1751" s="37"/>
      <c r="P1751" s="41"/>
      <c r="Q1751" s="37"/>
      <c r="R1751" s="37"/>
      <c r="S1751" s="40" t="str">
        <f aca="false">IF($G1751="","",$G1751&amp;"#"&amp;COUNTIF($G$4:$G1751,$G1751))</f>
        <v/>
      </c>
      <c r="T1751" s="40" t="str">
        <f aca="false">IF($B1751="","",IF($C1751="","NIK kosong",IF(LEN($C1751)&lt;&gt;16,"NIK bukan 16 digit",IF(COUNTIF($C$4:$C$2003,$C1751&amp;"*")&gt;1,"NIK ganda",IF($E1751="","Kadus kosong",IF($F1751="","RT kosong",IF($H1751="","Jabatan kosong",IF($I1751="","No. HP kosong",IF($J1751="","Alamat kosong",IF(AND($M1751&lt;&gt;"",$M1751&lt;17),"Usia di bawah 17",""))))))))))</f>
        <v/>
      </c>
      <c r="U1751" s="40" t="str">
        <f aca="false">IF($B1751="","",IF(AND(OR(CARI!$C$5="",ISNUMBER(SEARCH(CARI!$C$5,$B1751&amp;" "&amp;$C1751&amp;" "&amp;$I1751&amp;" "&amp;$J1751&amp;" "&amp;$Q1751))),OR(CARI!$C$6="",$E1751=CARI!$C$6),OR(CARI!$C$7="",$F1751=CARI!$C$7),OR(CARI!$C$8="",$O1751=CARI!$C$8)),MAX($U$3:U1750)+1,""))</f>
        <v/>
      </c>
      <c r="V1751" s="40" t="str">
        <f aca="false">IF($T1751="","",MAX($V$3:V1750)+1)</f>
        <v/>
      </c>
      <c r="W1751" s="40" t="str">
        <f aca="false">IF($E1751="","",$E1751&amp;"#"&amp;COUNTIF($E$4:$E1751,$E1751))</f>
        <v/>
      </c>
      <c r="X1751" s="40" t="str">
        <f aca="false">IF($B1751="","",IF(AND(OR(CETAK!$J$10="",$E1751=CETAK!$J$10),OR(CETAK!$J$11="",$F1751=CETAK!$J$11),OR(CETAK!$J$12="",$K1751=CETAK!$J$12),OR(CETAK!$J$13="",$H1751=CETAK!$J$13),OR(CETAK!$J$14="",$O1751=CETAK!$J$14)),MAX($X$3:X1750)+1,""))</f>
        <v/>
      </c>
      <c r="Y1751" s="40" t="str">
        <f aca="false">IF($B1751="","",IF(AND(OR(ABSENSI!$H$10="",$E1751=ABSENSI!$H$10),OR(ABSENSI!$H$11="",$F1751=ABSENSI!$H$11),OR(ABSENSI!$H$12="",$K1751=ABSENSI!$H$12)),MAX($Y$3:Y1750)+1,""))</f>
        <v/>
      </c>
      <c r="Z1751" s="40" t="str">
        <f aca="false">IF($B1751="","",IF(AND(OR(KARTU!$K$6="",$E1751=KARTU!$K$6),OR(KARTU!$K$7="",$F1751=KARTU!$K$7),OR(KARTU!$K$8="",$K1751=KARTU!$K$8)),MAX($Z$3:Z1750)+1,""))</f>
        <v/>
      </c>
    </row>
    <row r="1752" customFormat="false" ht="15" hidden="false" customHeight="false" outlineLevel="0" collapsed="false">
      <c r="A1752" s="36" t="str">
        <f aca="false">IF($B1752="","",COUNTA($B$4:$B1752))</f>
        <v/>
      </c>
      <c r="B1752" s="37"/>
      <c r="C1752" s="38"/>
      <c r="D1752" s="39"/>
      <c r="E1752" s="37"/>
      <c r="F1752" s="39"/>
      <c r="G1752" s="40" t="str">
        <f aca="false">IF(OR($E1752="",$F1752=""),"",$E1752&amp;" - RT "&amp;$F1752)</f>
        <v/>
      </c>
      <c r="H1752" s="37"/>
      <c r="I1752" s="38"/>
      <c r="J1752" s="37"/>
      <c r="K1752" s="39"/>
      <c r="L1752" s="41"/>
      <c r="M1752" s="36" t="str">
        <f aca="true">IF(OR($B1752="",$L1752=""),"",DATEDIF($L1752,TODAY(),"Y"))</f>
        <v/>
      </c>
      <c r="N1752" s="40" t="str">
        <f aca="false">IF($M1752="","",INDEX(usia_label,MATCH($M1752,usia_min,1)))</f>
        <v/>
      </c>
      <c r="O1752" s="37"/>
      <c r="P1752" s="41"/>
      <c r="Q1752" s="37"/>
      <c r="R1752" s="37"/>
      <c r="S1752" s="40" t="str">
        <f aca="false">IF($G1752="","",$G1752&amp;"#"&amp;COUNTIF($G$4:$G1752,$G1752))</f>
        <v/>
      </c>
      <c r="T1752" s="40" t="str">
        <f aca="false">IF($B1752="","",IF($C1752="","NIK kosong",IF(LEN($C1752)&lt;&gt;16,"NIK bukan 16 digit",IF(COUNTIF($C$4:$C$2003,$C1752&amp;"*")&gt;1,"NIK ganda",IF($E1752="","Kadus kosong",IF($F1752="","RT kosong",IF($H1752="","Jabatan kosong",IF($I1752="","No. HP kosong",IF($J1752="","Alamat kosong",IF(AND($M1752&lt;&gt;"",$M1752&lt;17),"Usia di bawah 17",""))))))))))</f>
        <v/>
      </c>
      <c r="U1752" s="40" t="str">
        <f aca="false">IF($B1752="","",IF(AND(OR(CARI!$C$5="",ISNUMBER(SEARCH(CARI!$C$5,$B1752&amp;" "&amp;$C1752&amp;" "&amp;$I1752&amp;" "&amp;$J1752&amp;" "&amp;$Q1752))),OR(CARI!$C$6="",$E1752=CARI!$C$6),OR(CARI!$C$7="",$F1752=CARI!$C$7),OR(CARI!$C$8="",$O1752=CARI!$C$8)),MAX($U$3:U1751)+1,""))</f>
        <v/>
      </c>
      <c r="V1752" s="40" t="str">
        <f aca="false">IF($T1752="","",MAX($V$3:V1751)+1)</f>
        <v/>
      </c>
      <c r="W1752" s="40" t="str">
        <f aca="false">IF($E1752="","",$E1752&amp;"#"&amp;COUNTIF($E$4:$E1752,$E1752))</f>
        <v/>
      </c>
      <c r="X1752" s="40" t="str">
        <f aca="false">IF($B1752="","",IF(AND(OR(CETAK!$J$10="",$E1752=CETAK!$J$10),OR(CETAK!$J$11="",$F1752=CETAK!$J$11),OR(CETAK!$J$12="",$K1752=CETAK!$J$12),OR(CETAK!$J$13="",$H1752=CETAK!$J$13),OR(CETAK!$J$14="",$O1752=CETAK!$J$14)),MAX($X$3:X1751)+1,""))</f>
        <v/>
      </c>
      <c r="Y1752" s="40" t="str">
        <f aca="false">IF($B1752="","",IF(AND(OR(ABSENSI!$H$10="",$E1752=ABSENSI!$H$10),OR(ABSENSI!$H$11="",$F1752=ABSENSI!$H$11),OR(ABSENSI!$H$12="",$K1752=ABSENSI!$H$12)),MAX($Y$3:Y1751)+1,""))</f>
        <v/>
      </c>
      <c r="Z1752" s="40" t="str">
        <f aca="false">IF($B1752="","",IF(AND(OR(KARTU!$K$6="",$E1752=KARTU!$K$6),OR(KARTU!$K$7="",$F1752=KARTU!$K$7),OR(KARTU!$K$8="",$K1752=KARTU!$K$8)),MAX($Z$3:Z1751)+1,""))</f>
        <v/>
      </c>
    </row>
    <row r="1753" customFormat="false" ht="15" hidden="false" customHeight="false" outlineLevel="0" collapsed="false">
      <c r="A1753" s="36" t="str">
        <f aca="false">IF($B1753="","",COUNTA($B$4:$B1753))</f>
        <v/>
      </c>
      <c r="B1753" s="37"/>
      <c r="C1753" s="38"/>
      <c r="D1753" s="39"/>
      <c r="E1753" s="37"/>
      <c r="F1753" s="39"/>
      <c r="G1753" s="40" t="str">
        <f aca="false">IF(OR($E1753="",$F1753=""),"",$E1753&amp;" - RT "&amp;$F1753)</f>
        <v/>
      </c>
      <c r="H1753" s="37"/>
      <c r="I1753" s="38"/>
      <c r="J1753" s="37"/>
      <c r="K1753" s="39"/>
      <c r="L1753" s="41"/>
      <c r="M1753" s="36" t="str">
        <f aca="true">IF(OR($B1753="",$L1753=""),"",DATEDIF($L1753,TODAY(),"Y"))</f>
        <v/>
      </c>
      <c r="N1753" s="40" t="str">
        <f aca="false">IF($M1753="","",INDEX(usia_label,MATCH($M1753,usia_min,1)))</f>
        <v/>
      </c>
      <c r="O1753" s="37"/>
      <c r="P1753" s="41"/>
      <c r="Q1753" s="37"/>
      <c r="R1753" s="37"/>
      <c r="S1753" s="40" t="str">
        <f aca="false">IF($G1753="","",$G1753&amp;"#"&amp;COUNTIF($G$4:$G1753,$G1753))</f>
        <v/>
      </c>
      <c r="T1753" s="40" t="str">
        <f aca="false">IF($B1753="","",IF($C1753="","NIK kosong",IF(LEN($C1753)&lt;&gt;16,"NIK bukan 16 digit",IF(COUNTIF($C$4:$C$2003,$C1753&amp;"*")&gt;1,"NIK ganda",IF($E1753="","Kadus kosong",IF($F1753="","RT kosong",IF($H1753="","Jabatan kosong",IF($I1753="","No. HP kosong",IF($J1753="","Alamat kosong",IF(AND($M1753&lt;&gt;"",$M1753&lt;17),"Usia di bawah 17",""))))))))))</f>
        <v/>
      </c>
      <c r="U1753" s="40" t="str">
        <f aca="false">IF($B1753="","",IF(AND(OR(CARI!$C$5="",ISNUMBER(SEARCH(CARI!$C$5,$B1753&amp;" "&amp;$C1753&amp;" "&amp;$I1753&amp;" "&amp;$J1753&amp;" "&amp;$Q1753))),OR(CARI!$C$6="",$E1753=CARI!$C$6),OR(CARI!$C$7="",$F1753=CARI!$C$7),OR(CARI!$C$8="",$O1753=CARI!$C$8)),MAX($U$3:U1752)+1,""))</f>
        <v/>
      </c>
      <c r="V1753" s="40" t="str">
        <f aca="false">IF($T1753="","",MAX($V$3:V1752)+1)</f>
        <v/>
      </c>
      <c r="W1753" s="40" t="str">
        <f aca="false">IF($E1753="","",$E1753&amp;"#"&amp;COUNTIF($E$4:$E1753,$E1753))</f>
        <v/>
      </c>
      <c r="X1753" s="40" t="str">
        <f aca="false">IF($B1753="","",IF(AND(OR(CETAK!$J$10="",$E1753=CETAK!$J$10),OR(CETAK!$J$11="",$F1753=CETAK!$J$11),OR(CETAK!$J$12="",$K1753=CETAK!$J$12),OR(CETAK!$J$13="",$H1753=CETAK!$J$13),OR(CETAK!$J$14="",$O1753=CETAK!$J$14)),MAX($X$3:X1752)+1,""))</f>
        <v/>
      </c>
      <c r="Y1753" s="40" t="str">
        <f aca="false">IF($B1753="","",IF(AND(OR(ABSENSI!$H$10="",$E1753=ABSENSI!$H$10),OR(ABSENSI!$H$11="",$F1753=ABSENSI!$H$11),OR(ABSENSI!$H$12="",$K1753=ABSENSI!$H$12)),MAX($Y$3:Y1752)+1,""))</f>
        <v/>
      </c>
      <c r="Z1753" s="40" t="str">
        <f aca="false">IF($B1753="","",IF(AND(OR(KARTU!$K$6="",$E1753=KARTU!$K$6),OR(KARTU!$K$7="",$F1753=KARTU!$K$7),OR(KARTU!$K$8="",$K1753=KARTU!$K$8)),MAX($Z$3:Z1752)+1,""))</f>
        <v/>
      </c>
    </row>
    <row r="1754" customFormat="false" ht="15" hidden="false" customHeight="false" outlineLevel="0" collapsed="false">
      <c r="A1754" s="36" t="str">
        <f aca="false">IF($B1754="","",COUNTA($B$4:$B1754))</f>
        <v/>
      </c>
      <c r="B1754" s="37"/>
      <c r="C1754" s="38"/>
      <c r="D1754" s="39"/>
      <c r="E1754" s="37"/>
      <c r="F1754" s="39"/>
      <c r="G1754" s="40" t="str">
        <f aca="false">IF(OR($E1754="",$F1754=""),"",$E1754&amp;" - RT "&amp;$F1754)</f>
        <v/>
      </c>
      <c r="H1754" s="37"/>
      <c r="I1754" s="38"/>
      <c r="J1754" s="37"/>
      <c r="K1754" s="39"/>
      <c r="L1754" s="41"/>
      <c r="M1754" s="36" t="str">
        <f aca="true">IF(OR($B1754="",$L1754=""),"",DATEDIF($L1754,TODAY(),"Y"))</f>
        <v/>
      </c>
      <c r="N1754" s="40" t="str">
        <f aca="false">IF($M1754="","",INDEX(usia_label,MATCH($M1754,usia_min,1)))</f>
        <v/>
      </c>
      <c r="O1754" s="37"/>
      <c r="P1754" s="41"/>
      <c r="Q1754" s="37"/>
      <c r="R1754" s="37"/>
      <c r="S1754" s="40" t="str">
        <f aca="false">IF($G1754="","",$G1754&amp;"#"&amp;COUNTIF($G$4:$G1754,$G1754))</f>
        <v/>
      </c>
      <c r="T1754" s="40" t="str">
        <f aca="false">IF($B1754="","",IF($C1754="","NIK kosong",IF(LEN($C1754)&lt;&gt;16,"NIK bukan 16 digit",IF(COUNTIF($C$4:$C$2003,$C1754&amp;"*")&gt;1,"NIK ganda",IF($E1754="","Kadus kosong",IF($F1754="","RT kosong",IF($H1754="","Jabatan kosong",IF($I1754="","No. HP kosong",IF($J1754="","Alamat kosong",IF(AND($M1754&lt;&gt;"",$M1754&lt;17),"Usia di bawah 17",""))))))))))</f>
        <v/>
      </c>
      <c r="U1754" s="40" t="str">
        <f aca="false">IF($B1754="","",IF(AND(OR(CARI!$C$5="",ISNUMBER(SEARCH(CARI!$C$5,$B1754&amp;" "&amp;$C1754&amp;" "&amp;$I1754&amp;" "&amp;$J1754&amp;" "&amp;$Q1754))),OR(CARI!$C$6="",$E1754=CARI!$C$6),OR(CARI!$C$7="",$F1754=CARI!$C$7),OR(CARI!$C$8="",$O1754=CARI!$C$8)),MAX($U$3:U1753)+1,""))</f>
        <v/>
      </c>
      <c r="V1754" s="40" t="str">
        <f aca="false">IF($T1754="","",MAX($V$3:V1753)+1)</f>
        <v/>
      </c>
      <c r="W1754" s="40" t="str">
        <f aca="false">IF($E1754="","",$E1754&amp;"#"&amp;COUNTIF($E$4:$E1754,$E1754))</f>
        <v/>
      </c>
      <c r="X1754" s="40" t="str">
        <f aca="false">IF($B1754="","",IF(AND(OR(CETAK!$J$10="",$E1754=CETAK!$J$10),OR(CETAK!$J$11="",$F1754=CETAK!$J$11),OR(CETAK!$J$12="",$K1754=CETAK!$J$12),OR(CETAK!$J$13="",$H1754=CETAK!$J$13),OR(CETAK!$J$14="",$O1754=CETAK!$J$14)),MAX($X$3:X1753)+1,""))</f>
        <v/>
      </c>
      <c r="Y1754" s="40" t="str">
        <f aca="false">IF($B1754="","",IF(AND(OR(ABSENSI!$H$10="",$E1754=ABSENSI!$H$10),OR(ABSENSI!$H$11="",$F1754=ABSENSI!$H$11),OR(ABSENSI!$H$12="",$K1754=ABSENSI!$H$12)),MAX($Y$3:Y1753)+1,""))</f>
        <v/>
      </c>
      <c r="Z1754" s="40" t="str">
        <f aca="false">IF($B1754="","",IF(AND(OR(KARTU!$K$6="",$E1754=KARTU!$K$6),OR(KARTU!$K$7="",$F1754=KARTU!$K$7),OR(KARTU!$K$8="",$K1754=KARTU!$K$8)),MAX($Z$3:Z1753)+1,""))</f>
        <v/>
      </c>
    </row>
    <row r="1755" customFormat="false" ht="15" hidden="false" customHeight="false" outlineLevel="0" collapsed="false">
      <c r="A1755" s="36" t="str">
        <f aca="false">IF($B1755="","",COUNTA($B$4:$B1755))</f>
        <v/>
      </c>
      <c r="B1755" s="37"/>
      <c r="C1755" s="38"/>
      <c r="D1755" s="39"/>
      <c r="E1755" s="37"/>
      <c r="F1755" s="39"/>
      <c r="G1755" s="40" t="str">
        <f aca="false">IF(OR($E1755="",$F1755=""),"",$E1755&amp;" - RT "&amp;$F1755)</f>
        <v/>
      </c>
      <c r="H1755" s="37"/>
      <c r="I1755" s="38"/>
      <c r="J1755" s="37"/>
      <c r="K1755" s="39"/>
      <c r="L1755" s="41"/>
      <c r="M1755" s="36" t="str">
        <f aca="true">IF(OR($B1755="",$L1755=""),"",DATEDIF($L1755,TODAY(),"Y"))</f>
        <v/>
      </c>
      <c r="N1755" s="40" t="str">
        <f aca="false">IF($M1755="","",INDEX(usia_label,MATCH($M1755,usia_min,1)))</f>
        <v/>
      </c>
      <c r="O1755" s="37"/>
      <c r="P1755" s="41"/>
      <c r="Q1755" s="37"/>
      <c r="R1755" s="37"/>
      <c r="S1755" s="40" t="str">
        <f aca="false">IF($G1755="","",$G1755&amp;"#"&amp;COUNTIF($G$4:$G1755,$G1755))</f>
        <v/>
      </c>
      <c r="T1755" s="40" t="str">
        <f aca="false">IF($B1755="","",IF($C1755="","NIK kosong",IF(LEN($C1755)&lt;&gt;16,"NIK bukan 16 digit",IF(COUNTIF($C$4:$C$2003,$C1755&amp;"*")&gt;1,"NIK ganda",IF($E1755="","Kadus kosong",IF($F1755="","RT kosong",IF($H1755="","Jabatan kosong",IF($I1755="","No. HP kosong",IF($J1755="","Alamat kosong",IF(AND($M1755&lt;&gt;"",$M1755&lt;17),"Usia di bawah 17",""))))))))))</f>
        <v/>
      </c>
      <c r="U1755" s="40" t="str">
        <f aca="false">IF($B1755="","",IF(AND(OR(CARI!$C$5="",ISNUMBER(SEARCH(CARI!$C$5,$B1755&amp;" "&amp;$C1755&amp;" "&amp;$I1755&amp;" "&amp;$J1755&amp;" "&amp;$Q1755))),OR(CARI!$C$6="",$E1755=CARI!$C$6),OR(CARI!$C$7="",$F1755=CARI!$C$7),OR(CARI!$C$8="",$O1755=CARI!$C$8)),MAX($U$3:U1754)+1,""))</f>
        <v/>
      </c>
      <c r="V1755" s="40" t="str">
        <f aca="false">IF($T1755="","",MAX($V$3:V1754)+1)</f>
        <v/>
      </c>
      <c r="W1755" s="40" t="str">
        <f aca="false">IF($E1755="","",$E1755&amp;"#"&amp;COUNTIF($E$4:$E1755,$E1755))</f>
        <v/>
      </c>
      <c r="X1755" s="40" t="str">
        <f aca="false">IF($B1755="","",IF(AND(OR(CETAK!$J$10="",$E1755=CETAK!$J$10),OR(CETAK!$J$11="",$F1755=CETAK!$J$11),OR(CETAK!$J$12="",$K1755=CETAK!$J$12),OR(CETAK!$J$13="",$H1755=CETAK!$J$13),OR(CETAK!$J$14="",$O1755=CETAK!$J$14)),MAX($X$3:X1754)+1,""))</f>
        <v/>
      </c>
      <c r="Y1755" s="40" t="str">
        <f aca="false">IF($B1755="","",IF(AND(OR(ABSENSI!$H$10="",$E1755=ABSENSI!$H$10),OR(ABSENSI!$H$11="",$F1755=ABSENSI!$H$11),OR(ABSENSI!$H$12="",$K1755=ABSENSI!$H$12)),MAX($Y$3:Y1754)+1,""))</f>
        <v/>
      </c>
      <c r="Z1755" s="40" t="str">
        <f aca="false">IF($B1755="","",IF(AND(OR(KARTU!$K$6="",$E1755=KARTU!$K$6),OR(KARTU!$K$7="",$F1755=KARTU!$K$7),OR(KARTU!$K$8="",$K1755=KARTU!$K$8)),MAX($Z$3:Z1754)+1,""))</f>
        <v/>
      </c>
    </row>
    <row r="1756" customFormat="false" ht="15" hidden="false" customHeight="false" outlineLevel="0" collapsed="false">
      <c r="A1756" s="36" t="str">
        <f aca="false">IF($B1756="","",COUNTA($B$4:$B1756))</f>
        <v/>
      </c>
      <c r="B1756" s="37"/>
      <c r="C1756" s="38"/>
      <c r="D1756" s="39"/>
      <c r="E1756" s="37"/>
      <c r="F1756" s="39"/>
      <c r="G1756" s="40" t="str">
        <f aca="false">IF(OR($E1756="",$F1756=""),"",$E1756&amp;" - RT "&amp;$F1756)</f>
        <v/>
      </c>
      <c r="H1756" s="37"/>
      <c r="I1756" s="38"/>
      <c r="J1756" s="37"/>
      <c r="K1756" s="39"/>
      <c r="L1756" s="41"/>
      <c r="M1756" s="36" t="str">
        <f aca="true">IF(OR($B1756="",$L1756=""),"",DATEDIF($L1756,TODAY(),"Y"))</f>
        <v/>
      </c>
      <c r="N1756" s="40" t="str">
        <f aca="false">IF($M1756="","",INDEX(usia_label,MATCH($M1756,usia_min,1)))</f>
        <v/>
      </c>
      <c r="O1756" s="37"/>
      <c r="P1756" s="41"/>
      <c r="Q1756" s="37"/>
      <c r="R1756" s="37"/>
      <c r="S1756" s="40" t="str">
        <f aca="false">IF($G1756="","",$G1756&amp;"#"&amp;COUNTIF($G$4:$G1756,$G1756))</f>
        <v/>
      </c>
      <c r="T1756" s="40" t="str">
        <f aca="false">IF($B1756="","",IF($C1756="","NIK kosong",IF(LEN($C1756)&lt;&gt;16,"NIK bukan 16 digit",IF(COUNTIF($C$4:$C$2003,$C1756&amp;"*")&gt;1,"NIK ganda",IF($E1756="","Kadus kosong",IF($F1756="","RT kosong",IF($H1756="","Jabatan kosong",IF($I1756="","No. HP kosong",IF($J1756="","Alamat kosong",IF(AND($M1756&lt;&gt;"",$M1756&lt;17),"Usia di bawah 17",""))))))))))</f>
        <v/>
      </c>
      <c r="U1756" s="40" t="str">
        <f aca="false">IF($B1756="","",IF(AND(OR(CARI!$C$5="",ISNUMBER(SEARCH(CARI!$C$5,$B1756&amp;" "&amp;$C1756&amp;" "&amp;$I1756&amp;" "&amp;$J1756&amp;" "&amp;$Q1756))),OR(CARI!$C$6="",$E1756=CARI!$C$6),OR(CARI!$C$7="",$F1756=CARI!$C$7),OR(CARI!$C$8="",$O1756=CARI!$C$8)),MAX($U$3:U1755)+1,""))</f>
        <v/>
      </c>
      <c r="V1756" s="40" t="str">
        <f aca="false">IF($T1756="","",MAX($V$3:V1755)+1)</f>
        <v/>
      </c>
      <c r="W1756" s="40" t="str">
        <f aca="false">IF($E1756="","",$E1756&amp;"#"&amp;COUNTIF($E$4:$E1756,$E1756))</f>
        <v/>
      </c>
      <c r="X1756" s="40" t="str">
        <f aca="false">IF($B1756="","",IF(AND(OR(CETAK!$J$10="",$E1756=CETAK!$J$10),OR(CETAK!$J$11="",$F1756=CETAK!$J$11),OR(CETAK!$J$12="",$K1756=CETAK!$J$12),OR(CETAK!$J$13="",$H1756=CETAK!$J$13),OR(CETAK!$J$14="",$O1756=CETAK!$J$14)),MAX($X$3:X1755)+1,""))</f>
        <v/>
      </c>
      <c r="Y1756" s="40" t="str">
        <f aca="false">IF($B1756="","",IF(AND(OR(ABSENSI!$H$10="",$E1756=ABSENSI!$H$10),OR(ABSENSI!$H$11="",$F1756=ABSENSI!$H$11),OR(ABSENSI!$H$12="",$K1756=ABSENSI!$H$12)),MAX($Y$3:Y1755)+1,""))</f>
        <v/>
      </c>
      <c r="Z1756" s="40" t="str">
        <f aca="false">IF($B1756="","",IF(AND(OR(KARTU!$K$6="",$E1756=KARTU!$K$6),OR(KARTU!$K$7="",$F1756=KARTU!$K$7),OR(KARTU!$K$8="",$K1756=KARTU!$K$8)),MAX($Z$3:Z1755)+1,""))</f>
        <v/>
      </c>
    </row>
    <row r="1757" customFormat="false" ht="15" hidden="false" customHeight="false" outlineLevel="0" collapsed="false">
      <c r="A1757" s="36" t="str">
        <f aca="false">IF($B1757="","",COUNTA($B$4:$B1757))</f>
        <v/>
      </c>
      <c r="B1757" s="37"/>
      <c r="C1757" s="38"/>
      <c r="D1757" s="39"/>
      <c r="E1757" s="37"/>
      <c r="F1757" s="39"/>
      <c r="G1757" s="40" t="str">
        <f aca="false">IF(OR($E1757="",$F1757=""),"",$E1757&amp;" - RT "&amp;$F1757)</f>
        <v/>
      </c>
      <c r="H1757" s="37"/>
      <c r="I1757" s="38"/>
      <c r="J1757" s="37"/>
      <c r="K1757" s="39"/>
      <c r="L1757" s="41"/>
      <c r="M1757" s="36" t="str">
        <f aca="true">IF(OR($B1757="",$L1757=""),"",DATEDIF($L1757,TODAY(),"Y"))</f>
        <v/>
      </c>
      <c r="N1757" s="40" t="str">
        <f aca="false">IF($M1757="","",INDEX(usia_label,MATCH($M1757,usia_min,1)))</f>
        <v/>
      </c>
      <c r="O1757" s="37"/>
      <c r="P1757" s="41"/>
      <c r="Q1757" s="37"/>
      <c r="R1757" s="37"/>
      <c r="S1757" s="40" t="str">
        <f aca="false">IF($G1757="","",$G1757&amp;"#"&amp;COUNTIF($G$4:$G1757,$G1757))</f>
        <v/>
      </c>
      <c r="T1757" s="40" t="str">
        <f aca="false">IF($B1757="","",IF($C1757="","NIK kosong",IF(LEN($C1757)&lt;&gt;16,"NIK bukan 16 digit",IF(COUNTIF($C$4:$C$2003,$C1757&amp;"*")&gt;1,"NIK ganda",IF($E1757="","Kadus kosong",IF($F1757="","RT kosong",IF($H1757="","Jabatan kosong",IF($I1757="","No. HP kosong",IF($J1757="","Alamat kosong",IF(AND($M1757&lt;&gt;"",$M1757&lt;17),"Usia di bawah 17",""))))))))))</f>
        <v/>
      </c>
      <c r="U1757" s="40" t="str">
        <f aca="false">IF($B1757="","",IF(AND(OR(CARI!$C$5="",ISNUMBER(SEARCH(CARI!$C$5,$B1757&amp;" "&amp;$C1757&amp;" "&amp;$I1757&amp;" "&amp;$J1757&amp;" "&amp;$Q1757))),OR(CARI!$C$6="",$E1757=CARI!$C$6),OR(CARI!$C$7="",$F1757=CARI!$C$7),OR(CARI!$C$8="",$O1757=CARI!$C$8)),MAX($U$3:U1756)+1,""))</f>
        <v/>
      </c>
      <c r="V1757" s="40" t="str">
        <f aca="false">IF($T1757="","",MAX($V$3:V1756)+1)</f>
        <v/>
      </c>
      <c r="W1757" s="40" t="str">
        <f aca="false">IF($E1757="","",$E1757&amp;"#"&amp;COUNTIF($E$4:$E1757,$E1757))</f>
        <v/>
      </c>
      <c r="X1757" s="40" t="str">
        <f aca="false">IF($B1757="","",IF(AND(OR(CETAK!$J$10="",$E1757=CETAK!$J$10),OR(CETAK!$J$11="",$F1757=CETAK!$J$11),OR(CETAK!$J$12="",$K1757=CETAK!$J$12),OR(CETAK!$J$13="",$H1757=CETAK!$J$13),OR(CETAK!$J$14="",$O1757=CETAK!$J$14)),MAX($X$3:X1756)+1,""))</f>
        <v/>
      </c>
      <c r="Y1757" s="40" t="str">
        <f aca="false">IF($B1757="","",IF(AND(OR(ABSENSI!$H$10="",$E1757=ABSENSI!$H$10),OR(ABSENSI!$H$11="",$F1757=ABSENSI!$H$11),OR(ABSENSI!$H$12="",$K1757=ABSENSI!$H$12)),MAX($Y$3:Y1756)+1,""))</f>
        <v/>
      </c>
      <c r="Z1757" s="40" t="str">
        <f aca="false">IF($B1757="","",IF(AND(OR(KARTU!$K$6="",$E1757=KARTU!$K$6),OR(KARTU!$K$7="",$F1757=KARTU!$K$7),OR(KARTU!$K$8="",$K1757=KARTU!$K$8)),MAX($Z$3:Z1756)+1,""))</f>
        <v/>
      </c>
    </row>
    <row r="1758" customFormat="false" ht="15" hidden="false" customHeight="false" outlineLevel="0" collapsed="false">
      <c r="A1758" s="36" t="str">
        <f aca="false">IF($B1758="","",COUNTA($B$4:$B1758))</f>
        <v/>
      </c>
      <c r="B1758" s="37"/>
      <c r="C1758" s="38"/>
      <c r="D1758" s="39"/>
      <c r="E1758" s="37"/>
      <c r="F1758" s="39"/>
      <c r="G1758" s="40" t="str">
        <f aca="false">IF(OR($E1758="",$F1758=""),"",$E1758&amp;" - RT "&amp;$F1758)</f>
        <v/>
      </c>
      <c r="H1758" s="37"/>
      <c r="I1758" s="38"/>
      <c r="J1758" s="37"/>
      <c r="K1758" s="39"/>
      <c r="L1758" s="41"/>
      <c r="M1758" s="36" t="str">
        <f aca="true">IF(OR($B1758="",$L1758=""),"",DATEDIF($L1758,TODAY(),"Y"))</f>
        <v/>
      </c>
      <c r="N1758" s="40" t="str">
        <f aca="false">IF($M1758="","",INDEX(usia_label,MATCH($M1758,usia_min,1)))</f>
        <v/>
      </c>
      <c r="O1758" s="37"/>
      <c r="P1758" s="41"/>
      <c r="Q1758" s="37"/>
      <c r="R1758" s="37"/>
      <c r="S1758" s="40" t="str">
        <f aca="false">IF($G1758="","",$G1758&amp;"#"&amp;COUNTIF($G$4:$G1758,$G1758))</f>
        <v/>
      </c>
      <c r="T1758" s="40" t="str">
        <f aca="false">IF($B1758="","",IF($C1758="","NIK kosong",IF(LEN($C1758)&lt;&gt;16,"NIK bukan 16 digit",IF(COUNTIF($C$4:$C$2003,$C1758&amp;"*")&gt;1,"NIK ganda",IF($E1758="","Kadus kosong",IF($F1758="","RT kosong",IF($H1758="","Jabatan kosong",IF($I1758="","No. HP kosong",IF($J1758="","Alamat kosong",IF(AND($M1758&lt;&gt;"",$M1758&lt;17),"Usia di bawah 17",""))))))))))</f>
        <v/>
      </c>
      <c r="U1758" s="40" t="str">
        <f aca="false">IF($B1758="","",IF(AND(OR(CARI!$C$5="",ISNUMBER(SEARCH(CARI!$C$5,$B1758&amp;" "&amp;$C1758&amp;" "&amp;$I1758&amp;" "&amp;$J1758&amp;" "&amp;$Q1758))),OR(CARI!$C$6="",$E1758=CARI!$C$6),OR(CARI!$C$7="",$F1758=CARI!$C$7),OR(CARI!$C$8="",$O1758=CARI!$C$8)),MAX($U$3:U1757)+1,""))</f>
        <v/>
      </c>
      <c r="V1758" s="40" t="str">
        <f aca="false">IF($T1758="","",MAX($V$3:V1757)+1)</f>
        <v/>
      </c>
      <c r="W1758" s="40" t="str">
        <f aca="false">IF($E1758="","",$E1758&amp;"#"&amp;COUNTIF($E$4:$E1758,$E1758))</f>
        <v/>
      </c>
      <c r="X1758" s="40" t="str">
        <f aca="false">IF($B1758="","",IF(AND(OR(CETAK!$J$10="",$E1758=CETAK!$J$10),OR(CETAK!$J$11="",$F1758=CETAK!$J$11),OR(CETAK!$J$12="",$K1758=CETAK!$J$12),OR(CETAK!$J$13="",$H1758=CETAK!$J$13),OR(CETAK!$J$14="",$O1758=CETAK!$J$14)),MAX($X$3:X1757)+1,""))</f>
        <v/>
      </c>
      <c r="Y1758" s="40" t="str">
        <f aca="false">IF($B1758="","",IF(AND(OR(ABSENSI!$H$10="",$E1758=ABSENSI!$H$10),OR(ABSENSI!$H$11="",$F1758=ABSENSI!$H$11),OR(ABSENSI!$H$12="",$K1758=ABSENSI!$H$12)),MAX($Y$3:Y1757)+1,""))</f>
        <v/>
      </c>
      <c r="Z1758" s="40" t="str">
        <f aca="false">IF($B1758="","",IF(AND(OR(KARTU!$K$6="",$E1758=KARTU!$K$6),OR(KARTU!$K$7="",$F1758=KARTU!$K$7),OR(KARTU!$K$8="",$K1758=KARTU!$K$8)),MAX($Z$3:Z1757)+1,""))</f>
        <v/>
      </c>
    </row>
    <row r="1759" customFormat="false" ht="15" hidden="false" customHeight="false" outlineLevel="0" collapsed="false">
      <c r="A1759" s="36" t="str">
        <f aca="false">IF($B1759="","",COUNTA($B$4:$B1759))</f>
        <v/>
      </c>
      <c r="B1759" s="37"/>
      <c r="C1759" s="38"/>
      <c r="D1759" s="39"/>
      <c r="E1759" s="37"/>
      <c r="F1759" s="39"/>
      <c r="G1759" s="40" t="str">
        <f aca="false">IF(OR($E1759="",$F1759=""),"",$E1759&amp;" - RT "&amp;$F1759)</f>
        <v/>
      </c>
      <c r="H1759" s="37"/>
      <c r="I1759" s="38"/>
      <c r="J1759" s="37"/>
      <c r="K1759" s="39"/>
      <c r="L1759" s="41"/>
      <c r="M1759" s="36" t="str">
        <f aca="true">IF(OR($B1759="",$L1759=""),"",DATEDIF($L1759,TODAY(),"Y"))</f>
        <v/>
      </c>
      <c r="N1759" s="40" t="str">
        <f aca="false">IF($M1759="","",INDEX(usia_label,MATCH($M1759,usia_min,1)))</f>
        <v/>
      </c>
      <c r="O1759" s="37"/>
      <c r="P1759" s="41"/>
      <c r="Q1759" s="37"/>
      <c r="R1759" s="37"/>
      <c r="S1759" s="40" t="str">
        <f aca="false">IF($G1759="","",$G1759&amp;"#"&amp;COUNTIF($G$4:$G1759,$G1759))</f>
        <v/>
      </c>
      <c r="T1759" s="40" t="str">
        <f aca="false">IF($B1759="","",IF($C1759="","NIK kosong",IF(LEN($C1759)&lt;&gt;16,"NIK bukan 16 digit",IF(COUNTIF($C$4:$C$2003,$C1759&amp;"*")&gt;1,"NIK ganda",IF($E1759="","Kadus kosong",IF($F1759="","RT kosong",IF($H1759="","Jabatan kosong",IF($I1759="","No. HP kosong",IF($J1759="","Alamat kosong",IF(AND($M1759&lt;&gt;"",$M1759&lt;17),"Usia di bawah 17",""))))))))))</f>
        <v/>
      </c>
      <c r="U1759" s="40" t="str">
        <f aca="false">IF($B1759="","",IF(AND(OR(CARI!$C$5="",ISNUMBER(SEARCH(CARI!$C$5,$B1759&amp;" "&amp;$C1759&amp;" "&amp;$I1759&amp;" "&amp;$J1759&amp;" "&amp;$Q1759))),OR(CARI!$C$6="",$E1759=CARI!$C$6),OR(CARI!$C$7="",$F1759=CARI!$C$7),OR(CARI!$C$8="",$O1759=CARI!$C$8)),MAX($U$3:U1758)+1,""))</f>
        <v/>
      </c>
      <c r="V1759" s="40" t="str">
        <f aca="false">IF($T1759="","",MAX($V$3:V1758)+1)</f>
        <v/>
      </c>
      <c r="W1759" s="40" t="str">
        <f aca="false">IF($E1759="","",$E1759&amp;"#"&amp;COUNTIF($E$4:$E1759,$E1759))</f>
        <v/>
      </c>
      <c r="X1759" s="40" t="str">
        <f aca="false">IF($B1759="","",IF(AND(OR(CETAK!$J$10="",$E1759=CETAK!$J$10),OR(CETAK!$J$11="",$F1759=CETAK!$J$11),OR(CETAK!$J$12="",$K1759=CETAK!$J$12),OR(CETAK!$J$13="",$H1759=CETAK!$J$13),OR(CETAK!$J$14="",$O1759=CETAK!$J$14)),MAX($X$3:X1758)+1,""))</f>
        <v/>
      </c>
      <c r="Y1759" s="40" t="str">
        <f aca="false">IF($B1759="","",IF(AND(OR(ABSENSI!$H$10="",$E1759=ABSENSI!$H$10),OR(ABSENSI!$H$11="",$F1759=ABSENSI!$H$11),OR(ABSENSI!$H$12="",$K1759=ABSENSI!$H$12)),MAX($Y$3:Y1758)+1,""))</f>
        <v/>
      </c>
      <c r="Z1759" s="40" t="str">
        <f aca="false">IF($B1759="","",IF(AND(OR(KARTU!$K$6="",$E1759=KARTU!$K$6),OR(KARTU!$K$7="",$F1759=KARTU!$K$7),OR(KARTU!$K$8="",$K1759=KARTU!$K$8)),MAX($Z$3:Z1758)+1,""))</f>
        <v/>
      </c>
    </row>
    <row r="1760" customFormat="false" ht="15" hidden="false" customHeight="false" outlineLevel="0" collapsed="false">
      <c r="A1760" s="36" t="str">
        <f aca="false">IF($B1760="","",COUNTA($B$4:$B1760))</f>
        <v/>
      </c>
      <c r="B1760" s="37"/>
      <c r="C1760" s="38"/>
      <c r="D1760" s="39"/>
      <c r="E1760" s="37"/>
      <c r="F1760" s="39"/>
      <c r="G1760" s="40" t="str">
        <f aca="false">IF(OR($E1760="",$F1760=""),"",$E1760&amp;" - RT "&amp;$F1760)</f>
        <v/>
      </c>
      <c r="H1760" s="37"/>
      <c r="I1760" s="38"/>
      <c r="J1760" s="37"/>
      <c r="K1760" s="39"/>
      <c r="L1760" s="41"/>
      <c r="M1760" s="36" t="str">
        <f aca="true">IF(OR($B1760="",$L1760=""),"",DATEDIF($L1760,TODAY(),"Y"))</f>
        <v/>
      </c>
      <c r="N1760" s="40" t="str">
        <f aca="false">IF($M1760="","",INDEX(usia_label,MATCH($M1760,usia_min,1)))</f>
        <v/>
      </c>
      <c r="O1760" s="37"/>
      <c r="P1760" s="41"/>
      <c r="Q1760" s="37"/>
      <c r="R1760" s="37"/>
      <c r="S1760" s="40" t="str">
        <f aca="false">IF($G1760="","",$G1760&amp;"#"&amp;COUNTIF($G$4:$G1760,$G1760))</f>
        <v/>
      </c>
      <c r="T1760" s="40" t="str">
        <f aca="false">IF($B1760="","",IF($C1760="","NIK kosong",IF(LEN($C1760)&lt;&gt;16,"NIK bukan 16 digit",IF(COUNTIF($C$4:$C$2003,$C1760&amp;"*")&gt;1,"NIK ganda",IF($E1760="","Kadus kosong",IF($F1760="","RT kosong",IF($H1760="","Jabatan kosong",IF($I1760="","No. HP kosong",IF($J1760="","Alamat kosong",IF(AND($M1760&lt;&gt;"",$M1760&lt;17),"Usia di bawah 17",""))))))))))</f>
        <v/>
      </c>
      <c r="U1760" s="40" t="str">
        <f aca="false">IF($B1760="","",IF(AND(OR(CARI!$C$5="",ISNUMBER(SEARCH(CARI!$C$5,$B1760&amp;" "&amp;$C1760&amp;" "&amp;$I1760&amp;" "&amp;$J1760&amp;" "&amp;$Q1760))),OR(CARI!$C$6="",$E1760=CARI!$C$6),OR(CARI!$C$7="",$F1760=CARI!$C$7),OR(CARI!$C$8="",$O1760=CARI!$C$8)),MAX($U$3:U1759)+1,""))</f>
        <v/>
      </c>
      <c r="V1760" s="40" t="str">
        <f aca="false">IF($T1760="","",MAX($V$3:V1759)+1)</f>
        <v/>
      </c>
      <c r="W1760" s="40" t="str">
        <f aca="false">IF($E1760="","",$E1760&amp;"#"&amp;COUNTIF($E$4:$E1760,$E1760))</f>
        <v/>
      </c>
      <c r="X1760" s="40" t="str">
        <f aca="false">IF($B1760="","",IF(AND(OR(CETAK!$J$10="",$E1760=CETAK!$J$10),OR(CETAK!$J$11="",$F1760=CETAK!$J$11),OR(CETAK!$J$12="",$K1760=CETAK!$J$12),OR(CETAK!$J$13="",$H1760=CETAK!$J$13),OR(CETAK!$J$14="",$O1760=CETAK!$J$14)),MAX($X$3:X1759)+1,""))</f>
        <v/>
      </c>
      <c r="Y1760" s="40" t="str">
        <f aca="false">IF($B1760="","",IF(AND(OR(ABSENSI!$H$10="",$E1760=ABSENSI!$H$10),OR(ABSENSI!$H$11="",$F1760=ABSENSI!$H$11),OR(ABSENSI!$H$12="",$K1760=ABSENSI!$H$12)),MAX($Y$3:Y1759)+1,""))</f>
        <v/>
      </c>
      <c r="Z1760" s="40" t="str">
        <f aca="false">IF($B1760="","",IF(AND(OR(KARTU!$K$6="",$E1760=KARTU!$K$6),OR(KARTU!$K$7="",$F1760=KARTU!$K$7),OR(KARTU!$K$8="",$K1760=KARTU!$K$8)),MAX($Z$3:Z1759)+1,""))</f>
        <v/>
      </c>
    </row>
    <row r="1761" customFormat="false" ht="15" hidden="false" customHeight="false" outlineLevel="0" collapsed="false">
      <c r="A1761" s="36" t="str">
        <f aca="false">IF($B1761="","",COUNTA($B$4:$B1761))</f>
        <v/>
      </c>
      <c r="B1761" s="37"/>
      <c r="C1761" s="38"/>
      <c r="D1761" s="39"/>
      <c r="E1761" s="37"/>
      <c r="F1761" s="39"/>
      <c r="G1761" s="40" t="str">
        <f aca="false">IF(OR($E1761="",$F1761=""),"",$E1761&amp;" - RT "&amp;$F1761)</f>
        <v/>
      </c>
      <c r="H1761" s="37"/>
      <c r="I1761" s="38"/>
      <c r="J1761" s="37"/>
      <c r="K1761" s="39"/>
      <c r="L1761" s="41"/>
      <c r="M1761" s="36" t="str">
        <f aca="true">IF(OR($B1761="",$L1761=""),"",DATEDIF($L1761,TODAY(),"Y"))</f>
        <v/>
      </c>
      <c r="N1761" s="40" t="str">
        <f aca="false">IF($M1761="","",INDEX(usia_label,MATCH($M1761,usia_min,1)))</f>
        <v/>
      </c>
      <c r="O1761" s="37"/>
      <c r="P1761" s="41"/>
      <c r="Q1761" s="37"/>
      <c r="R1761" s="37"/>
      <c r="S1761" s="40" t="str">
        <f aca="false">IF($G1761="","",$G1761&amp;"#"&amp;COUNTIF($G$4:$G1761,$G1761))</f>
        <v/>
      </c>
      <c r="T1761" s="40" t="str">
        <f aca="false">IF($B1761="","",IF($C1761="","NIK kosong",IF(LEN($C1761)&lt;&gt;16,"NIK bukan 16 digit",IF(COUNTIF($C$4:$C$2003,$C1761&amp;"*")&gt;1,"NIK ganda",IF($E1761="","Kadus kosong",IF($F1761="","RT kosong",IF($H1761="","Jabatan kosong",IF($I1761="","No. HP kosong",IF($J1761="","Alamat kosong",IF(AND($M1761&lt;&gt;"",$M1761&lt;17),"Usia di bawah 17",""))))))))))</f>
        <v/>
      </c>
      <c r="U1761" s="40" t="str">
        <f aca="false">IF($B1761="","",IF(AND(OR(CARI!$C$5="",ISNUMBER(SEARCH(CARI!$C$5,$B1761&amp;" "&amp;$C1761&amp;" "&amp;$I1761&amp;" "&amp;$J1761&amp;" "&amp;$Q1761))),OR(CARI!$C$6="",$E1761=CARI!$C$6),OR(CARI!$C$7="",$F1761=CARI!$C$7),OR(CARI!$C$8="",$O1761=CARI!$C$8)),MAX($U$3:U1760)+1,""))</f>
        <v/>
      </c>
      <c r="V1761" s="40" t="str">
        <f aca="false">IF($T1761="","",MAX($V$3:V1760)+1)</f>
        <v/>
      </c>
      <c r="W1761" s="40" t="str">
        <f aca="false">IF($E1761="","",$E1761&amp;"#"&amp;COUNTIF($E$4:$E1761,$E1761))</f>
        <v/>
      </c>
      <c r="X1761" s="40" t="str">
        <f aca="false">IF($B1761="","",IF(AND(OR(CETAK!$J$10="",$E1761=CETAK!$J$10),OR(CETAK!$J$11="",$F1761=CETAK!$J$11),OR(CETAK!$J$12="",$K1761=CETAK!$J$12),OR(CETAK!$J$13="",$H1761=CETAK!$J$13),OR(CETAK!$J$14="",$O1761=CETAK!$J$14)),MAX($X$3:X1760)+1,""))</f>
        <v/>
      </c>
      <c r="Y1761" s="40" t="str">
        <f aca="false">IF($B1761="","",IF(AND(OR(ABSENSI!$H$10="",$E1761=ABSENSI!$H$10),OR(ABSENSI!$H$11="",$F1761=ABSENSI!$H$11),OR(ABSENSI!$H$12="",$K1761=ABSENSI!$H$12)),MAX($Y$3:Y1760)+1,""))</f>
        <v/>
      </c>
      <c r="Z1761" s="40" t="str">
        <f aca="false">IF($B1761="","",IF(AND(OR(KARTU!$K$6="",$E1761=KARTU!$K$6),OR(KARTU!$K$7="",$F1761=KARTU!$K$7),OR(KARTU!$K$8="",$K1761=KARTU!$K$8)),MAX($Z$3:Z1760)+1,""))</f>
        <v/>
      </c>
    </row>
    <row r="1762" customFormat="false" ht="15" hidden="false" customHeight="false" outlineLevel="0" collapsed="false">
      <c r="A1762" s="36" t="str">
        <f aca="false">IF($B1762="","",COUNTA($B$4:$B1762))</f>
        <v/>
      </c>
      <c r="B1762" s="37"/>
      <c r="C1762" s="38"/>
      <c r="D1762" s="39"/>
      <c r="E1762" s="37"/>
      <c r="F1762" s="39"/>
      <c r="G1762" s="40" t="str">
        <f aca="false">IF(OR($E1762="",$F1762=""),"",$E1762&amp;" - RT "&amp;$F1762)</f>
        <v/>
      </c>
      <c r="H1762" s="37"/>
      <c r="I1762" s="38"/>
      <c r="J1762" s="37"/>
      <c r="K1762" s="39"/>
      <c r="L1762" s="41"/>
      <c r="M1762" s="36" t="str">
        <f aca="true">IF(OR($B1762="",$L1762=""),"",DATEDIF($L1762,TODAY(),"Y"))</f>
        <v/>
      </c>
      <c r="N1762" s="40" t="str">
        <f aca="false">IF($M1762="","",INDEX(usia_label,MATCH($M1762,usia_min,1)))</f>
        <v/>
      </c>
      <c r="O1762" s="37"/>
      <c r="P1762" s="41"/>
      <c r="Q1762" s="37"/>
      <c r="R1762" s="37"/>
      <c r="S1762" s="40" t="str">
        <f aca="false">IF($G1762="","",$G1762&amp;"#"&amp;COUNTIF($G$4:$G1762,$G1762))</f>
        <v/>
      </c>
      <c r="T1762" s="40" t="str">
        <f aca="false">IF($B1762="","",IF($C1762="","NIK kosong",IF(LEN($C1762)&lt;&gt;16,"NIK bukan 16 digit",IF(COUNTIF($C$4:$C$2003,$C1762&amp;"*")&gt;1,"NIK ganda",IF($E1762="","Kadus kosong",IF($F1762="","RT kosong",IF($H1762="","Jabatan kosong",IF($I1762="","No. HP kosong",IF($J1762="","Alamat kosong",IF(AND($M1762&lt;&gt;"",$M1762&lt;17),"Usia di bawah 17",""))))))))))</f>
        <v/>
      </c>
      <c r="U1762" s="40" t="str">
        <f aca="false">IF($B1762="","",IF(AND(OR(CARI!$C$5="",ISNUMBER(SEARCH(CARI!$C$5,$B1762&amp;" "&amp;$C1762&amp;" "&amp;$I1762&amp;" "&amp;$J1762&amp;" "&amp;$Q1762))),OR(CARI!$C$6="",$E1762=CARI!$C$6),OR(CARI!$C$7="",$F1762=CARI!$C$7),OR(CARI!$C$8="",$O1762=CARI!$C$8)),MAX($U$3:U1761)+1,""))</f>
        <v/>
      </c>
      <c r="V1762" s="40" t="str">
        <f aca="false">IF($T1762="","",MAX($V$3:V1761)+1)</f>
        <v/>
      </c>
      <c r="W1762" s="40" t="str">
        <f aca="false">IF($E1762="","",$E1762&amp;"#"&amp;COUNTIF($E$4:$E1762,$E1762))</f>
        <v/>
      </c>
      <c r="X1762" s="40" t="str">
        <f aca="false">IF($B1762="","",IF(AND(OR(CETAK!$J$10="",$E1762=CETAK!$J$10),OR(CETAK!$J$11="",$F1762=CETAK!$J$11),OR(CETAK!$J$12="",$K1762=CETAK!$J$12),OR(CETAK!$J$13="",$H1762=CETAK!$J$13),OR(CETAK!$J$14="",$O1762=CETAK!$J$14)),MAX($X$3:X1761)+1,""))</f>
        <v/>
      </c>
      <c r="Y1762" s="40" t="str">
        <f aca="false">IF($B1762="","",IF(AND(OR(ABSENSI!$H$10="",$E1762=ABSENSI!$H$10),OR(ABSENSI!$H$11="",$F1762=ABSENSI!$H$11),OR(ABSENSI!$H$12="",$K1762=ABSENSI!$H$12)),MAX($Y$3:Y1761)+1,""))</f>
        <v/>
      </c>
      <c r="Z1762" s="40" t="str">
        <f aca="false">IF($B1762="","",IF(AND(OR(KARTU!$K$6="",$E1762=KARTU!$K$6),OR(KARTU!$K$7="",$F1762=KARTU!$K$7),OR(KARTU!$K$8="",$K1762=KARTU!$K$8)),MAX($Z$3:Z1761)+1,""))</f>
        <v/>
      </c>
    </row>
    <row r="1763" customFormat="false" ht="15" hidden="false" customHeight="false" outlineLevel="0" collapsed="false">
      <c r="A1763" s="36" t="str">
        <f aca="false">IF($B1763="","",COUNTA($B$4:$B1763))</f>
        <v/>
      </c>
      <c r="B1763" s="37"/>
      <c r="C1763" s="38"/>
      <c r="D1763" s="39"/>
      <c r="E1763" s="37"/>
      <c r="F1763" s="39"/>
      <c r="G1763" s="40" t="str">
        <f aca="false">IF(OR($E1763="",$F1763=""),"",$E1763&amp;" - RT "&amp;$F1763)</f>
        <v/>
      </c>
      <c r="H1763" s="37"/>
      <c r="I1763" s="38"/>
      <c r="J1763" s="37"/>
      <c r="K1763" s="39"/>
      <c r="L1763" s="41"/>
      <c r="M1763" s="36" t="str">
        <f aca="true">IF(OR($B1763="",$L1763=""),"",DATEDIF($L1763,TODAY(),"Y"))</f>
        <v/>
      </c>
      <c r="N1763" s="40" t="str">
        <f aca="false">IF($M1763="","",INDEX(usia_label,MATCH($M1763,usia_min,1)))</f>
        <v/>
      </c>
      <c r="O1763" s="37"/>
      <c r="P1763" s="41"/>
      <c r="Q1763" s="37"/>
      <c r="R1763" s="37"/>
      <c r="S1763" s="40" t="str">
        <f aca="false">IF($G1763="","",$G1763&amp;"#"&amp;COUNTIF($G$4:$G1763,$G1763))</f>
        <v/>
      </c>
      <c r="T1763" s="40" t="str">
        <f aca="false">IF($B1763="","",IF($C1763="","NIK kosong",IF(LEN($C1763)&lt;&gt;16,"NIK bukan 16 digit",IF(COUNTIF($C$4:$C$2003,$C1763&amp;"*")&gt;1,"NIK ganda",IF($E1763="","Kadus kosong",IF($F1763="","RT kosong",IF($H1763="","Jabatan kosong",IF($I1763="","No. HP kosong",IF($J1763="","Alamat kosong",IF(AND($M1763&lt;&gt;"",$M1763&lt;17),"Usia di bawah 17",""))))))))))</f>
        <v/>
      </c>
      <c r="U1763" s="40" t="str">
        <f aca="false">IF($B1763="","",IF(AND(OR(CARI!$C$5="",ISNUMBER(SEARCH(CARI!$C$5,$B1763&amp;" "&amp;$C1763&amp;" "&amp;$I1763&amp;" "&amp;$J1763&amp;" "&amp;$Q1763))),OR(CARI!$C$6="",$E1763=CARI!$C$6),OR(CARI!$C$7="",$F1763=CARI!$C$7),OR(CARI!$C$8="",$O1763=CARI!$C$8)),MAX($U$3:U1762)+1,""))</f>
        <v/>
      </c>
      <c r="V1763" s="40" t="str">
        <f aca="false">IF($T1763="","",MAX($V$3:V1762)+1)</f>
        <v/>
      </c>
      <c r="W1763" s="40" t="str">
        <f aca="false">IF($E1763="","",$E1763&amp;"#"&amp;COUNTIF($E$4:$E1763,$E1763))</f>
        <v/>
      </c>
      <c r="X1763" s="40" t="str">
        <f aca="false">IF($B1763="","",IF(AND(OR(CETAK!$J$10="",$E1763=CETAK!$J$10),OR(CETAK!$J$11="",$F1763=CETAK!$J$11),OR(CETAK!$J$12="",$K1763=CETAK!$J$12),OR(CETAK!$J$13="",$H1763=CETAK!$J$13),OR(CETAK!$J$14="",$O1763=CETAK!$J$14)),MAX($X$3:X1762)+1,""))</f>
        <v/>
      </c>
      <c r="Y1763" s="40" t="str">
        <f aca="false">IF($B1763="","",IF(AND(OR(ABSENSI!$H$10="",$E1763=ABSENSI!$H$10),OR(ABSENSI!$H$11="",$F1763=ABSENSI!$H$11),OR(ABSENSI!$H$12="",$K1763=ABSENSI!$H$12)),MAX($Y$3:Y1762)+1,""))</f>
        <v/>
      </c>
      <c r="Z1763" s="40" t="str">
        <f aca="false">IF($B1763="","",IF(AND(OR(KARTU!$K$6="",$E1763=KARTU!$K$6),OR(KARTU!$K$7="",$F1763=KARTU!$K$7),OR(KARTU!$K$8="",$K1763=KARTU!$K$8)),MAX($Z$3:Z1762)+1,""))</f>
        <v/>
      </c>
    </row>
    <row r="1764" customFormat="false" ht="15" hidden="false" customHeight="false" outlineLevel="0" collapsed="false">
      <c r="A1764" s="36" t="str">
        <f aca="false">IF($B1764="","",COUNTA($B$4:$B1764))</f>
        <v/>
      </c>
      <c r="B1764" s="37"/>
      <c r="C1764" s="38"/>
      <c r="D1764" s="39"/>
      <c r="E1764" s="37"/>
      <c r="F1764" s="39"/>
      <c r="G1764" s="40" t="str">
        <f aca="false">IF(OR($E1764="",$F1764=""),"",$E1764&amp;" - RT "&amp;$F1764)</f>
        <v/>
      </c>
      <c r="H1764" s="37"/>
      <c r="I1764" s="38"/>
      <c r="J1764" s="37"/>
      <c r="K1764" s="39"/>
      <c r="L1764" s="41"/>
      <c r="M1764" s="36" t="str">
        <f aca="true">IF(OR($B1764="",$L1764=""),"",DATEDIF($L1764,TODAY(),"Y"))</f>
        <v/>
      </c>
      <c r="N1764" s="40" t="str">
        <f aca="false">IF($M1764="","",INDEX(usia_label,MATCH($M1764,usia_min,1)))</f>
        <v/>
      </c>
      <c r="O1764" s="37"/>
      <c r="P1764" s="41"/>
      <c r="Q1764" s="37"/>
      <c r="R1764" s="37"/>
      <c r="S1764" s="40" t="str">
        <f aca="false">IF($G1764="","",$G1764&amp;"#"&amp;COUNTIF($G$4:$G1764,$G1764))</f>
        <v/>
      </c>
      <c r="T1764" s="40" t="str">
        <f aca="false">IF($B1764="","",IF($C1764="","NIK kosong",IF(LEN($C1764)&lt;&gt;16,"NIK bukan 16 digit",IF(COUNTIF($C$4:$C$2003,$C1764&amp;"*")&gt;1,"NIK ganda",IF($E1764="","Kadus kosong",IF($F1764="","RT kosong",IF($H1764="","Jabatan kosong",IF($I1764="","No. HP kosong",IF($J1764="","Alamat kosong",IF(AND($M1764&lt;&gt;"",$M1764&lt;17),"Usia di bawah 17",""))))))))))</f>
        <v/>
      </c>
      <c r="U1764" s="40" t="str">
        <f aca="false">IF($B1764="","",IF(AND(OR(CARI!$C$5="",ISNUMBER(SEARCH(CARI!$C$5,$B1764&amp;" "&amp;$C1764&amp;" "&amp;$I1764&amp;" "&amp;$J1764&amp;" "&amp;$Q1764))),OR(CARI!$C$6="",$E1764=CARI!$C$6),OR(CARI!$C$7="",$F1764=CARI!$C$7),OR(CARI!$C$8="",$O1764=CARI!$C$8)),MAX($U$3:U1763)+1,""))</f>
        <v/>
      </c>
      <c r="V1764" s="40" t="str">
        <f aca="false">IF($T1764="","",MAX($V$3:V1763)+1)</f>
        <v/>
      </c>
      <c r="W1764" s="40" t="str">
        <f aca="false">IF($E1764="","",$E1764&amp;"#"&amp;COUNTIF($E$4:$E1764,$E1764))</f>
        <v/>
      </c>
      <c r="X1764" s="40" t="str">
        <f aca="false">IF($B1764="","",IF(AND(OR(CETAK!$J$10="",$E1764=CETAK!$J$10),OR(CETAK!$J$11="",$F1764=CETAK!$J$11),OR(CETAK!$J$12="",$K1764=CETAK!$J$12),OR(CETAK!$J$13="",$H1764=CETAK!$J$13),OR(CETAK!$J$14="",$O1764=CETAK!$J$14)),MAX($X$3:X1763)+1,""))</f>
        <v/>
      </c>
      <c r="Y1764" s="40" t="str">
        <f aca="false">IF($B1764="","",IF(AND(OR(ABSENSI!$H$10="",$E1764=ABSENSI!$H$10),OR(ABSENSI!$H$11="",$F1764=ABSENSI!$H$11),OR(ABSENSI!$H$12="",$K1764=ABSENSI!$H$12)),MAX($Y$3:Y1763)+1,""))</f>
        <v/>
      </c>
      <c r="Z1764" s="40" t="str">
        <f aca="false">IF($B1764="","",IF(AND(OR(KARTU!$K$6="",$E1764=KARTU!$K$6),OR(KARTU!$K$7="",$F1764=KARTU!$K$7),OR(KARTU!$K$8="",$K1764=KARTU!$K$8)),MAX($Z$3:Z1763)+1,""))</f>
        <v/>
      </c>
    </row>
    <row r="1765" customFormat="false" ht="15" hidden="false" customHeight="false" outlineLevel="0" collapsed="false">
      <c r="A1765" s="36" t="str">
        <f aca="false">IF($B1765="","",COUNTA($B$4:$B1765))</f>
        <v/>
      </c>
      <c r="B1765" s="37"/>
      <c r="C1765" s="38"/>
      <c r="D1765" s="39"/>
      <c r="E1765" s="37"/>
      <c r="F1765" s="39"/>
      <c r="G1765" s="40" t="str">
        <f aca="false">IF(OR($E1765="",$F1765=""),"",$E1765&amp;" - RT "&amp;$F1765)</f>
        <v/>
      </c>
      <c r="H1765" s="37"/>
      <c r="I1765" s="38"/>
      <c r="J1765" s="37"/>
      <c r="K1765" s="39"/>
      <c r="L1765" s="41"/>
      <c r="M1765" s="36" t="str">
        <f aca="true">IF(OR($B1765="",$L1765=""),"",DATEDIF($L1765,TODAY(),"Y"))</f>
        <v/>
      </c>
      <c r="N1765" s="40" t="str">
        <f aca="false">IF($M1765="","",INDEX(usia_label,MATCH($M1765,usia_min,1)))</f>
        <v/>
      </c>
      <c r="O1765" s="37"/>
      <c r="P1765" s="41"/>
      <c r="Q1765" s="37"/>
      <c r="R1765" s="37"/>
      <c r="S1765" s="40" t="str">
        <f aca="false">IF($G1765="","",$G1765&amp;"#"&amp;COUNTIF($G$4:$G1765,$G1765))</f>
        <v/>
      </c>
      <c r="T1765" s="40" t="str">
        <f aca="false">IF($B1765="","",IF($C1765="","NIK kosong",IF(LEN($C1765)&lt;&gt;16,"NIK bukan 16 digit",IF(COUNTIF($C$4:$C$2003,$C1765&amp;"*")&gt;1,"NIK ganda",IF($E1765="","Kadus kosong",IF($F1765="","RT kosong",IF($H1765="","Jabatan kosong",IF($I1765="","No. HP kosong",IF($J1765="","Alamat kosong",IF(AND($M1765&lt;&gt;"",$M1765&lt;17),"Usia di bawah 17",""))))))))))</f>
        <v/>
      </c>
      <c r="U1765" s="40" t="str">
        <f aca="false">IF($B1765="","",IF(AND(OR(CARI!$C$5="",ISNUMBER(SEARCH(CARI!$C$5,$B1765&amp;" "&amp;$C1765&amp;" "&amp;$I1765&amp;" "&amp;$J1765&amp;" "&amp;$Q1765))),OR(CARI!$C$6="",$E1765=CARI!$C$6),OR(CARI!$C$7="",$F1765=CARI!$C$7),OR(CARI!$C$8="",$O1765=CARI!$C$8)),MAX($U$3:U1764)+1,""))</f>
        <v/>
      </c>
      <c r="V1765" s="40" t="str">
        <f aca="false">IF($T1765="","",MAX($V$3:V1764)+1)</f>
        <v/>
      </c>
      <c r="W1765" s="40" t="str">
        <f aca="false">IF($E1765="","",$E1765&amp;"#"&amp;COUNTIF($E$4:$E1765,$E1765))</f>
        <v/>
      </c>
      <c r="X1765" s="40" t="str">
        <f aca="false">IF($B1765="","",IF(AND(OR(CETAK!$J$10="",$E1765=CETAK!$J$10),OR(CETAK!$J$11="",$F1765=CETAK!$J$11),OR(CETAK!$J$12="",$K1765=CETAK!$J$12),OR(CETAK!$J$13="",$H1765=CETAK!$J$13),OR(CETAK!$J$14="",$O1765=CETAK!$J$14)),MAX($X$3:X1764)+1,""))</f>
        <v/>
      </c>
      <c r="Y1765" s="40" t="str">
        <f aca="false">IF($B1765="","",IF(AND(OR(ABSENSI!$H$10="",$E1765=ABSENSI!$H$10),OR(ABSENSI!$H$11="",$F1765=ABSENSI!$H$11),OR(ABSENSI!$H$12="",$K1765=ABSENSI!$H$12)),MAX($Y$3:Y1764)+1,""))</f>
        <v/>
      </c>
      <c r="Z1765" s="40" t="str">
        <f aca="false">IF($B1765="","",IF(AND(OR(KARTU!$K$6="",$E1765=KARTU!$K$6),OR(KARTU!$K$7="",$F1765=KARTU!$K$7),OR(KARTU!$K$8="",$K1765=KARTU!$K$8)),MAX($Z$3:Z1764)+1,""))</f>
        <v/>
      </c>
    </row>
    <row r="1766" customFormat="false" ht="15" hidden="false" customHeight="false" outlineLevel="0" collapsed="false">
      <c r="A1766" s="36" t="str">
        <f aca="false">IF($B1766="","",COUNTA($B$4:$B1766))</f>
        <v/>
      </c>
      <c r="B1766" s="37"/>
      <c r="C1766" s="38"/>
      <c r="D1766" s="39"/>
      <c r="E1766" s="37"/>
      <c r="F1766" s="39"/>
      <c r="G1766" s="40" t="str">
        <f aca="false">IF(OR($E1766="",$F1766=""),"",$E1766&amp;" - RT "&amp;$F1766)</f>
        <v/>
      </c>
      <c r="H1766" s="37"/>
      <c r="I1766" s="38"/>
      <c r="J1766" s="37"/>
      <c r="K1766" s="39"/>
      <c r="L1766" s="41"/>
      <c r="M1766" s="36" t="str">
        <f aca="true">IF(OR($B1766="",$L1766=""),"",DATEDIF($L1766,TODAY(),"Y"))</f>
        <v/>
      </c>
      <c r="N1766" s="40" t="str">
        <f aca="false">IF($M1766="","",INDEX(usia_label,MATCH($M1766,usia_min,1)))</f>
        <v/>
      </c>
      <c r="O1766" s="37"/>
      <c r="P1766" s="41"/>
      <c r="Q1766" s="37"/>
      <c r="R1766" s="37"/>
      <c r="S1766" s="40" t="str">
        <f aca="false">IF($G1766="","",$G1766&amp;"#"&amp;COUNTIF($G$4:$G1766,$G1766))</f>
        <v/>
      </c>
      <c r="T1766" s="40" t="str">
        <f aca="false">IF($B1766="","",IF($C1766="","NIK kosong",IF(LEN($C1766)&lt;&gt;16,"NIK bukan 16 digit",IF(COUNTIF($C$4:$C$2003,$C1766&amp;"*")&gt;1,"NIK ganda",IF($E1766="","Kadus kosong",IF($F1766="","RT kosong",IF($H1766="","Jabatan kosong",IF($I1766="","No. HP kosong",IF($J1766="","Alamat kosong",IF(AND($M1766&lt;&gt;"",$M1766&lt;17),"Usia di bawah 17",""))))))))))</f>
        <v/>
      </c>
      <c r="U1766" s="40" t="str">
        <f aca="false">IF($B1766="","",IF(AND(OR(CARI!$C$5="",ISNUMBER(SEARCH(CARI!$C$5,$B1766&amp;" "&amp;$C1766&amp;" "&amp;$I1766&amp;" "&amp;$J1766&amp;" "&amp;$Q1766))),OR(CARI!$C$6="",$E1766=CARI!$C$6),OR(CARI!$C$7="",$F1766=CARI!$C$7),OR(CARI!$C$8="",$O1766=CARI!$C$8)),MAX($U$3:U1765)+1,""))</f>
        <v/>
      </c>
      <c r="V1766" s="40" t="str">
        <f aca="false">IF($T1766="","",MAX($V$3:V1765)+1)</f>
        <v/>
      </c>
      <c r="W1766" s="40" t="str">
        <f aca="false">IF($E1766="","",$E1766&amp;"#"&amp;COUNTIF($E$4:$E1766,$E1766))</f>
        <v/>
      </c>
      <c r="X1766" s="40" t="str">
        <f aca="false">IF($B1766="","",IF(AND(OR(CETAK!$J$10="",$E1766=CETAK!$J$10),OR(CETAK!$J$11="",$F1766=CETAK!$J$11),OR(CETAK!$J$12="",$K1766=CETAK!$J$12),OR(CETAK!$J$13="",$H1766=CETAK!$J$13),OR(CETAK!$J$14="",$O1766=CETAK!$J$14)),MAX($X$3:X1765)+1,""))</f>
        <v/>
      </c>
      <c r="Y1766" s="40" t="str">
        <f aca="false">IF($B1766="","",IF(AND(OR(ABSENSI!$H$10="",$E1766=ABSENSI!$H$10),OR(ABSENSI!$H$11="",$F1766=ABSENSI!$H$11),OR(ABSENSI!$H$12="",$K1766=ABSENSI!$H$12)),MAX($Y$3:Y1765)+1,""))</f>
        <v/>
      </c>
      <c r="Z1766" s="40" t="str">
        <f aca="false">IF($B1766="","",IF(AND(OR(KARTU!$K$6="",$E1766=KARTU!$K$6),OR(KARTU!$K$7="",$F1766=KARTU!$K$7),OR(KARTU!$K$8="",$K1766=KARTU!$K$8)),MAX($Z$3:Z1765)+1,""))</f>
        <v/>
      </c>
    </row>
    <row r="1767" customFormat="false" ht="15" hidden="false" customHeight="false" outlineLevel="0" collapsed="false">
      <c r="A1767" s="36" t="str">
        <f aca="false">IF($B1767="","",COUNTA($B$4:$B1767))</f>
        <v/>
      </c>
      <c r="B1767" s="37"/>
      <c r="C1767" s="38"/>
      <c r="D1767" s="39"/>
      <c r="E1767" s="37"/>
      <c r="F1767" s="39"/>
      <c r="G1767" s="40" t="str">
        <f aca="false">IF(OR($E1767="",$F1767=""),"",$E1767&amp;" - RT "&amp;$F1767)</f>
        <v/>
      </c>
      <c r="H1767" s="37"/>
      <c r="I1767" s="38"/>
      <c r="J1767" s="37"/>
      <c r="K1767" s="39"/>
      <c r="L1767" s="41"/>
      <c r="M1767" s="36" t="str">
        <f aca="true">IF(OR($B1767="",$L1767=""),"",DATEDIF($L1767,TODAY(),"Y"))</f>
        <v/>
      </c>
      <c r="N1767" s="40" t="str">
        <f aca="false">IF($M1767="","",INDEX(usia_label,MATCH($M1767,usia_min,1)))</f>
        <v/>
      </c>
      <c r="O1767" s="37"/>
      <c r="P1767" s="41"/>
      <c r="Q1767" s="37"/>
      <c r="R1767" s="37"/>
      <c r="S1767" s="40" t="str">
        <f aca="false">IF($G1767="","",$G1767&amp;"#"&amp;COUNTIF($G$4:$G1767,$G1767))</f>
        <v/>
      </c>
      <c r="T1767" s="40" t="str">
        <f aca="false">IF($B1767="","",IF($C1767="","NIK kosong",IF(LEN($C1767)&lt;&gt;16,"NIK bukan 16 digit",IF(COUNTIF($C$4:$C$2003,$C1767&amp;"*")&gt;1,"NIK ganda",IF($E1767="","Kadus kosong",IF($F1767="","RT kosong",IF($H1767="","Jabatan kosong",IF($I1767="","No. HP kosong",IF($J1767="","Alamat kosong",IF(AND($M1767&lt;&gt;"",$M1767&lt;17),"Usia di bawah 17",""))))))))))</f>
        <v/>
      </c>
      <c r="U1767" s="40" t="str">
        <f aca="false">IF($B1767="","",IF(AND(OR(CARI!$C$5="",ISNUMBER(SEARCH(CARI!$C$5,$B1767&amp;" "&amp;$C1767&amp;" "&amp;$I1767&amp;" "&amp;$J1767&amp;" "&amp;$Q1767))),OR(CARI!$C$6="",$E1767=CARI!$C$6),OR(CARI!$C$7="",$F1767=CARI!$C$7),OR(CARI!$C$8="",$O1767=CARI!$C$8)),MAX($U$3:U1766)+1,""))</f>
        <v/>
      </c>
      <c r="V1767" s="40" t="str">
        <f aca="false">IF($T1767="","",MAX($V$3:V1766)+1)</f>
        <v/>
      </c>
      <c r="W1767" s="40" t="str">
        <f aca="false">IF($E1767="","",$E1767&amp;"#"&amp;COUNTIF($E$4:$E1767,$E1767))</f>
        <v/>
      </c>
      <c r="X1767" s="40" t="str">
        <f aca="false">IF($B1767="","",IF(AND(OR(CETAK!$J$10="",$E1767=CETAK!$J$10),OR(CETAK!$J$11="",$F1767=CETAK!$J$11),OR(CETAK!$J$12="",$K1767=CETAK!$J$12),OR(CETAK!$J$13="",$H1767=CETAK!$J$13),OR(CETAK!$J$14="",$O1767=CETAK!$J$14)),MAX($X$3:X1766)+1,""))</f>
        <v/>
      </c>
      <c r="Y1767" s="40" t="str">
        <f aca="false">IF($B1767="","",IF(AND(OR(ABSENSI!$H$10="",$E1767=ABSENSI!$H$10),OR(ABSENSI!$H$11="",$F1767=ABSENSI!$H$11),OR(ABSENSI!$H$12="",$K1767=ABSENSI!$H$12)),MAX($Y$3:Y1766)+1,""))</f>
        <v/>
      </c>
      <c r="Z1767" s="40" t="str">
        <f aca="false">IF($B1767="","",IF(AND(OR(KARTU!$K$6="",$E1767=KARTU!$K$6),OR(KARTU!$K$7="",$F1767=KARTU!$K$7),OR(KARTU!$K$8="",$K1767=KARTU!$K$8)),MAX($Z$3:Z1766)+1,""))</f>
        <v/>
      </c>
    </row>
    <row r="1768" customFormat="false" ht="15" hidden="false" customHeight="false" outlineLevel="0" collapsed="false">
      <c r="A1768" s="36" t="str">
        <f aca="false">IF($B1768="","",COUNTA($B$4:$B1768))</f>
        <v/>
      </c>
      <c r="B1768" s="37"/>
      <c r="C1768" s="38"/>
      <c r="D1768" s="39"/>
      <c r="E1768" s="37"/>
      <c r="F1768" s="39"/>
      <c r="G1768" s="40" t="str">
        <f aca="false">IF(OR($E1768="",$F1768=""),"",$E1768&amp;" - RT "&amp;$F1768)</f>
        <v/>
      </c>
      <c r="H1768" s="37"/>
      <c r="I1768" s="38"/>
      <c r="J1768" s="37"/>
      <c r="K1768" s="39"/>
      <c r="L1768" s="41"/>
      <c r="M1768" s="36" t="str">
        <f aca="true">IF(OR($B1768="",$L1768=""),"",DATEDIF($L1768,TODAY(),"Y"))</f>
        <v/>
      </c>
      <c r="N1768" s="40" t="str">
        <f aca="false">IF($M1768="","",INDEX(usia_label,MATCH($M1768,usia_min,1)))</f>
        <v/>
      </c>
      <c r="O1768" s="37"/>
      <c r="P1768" s="41"/>
      <c r="Q1768" s="37"/>
      <c r="R1768" s="37"/>
      <c r="S1768" s="40" t="str">
        <f aca="false">IF($G1768="","",$G1768&amp;"#"&amp;COUNTIF($G$4:$G1768,$G1768))</f>
        <v/>
      </c>
      <c r="T1768" s="40" t="str">
        <f aca="false">IF($B1768="","",IF($C1768="","NIK kosong",IF(LEN($C1768)&lt;&gt;16,"NIK bukan 16 digit",IF(COUNTIF($C$4:$C$2003,$C1768&amp;"*")&gt;1,"NIK ganda",IF($E1768="","Kadus kosong",IF($F1768="","RT kosong",IF($H1768="","Jabatan kosong",IF($I1768="","No. HP kosong",IF($J1768="","Alamat kosong",IF(AND($M1768&lt;&gt;"",$M1768&lt;17),"Usia di bawah 17",""))))))))))</f>
        <v/>
      </c>
      <c r="U1768" s="40" t="str">
        <f aca="false">IF($B1768="","",IF(AND(OR(CARI!$C$5="",ISNUMBER(SEARCH(CARI!$C$5,$B1768&amp;" "&amp;$C1768&amp;" "&amp;$I1768&amp;" "&amp;$J1768&amp;" "&amp;$Q1768))),OR(CARI!$C$6="",$E1768=CARI!$C$6),OR(CARI!$C$7="",$F1768=CARI!$C$7),OR(CARI!$C$8="",$O1768=CARI!$C$8)),MAX($U$3:U1767)+1,""))</f>
        <v/>
      </c>
      <c r="V1768" s="40" t="str">
        <f aca="false">IF($T1768="","",MAX($V$3:V1767)+1)</f>
        <v/>
      </c>
      <c r="W1768" s="40" t="str">
        <f aca="false">IF($E1768="","",$E1768&amp;"#"&amp;COUNTIF($E$4:$E1768,$E1768))</f>
        <v/>
      </c>
      <c r="X1768" s="40" t="str">
        <f aca="false">IF($B1768="","",IF(AND(OR(CETAK!$J$10="",$E1768=CETAK!$J$10),OR(CETAK!$J$11="",$F1768=CETAK!$J$11),OR(CETAK!$J$12="",$K1768=CETAK!$J$12),OR(CETAK!$J$13="",$H1768=CETAK!$J$13),OR(CETAK!$J$14="",$O1768=CETAK!$J$14)),MAX($X$3:X1767)+1,""))</f>
        <v/>
      </c>
      <c r="Y1768" s="40" t="str">
        <f aca="false">IF($B1768="","",IF(AND(OR(ABSENSI!$H$10="",$E1768=ABSENSI!$H$10),OR(ABSENSI!$H$11="",$F1768=ABSENSI!$H$11),OR(ABSENSI!$H$12="",$K1768=ABSENSI!$H$12)),MAX($Y$3:Y1767)+1,""))</f>
        <v/>
      </c>
      <c r="Z1768" s="40" t="str">
        <f aca="false">IF($B1768="","",IF(AND(OR(KARTU!$K$6="",$E1768=KARTU!$K$6),OR(KARTU!$K$7="",$F1768=KARTU!$K$7),OR(KARTU!$K$8="",$K1768=KARTU!$K$8)),MAX($Z$3:Z1767)+1,""))</f>
        <v/>
      </c>
    </row>
    <row r="1769" customFormat="false" ht="15" hidden="false" customHeight="false" outlineLevel="0" collapsed="false">
      <c r="A1769" s="36" t="str">
        <f aca="false">IF($B1769="","",COUNTA($B$4:$B1769))</f>
        <v/>
      </c>
      <c r="B1769" s="37"/>
      <c r="C1769" s="38"/>
      <c r="D1769" s="39"/>
      <c r="E1769" s="37"/>
      <c r="F1769" s="39"/>
      <c r="G1769" s="40" t="str">
        <f aca="false">IF(OR($E1769="",$F1769=""),"",$E1769&amp;" - RT "&amp;$F1769)</f>
        <v/>
      </c>
      <c r="H1769" s="37"/>
      <c r="I1769" s="38"/>
      <c r="J1769" s="37"/>
      <c r="K1769" s="39"/>
      <c r="L1769" s="41"/>
      <c r="M1769" s="36" t="str">
        <f aca="true">IF(OR($B1769="",$L1769=""),"",DATEDIF($L1769,TODAY(),"Y"))</f>
        <v/>
      </c>
      <c r="N1769" s="40" t="str">
        <f aca="false">IF($M1769="","",INDEX(usia_label,MATCH($M1769,usia_min,1)))</f>
        <v/>
      </c>
      <c r="O1769" s="37"/>
      <c r="P1769" s="41"/>
      <c r="Q1769" s="37"/>
      <c r="R1769" s="37"/>
      <c r="S1769" s="40" t="str">
        <f aca="false">IF($G1769="","",$G1769&amp;"#"&amp;COUNTIF($G$4:$G1769,$G1769))</f>
        <v/>
      </c>
      <c r="T1769" s="40" t="str">
        <f aca="false">IF($B1769="","",IF($C1769="","NIK kosong",IF(LEN($C1769)&lt;&gt;16,"NIK bukan 16 digit",IF(COUNTIF($C$4:$C$2003,$C1769&amp;"*")&gt;1,"NIK ganda",IF($E1769="","Kadus kosong",IF($F1769="","RT kosong",IF($H1769="","Jabatan kosong",IF($I1769="","No. HP kosong",IF($J1769="","Alamat kosong",IF(AND($M1769&lt;&gt;"",$M1769&lt;17),"Usia di bawah 17",""))))))))))</f>
        <v/>
      </c>
      <c r="U1769" s="40" t="str">
        <f aca="false">IF($B1769="","",IF(AND(OR(CARI!$C$5="",ISNUMBER(SEARCH(CARI!$C$5,$B1769&amp;" "&amp;$C1769&amp;" "&amp;$I1769&amp;" "&amp;$J1769&amp;" "&amp;$Q1769))),OR(CARI!$C$6="",$E1769=CARI!$C$6),OR(CARI!$C$7="",$F1769=CARI!$C$7),OR(CARI!$C$8="",$O1769=CARI!$C$8)),MAX($U$3:U1768)+1,""))</f>
        <v/>
      </c>
      <c r="V1769" s="40" t="str">
        <f aca="false">IF($T1769="","",MAX($V$3:V1768)+1)</f>
        <v/>
      </c>
      <c r="W1769" s="40" t="str">
        <f aca="false">IF($E1769="","",$E1769&amp;"#"&amp;COUNTIF($E$4:$E1769,$E1769))</f>
        <v/>
      </c>
      <c r="X1769" s="40" t="str">
        <f aca="false">IF($B1769="","",IF(AND(OR(CETAK!$J$10="",$E1769=CETAK!$J$10),OR(CETAK!$J$11="",$F1769=CETAK!$J$11),OR(CETAK!$J$12="",$K1769=CETAK!$J$12),OR(CETAK!$J$13="",$H1769=CETAK!$J$13),OR(CETAK!$J$14="",$O1769=CETAK!$J$14)),MAX($X$3:X1768)+1,""))</f>
        <v/>
      </c>
      <c r="Y1769" s="40" t="str">
        <f aca="false">IF($B1769="","",IF(AND(OR(ABSENSI!$H$10="",$E1769=ABSENSI!$H$10),OR(ABSENSI!$H$11="",$F1769=ABSENSI!$H$11),OR(ABSENSI!$H$12="",$K1769=ABSENSI!$H$12)),MAX($Y$3:Y1768)+1,""))</f>
        <v/>
      </c>
      <c r="Z1769" s="40" t="str">
        <f aca="false">IF($B1769="","",IF(AND(OR(KARTU!$K$6="",$E1769=KARTU!$K$6),OR(KARTU!$K$7="",$F1769=KARTU!$K$7),OR(KARTU!$K$8="",$K1769=KARTU!$K$8)),MAX($Z$3:Z1768)+1,""))</f>
        <v/>
      </c>
    </row>
    <row r="1770" customFormat="false" ht="15" hidden="false" customHeight="false" outlineLevel="0" collapsed="false">
      <c r="A1770" s="36" t="str">
        <f aca="false">IF($B1770="","",COUNTA($B$4:$B1770))</f>
        <v/>
      </c>
      <c r="B1770" s="37"/>
      <c r="C1770" s="38"/>
      <c r="D1770" s="39"/>
      <c r="E1770" s="37"/>
      <c r="F1770" s="39"/>
      <c r="G1770" s="40" t="str">
        <f aca="false">IF(OR($E1770="",$F1770=""),"",$E1770&amp;" - RT "&amp;$F1770)</f>
        <v/>
      </c>
      <c r="H1770" s="37"/>
      <c r="I1770" s="38"/>
      <c r="J1770" s="37"/>
      <c r="K1770" s="39"/>
      <c r="L1770" s="41"/>
      <c r="M1770" s="36" t="str">
        <f aca="true">IF(OR($B1770="",$L1770=""),"",DATEDIF($L1770,TODAY(),"Y"))</f>
        <v/>
      </c>
      <c r="N1770" s="40" t="str">
        <f aca="false">IF($M1770="","",INDEX(usia_label,MATCH($M1770,usia_min,1)))</f>
        <v/>
      </c>
      <c r="O1770" s="37"/>
      <c r="P1770" s="41"/>
      <c r="Q1770" s="37"/>
      <c r="R1770" s="37"/>
      <c r="S1770" s="40" t="str">
        <f aca="false">IF($G1770="","",$G1770&amp;"#"&amp;COUNTIF($G$4:$G1770,$G1770))</f>
        <v/>
      </c>
      <c r="T1770" s="40" t="str">
        <f aca="false">IF($B1770="","",IF($C1770="","NIK kosong",IF(LEN($C1770)&lt;&gt;16,"NIK bukan 16 digit",IF(COUNTIF($C$4:$C$2003,$C1770&amp;"*")&gt;1,"NIK ganda",IF($E1770="","Kadus kosong",IF($F1770="","RT kosong",IF($H1770="","Jabatan kosong",IF($I1770="","No. HP kosong",IF($J1770="","Alamat kosong",IF(AND($M1770&lt;&gt;"",$M1770&lt;17),"Usia di bawah 17",""))))))))))</f>
        <v/>
      </c>
      <c r="U1770" s="40" t="str">
        <f aca="false">IF($B1770="","",IF(AND(OR(CARI!$C$5="",ISNUMBER(SEARCH(CARI!$C$5,$B1770&amp;" "&amp;$C1770&amp;" "&amp;$I1770&amp;" "&amp;$J1770&amp;" "&amp;$Q1770))),OR(CARI!$C$6="",$E1770=CARI!$C$6),OR(CARI!$C$7="",$F1770=CARI!$C$7),OR(CARI!$C$8="",$O1770=CARI!$C$8)),MAX($U$3:U1769)+1,""))</f>
        <v/>
      </c>
      <c r="V1770" s="40" t="str">
        <f aca="false">IF($T1770="","",MAX($V$3:V1769)+1)</f>
        <v/>
      </c>
      <c r="W1770" s="40" t="str">
        <f aca="false">IF($E1770="","",$E1770&amp;"#"&amp;COUNTIF($E$4:$E1770,$E1770))</f>
        <v/>
      </c>
      <c r="X1770" s="40" t="str">
        <f aca="false">IF($B1770="","",IF(AND(OR(CETAK!$J$10="",$E1770=CETAK!$J$10),OR(CETAK!$J$11="",$F1770=CETAK!$J$11),OR(CETAK!$J$12="",$K1770=CETAK!$J$12),OR(CETAK!$J$13="",$H1770=CETAK!$J$13),OR(CETAK!$J$14="",$O1770=CETAK!$J$14)),MAX($X$3:X1769)+1,""))</f>
        <v/>
      </c>
      <c r="Y1770" s="40" t="str">
        <f aca="false">IF($B1770="","",IF(AND(OR(ABSENSI!$H$10="",$E1770=ABSENSI!$H$10),OR(ABSENSI!$H$11="",$F1770=ABSENSI!$H$11),OR(ABSENSI!$H$12="",$K1770=ABSENSI!$H$12)),MAX($Y$3:Y1769)+1,""))</f>
        <v/>
      </c>
      <c r="Z1770" s="40" t="str">
        <f aca="false">IF($B1770="","",IF(AND(OR(KARTU!$K$6="",$E1770=KARTU!$K$6),OR(KARTU!$K$7="",$F1770=KARTU!$K$7),OR(KARTU!$K$8="",$K1770=KARTU!$K$8)),MAX($Z$3:Z1769)+1,""))</f>
        <v/>
      </c>
    </row>
    <row r="1771" customFormat="false" ht="15" hidden="false" customHeight="false" outlineLevel="0" collapsed="false">
      <c r="A1771" s="36" t="str">
        <f aca="false">IF($B1771="","",COUNTA($B$4:$B1771))</f>
        <v/>
      </c>
      <c r="B1771" s="37"/>
      <c r="C1771" s="38"/>
      <c r="D1771" s="39"/>
      <c r="E1771" s="37"/>
      <c r="F1771" s="39"/>
      <c r="G1771" s="40" t="str">
        <f aca="false">IF(OR($E1771="",$F1771=""),"",$E1771&amp;" - RT "&amp;$F1771)</f>
        <v/>
      </c>
      <c r="H1771" s="37"/>
      <c r="I1771" s="38"/>
      <c r="J1771" s="37"/>
      <c r="K1771" s="39"/>
      <c r="L1771" s="41"/>
      <c r="M1771" s="36" t="str">
        <f aca="true">IF(OR($B1771="",$L1771=""),"",DATEDIF($L1771,TODAY(),"Y"))</f>
        <v/>
      </c>
      <c r="N1771" s="40" t="str">
        <f aca="false">IF($M1771="","",INDEX(usia_label,MATCH($M1771,usia_min,1)))</f>
        <v/>
      </c>
      <c r="O1771" s="37"/>
      <c r="P1771" s="41"/>
      <c r="Q1771" s="37"/>
      <c r="R1771" s="37"/>
      <c r="S1771" s="40" t="str">
        <f aca="false">IF($G1771="","",$G1771&amp;"#"&amp;COUNTIF($G$4:$G1771,$G1771))</f>
        <v/>
      </c>
      <c r="T1771" s="40" t="str">
        <f aca="false">IF($B1771="","",IF($C1771="","NIK kosong",IF(LEN($C1771)&lt;&gt;16,"NIK bukan 16 digit",IF(COUNTIF($C$4:$C$2003,$C1771&amp;"*")&gt;1,"NIK ganda",IF($E1771="","Kadus kosong",IF($F1771="","RT kosong",IF($H1771="","Jabatan kosong",IF($I1771="","No. HP kosong",IF($J1771="","Alamat kosong",IF(AND($M1771&lt;&gt;"",$M1771&lt;17),"Usia di bawah 17",""))))))))))</f>
        <v/>
      </c>
      <c r="U1771" s="40" t="str">
        <f aca="false">IF($B1771="","",IF(AND(OR(CARI!$C$5="",ISNUMBER(SEARCH(CARI!$C$5,$B1771&amp;" "&amp;$C1771&amp;" "&amp;$I1771&amp;" "&amp;$J1771&amp;" "&amp;$Q1771))),OR(CARI!$C$6="",$E1771=CARI!$C$6),OR(CARI!$C$7="",$F1771=CARI!$C$7),OR(CARI!$C$8="",$O1771=CARI!$C$8)),MAX($U$3:U1770)+1,""))</f>
        <v/>
      </c>
      <c r="V1771" s="40" t="str">
        <f aca="false">IF($T1771="","",MAX($V$3:V1770)+1)</f>
        <v/>
      </c>
      <c r="W1771" s="40" t="str">
        <f aca="false">IF($E1771="","",$E1771&amp;"#"&amp;COUNTIF($E$4:$E1771,$E1771))</f>
        <v/>
      </c>
      <c r="X1771" s="40" t="str">
        <f aca="false">IF($B1771="","",IF(AND(OR(CETAK!$J$10="",$E1771=CETAK!$J$10),OR(CETAK!$J$11="",$F1771=CETAK!$J$11),OR(CETAK!$J$12="",$K1771=CETAK!$J$12),OR(CETAK!$J$13="",$H1771=CETAK!$J$13),OR(CETAK!$J$14="",$O1771=CETAK!$J$14)),MAX($X$3:X1770)+1,""))</f>
        <v/>
      </c>
      <c r="Y1771" s="40" t="str">
        <f aca="false">IF($B1771="","",IF(AND(OR(ABSENSI!$H$10="",$E1771=ABSENSI!$H$10),OR(ABSENSI!$H$11="",$F1771=ABSENSI!$H$11),OR(ABSENSI!$H$12="",$K1771=ABSENSI!$H$12)),MAX($Y$3:Y1770)+1,""))</f>
        <v/>
      </c>
      <c r="Z1771" s="40" t="str">
        <f aca="false">IF($B1771="","",IF(AND(OR(KARTU!$K$6="",$E1771=KARTU!$K$6),OR(KARTU!$K$7="",$F1771=KARTU!$K$7),OR(KARTU!$K$8="",$K1771=KARTU!$K$8)),MAX($Z$3:Z1770)+1,""))</f>
        <v/>
      </c>
    </row>
    <row r="1772" customFormat="false" ht="15" hidden="false" customHeight="false" outlineLevel="0" collapsed="false">
      <c r="A1772" s="36" t="str">
        <f aca="false">IF($B1772="","",COUNTA($B$4:$B1772))</f>
        <v/>
      </c>
      <c r="B1772" s="37"/>
      <c r="C1772" s="38"/>
      <c r="D1772" s="39"/>
      <c r="E1772" s="37"/>
      <c r="F1772" s="39"/>
      <c r="G1772" s="40" t="str">
        <f aca="false">IF(OR($E1772="",$F1772=""),"",$E1772&amp;" - RT "&amp;$F1772)</f>
        <v/>
      </c>
      <c r="H1772" s="37"/>
      <c r="I1772" s="38"/>
      <c r="J1772" s="37"/>
      <c r="K1772" s="39"/>
      <c r="L1772" s="41"/>
      <c r="M1772" s="36" t="str">
        <f aca="true">IF(OR($B1772="",$L1772=""),"",DATEDIF($L1772,TODAY(),"Y"))</f>
        <v/>
      </c>
      <c r="N1772" s="40" t="str">
        <f aca="false">IF($M1772="","",INDEX(usia_label,MATCH($M1772,usia_min,1)))</f>
        <v/>
      </c>
      <c r="O1772" s="37"/>
      <c r="P1772" s="41"/>
      <c r="Q1772" s="37"/>
      <c r="R1772" s="37"/>
      <c r="S1772" s="40" t="str">
        <f aca="false">IF($G1772="","",$G1772&amp;"#"&amp;COUNTIF($G$4:$G1772,$G1772))</f>
        <v/>
      </c>
      <c r="T1772" s="40" t="str">
        <f aca="false">IF($B1772="","",IF($C1772="","NIK kosong",IF(LEN($C1772)&lt;&gt;16,"NIK bukan 16 digit",IF(COUNTIF($C$4:$C$2003,$C1772&amp;"*")&gt;1,"NIK ganda",IF($E1772="","Kadus kosong",IF($F1772="","RT kosong",IF($H1772="","Jabatan kosong",IF($I1772="","No. HP kosong",IF($J1772="","Alamat kosong",IF(AND($M1772&lt;&gt;"",$M1772&lt;17),"Usia di bawah 17",""))))))))))</f>
        <v/>
      </c>
      <c r="U1772" s="40" t="str">
        <f aca="false">IF($B1772="","",IF(AND(OR(CARI!$C$5="",ISNUMBER(SEARCH(CARI!$C$5,$B1772&amp;" "&amp;$C1772&amp;" "&amp;$I1772&amp;" "&amp;$J1772&amp;" "&amp;$Q1772))),OR(CARI!$C$6="",$E1772=CARI!$C$6),OR(CARI!$C$7="",$F1772=CARI!$C$7),OR(CARI!$C$8="",$O1772=CARI!$C$8)),MAX($U$3:U1771)+1,""))</f>
        <v/>
      </c>
      <c r="V1772" s="40" t="str">
        <f aca="false">IF($T1772="","",MAX($V$3:V1771)+1)</f>
        <v/>
      </c>
      <c r="W1772" s="40" t="str">
        <f aca="false">IF($E1772="","",$E1772&amp;"#"&amp;COUNTIF($E$4:$E1772,$E1772))</f>
        <v/>
      </c>
      <c r="X1772" s="40" t="str">
        <f aca="false">IF($B1772="","",IF(AND(OR(CETAK!$J$10="",$E1772=CETAK!$J$10),OR(CETAK!$J$11="",$F1772=CETAK!$J$11),OR(CETAK!$J$12="",$K1772=CETAK!$J$12),OR(CETAK!$J$13="",$H1772=CETAK!$J$13),OR(CETAK!$J$14="",$O1772=CETAK!$J$14)),MAX($X$3:X1771)+1,""))</f>
        <v/>
      </c>
      <c r="Y1772" s="40" t="str">
        <f aca="false">IF($B1772="","",IF(AND(OR(ABSENSI!$H$10="",$E1772=ABSENSI!$H$10),OR(ABSENSI!$H$11="",$F1772=ABSENSI!$H$11),OR(ABSENSI!$H$12="",$K1772=ABSENSI!$H$12)),MAX($Y$3:Y1771)+1,""))</f>
        <v/>
      </c>
      <c r="Z1772" s="40" t="str">
        <f aca="false">IF($B1772="","",IF(AND(OR(KARTU!$K$6="",$E1772=KARTU!$K$6),OR(KARTU!$K$7="",$F1772=KARTU!$K$7),OR(KARTU!$K$8="",$K1772=KARTU!$K$8)),MAX($Z$3:Z1771)+1,""))</f>
        <v/>
      </c>
    </row>
    <row r="1773" customFormat="false" ht="15" hidden="false" customHeight="false" outlineLevel="0" collapsed="false">
      <c r="A1773" s="36" t="str">
        <f aca="false">IF($B1773="","",COUNTA($B$4:$B1773))</f>
        <v/>
      </c>
      <c r="B1773" s="37"/>
      <c r="C1773" s="38"/>
      <c r="D1773" s="39"/>
      <c r="E1773" s="37"/>
      <c r="F1773" s="39"/>
      <c r="G1773" s="40" t="str">
        <f aca="false">IF(OR($E1773="",$F1773=""),"",$E1773&amp;" - RT "&amp;$F1773)</f>
        <v/>
      </c>
      <c r="H1773" s="37"/>
      <c r="I1773" s="38"/>
      <c r="J1773" s="37"/>
      <c r="K1773" s="39"/>
      <c r="L1773" s="41"/>
      <c r="M1773" s="36" t="str">
        <f aca="true">IF(OR($B1773="",$L1773=""),"",DATEDIF($L1773,TODAY(),"Y"))</f>
        <v/>
      </c>
      <c r="N1773" s="40" t="str">
        <f aca="false">IF($M1773="","",INDEX(usia_label,MATCH($M1773,usia_min,1)))</f>
        <v/>
      </c>
      <c r="O1773" s="37"/>
      <c r="P1773" s="41"/>
      <c r="Q1773" s="37"/>
      <c r="R1773" s="37"/>
      <c r="S1773" s="40" t="str">
        <f aca="false">IF($G1773="","",$G1773&amp;"#"&amp;COUNTIF($G$4:$G1773,$G1773))</f>
        <v/>
      </c>
      <c r="T1773" s="40" t="str">
        <f aca="false">IF($B1773="","",IF($C1773="","NIK kosong",IF(LEN($C1773)&lt;&gt;16,"NIK bukan 16 digit",IF(COUNTIF($C$4:$C$2003,$C1773&amp;"*")&gt;1,"NIK ganda",IF($E1773="","Kadus kosong",IF($F1773="","RT kosong",IF($H1773="","Jabatan kosong",IF($I1773="","No. HP kosong",IF($J1773="","Alamat kosong",IF(AND($M1773&lt;&gt;"",$M1773&lt;17),"Usia di bawah 17",""))))))))))</f>
        <v/>
      </c>
      <c r="U1773" s="40" t="str">
        <f aca="false">IF($B1773="","",IF(AND(OR(CARI!$C$5="",ISNUMBER(SEARCH(CARI!$C$5,$B1773&amp;" "&amp;$C1773&amp;" "&amp;$I1773&amp;" "&amp;$J1773&amp;" "&amp;$Q1773))),OR(CARI!$C$6="",$E1773=CARI!$C$6),OR(CARI!$C$7="",$F1773=CARI!$C$7),OR(CARI!$C$8="",$O1773=CARI!$C$8)),MAX($U$3:U1772)+1,""))</f>
        <v/>
      </c>
      <c r="V1773" s="40" t="str">
        <f aca="false">IF($T1773="","",MAX($V$3:V1772)+1)</f>
        <v/>
      </c>
      <c r="W1773" s="40" t="str">
        <f aca="false">IF($E1773="","",$E1773&amp;"#"&amp;COUNTIF($E$4:$E1773,$E1773))</f>
        <v/>
      </c>
      <c r="X1773" s="40" t="str">
        <f aca="false">IF($B1773="","",IF(AND(OR(CETAK!$J$10="",$E1773=CETAK!$J$10),OR(CETAK!$J$11="",$F1773=CETAK!$J$11),OR(CETAK!$J$12="",$K1773=CETAK!$J$12),OR(CETAK!$J$13="",$H1773=CETAK!$J$13),OR(CETAK!$J$14="",$O1773=CETAK!$J$14)),MAX($X$3:X1772)+1,""))</f>
        <v/>
      </c>
      <c r="Y1773" s="40" t="str">
        <f aca="false">IF($B1773="","",IF(AND(OR(ABSENSI!$H$10="",$E1773=ABSENSI!$H$10),OR(ABSENSI!$H$11="",$F1773=ABSENSI!$H$11),OR(ABSENSI!$H$12="",$K1773=ABSENSI!$H$12)),MAX($Y$3:Y1772)+1,""))</f>
        <v/>
      </c>
      <c r="Z1773" s="40" t="str">
        <f aca="false">IF($B1773="","",IF(AND(OR(KARTU!$K$6="",$E1773=KARTU!$K$6),OR(KARTU!$K$7="",$F1773=KARTU!$K$7),OR(KARTU!$K$8="",$K1773=KARTU!$K$8)),MAX($Z$3:Z1772)+1,""))</f>
        <v/>
      </c>
    </row>
    <row r="1774" customFormat="false" ht="15" hidden="false" customHeight="false" outlineLevel="0" collapsed="false">
      <c r="A1774" s="36" t="str">
        <f aca="false">IF($B1774="","",COUNTA($B$4:$B1774))</f>
        <v/>
      </c>
      <c r="B1774" s="37"/>
      <c r="C1774" s="38"/>
      <c r="D1774" s="39"/>
      <c r="E1774" s="37"/>
      <c r="F1774" s="39"/>
      <c r="G1774" s="40" t="str">
        <f aca="false">IF(OR($E1774="",$F1774=""),"",$E1774&amp;" - RT "&amp;$F1774)</f>
        <v/>
      </c>
      <c r="H1774" s="37"/>
      <c r="I1774" s="38"/>
      <c r="J1774" s="37"/>
      <c r="K1774" s="39"/>
      <c r="L1774" s="41"/>
      <c r="M1774" s="36" t="str">
        <f aca="true">IF(OR($B1774="",$L1774=""),"",DATEDIF($L1774,TODAY(),"Y"))</f>
        <v/>
      </c>
      <c r="N1774" s="40" t="str">
        <f aca="false">IF($M1774="","",INDEX(usia_label,MATCH($M1774,usia_min,1)))</f>
        <v/>
      </c>
      <c r="O1774" s="37"/>
      <c r="P1774" s="41"/>
      <c r="Q1774" s="37"/>
      <c r="R1774" s="37"/>
      <c r="S1774" s="40" t="str">
        <f aca="false">IF($G1774="","",$G1774&amp;"#"&amp;COUNTIF($G$4:$G1774,$G1774))</f>
        <v/>
      </c>
      <c r="T1774" s="40" t="str">
        <f aca="false">IF($B1774="","",IF($C1774="","NIK kosong",IF(LEN($C1774)&lt;&gt;16,"NIK bukan 16 digit",IF(COUNTIF($C$4:$C$2003,$C1774&amp;"*")&gt;1,"NIK ganda",IF($E1774="","Kadus kosong",IF($F1774="","RT kosong",IF($H1774="","Jabatan kosong",IF($I1774="","No. HP kosong",IF($J1774="","Alamat kosong",IF(AND($M1774&lt;&gt;"",$M1774&lt;17),"Usia di bawah 17",""))))))))))</f>
        <v/>
      </c>
      <c r="U1774" s="40" t="str">
        <f aca="false">IF($B1774="","",IF(AND(OR(CARI!$C$5="",ISNUMBER(SEARCH(CARI!$C$5,$B1774&amp;" "&amp;$C1774&amp;" "&amp;$I1774&amp;" "&amp;$J1774&amp;" "&amp;$Q1774))),OR(CARI!$C$6="",$E1774=CARI!$C$6),OR(CARI!$C$7="",$F1774=CARI!$C$7),OR(CARI!$C$8="",$O1774=CARI!$C$8)),MAX($U$3:U1773)+1,""))</f>
        <v/>
      </c>
      <c r="V1774" s="40" t="str">
        <f aca="false">IF($T1774="","",MAX($V$3:V1773)+1)</f>
        <v/>
      </c>
      <c r="W1774" s="40" t="str">
        <f aca="false">IF($E1774="","",$E1774&amp;"#"&amp;COUNTIF($E$4:$E1774,$E1774))</f>
        <v/>
      </c>
      <c r="X1774" s="40" t="str">
        <f aca="false">IF($B1774="","",IF(AND(OR(CETAK!$J$10="",$E1774=CETAK!$J$10),OR(CETAK!$J$11="",$F1774=CETAK!$J$11),OR(CETAK!$J$12="",$K1774=CETAK!$J$12),OR(CETAK!$J$13="",$H1774=CETAK!$J$13),OR(CETAK!$J$14="",$O1774=CETAK!$J$14)),MAX($X$3:X1773)+1,""))</f>
        <v/>
      </c>
      <c r="Y1774" s="40" t="str">
        <f aca="false">IF($B1774="","",IF(AND(OR(ABSENSI!$H$10="",$E1774=ABSENSI!$H$10),OR(ABSENSI!$H$11="",$F1774=ABSENSI!$H$11),OR(ABSENSI!$H$12="",$K1774=ABSENSI!$H$12)),MAX($Y$3:Y1773)+1,""))</f>
        <v/>
      </c>
      <c r="Z1774" s="40" t="str">
        <f aca="false">IF($B1774="","",IF(AND(OR(KARTU!$K$6="",$E1774=KARTU!$K$6),OR(KARTU!$K$7="",$F1774=KARTU!$K$7),OR(KARTU!$K$8="",$K1774=KARTU!$K$8)),MAX($Z$3:Z1773)+1,""))</f>
        <v/>
      </c>
    </row>
    <row r="1775" customFormat="false" ht="15" hidden="false" customHeight="false" outlineLevel="0" collapsed="false">
      <c r="A1775" s="36" t="str">
        <f aca="false">IF($B1775="","",COUNTA($B$4:$B1775))</f>
        <v/>
      </c>
      <c r="B1775" s="37"/>
      <c r="C1775" s="38"/>
      <c r="D1775" s="39"/>
      <c r="E1775" s="37"/>
      <c r="F1775" s="39"/>
      <c r="G1775" s="40" t="str">
        <f aca="false">IF(OR($E1775="",$F1775=""),"",$E1775&amp;" - RT "&amp;$F1775)</f>
        <v/>
      </c>
      <c r="H1775" s="37"/>
      <c r="I1775" s="38"/>
      <c r="J1775" s="37"/>
      <c r="K1775" s="39"/>
      <c r="L1775" s="41"/>
      <c r="M1775" s="36" t="str">
        <f aca="true">IF(OR($B1775="",$L1775=""),"",DATEDIF($L1775,TODAY(),"Y"))</f>
        <v/>
      </c>
      <c r="N1775" s="40" t="str">
        <f aca="false">IF($M1775="","",INDEX(usia_label,MATCH($M1775,usia_min,1)))</f>
        <v/>
      </c>
      <c r="O1775" s="37"/>
      <c r="P1775" s="41"/>
      <c r="Q1775" s="37"/>
      <c r="R1775" s="37"/>
      <c r="S1775" s="40" t="str">
        <f aca="false">IF($G1775="","",$G1775&amp;"#"&amp;COUNTIF($G$4:$G1775,$G1775))</f>
        <v/>
      </c>
      <c r="T1775" s="40" t="str">
        <f aca="false">IF($B1775="","",IF($C1775="","NIK kosong",IF(LEN($C1775)&lt;&gt;16,"NIK bukan 16 digit",IF(COUNTIF($C$4:$C$2003,$C1775&amp;"*")&gt;1,"NIK ganda",IF($E1775="","Kadus kosong",IF($F1775="","RT kosong",IF($H1775="","Jabatan kosong",IF($I1775="","No. HP kosong",IF($J1775="","Alamat kosong",IF(AND($M1775&lt;&gt;"",$M1775&lt;17),"Usia di bawah 17",""))))))))))</f>
        <v/>
      </c>
      <c r="U1775" s="40" t="str">
        <f aca="false">IF($B1775="","",IF(AND(OR(CARI!$C$5="",ISNUMBER(SEARCH(CARI!$C$5,$B1775&amp;" "&amp;$C1775&amp;" "&amp;$I1775&amp;" "&amp;$J1775&amp;" "&amp;$Q1775))),OR(CARI!$C$6="",$E1775=CARI!$C$6),OR(CARI!$C$7="",$F1775=CARI!$C$7),OR(CARI!$C$8="",$O1775=CARI!$C$8)),MAX($U$3:U1774)+1,""))</f>
        <v/>
      </c>
      <c r="V1775" s="40" t="str">
        <f aca="false">IF($T1775="","",MAX($V$3:V1774)+1)</f>
        <v/>
      </c>
      <c r="W1775" s="40" t="str">
        <f aca="false">IF($E1775="","",$E1775&amp;"#"&amp;COUNTIF($E$4:$E1775,$E1775))</f>
        <v/>
      </c>
      <c r="X1775" s="40" t="str">
        <f aca="false">IF($B1775="","",IF(AND(OR(CETAK!$J$10="",$E1775=CETAK!$J$10),OR(CETAK!$J$11="",$F1775=CETAK!$J$11),OR(CETAK!$J$12="",$K1775=CETAK!$J$12),OR(CETAK!$J$13="",$H1775=CETAK!$J$13),OR(CETAK!$J$14="",$O1775=CETAK!$J$14)),MAX($X$3:X1774)+1,""))</f>
        <v/>
      </c>
      <c r="Y1775" s="40" t="str">
        <f aca="false">IF($B1775="","",IF(AND(OR(ABSENSI!$H$10="",$E1775=ABSENSI!$H$10),OR(ABSENSI!$H$11="",$F1775=ABSENSI!$H$11),OR(ABSENSI!$H$12="",$K1775=ABSENSI!$H$12)),MAX($Y$3:Y1774)+1,""))</f>
        <v/>
      </c>
      <c r="Z1775" s="40" t="str">
        <f aca="false">IF($B1775="","",IF(AND(OR(KARTU!$K$6="",$E1775=KARTU!$K$6),OR(KARTU!$K$7="",$F1775=KARTU!$K$7),OR(KARTU!$K$8="",$K1775=KARTU!$K$8)),MAX($Z$3:Z1774)+1,""))</f>
        <v/>
      </c>
    </row>
    <row r="1776" customFormat="false" ht="15" hidden="false" customHeight="false" outlineLevel="0" collapsed="false">
      <c r="A1776" s="36" t="str">
        <f aca="false">IF($B1776="","",COUNTA($B$4:$B1776))</f>
        <v/>
      </c>
      <c r="B1776" s="37"/>
      <c r="C1776" s="38"/>
      <c r="D1776" s="39"/>
      <c r="E1776" s="37"/>
      <c r="F1776" s="39"/>
      <c r="G1776" s="40" t="str">
        <f aca="false">IF(OR($E1776="",$F1776=""),"",$E1776&amp;" - RT "&amp;$F1776)</f>
        <v/>
      </c>
      <c r="H1776" s="37"/>
      <c r="I1776" s="38"/>
      <c r="J1776" s="37"/>
      <c r="K1776" s="39"/>
      <c r="L1776" s="41"/>
      <c r="M1776" s="36" t="str">
        <f aca="true">IF(OR($B1776="",$L1776=""),"",DATEDIF($L1776,TODAY(),"Y"))</f>
        <v/>
      </c>
      <c r="N1776" s="40" t="str">
        <f aca="false">IF($M1776="","",INDEX(usia_label,MATCH($M1776,usia_min,1)))</f>
        <v/>
      </c>
      <c r="O1776" s="37"/>
      <c r="P1776" s="41"/>
      <c r="Q1776" s="37"/>
      <c r="R1776" s="37"/>
      <c r="S1776" s="40" t="str">
        <f aca="false">IF($G1776="","",$G1776&amp;"#"&amp;COUNTIF($G$4:$G1776,$G1776))</f>
        <v/>
      </c>
      <c r="T1776" s="40" t="str">
        <f aca="false">IF($B1776="","",IF($C1776="","NIK kosong",IF(LEN($C1776)&lt;&gt;16,"NIK bukan 16 digit",IF(COUNTIF($C$4:$C$2003,$C1776&amp;"*")&gt;1,"NIK ganda",IF($E1776="","Kadus kosong",IF($F1776="","RT kosong",IF($H1776="","Jabatan kosong",IF($I1776="","No. HP kosong",IF($J1776="","Alamat kosong",IF(AND($M1776&lt;&gt;"",$M1776&lt;17),"Usia di bawah 17",""))))))))))</f>
        <v/>
      </c>
      <c r="U1776" s="40" t="str">
        <f aca="false">IF($B1776="","",IF(AND(OR(CARI!$C$5="",ISNUMBER(SEARCH(CARI!$C$5,$B1776&amp;" "&amp;$C1776&amp;" "&amp;$I1776&amp;" "&amp;$J1776&amp;" "&amp;$Q1776))),OR(CARI!$C$6="",$E1776=CARI!$C$6),OR(CARI!$C$7="",$F1776=CARI!$C$7),OR(CARI!$C$8="",$O1776=CARI!$C$8)),MAX($U$3:U1775)+1,""))</f>
        <v/>
      </c>
      <c r="V1776" s="40" t="str">
        <f aca="false">IF($T1776="","",MAX($V$3:V1775)+1)</f>
        <v/>
      </c>
      <c r="W1776" s="40" t="str">
        <f aca="false">IF($E1776="","",$E1776&amp;"#"&amp;COUNTIF($E$4:$E1776,$E1776))</f>
        <v/>
      </c>
      <c r="X1776" s="40" t="str">
        <f aca="false">IF($B1776="","",IF(AND(OR(CETAK!$J$10="",$E1776=CETAK!$J$10),OR(CETAK!$J$11="",$F1776=CETAK!$J$11),OR(CETAK!$J$12="",$K1776=CETAK!$J$12),OR(CETAK!$J$13="",$H1776=CETAK!$J$13),OR(CETAK!$J$14="",$O1776=CETAK!$J$14)),MAX($X$3:X1775)+1,""))</f>
        <v/>
      </c>
      <c r="Y1776" s="40" t="str">
        <f aca="false">IF($B1776="","",IF(AND(OR(ABSENSI!$H$10="",$E1776=ABSENSI!$H$10),OR(ABSENSI!$H$11="",$F1776=ABSENSI!$H$11),OR(ABSENSI!$H$12="",$K1776=ABSENSI!$H$12)),MAX($Y$3:Y1775)+1,""))</f>
        <v/>
      </c>
      <c r="Z1776" s="40" t="str">
        <f aca="false">IF($B1776="","",IF(AND(OR(KARTU!$K$6="",$E1776=KARTU!$K$6),OR(KARTU!$K$7="",$F1776=KARTU!$K$7),OR(KARTU!$K$8="",$K1776=KARTU!$K$8)),MAX($Z$3:Z1775)+1,""))</f>
        <v/>
      </c>
    </row>
    <row r="1777" customFormat="false" ht="15" hidden="false" customHeight="false" outlineLevel="0" collapsed="false">
      <c r="A1777" s="36" t="str">
        <f aca="false">IF($B1777="","",COUNTA($B$4:$B1777))</f>
        <v/>
      </c>
      <c r="B1777" s="37"/>
      <c r="C1777" s="38"/>
      <c r="D1777" s="39"/>
      <c r="E1777" s="37"/>
      <c r="F1777" s="39"/>
      <c r="G1777" s="40" t="str">
        <f aca="false">IF(OR($E1777="",$F1777=""),"",$E1777&amp;" - RT "&amp;$F1777)</f>
        <v/>
      </c>
      <c r="H1777" s="37"/>
      <c r="I1777" s="38"/>
      <c r="J1777" s="37"/>
      <c r="K1777" s="39"/>
      <c r="L1777" s="41"/>
      <c r="M1777" s="36" t="str">
        <f aca="true">IF(OR($B1777="",$L1777=""),"",DATEDIF($L1777,TODAY(),"Y"))</f>
        <v/>
      </c>
      <c r="N1777" s="40" t="str">
        <f aca="false">IF($M1777="","",INDEX(usia_label,MATCH($M1777,usia_min,1)))</f>
        <v/>
      </c>
      <c r="O1777" s="37"/>
      <c r="P1777" s="41"/>
      <c r="Q1777" s="37"/>
      <c r="R1777" s="37"/>
      <c r="S1777" s="40" t="str">
        <f aca="false">IF($G1777="","",$G1777&amp;"#"&amp;COUNTIF($G$4:$G1777,$G1777))</f>
        <v/>
      </c>
      <c r="T1777" s="40" t="str">
        <f aca="false">IF($B1777="","",IF($C1777="","NIK kosong",IF(LEN($C1777)&lt;&gt;16,"NIK bukan 16 digit",IF(COUNTIF($C$4:$C$2003,$C1777&amp;"*")&gt;1,"NIK ganda",IF($E1777="","Kadus kosong",IF($F1777="","RT kosong",IF($H1777="","Jabatan kosong",IF($I1777="","No. HP kosong",IF($J1777="","Alamat kosong",IF(AND($M1777&lt;&gt;"",$M1777&lt;17),"Usia di bawah 17",""))))))))))</f>
        <v/>
      </c>
      <c r="U1777" s="40" t="str">
        <f aca="false">IF($B1777="","",IF(AND(OR(CARI!$C$5="",ISNUMBER(SEARCH(CARI!$C$5,$B1777&amp;" "&amp;$C1777&amp;" "&amp;$I1777&amp;" "&amp;$J1777&amp;" "&amp;$Q1777))),OR(CARI!$C$6="",$E1777=CARI!$C$6),OR(CARI!$C$7="",$F1777=CARI!$C$7),OR(CARI!$C$8="",$O1777=CARI!$C$8)),MAX($U$3:U1776)+1,""))</f>
        <v/>
      </c>
      <c r="V1777" s="40" t="str">
        <f aca="false">IF($T1777="","",MAX($V$3:V1776)+1)</f>
        <v/>
      </c>
      <c r="W1777" s="40" t="str">
        <f aca="false">IF($E1777="","",$E1777&amp;"#"&amp;COUNTIF($E$4:$E1777,$E1777))</f>
        <v/>
      </c>
      <c r="X1777" s="40" t="str">
        <f aca="false">IF($B1777="","",IF(AND(OR(CETAK!$J$10="",$E1777=CETAK!$J$10),OR(CETAK!$J$11="",$F1777=CETAK!$J$11),OR(CETAK!$J$12="",$K1777=CETAK!$J$12),OR(CETAK!$J$13="",$H1777=CETAK!$J$13),OR(CETAK!$J$14="",$O1777=CETAK!$J$14)),MAX($X$3:X1776)+1,""))</f>
        <v/>
      </c>
      <c r="Y1777" s="40" t="str">
        <f aca="false">IF($B1777="","",IF(AND(OR(ABSENSI!$H$10="",$E1777=ABSENSI!$H$10),OR(ABSENSI!$H$11="",$F1777=ABSENSI!$H$11),OR(ABSENSI!$H$12="",$K1777=ABSENSI!$H$12)),MAX($Y$3:Y1776)+1,""))</f>
        <v/>
      </c>
      <c r="Z1777" s="40" t="str">
        <f aca="false">IF($B1777="","",IF(AND(OR(KARTU!$K$6="",$E1777=KARTU!$K$6),OR(KARTU!$K$7="",$F1777=KARTU!$K$7),OR(KARTU!$K$8="",$K1777=KARTU!$K$8)),MAX($Z$3:Z1776)+1,""))</f>
        <v/>
      </c>
    </row>
    <row r="1778" customFormat="false" ht="15" hidden="false" customHeight="false" outlineLevel="0" collapsed="false">
      <c r="A1778" s="36" t="str">
        <f aca="false">IF($B1778="","",COUNTA($B$4:$B1778))</f>
        <v/>
      </c>
      <c r="B1778" s="37"/>
      <c r="C1778" s="38"/>
      <c r="D1778" s="39"/>
      <c r="E1778" s="37"/>
      <c r="F1778" s="39"/>
      <c r="G1778" s="40" t="str">
        <f aca="false">IF(OR($E1778="",$F1778=""),"",$E1778&amp;" - RT "&amp;$F1778)</f>
        <v/>
      </c>
      <c r="H1778" s="37"/>
      <c r="I1778" s="38"/>
      <c r="J1778" s="37"/>
      <c r="K1778" s="39"/>
      <c r="L1778" s="41"/>
      <c r="M1778" s="36" t="str">
        <f aca="true">IF(OR($B1778="",$L1778=""),"",DATEDIF($L1778,TODAY(),"Y"))</f>
        <v/>
      </c>
      <c r="N1778" s="40" t="str">
        <f aca="false">IF($M1778="","",INDEX(usia_label,MATCH($M1778,usia_min,1)))</f>
        <v/>
      </c>
      <c r="O1778" s="37"/>
      <c r="P1778" s="41"/>
      <c r="Q1778" s="37"/>
      <c r="R1778" s="37"/>
      <c r="S1778" s="40" t="str">
        <f aca="false">IF($G1778="","",$G1778&amp;"#"&amp;COUNTIF($G$4:$G1778,$G1778))</f>
        <v/>
      </c>
      <c r="T1778" s="40" t="str">
        <f aca="false">IF($B1778="","",IF($C1778="","NIK kosong",IF(LEN($C1778)&lt;&gt;16,"NIK bukan 16 digit",IF(COUNTIF($C$4:$C$2003,$C1778&amp;"*")&gt;1,"NIK ganda",IF($E1778="","Kadus kosong",IF($F1778="","RT kosong",IF($H1778="","Jabatan kosong",IF($I1778="","No. HP kosong",IF($J1778="","Alamat kosong",IF(AND($M1778&lt;&gt;"",$M1778&lt;17),"Usia di bawah 17",""))))))))))</f>
        <v/>
      </c>
      <c r="U1778" s="40" t="str">
        <f aca="false">IF($B1778="","",IF(AND(OR(CARI!$C$5="",ISNUMBER(SEARCH(CARI!$C$5,$B1778&amp;" "&amp;$C1778&amp;" "&amp;$I1778&amp;" "&amp;$J1778&amp;" "&amp;$Q1778))),OR(CARI!$C$6="",$E1778=CARI!$C$6),OR(CARI!$C$7="",$F1778=CARI!$C$7),OR(CARI!$C$8="",$O1778=CARI!$C$8)),MAX($U$3:U1777)+1,""))</f>
        <v/>
      </c>
      <c r="V1778" s="40" t="str">
        <f aca="false">IF($T1778="","",MAX($V$3:V1777)+1)</f>
        <v/>
      </c>
      <c r="W1778" s="40" t="str">
        <f aca="false">IF($E1778="","",$E1778&amp;"#"&amp;COUNTIF($E$4:$E1778,$E1778))</f>
        <v/>
      </c>
      <c r="X1778" s="40" t="str">
        <f aca="false">IF($B1778="","",IF(AND(OR(CETAK!$J$10="",$E1778=CETAK!$J$10),OR(CETAK!$J$11="",$F1778=CETAK!$J$11),OR(CETAK!$J$12="",$K1778=CETAK!$J$12),OR(CETAK!$J$13="",$H1778=CETAK!$J$13),OR(CETAK!$J$14="",$O1778=CETAK!$J$14)),MAX($X$3:X1777)+1,""))</f>
        <v/>
      </c>
      <c r="Y1778" s="40" t="str">
        <f aca="false">IF($B1778="","",IF(AND(OR(ABSENSI!$H$10="",$E1778=ABSENSI!$H$10),OR(ABSENSI!$H$11="",$F1778=ABSENSI!$H$11),OR(ABSENSI!$H$12="",$K1778=ABSENSI!$H$12)),MAX($Y$3:Y1777)+1,""))</f>
        <v/>
      </c>
      <c r="Z1778" s="40" t="str">
        <f aca="false">IF($B1778="","",IF(AND(OR(KARTU!$K$6="",$E1778=KARTU!$K$6),OR(KARTU!$K$7="",$F1778=KARTU!$K$7),OR(KARTU!$K$8="",$K1778=KARTU!$K$8)),MAX($Z$3:Z1777)+1,""))</f>
        <v/>
      </c>
    </row>
    <row r="1779" customFormat="false" ht="15" hidden="false" customHeight="false" outlineLevel="0" collapsed="false">
      <c r="A1779" s="36" t="str">
        <f aca="false">IF($B1779="","",COUNTA($B$4:$B1779))</f>
        <v/>
      </c>
      <c r="B1779" s="37"/>
      <c r="C1779" s="38"/>
      <c r="D1779" s="39"/>
      <c r="E1779" s="37"/>
      <c r="F1779" s="39"/>
      <c r="G1779" s="40" t="str">
        <f aca="false">IF(OR($E1779="",$F1779=""),"",$E1779&amp;" - RT "&amp;$F1779)</f>
        <v/>
      </c>
      <c r="H1779" s="37"/>
      <c r="I1779" s="38"/>
      <c r="J1779" s="37"/>
      <c r="K1779" s="39"/>
      <c r="L1779" s="41"/>
      <c r="M1779" s="36" t="str">
        <f aca="true">IF(OR($B1779="",$L1779=""),"",DATEDIF($L1779,TODAY(),"Y"))</f>
        <v/>
      </c>
      <c r="N1779" s="40" t="str">
        <f aca="false">IF($M1779="","",INDEX(usia_label,MATCH($M1779,usia_min,1)))</f>
        <v/>
      </c>
      <c r="O1779" s="37"/>
      <c r="P1779" s="41"/>
      <c r="Q1779" s="37"/>
      <c r="R1779" s="37"/>
      <c r="S1779" s="40" t="str">
        <f aca="false">IF($G1779="","",$G1779&amp;"#"&amp;COUNTIF($G$4:$G1779,$G1779))</f>
        <v/>
      </c>
      <c r="T1779" s="40" t="str">
        <f aca="false">IF($B1779="","",IF($C1779="","NIK kosong",IF(LEN($C1779)&lt;&gt;16,"NIK bukan 16 digit",IF(COUNTIF($C$4:$C$2003,$C1779&amp;"*")&gt;1,"NIK ganda",IF($E1779="","Kadus kosong",IF($F1779="","RT kosong",IF($H1779="","Jabatan kosong",IF($I1779="","No. HP kosong",IF($J1779="","Alamat kosong",IF(AND($M1779&lt;&gt;"",$M1779&lt;17),"Usia di bawah 17",""))))))))))</f>
        <v/>
      </c>
      <c r="U1779" s="40" t="str">
        <f aca="false">IF($B1779="","",IF(AND(OR(CARI!$C$5="",ISNUMBER(SEARCH(CARI!$C$5,$B1779&amp;" "&amp;$C1779&amp;" "&amp;$I1779&amp;" "&amp;$J1779&amp;" "&amp;$Q1779))),OR(CARI!$C$6="",$E1779=CARI!$C$6),OR(CARI!$C$7="",$F1779=CARI!$C$7),OR(CARI!$C$8="",$O1779=CARI!$C$8)),MAX($U$3:U1778)+1,""))</f>
        <v/>
      </c>
      <c r="V1779" s="40" t="str">
        <f aca="false">IF($T1779="","",MAX($V$3:V1778)+1)</f>
        <v/>
      </c>
      <c r="W1779" s="40" t="str">
        <f aca="false">IF($E1779="","",$E1779&amp;"#"&amp;COUNTIF($E$4:$E1779,$E1779))</f>
        <v/>
      </c>
      <c r="X1779" s="40" t="str">
        <f aca="false">IF($B1779="","",IF(AND(OR(CETAK!$J$10="",$E1779=CETAK!$J$10),OR(CETAK!$J$11="",$F1779=CETAK!$J$11),OR(CETAK!$J$12="",$K1779=CETAK!$J$12),OR(CETAK!$J$13="",$H1779=CETAK!$J$13),OR(CETAK!$J$14="",$O1779=CETAK!$J$14)),MAX($X$3:X1778)+1,""))</f>
        <v/>
      </c>
      <c r="Y1779" s="40" t="str">
        <f aca="false">IF($B1779="","",IF(AND(OR(ABSENSI!$H$10="",$E1779=ABSENSI!$H$10),OR(ABSENSI!$H$11="",$F1779=ABSENSI!$H$11),OR(ABSENSI!$H$12="",$K1779=ABSENSI!$H$12)),MAX($Y$3:Y1778)+1,""))</f>
        <v/>
      </c>
      <c r="Z1779" s="40" t="str">
        <f aca="false">IF($B1779="","",IF(AND(OR(KARTU!$K$6="",$E1779=KARTU!$K$6),OR(KARTU!$K$7="",$F1779=KARTU!$K$7),OR(KARTU!$K$8="",$K1779=KARTU!$K$8)),MAX($Z$3:Z1778)+1,""))</f>
        <v/>
      </c>
    </row>
    <row r="1780" customFormat="false" ht="15" hidden="false" customHeight="false" outlineLevel="0" collapsed="false">
      <c r="A1780" s="36" t="str">
        <f aca="false">IF($B1780="","",COUNTA($B$4:$B1780))</f>
        <v/>
      </c>
      <c r="B1780" s="37"/>
      <c r="C1780" s="38"/>
      <c r="D1780" s="39"/>
      <c r="E1780" s="37"/>
      <c r="F1780" s="39"/>
      <c r="G1780" s="40" t="str">
        <f aca="false">IF(OR($E1780="",$F1780=""),"",$E1780&amp;" - RT "&amp;$F1780)</f>
        <v/>
      </c>
      <c r="H1780" s="37"/>
      <c r="I1780" s="38"/>
      <c r="J1780" s="37"/>
      <c r="K1780" s="39"/>
      <c r="L1780" s="41"/>
      <c r="M1780" s="36" t="str">
        <f aca="true">IF(OR($B1780="",$L1780=""),"",DATEDIF($L1780,TODAY(),"Y"))</f>
        <v/>
      </c>
      <c r="N1780" s="40" t="str">
        <f aca="false">IF($M1780="","",INDEX(usia_label,MATCH($M1780,usia_min,1)))</f>
        <v/>
      </c>
      <c r="O1780" s="37"/>
      <c r="P1780" s="41"/>
      <c r="Q1780" s="37"/>
      <c r="R1780" s="37"/>
      <c r="S1780" s="40" t="str">
        <f aca="false">IF($G1780="","",$G1780&amp;"#"&amp;COUNTIF($G$4:$G1780,$G1780))</f>
        <v/>
      </c>
      <c r="T1780" s="40" t="str">
        <f aca="false">IF($B1780="","",IF($C1780="","NIK kosong",IF(LEN($C1780)&lt;&gt;16,"NIK bukan 16 digit",IF(COUNTIF($C$4:$C$2003,$C1780&amp;"*")&gt;1,"NIK ganda",IF($E1780="","Kadus kosong",IF($F1780="","RT kosong",IF($H1780="","Jabatan kosong",IF($I1780="","No. HP kosong",IF($J1780="","Alamat kosong",IF(AND($M1780&lt;&gt;"",$M1780&lt;17),"Usia di bawah 17",""))))))))))</f>
        <v/>
      </c>
      <c r="U1780" s="40" t="str">
        <f aca="false">IF($B1780="","",IF(AND(OR(CARI!$C$5="",ISNUMBER(SEARCH(CARI!$C$5,$B1780&amp;" "&amp;$C1780&amp;" "&amp;$I1780&amp;" "&amp;$J1780&amp;" "&amp;$Q1780))),OR(CARI!$C$6="",$E1780=CARI!$C$6),OR(CARI!$C$7="",$F1780=CARI!$C$7),OR(CARI!$C$8="",$O1780=CARI!$C$8)),MAX($U$3:U1779)+1,""))</f>
        <v/>
      </c>
      <c r="V1780" s="40" t="str">
        <f aca="false">IF($T1780="","",MAX($V$3:V1779)+1)</f>
        <v/>
      </c>
      <c r="W1780" s="40" t="str">
        <f aca="false">IF($E1780="","",$E1780&amp;"#"&amp;COUNTIF($E$4:$E1780,$E1780))</f>
        <v/>
      </c>
      <c r="X1780" s="40" t="str">
        <f aca="false">IF($B1780="","",IF(AND(OR(CETAK!$J$10="",$E1780=CETAK!$J$10),OR(CETAK!$J$11="",$F1780=CETAK!$J$11),OR(CETAK!$J$12="",$K1780=CETAK!$J$12),OR(CETAK!$J$13="",$H1780=CETAK!$J$13),OR(CETAK!$J$14="",$O1780=CETAK!$J$14)),MAX($X$3:X1779)+1,""))</f>
        <v/>
      </c>
      <c r="Y1780" s="40" t="str">
        <f aca="false">IF($B1780="","",IF(AND(OR(ABSENSI!$H$10="",$E1780=ABSENSI!$H$10),OR(ABSENSI!$H$11="",$F1780=ABSENSI!$H$11),OR(ABSENSI!$H$12="",$K1780=ABSENSI!$H$12)),MAX($Y$3:Y1779)+1,""))</f>
        <v/>
      </c>
      <c r="Z1780" s="40" t="str">
        <f aca="false">IF($B1780="","",IF(AND(OR(KARTU!$K$6="",$E1780=KARTU!$K$6),OR(KARTU!$K$7="",$F1780=KARTU!$K$7),OR(KARTU!$K$8="",$K1780=KARTU!$K$8)),MAX($Z$3:Z1779)+1,""))</f>
        <v/>
      </c>
    </row>
    <row r="1781" customFormat="false" ht="15" hidden="false" customHeight="false" outlineLevel="0" collapsed="false">
      <c r="A1781" s="36" t="str">
        <f aca="false">IF($B1781="","",COUNTA($B$4:$B1781))</f>
        <v/>
      </c>
      <c r="B1781" s="37"/>
      <c r="C1781" s="38"/>
      <c r="D1781" s="39"/>
      <c r="E1781" s="37"/>
      <c r="F1781" s="39"/>
      <c r="G1781" s="40" t="str">
        <f aca="false">IF(OR($E1781="",$F1781=""),"",$E1781&amp;" - RT "&amp;$F1781)</f>
        <v/>
      </c>
      <c r="H1781" s="37"/>
      <c r="I1781" s="38"/>
      <c r="J1781" s="37"/>
      <c r="K1781" s="39"/>
      <c r="L1781" s="41"/>
      <c r="M1781" s="36" t="str">
        <f aca="true">IF(OR($B1781="",$L1781=""),"",DATEDIF($L1781,TODAY(),"Y"))</f>
        <v/>
      </c>
      <c r="N1781" s="40" t="str">
        <f aca="false">IF($M1781="","",INDEX(usia_label,MATCH($M1781,usia_min,1)))</f>
        <v/>
      </c>
      <c r="O1781" s="37"/>
      <c r="P1781" s="41"/>
      <c r="Q1781" s="37"/>
      <c r="R1781" s="37"/>
      <c r="S1781" s="40" t="str">
        <f aca="false">IF($G1781="","",$G1781&amp;"#"&amp;COUNTIF($G$4:$G1781,$G1781))</f>
        <v/>
      </c>
      <c r="T1781" s="40" t="str">
        <f aca="false">IF($B1781="","",IF($C1781="","NIK kosong",IF(LEN($C1781)&lt;&gt;16,"NIK bukan 16 digit",IF(COUNTIF($C$4:$C$2003,$C1781&amp;"*")&gt;1,"NIK ganda",IF($E1781="","Kadus kosong",IF($F1781="","RT kosong",IF($H1781="","Jabatan kosong",IF($I1781="","No. HP kosong",IF($J1781="","Alamat kosong",IF(AND($M1781&lt;&gt;"",$M1781&lt;17),"Usia di bawah 17",""))))))))))</f>
        <v/>
      </c>
      <c r="U1781" s="40" t="str">
        <f aca="false">IF($B1781="","",IF(AND(OR(CARI!$C$5="",ISNUMBER(SEARCH(CARI!$C$5,$B1781&amp;" "&amp;$C1781&amp;" "&amp;$I1781&amp;" "&amp;$J1781&amp;" "&amp;$Q1781))),OR(CARI!$C$6="",$E1781=CARI!$C$6),OR(CARI!$C$7="",$F1781=CARI!$C$7),OR(CARI!$C$8="",$O1781=CARI!$C$8)),MAX($U$3:U1780)+1,""))</f>
        <v/>
      </c>
      <c r="V1781" s="40" t="str">
        <f aca="false">IF($T1781="","",MAX($V$3:V1780)+1)</f>
        <v/>
      </c>
      <c r="W1781" s="40" t="str">
        <f aca="false">IF($E1781="","",$E1781&amp;"#"&amp;COUNTIF($E$4:$E1781,$E1781))</f>
        <v/>
      </c>
      <c r="X1781" s="40" t="str">
        <f aca="false">IF($B1781="","",IF(AND(OR(CETAK!$J$10="",$E1781=CETAK!$J$10),OR(CETAK!$J$11="",$F1781=CETAK!$J$11),OR(CETAK!$J$12="",$K1781=CETAK!$J$12),OR(CETAK!$J$13="",$H1781=CETAK!$J$13),OR(CETAK!$J$14="",$O1781=CETAK!$J$14)),MAX($X$3:X1780)+1,""))</f>
        <v/>
      </c>
      <c r="Y1781" s="40" t="str">
        <f aca="false">IF($B1781="","",IF(AND(OR(ABSENSI!$H$10="",$E1781=ABSENSI!$H$10),OR(ABSENSI!$H$11="",$F1781=ABSENSI!$H$11),OR(ABSENSI!$H$12="",$K1781=ABSENSI!$H$12)),MAX($Y$3:Y1780)+1,""))</f>
        <v/>
      </c>
      <c r="Z1781" s="40" t="str">
        <f aca="false">IF($B1781="","",IF(AND(OR(KARTU!$K$6="",$E1781=KARTU!$K$6),OR(KARTU!$K$7="",$F1781=KARTU!$K$7),OR(KARTU!$K$8="",$K1781=KARTU!$K$8)),MAX($Z$3:Z1780)+1,""))</f>
        <v/>
      </c>
    </row>
    <row r="1782" customFormat="false" ht="15" hidden="false" customHeight="false" outlineLevel="0" collapsed="false">
      <c r="A1782" s="36" t="str">
        <f aca="false">IF($B1782="","",COUNTA($B$4:$B1782))</f>
        <v/>
      </c>
      <c r="B1782" s="37"/>
      <c r="C1782" s="38"/>
      <c r="D1782" s="39"/>
      <c r="E1782" s="37"/>
      <c r="F1782" s="39"/>
      <c r="G1782" s="40" t="str">
        <f aca="false">IF(OR($E1782="",$F1782=""),"",$E1782&amp;" - RT "&amp;$F1782)</f>
        <v/>
      </c>
      <c r="H1782" s="37"/>
      <c r="I1782" s="38"/>
      <c r="J1782" s="37"/>
      <c r="K1782" s="39"/>
      <c r="L1782" s="41"/>
      <c r="M1782" s="36" t="str">
        <f aca="true">IF(OR($B1782="",$L1782=""),"",DATEDIF($L1782,TODAY(),"Y"))</f>
        <v/>
      </c>
      <c r="N1782" s="40" t="str">
        <f aca="false">IF($M1782="","",INDEX(usia_label,MATCH($M1782,usia_min,1)))</f>
        <v/>
      </c>
      <c r="O1782" s="37"/>
      <c r="P1782" s="41"/>
      <c r="Q1782" s="37"/>
      <c r="R1782" s="37"/>
      <c r="S1782" s="40" t="str">
        <f aca="false">IF($G1782="","",$G1782&amp;"#"&amp;COUNTIF($G$4:$G1782,$G1782))</f>
        <v/>
      </c>
      <c r="T1782" s="40" t="str">
        <f aca="false">IF($B1782="","",IF($C1782="","NIK kosong",IF(LEN($C1782)&lt;&gt;16,"NIK bukan 16 digit",IF(COUNTIF($C$4:$C$2003,$C1782&amp;"*")&gt;1,"NIK ganda",IF($E1782="","Kadus kosong",IF($F1782="","RT kosong",IF($H1782="","Jabatan kosong",IF($I1782="","No. HP kosong",IF($J1782="","Alamat kosong",IF(AND($M1782&lt;&gt;"",$M1782&lt;17),"Usia di bawah 17",""))))))))))</f>
        <v/>
      </c>
      <c r="U1782" s="40" t="str">
        <f aca="false">IF($B1782="","",IF(AND(OR(CARI!$C$5="",ISNUMBER(SEARCH(CARI!$C$5,$B1782&amp;" "&amp;$C1782&amp;" "&amp;$I1782&amp;" "&amp;$J1782&amp;" "&amp;$Q1782))),OR(CARI!$C$6="",$E1782=CARI!$C$6),OR(CARI!$C$7="",$F1782=CARI!$C$7),OR(CARI!$C$8="",$O1782=CARI!$C$8)),MAX($U$3:U1781)+1,""))</f>
        <v/>
      </c>
      <c r="V1782" s="40" t="str">
        <f aca="false">IF($T1782="","",MAX($V$3:V1781)+1)</f>
        <v/>
      </c>
      <c r="W1782" s="40" t="str">
        <f aca="false">IF($E1782="","",$E1782&amp;"#"&amp;COUNTIF($E$4:$E1782,$E1782))</f>
        <v/>
      </c>
      <c r="X1782" s="40" t="str">
        <f aca="false">IF($B1782="","",IF(AND(OR(CETAK!$J$10="",$E1782=CETAK!$J$10),OR(CETAK!$J$11="",$F1782=CETAK!$J$11),OR(CETAK!$J$12="",$K1782=CETAK!$J$12),OR(CETAK!$J$13="",$H1782=CETAK!$J$13),OR(CETAK!$J$14="",$O1782=CETAK!$J$14)),MAX($X$3:X1781)+1,""))</f>
        <v/>
      </c>
      <c r="Y1782" s="40" t="str">
        <f aca="false">IF($B1782="","",IF(AND(OR(ABSENSI!$H$10="",$E1782=ABSENSI!$H$10),OR(ABSENSI!$H$11="",$F1782=ABSENSI!$H$11),OR(ABSENSI!$H$12="",$K1782=ABSENSI!$H$12)),MAX($Y$3:Y1781)+1,""))</f>
        <v/>
      </c>
      <c r="Z1782" s="40" t="str">
        <f aca="false">IF($B1782="","",IF(AND(OR(KARTU!$K$6="",$E1782=KARTU!$K$6),OR(KARTU!$K$7="",$F1782=KARTU!$K$7),OR(KARTU!$K$8="",$K1782=KARTU!$K$8)),MAX($Z$3:Z1781)+1,""))</f>
        <v/>
      </c>
    </row>
    <row r="1783" customFormat="false" ht="15" hidden="false" customHeight="false" outlineLevel="0" collapsed="false">
      <c r="A1783" s="36" t="str">
        <f aca="false">IF($B1783="","",COUNTA($B$4:$B1783))</f>
        <v/>
      </c>
      <c r="B1783" s="37"/>
      <c r="C1783" s="38"/>
      <c r="D1783" s="39"/>
      <c r="E1783" s="37"/>
      <c r="F1783" s="39"/>
      <c r="G1783" s="40" t="str">
        <f aca="false">IF(OR($E1783="",$F1783=""),"",$E1783&amp;" - RT "&amp;$F1783)</f>
        <v/>
      </c>
      <c r="H1783" s="37"/>
      <c r="I1783" s="38"/>
      <c r="J1783" s="37"/>
      <c r="K1783" s="39"/>
      <c r="L1783" s="41"/>
      <c r="M1783" s="36" t="str">
        <f aca="true">IF(OR($B1783="",$L1783=""),"",DATEDIF($L1783,TODAY(),"Y"))</f>
        <v/>
      </c>
      <c r="N1783" s="40" t="str">
        <f aca="false">IF($M1783="","",INDEX(usia_label,MATCH($M1783,usia_min,1)))</f>
        <v/>
      </c>
      <c r="O1783" s="37"/>
      <c r="P1783" s="41"/>
      <c r="Q1783" s="37"/>
      <c r="R1783" s="37"/>
      <c r="S1783" s="40" t="str">
        <f aca="false">IF($G1783="","",$G1783&amp;"#"&amp;COUNTIF($G$4:$G1783,$G1783))</f>
        <v/>
      </c>
      <c r="T1783" s="40" t="str">
        <f aca="false">IF($B1783="","",IF($C1783="","NIK kosong",IF(LEN($C1783)&lt;&gt;16,"NIK bukan 16 digit",IF(COUNTIF($C$4:$C$2003,$C1783&amp;"*")&gt;1,"NIK ganda",IF($E1783="","Kadus kosong",IF($F1783="","RT kosong",IF($H1783="","Jabatan kosong",IF($I1783="","No. HP kosong",IF($J1783="","Alamat kosong",IF(AND($M1783&lt;&gt;"",$M1783&lt;17),"Usia di bawah 17",""))))))))))</f>
        <v/>
      </c>
      <c r="U1783" s="40" t="str">
        <f aca="false">IF($B1783="","",IF(AND(OR(CARI!$C$5="",ISNUMBER(SEARCH(CARI!$C$5,$B1783&amp;" "&amp;$C1783&amp;" "&amp;$I1783&amp;" "&amp;$J1783&amp;" "&amp;$Q1783))),OR(CARI!$C$6="",$E1783=CARI!$C$6),OR(CARI!$C$7="",$F1783=CARI!$C$7),OR(CARI!$C$8="",$O1783=CARI!$C$8)),MAX($U$3:U1782)+1,""))</f>
        <v/>
      </c>
      <c r="V1783" s="40" t="str">
        <f aca="false">IF($T1783="","",MAX($V$3:V1782)+1)</f>
        <v/>
      </c>
      <c r="W1783" s="40" t="str">
        <f aca="false">IF($E1783="","",$E1783&amp;"#"&amp;COUNTIF($E$4:$E1783,$E1783))</f>
        <v/>
      </c>
      <c r="X1783" s="40" t="str">
        <f aca="false">IF($B1783="","",IF(AND(OR(CETAK!$J$10="",$E1783=CETAK!$J$10),OR(CETAK!$J$11="",$F1783=CETAK!$J$11),OR(CETAK!$J$12="",$K1783=CETAK!$J$12),OR(CETAK!$J$13="",$H1783=CETAK!$J$13),OR(CETAK!$J$14="",$O1783=CETAK!$J$14)),MAX($X$3:X1782)+1,""))</f>
        <v/>
      </c>
      <c r="Y1783" s="40" t="str">
        <f aca="false">IF($B1783="","",IF(AND(OR(ABSENSI!$H$10="",$E1783=ABSENSI!$H$10),OR(ABSENSI!$H$11="",$F1783=ABSENSI!$H$11),OR(ABSENSI!$H$12="",$K1783=ABSENSI!$H$12)),MAX($Y$3:Y1782)+1,""))</f>
        <v/>
      </c>
      <c r="Z1783" s="40" t="str">
        <f aca="false">IF($B1783="","",IF(AND(OR(KARTU!$K$6="",$E1783=KARTU!$K$6),OR(KARTU!$K$7="",$F1783=KARTU!$K$7),OR(KARTU!$K$8="",$K1783=KARTU!$K$8)),MAX($Z$3:Z1782)+1,""))</f>
        <v/>
      </c>
    </row>
    <row r="1784" customFormat="false" ht="15" hidden="false" customHeight="false" outlineLevel="0" collapsed="false">
      <c r="A1784" s="36" t="str">
        <f aca="false">IF($B1784="","",COUNTA($B$4:$B1784))</f>
        <v/>
      </c>
      <c r="B1784" s="37"/>
      <c r="C1784" s="38"/>
      <c r="D1784" s="39"/>
      <c r="E1784" s="37"/>
      <c r="F1784" s="39"/>
      <c r="G1784" s="40" t="str">
        <f aca="false">IF(OR($E1784="",$F1784=""),"",$E1784&amp;" - RT "&amp;$F1784)</f>
        <v/>
      </c>
      <c r="H1784" s="37"/>
      <c r="I1784" s="38"/>
      <c r="J1784" s="37"/>
      <c r="K1784" s="39"/>
      <c r="L1784" s="41"/>
      <c r="M1784" s="36" t="str">
        <f aca="true">IF(OR($B1784="",$L1784=""),"",DATEDIF($L1784,TODAY(),"Y"))</f>
        <v/>
      </c>
      <c r="N1784" s="40" t="str">
        <f aca="false">IF($M1784="","",INDEX(usia_label,MATCH($M1784,usia_min,1)))</f>
        <v/>
      </c>
      <c r="O1784" s="37"/>
      <c r="P1784" s="41"/>
      <c r="Q1784" s="37"/>
      <c r="R1784" s="37"/>
      <c r="S1784" s="40" t="str">
        <f aca="false">IF($G1784="","",$G1784&amp;"#"&amp;COUNTIF($G$4:$G1784,$G1784))</f>
        <v/>
      </c>
      <c r="T1784" s="40" t="str">
        <f aca="false">IF($B1784="","",IF($C1784="","NIK kosong",IF(LEN($C1784)&lt;&gt;16,"NIK bukan 16 digit",IF(COUNTIF($C$4:$C$2003,$C1784&amp;"*")&gt;1,"NIK ganda",IF($E1784="","Kadus kosong",IF($F1784="","RT kosong",IF($H1784="","Jabatan kosong",IF($I1784="","No. HP kosong",IF($J1784="","Alamat kosong",IF(AND($M1784&lt;&gt;"",$M1784&lt;17),"Usia di bawah 17",""))))))))))</f>
        <v/>
      </c>
      <c r="U1784" s="40" t="str">
        <f aca="false">IF($B1784="","",IF(AND(OR(CARI!$C$5="",ISNUMBER(SEARCH(CARI!$C$5,$B1784&amp;" "&amp;$C1784&amp;" "&amp;$I1784&amp;" "&amp;$J1784&amp;" "&amp;$Q1784))),OR(CARI!$C$6="",$E1784=CARI!$C$6),OR(CARI!$C$7="",$F1784=CARI!$C$7),OR(CARI!$C$8="",$O1784=CARI!$C$8)),MAX($U$3:U1783)+1,""))</f>
        <v/>
      </c>
      <c r="V1784" s="40" t="str">
        <f aca="false">IF($T1784="","",MAX($V$3:V1783)+1)</f>
        <v/>
      </c>
      <c r="W1784" s="40" t="str">
        <f aca="false">IF($E1784="","",$E1784&amp;"#"&amp;COUNTIF($E$4:$E1784,$E1784))</f>
        <v/>
      </c>
      <c r="X1784" s="40" t="str">
        <f aca="false">IF($B1784="","",IF(AND(OR(CETAK!$J$10="",$E1784=CETAK!$J$10),OR(CETAK!$J$11="",$F1784=CETAK!$J$11),OR(CETAK!$J$12="",$K1784=CETAK!$J$12),OR(CETAK!$J$13="",$H1784=CETAK!$J$13),OR(CETAK!$J$14="",$O1784=CETAK!$J$14)),MAX($X$3:X1783)+1,""))</f>
        <v/>
      </c>
      <c r="Y1784" s="40" t="str">
        <f aca="false">IF($B1784="","",IF(AND(OR(ABSENSI!$H$10="",$E1784=ABSENSI!$H$10),OR(ABSENSI!$H$11="",$F1784=ABSENSI!$H$11),OR(ABSENSI!$H$12="",$K1784=ABSENSI!$H$12)),MAX($Y$3:Y1783)+1,""))</f>
        <v/>
      </c>
      <c r="Z1784" s="40" t="str">
        <f aca="false">IF($B1784="","",IF(AND(OR(KARTU!$K$6="",$E1784=KARTU!$K$6),OR(KARTU!$K$7="",$F1784=KARTU!$K$7),OR(KARTU!$K$8="",$K1784=KARTU!$K$8)),MAX($Z$3:Z1783)+1,""))</f>
        <v/>
      </c>
    </row>
    <row r="1785" customFormat="false" ht="15" hidden="false" customHeight="false" outlineLevel="0" collapsed="false">
      <c r="A1785" s="36" t="str">
        <f aca="false">IF($B1785="","",COUNTA($B$4:$B1785))</f>
        <v/>
      </c>
      <c r="B1785" s="37"/>
      <c r="C1785" s="38"/>
      <c r="D1785" s="39"/>
      <c r="E1785" s="37"/>
      <c r="F1785" s="39"/>
      <c r="G1785" s="40" t="str">
        <f aca="false">IF(OR($E1785="",$F1785=""),"",$E1785&amp;" - RT "&amp;$F1785)</f>
        <v/>
      </c>
      <c r="H1785" s="37"/>
      <c r="I1785" s="38"/>
      <c r="J1785" s="37"/>
      <c r="K1785" s="39"/>
      <c r="L1785" s="41"/>
      <c r="M1785" s="36" t="str">
        <f aca="true">IF(OR($B1785="",$L1785=""),"",DATEDIF($L1785,TODAY(),"Y"))</f>
        <v/>
      </c>
      <c r="N1785" s="40" t="str">
        <f aca="false">IF($M1785="","",INDEX(usia_label,MATCH($M1785,usia_min,1)))</f>
        <v/>
      </c>
      <c r="O1785" s="37"/>
      <c r="P1785" s="41"/>
      <c r="Q1785" s="37"/>
      <c r="R1785" s="37"/>
      <c r="S1785" s="40" t="str">
        <f aca="false">IF($G1785="","",$G1785&amp;"#"&amp;COUNTIF($G$4:$G1785,$G1785))</f>
        <v/>
      </c>
      <c r="T1785" s="40" t="str">
        <f aca="false">IF($B1785="","",IF($C1785="","NIK kosong",IF(LEN($C1785)&lt;&gt;16,"NIK bukan 16 digit",IF(COUNTIF($C$4:$C$2003,$C1785&amp;"*")&gt;1,"NIK ganda",IF($E1785="","Kadus kosong",IF($F1785="","RT kosong",IF($H1785="","Jabatan kosong",IF($I1785="","No. HP kosong",IF($J1785="","Alamat kosong",IF(AND($M1785&lt;&gt;"",$M1785&lt;17),"Usia di bawah 17",""))))))))))</f>
        <v/>
      </c>
      <c r="U1785" s="40" t="str">
        <f aca="false">IF($B1785="","",IF(AND(OR(CARI!$C$5="",ISNUMBER(SEARCH(CARI!$C$5,$B1785&amp;" "&amp;$C1785&amp;" "&amp;$I1785&amp;" "&amp;$J1785&amp;" "&amp;$Q1785))),OR(CARI!$C$6="",$E1785=CARI!$C$6),OR(CARI!$C$7="",$F1785=CARI!$C$7),OR(CARI!$C$8="",$O1785=CARI!$C$8)),MAX($U$3:U1784)+1,""))</f>
        <v/>
      </c>
      <c r="V1785" s="40" t="str">
        <f aca="false">IF($T1785="","",MAX($V$3:V1784)+1)</f>
        <v/>
      </c>
      <c r="W1785" s="40" t="str">
        <f aca="false">IF($E1785="","",$E1785&amp;"#"&amp;COUNTIF($E$4:$E1785,$E1785))</f>
        <v/>
      </c>
      <c r="X1785" s="40" t="str">
        <f aca="false">IF($B1785="","",IF(AND(OR(CETAK!$J$10="",$E1785=CETAK!$J$10),OR(CETAK!$J$11="",$F1785=CETAK!$J$11),OR(CETAK!$J$12="",$K1785=CETAK!$J$12),OR(CETAK!$J$13="",$H1785=CETAK!$J$13),OR(CETAK!$J$14="",$O1785=CETAK!$J$14)),MAX($X$3:X1784)+1,""))</f>
        <v/>
      </c>
      <c r="Y1785" s="40" t="str">
        <f aca="false">IF($B1785="","",IF(AND(OR(ABSENSI!$H$10="",$E1785=ABSENSI!$H$10),OR(ABSENSI!$H$11="",$F1785=ABSENSI!$H$11),OR(ABSENSI!$H$12="",$K1785=ABSENSI!$H$12)),MAX($Y$3:Y1784)+1,""))</f>
        <v/>
      </c>
      <c r="Z1785" s="40" t="str">
        <f aca="false">IF($B1785="","",IF(AND(OR(KARTU!$K$6="",$E1785=KARTU!$K$6),OR(KARTU!$K$7="",$F1785=KARTU!$K$7),OR(KARTU!$K$8="",$K1785=KARTU!$K$8)),MAX($Z$3:Z1784)+1,""))</f>
        <v/>
      </c>
    </row>
    <row r="1786" customFormat="false" ht="15" hidden="false" customHeight="false" outlineLevel="0" collapsed="false">
      <c r="A1786" s="36" t="str">
        <f aca="false">IF($B1786="","",COUNTA($B$4:$B1786))</f>
        <v/>
      </c>
      <c r="B1786" s="37"/>
      <c r="C1786" s="38"/>
      <c r="D1786" s="39"/>
      <c r="E1786" s="37"/>
      <c r="F1786" s="39"/>
      <c r="G1786" s="40" t="str">
        <f aca="false">IF(OR($E1786="",$F1786=""),"",$E1786&amp;" - RT "&amp;$F1786)</f>
        <v/>
      </c>
      <c r="H1786" s="37"/>
      <c r="I1786" s="38"/>
      <c r="J1786" s="37"/>
      <c r="K1786" s="39"/>
      <c r="L1786" s="41"/>
      <c r="M1786" s="36" t="str">
        <f aca="true">IF(OR($B1786="",$L1786=""),"",DATEDIF($L1786,TODAY(),"Y"))</f>
        <v/>
      </c>
      <c r="N1786" s="40" t="str">
        <f aca="false">IF($M1786="","",INDEX(usia_label,MATCH($M1786,usia_min,1)))</f>
        <v/>
      </c>
      <c r="O1786" s="37"/>
      <c r="P1786" s="41"/>
      <c r="Q1786" s="37"/>
      <c r="R1786" s="37"/>
      <c r="S1786" s="40" t="str">
        <f aca="false">IF($G1786="","",$G1786&amp;"#"&amp;COUNTIF($G$4:$G1786,$G1786))</f>
        <v/>
      </c>
      <c r="T1786" s="40" t="str">
        <f aca="false">IF($B1786="","",IF($C1786="","NIK kosong",IF(LEN($C1786)&lt;&gt;16,"NIK bukan 16 digit",IF(COUNTIF($C$4:$C$2003,$C1786&amp;"*")&gt;1,"NIK ganda",IF($E1786="","Kadus kosong",IF($F1786="","RT kosong",IF($H1786="","Jabatan kosong",IF($I1786="","No. HP kosong",IF($J1786="","Alamat kosong",IF(AND($M1786&lt;&gt;"",$M1786&lt;17),"Usia di bawah 17",""))))))))))</f>
        <v/>
      </c>
      <c r="U1786" s="40" t="str">
        <f aca="false">IF($B1786="","",IF(AND(OR(CARI!$C$5="",ISNUMBER(SEARCH(CARI!$C$5,$B1786&amp;" "&amp;$C1786&amp;" "&amp;$I1786&amp;" "&amp;$J1786&amp;" "&amp;$Q1786))),OR(CARI!$C$6="",$E1786=CARI!$C$6),OR(CARI!$C$7="",$F1786=CARI!$C$7),OR(CARI!$C$8="",$O1786=CARI!$C$8)),MAX($U$3:U1785)+1,""))</f>
        <v/>
      </c>
      <c r="V1786" s="40" t="str">
        <f aca="false">IF($T1786="","",MAX($V$3:V1785)+1)</f>
        <v/>
      </c>
      <c r="W1786" s="40" t="str">
        <f aca="false">IF($E1786="","",$E1786&amp;"#"&amp;COUNTIF($E$4:$E1786,$E1786))</f>
        <v/>
      </c>
      <c r="X1786" s="40" t="str">
        <f aca="false">IF($B1786="","",IF(AND(OR(CETAK!$J$10="",$E1786=CETAK!$J$10),OR(CETAK!$J$11="",$F1786=CETAK!$J$11),OR(CETAK!$J$12="",$K1786=CETAK!$J$12),OR(CETAK!$J$13="",$H1786=CETAK!$J$13),OR(CETAK!$J$14="",$O1786=CETAK!$J$14)),MAX($X$3:X1785)+1,""))</f>
        <v/>
      </c>
      <c r="Y1786" s="40" t="str">
        <f aca="false">IF($B1786="","",IF(AND(OR(ABSENSI!$H$10="",$E1786=ABSENSI!$H$10),OR(ABSENSI!$H$11="",$F1786=ABSENSI!$H$11),OR(ABSENSI!$H$12="",$K1786=ABSENSI!$H$12)),MAX($Y$3:Y1785)+1,""))</f>
        <v/>
      </c>
      <c r="Z1786" s="40" t="str">
        <f aca="false">IF($B1786="","",IF(AND(OR(KARTU!$K$6="",$E1786=KARTU!$K$6),OR(KARTU!$K$7="",$F1786=KARTU!$K$7),OR(KARTU!$K$8="",$K1786=KARTU!$K$8)),MAX($Z$3:Z1785)+1,""))</f>
        <v/>
      </c>
    </row>
    <row r="1787" customFormat="false" ht="15" hidden="false" customHeight="false" outlineLevel="0" collapsed="false">
      <c r="A1787" s="36" t="str">
        <f aca="false">IF($B1787="","",COUNTA($B$4:$B1787))</f>
        <v/>
      </c>
      <c r="B1787" s="37"/>
      <c r="C1787" s="38"/>
      <c r="D1787" s="39"/>
      <c r="E1787" s="37"/>
      <c r="F1787" s="39"/>
      <c r="G1787" s="40" t="str">
        <f aca="false">IF(OR($E1787="",$F1787=""),"",$E1787&amp;" - RT "&amp;$F1787)</f>
        <v/>
      </c>
      <c r="H1787" s="37"/>
      <c r="I1787" s="38"/>
      <c r="J1787" s="37"/>
      <c r="K1787" s="39"/>
      <c r="L1787" s="41"/>
      <c r="M1787" s="36" t="str">
        <f aca="true">IF(OR($B1787="",$L1787=""),"",DATEDIF($L1787,TODAY(),"Y"))</f>
        <v/>
      </c>
      <c r="N1787" s="40" t="str">
        <f aca="false">IF($M1787="","",INDEX(usia_label,MATCH($M1787,usia_min,1)))</f>
        <v/>
      </c>
      <c r="O1787" s="37"/>
      <c r="P1787" s="41"/>
      <c r="Q1787" s="37"/>
      <c r="R1787" s="37"/>
      <c r="S1787" s="40" t="str">
        <f aca="false">IF($G1787="","",$G1787&amp;"#"&amp;COUNTIF($G$4:$G1787,$G1787))</f>
        <v/>
      </c>
      <c r="T1787" s="40" t="str">
        <f aca="false">IF($B1787="","",IF($C1787="","NIK kosong",IF(LEN($C1787)&lt;&gt;16,"NIK bukan 16 digit",IF(COUNTIF($C$4:$C$2003,$C1787&amp;"*")&gt;1,"NIK ganda",IF($E1787="","Kadus kosong",IF($F1787="","RT kosong",IF($H1787="","Jabatan kosong",IF($I1787="","No. HP kosong",IF($J1787="","Alamat kosong",IF(AND($M1787&lt;&gt;"",$M1787&lt;17),"Usia di bawah 17",""))))))))))</f>
        <v/>
      </c>
      <c r="U1787" s="40" t="str">
        <f aca="false">IF($B1787="","",IF(AND(OR(CARI!$C$5="",ISNUMBER(SEARCH(CARI!$C$5,$B1787&amp;" "&amp;$C1787&amp;" "&amp;$I1787&amp;" "&amp;$J1787&amp;" "&amp;$Q1787))),OR(CARI!$C$6="",$E1787=CARI!$C$6),OR(CARI!$C$7="",$F1787=CARI!$C$7),OR(CARI!$C$8="",$O1787=CARI!$C$8)),MAX($U$3:U1786)+1,""))</f>
        <v/>
      </c>
      <c r="V1787" s="40" t="str">
        <f aca="false">IF($T1787="","",MAX($V$3:V1786)+1)</f>
        <v/>
      </c>
      <c r="W1787" s="40" t="str">
        <f aca="false">IF($E1787="","",$E1787&amp;"#"&amp;COUNTIF($E$4:$E1787,$E1787))</f>
        <v/>
      </c>
      <c r="X1787" s="40" t="str">
        <f aca="false">IF($B1787="","",IF(AND(OR(CETAK!$J$10="",$E1787=CETAK!$J$10),OR(CETAK!$J$11="",$F1787=CETAK!$J$11),OR(CETAK!$J$12="",$K1787=CETAK!$J$12),OR(CETAK!$J$13="",$H1787=CETAK!$J$13),OR(CETAK!$J$14="",$O1787=CETAK!$J$14)),MAX($X$3:X1786)+1,""))</f>
        <v/>
      </c>
      <c r="Y1787" s="40" t="str">
        <f aca="false">IF($B1787="","",IF(AND(OR(ABSENSI!$H$10="",$E1787=ABSENSI!$H$10),OR(ABSENSI!$H$11="",$F1787=ABSENSI!$H$11),OR(ABSENSI!$H$12="",$K1787=ABSENSI!$H$12)),MAX($Y$3:Y1786)+1,""))</f>
        <v/>
      </c>
      <c r="Z1787" s="40" t="str">
        <f aca="false">IF($B1787="","",IF(AND(OR(KARTU!$K$6="",$E1787=KARTU!$K$6),OR(KARTU!$K$7="",$F1787=KARTU!$K$7),OR(KARTU!$K$8="",$K1787=KARTU!$K$8)),MAX($Z$3:Z1786)+1,""))</f>
        <v/>
      </c>
    </row>
    <row r="1788" customFormat="false" ht="15" hidden="false" customHeight="false" outlineLevel="0" collapsed="false">
      <c r="A1788" s="36" t="str">
        <f aca="false">IF($B1788="","",COUNTA($B$4:$B1788))</f>
        <v/>
      </c>
      <c r="B1788" s="37"/>
      <c r="C1788" s="38"/>
      <c r="D1788" s="39"/>
      <c r="E1788" s="37"/>
      <c r="F1788" s="39"/>
      <c r="G1788" s="40" t="str">
        <f aca="false">IF(OR($E1788="",$F1788=""),"",$E1788&amp;" - RT "&amp;$F1788)</f>
        <v/>
      </c>
      <c r="H1788" s="37"/>
      <c r="I1788" s="38"/>
      <c r="J1788" s="37"/>
      <c r="K1788" s="39"/>
      <c r="L1788" s="41"/>
      <c r="M1788" s="36" t="str">
        <f aca="true">IF(OR($B1788="",$L1788=""),"",DATEDIF($L1788,TODAY(),"Y"))</f>
        <v/>
      </c>
      <c r="N1788" s="40" t="str">
        <f aca="false">IF($M1788="","",INDEX(usia_label,MATCH($M1788,usia_min,1)))</f>
        <v/>
      </c>
      <c r="O1788" s="37"/>
      <c r="P1788" s="41"/>
      <c r="Q1788" s="37"/>
      <c r="R1788" s="37"/>
      <c r="S1788" s="40" t="str">
        <f aca="false">IF($G1788="","",$G1788&amp;"#"&amp;COUNTIF($G$4:$G1788,$G1788))</f>
        <v/>
      </c>
      <c r="T1788" s="40" t="str">
        <f aca="false">IF($B1788="","",IF($C1788="","NIK kosong",IF(LEN($C1788)&lt;&gt;16,"NIK bukan 16 digit",IF(COUNTIF($C$4:$C$2003,$C1788&amp;"*")&gt;1,"NIK ganda",IF($E1788="","Kadus kosong",IF($F1788="","RT kosong",IF($H1788="","Jabatan kosong",IF($I1788="","No. HP kosong",IF($J1788="","Alamat kosong",IF(AND($M1788&lt;&gt;"",$M1788&lt;17),"Usia di bawah 17",""))))))))))</f>
        <v/>
      </c>
      <c r="U1788" s="40" t="str">
        <f aca="false">IF($B1788="","",IF(AND(OR(CARI!$C$5="",ISNUMBER(SEARCH(CARI!$C$5,$B1788&amp;" "&amp;$C1788&amp;" "&amp;$I1788&amp;" "&amp;$J1788&amp;" "&amp;$Q1788))),OR(CARI!$C$6="",$E1788=CARI!$C$6),OR(CARI!$C$7="",$F1788=CARI!$C$7),OR(CARI!$C$8="",$O1788=CARI!$C$8)),MAX($U$3:U1787)+1,""))</f>
        <v/>
      </c>
      <c r="V1788" s="40" t="str">
        <f aca="false">IF($T1788="","",MAX($V$3:V1787)+1)</f>
        <v/>
      </c>
      <c r="W1788" s="40" t="str">
        <f aca="false">IF($E1788="","",$E1788&amp;"#"&amp;COUNTIF($E$4:$E1788,$E1788))</f>
        <v/>
      </c>
      <c r="X1788" s="40" t="str">
        <f aca="false">IF($B1788="","",IF(AND(OR(CETAK!$J$10="",$E1788=CETAK!$J$10),OR(CETAK!$J$11="",$F1788=CETAK!$J$11),OR(CETAK!$J$12="",$K1788=CETAK!$J$12),OR(CETAK!$J$13="",$H1788=CETAK!$J$13),OR(CETAK!$J$14="",$O1788=CETAK!$J$14)),MAX($X$3:X1787)+1,""))</f>
        <v/>
      </c>
      <c r="Y1788" s="40" t="str">
        <f aca="false">IF($B1788="","",IF(AND(OR(ABSENSI!$H$10="",$E1788=ABSENSI!$H$10),OR(ABSENSI!$H$11="",$F1788=ABSENSI!$H$11),OR(ABSENSI!$H$12="",$K1788=ABSENSI!$H$12)),MAX($Y$3:Y1787)+1,""))</f>
        <v/>
      </c>
      <c r="Z1788" s="40" t="str">
        <f aca="false">IF($B1788="","",IF(AND(OR(KARTU!$K$6="",$E1788=KARTU!$K$6),OR(KARTU!$K$7="",$F1788=KARTU!$K$7),OR(KARTU!$K$8="",$K1788=KARTU!$K$8)),MAX($Z$3:Z1787)+1,""))</f>
        <v/>
      </c>
    </row>
    <row r="1789" customFormat="false" ht="15" hidden="false" customHeight="false" outlineLevel="0" collapsed="false">
      <c r="A1789" s="36" t="str">
        <f aca="false">IF($B1789="","",COUNTA($B$4:$B1789))</f>
        <v/>
      </c>
      <c r="B1789" s="37"/>
      <c r="C1789" s="38"/>
      <c r="D1789" s="39"/>
      <c r="E1789" s="37"/>
      <c r="F1789" s="39"/>
      <c r="G1789" s="40" t="str">
        <f aca="false">IF(OR($E1789="",$F1789=""),"",$E1789&amp;" - RT "&amp;$F1789)</f>
        <v/>
      </c>
      <c r="H1789" s="37"/>
      <c r="I1789" s="38"/>
      <c r="J1789" s="37"/>
      <c r="K1789" s="39"/>
      <c r="L1789" s="41"/>
      <c r="M1789" s="36" t="str">
        <f aca="true">IF(OR($B1789="",$L1789=""),"",DATEDIF($L1789,TODAY(),"Y"))</f>
        <v/>
      </c>
      <c r="N1789" s="40" t="str">
        <f aca="false">IF($M1789="","",INDEX(usia_label,MATCH($M1789,usia_min,1)))</f>
        <v/>
      </c>
      <c r="O1789" s="37"/>
      <c r="P1789" s="41"/>
      <c r="Q1789" s="37"/>
      <c r="R1789" s="37"/>
      <c r="S1789" s="40" t="str">
        <f aca="false">IF($G1789="","",$G1789&amp;"#"&amp;COUNTIF($G$4:$G1789,$G1789))</f>
        <v/>
      </c>
      <c r="T1789" s="40" t="str">
        <f aca="false">IF($B1789="","",IF($C1789="","NIK kosong",IF(LEN($C1789)&lt;&gt;16,"NIK bukan 16 digit",IF(COUNTIF($C$4:$C$2003,$C1789&amp;"*")&gt;1,"NIK ganda",IF($E1789="","Kadus kosong",IF($F1789="","RT kosong",IF($H1789="","Jabatan kosong",IF($I1789="","No. HP kosong",IF($J1789="","Alamat kosong",IF(AND($M1789&lt;&gt;"",$M1789&lt;17),"Usia di bawah 17",""))))))))))</f>
        <v/>
      </c>
      <c r="U1789" s="40" t="str">
        <f aca="false">IF($B1789="","",IF(AND(OR(CARI!$C$5="",ISNUMBER(SEARCH(CARI!$C$5,$B1789&amp;" "&amp;$C1789&amp;" "&amp;$I1789&amp;" "&amp;$J1789&amp;" "&amp;$Q1789))),OR(CARI!$C$6="",$E1789=CARI!$C$6),OR(CARI!$C$7="",$F1789=CARI!$C$7),OR(CARI!$C$8="",$O1789=CARI!$C$8)),MAX($U$3:U1788)+1,""))</f>
        <v/>
      </c>
      <c r="V1789" s="40" t="str">
        <f aca="false">IF($T1789="","",MAX($V$3:V1788)+1)</f>
        <v/>
      </c>
      <c r="W1789" s="40" t="str">
        <f aca="false">IF($E1789="","",$E1789&amp;"#"&amp;COUNTIF($E$4:$E1789,$E1789))</f>
        <v/>
      </c>
      <c r="X1789" s="40" t="str">
        <f aca="false">IF($B1789="","",IF(AND(OR(CETAK!$J$10="",$E1789=CETAK!$J$10),OR(CETAK!$J$11="",$F1789=CETAK!$J$11),OR(CETAK!$J$12="",$K1789=CETAK!$J$12),OR(CETAK!$J$13="",$H1789=CETAK!$J$13),OR(CETAK!$J$14="",$O1789=CETAK!$J$14)),MAX($X$3:X1788)+1,""))</f>
        <v/>
      </c>
      <c r="Y1789" s="40" t="str">
        <f aca="false">IF($B1789="","",IF(AND(OR(ABSENSI!$H$10="",$E1789=ABSENSI!$H$10),OR(ABSENSI!$H$11="",$F1789=ABSENSI!$H$11),OR(ABSENSI!$H$12="",$K1789=ABSENSI!$H$12)),MAX($Y$3:Y1788)+1,""))</f>
        <v/>
      </c>
      <c r="Z1789" s="40" t="str">
        <f aca="false">IF($B1789="","",IF(AND(OR(KARTU!$K$6="",$E1789=KARTU!$K$6),OR(KARTU!$K$7="",$F1789=KARTU!$K$7),OR(KARTU!$K$8="",$K1789=KARTU!$K$8)),MAX($Z$3:Z1788)+1,""))</f>
        <v/>
      </c>
    </row>
    <row r="1790" customFormat="false" ht="15" hidden="false" customHeight="false" outlineLevel="0" collapsed="false">
      <c r="A1790" s="36" t="str">
        <f aca="false">IF($B1790="","",COUNTA($B$4:$B1790))</f>
        <v/>
      </c>
      <c r="B1790" s="37"/>
      <c r="C1790" s="38"/>
      <c r="D1790" s="39"/>
      <c r="E1790" s="37"/>
      <c r="F1790" s="39"/>
      <c r="G1790" s="40" t="str">
        <f aca="false">IF(OR($E1790="",$F1790=""),"",$E1790&amp;" - RT "&amp;$F1790)</f>
        <v/>
      </c>
      <c r="H1790" s="37"/>
      <c r="I1790" s="38"/>
      <c r="J1790" s="37"/>
      <c r="K1790" s="39"/>
      <c r="L1790" s="41"/>
      <c r="M1790" s="36" t="str">
        <f aca="true">IF(OR($B1790="",$L1790=""),"",DATEDIF($L1790,TODAY(),"Y"))</f>
        <v/>
      </c>
      <c r="N1790" s="40" t="str">
        <f aca="false">IF($M1790="","",INDEX(usia_label,MATCH($M1790,usia_min,1)))</f>
        <v/>
      </c>
      <c r="O1790" s="37"/>
      <c r="P1790" s="41"/>
      <c r="Q1790" s="37"/>
      <c r="R1790" s="37"/>
      <c r="S1790" s="40" t="str">
        <f aca="false">IF($G1790="","",$G1790&amp;"#"&amp;COUNTIF($G$4:$G1790,$G1790))</f>
        <v/>
      </c>
      <c r="T1790" s="40" t="str">
        <f aca="false">IF($B1790="","",IF($C1790="","NIK kosong",IF(LEN($C1790)&lt;&gt;16,"NIK bukan 16 digit",IF(COUNTIF($C$4:$C$2003,$C1790&amp;"*")&gt;1,"NIK ganda",IF($E1790="","Kadus kosong",IF($F1790="","RT kosong",IF($H1790="","Jabatan kosong",IF($I1790="","No. HP kosong",IF($J1790="","Alamat kosong",IF(AND($M1790&lt;&gt;"",$M1790&lt;17),"Usia di bawah 17",""))))))))))</f>
        <v/>
      </c>
      <c r="U1790" s="40" t="str">
        <f aca="false">IF($B1790="","",IF(AND(OR(CARI!$C$5="",ISNUMBER(SEARCH(CARI!$C$5,$B1790&amp;" "&amp;$C1790&amp;" "&amp;$I1790&amp;" "&amp;$J1790&amp;" "&amp;$Q1790))),OR(CARI!$C$6="",$E1790=CARI!$C$6),OR(CARI!$C$7="",$F1790=CARI!$C$7),OR(CARI!$C$8="",$O1790=CARI!$C$8)),MAX($U$3:U1789)+1,""))</f>
        <v/>
      </c>
      <c r="V1790" s="40" t="str">
        <f aca="false">IF($T1790="","",MAX($V$3:V1789)+1)</f>
        <v/>
      </c>
      <c r="W1790" s="40" t="str">
        <f aca="false">IF($E1790="","",$E1790&amp;"#"&amp;COUNTIF($E$4:$E1790,$E1790))</f>
        <v/>
      </c>
      <c r="X1790" s="40" t="str">
        <f aca="false">IF($B1790="","",IF(AND(OR(CETAK!$J$10="",$E1790=CETAK!$J$10),OR(CETAK!$J$11="",$F1790=CETAK!$J$11),OR(CETAK!$J$12="",$K1790=CETAK!$J$12),OR(CETAK!$J$13="",$H1790=CETAK!$J$13),OR(CETAK!$J$14="",$O1790=CETAK!$J$14)),MAX($X$3:X1789)+1,""))</f>
        <v/>
      </c>
      <c r="Y1790" s="40" t="str">
        <f aca="false">IF($B1790="","",IF(AND(OR(ABSENSI!$H$10="",$E1790=ABSENSI!$H$10),OR(ABSENSI!$H$11="",$F1790=ABSENSI!$H$11),OR(ABSENSI!$H$12="",$K1790=ABSENSI!$H$12)),MAX($Y$3:Y1789)+1,""))</f>
        <v/>
      </c>
      <c r="Z1790" s="40" t="str">
        <f aca="false">IF($B1790="","",IF(AND(OR(KARTU!$K$6="",$E1790=KARTU!$K$6),OR(KARTU!$K$7="",$F1790=KARTU!$K$7),OR(KARTU!$K$8="",$K1790=KARTU!$K$8)),MAX($Z$3:Z1789)+1,""))</f>
        <v/>
      </c>
    </row>
    <row r="1791" customFormat="false" ht="15" hidden="false" customHeight="false" outlineLevel="0" collapsed="false">
      <c r="A1791" s="36" t="str">
        <f aca="false">IF($B1791="","",COUNTA($B$4:$B1791))</f>
        <v/>
      </c>
      <c r="B1791" s="37"/>
      <c r="C1791" s="38"/>
      <c r="D1791" s="39"/>
      <c r="E1791" s="37"/>
      <c r="F1791" s="39"/>
      <c r="G1791" s="40" t="str">
        <f aca="false">IF(OR($E1791="",$F1791=""),"",$E1791&amp;" - RT "&amp;$F1791)</f>
        <v/>
      </c>
      <c r="H1791" s="37"/>
      <c r="I1791" s="38"/>
      <c r="J1791" s="37"/>
      <c r="K1791" s="39"/>
      <c r="L1791" s="41"/>
      <c r="M1791" s="36" t="str">
        <f aca="true">IF(OR($B1791="",$L1791=""),"",DATEDIF($L1791,TODAY(),"Y"))</f>
        <v/>
      </c>
      <c r="N1791" s="40" t="str">
        <f aca="false">IF($M1791="","",INDEX(usia_label,MATCH($M1791,usia_min,1)))</f>
        <v/>
      </c>
      <c r="O1791" s="37"/>
      <c r="P1791" s="41"/>
      <c r="Q1791" s="37"/>
      <c r="R1791" s="37"/>
      <c r="S1791" s="40" t="str">
        <f aca="false">IF($G1791="","",$G1791&amp;"#"&amp;COUNTIF($G$4:$G1791,$G1791))</f>
        <v/>
      </c>
      <c r="T1791" s="40" t="str">
        <f aca="false">IF($B1791="","",IF($C1791="","NIK kosong",IF(LEN($C1791)&lt;&gt;16,"NIK bukan 16 digit",IF(COUNTIF($C$4:$C$2003,$C1791&amp;"*")&gt;1,"NIK ganda",IF($E1791="","Kadus kosong",IF($F1791="","RT kosong",IF($H1791="","Jabatan kosong",IF($I1791="","No. HP kosong",IF($J1791="","Alamat kosong",IF(AND($M1791&lt;&gt;"",$M1791&lt;17),"Usia di bawah 17",""))))))))))</f>
        <v/>
      </c>
      <c r="U1791" s="40" t="str">
        <f aca="false">IF($B1791="","",IF(AND(OR(CARI!$C$5="",ISNUMBER(SEARCH(CARI!$C$5,$B1791&amp;" "&amp;$C1791&amp;" "&amp;$I1791&amp;" "&amp;$J1791&amp;" "&amp;$Q1791))),OR(CARI!$C$6="",$E1791=CARI!$C$6),OR(CARI!$C$7="",$F1791=CARI!$C$7),OR(CARI!$C$8="",$O1791=CARI!$C$8)),MAX($U$3:U1790)+1,""))</f>
        <v/>
      </c>
      <c r="V1791" s="40" t="str">
        <f aca="false">IF($T1791="","",MAX($V$3:V1790)+1)</f>
        <v/>
      </c>
      <c r="W1791" s="40" t="str">
        <f aca="false">IF($E1791="","",$E1791&amp;"#"&amp;COUNTIF($E$4:$E1791,$E1791))</f>
        <v/>
      </c>
      <c r="X1791" s="40" t="str">
        <f aca="false">IF($B1791="","",IF(AND(OR(CETAK!$J$10="",$E1791=CETAK!$J$10),OR(CETAK!$J$11="",$F1791=CETAK!$J$11),OR(CETAK!$J$12="",$K1791=CETAK!$J$12),OR(CETAK!$J$13="",$H1791=CETAK!$J$13),OR(CETAK!$J$14="",$O1791=CETAK!$J$14)),MAX($X$3:X1790)+1,""))</f>
        <v/>
      </c>
      <c r="Y1791" s="40" t="str">
        <f aca="false">IF($B1791="","",IF(AND(OR(ABSENSI!$H$10="",$E1791=ABSENSI!$H$10),OR(ABSENSI!$H$11="",$F1791=ABSENSI!$H$11),OR(ABSENSI!$H$12="",$K1791=ABSENSI!$H$12)),MAX($Y$3:Y1790)+1,""))</f>
        <v/>
      </c>
      <c r="Z1791" s="40" t="str">
        <f aca="false">IF($B1791="","",IF(AND(OR(KARTU!$K$6="",$E1791=KARTU!$K$6),OR(KARTU!$K$7="",$F1791=KARTU!$K$7),OR(KARTU!$K$8="",$K1791=KARTU!$K$8)),MAX($Z$3:Z1790)+1,""))</f>
        <v/>
      </c>
    </row>
    <row r="1792" customFormat="false" ht="15" hidden="false" customHeight="false" outlineLevel="0" collapsed="false">
      <c r="A1792" s="36" t="str">
        <f aca="false">IF($B1792="","",COUNTA($B$4:$B1792))</f>
        <v/>
      </c>
      <c r="B1792" s="37"/>
      <c r="C1792" s="38"/>
      <c r="D1792" s="39"/>
      <c r="E1792" s="37"/>
      <c r="F1792" s="39"/>
      <c r="G1792" s="40" t="str">
        <f aca="false">IF(OR($E1792="",$F1792=""),"",$E1792&amp;" - RT "&amp;$F1792)</f>
        <v/>
      </c>
      <c r="H1792" s="37"/>
      <c r="I1792" s="38"/>
      <c r="J1792" s="37"/>
      <c r="K1792" s="39"/>
      <c r="L1792" s="41"/>
      <c r="M1792" s="36" t="str">
        <f aca="true">IF(OR($B1792="",$L1792=""),"",DATEDIF($L1792,TODAY(),"Y"))</f>
        <v/>
      </c>
      <c r="N1792" s="40" t="str">
        <f aca="false">IF($M1792="","",INDEX(usia_label,MATCH($M1792,usia_min,1)))</f>
        <v/>
      </c>
      <c r="O1792" s="37"/>
      <c r="P1792" s="41"/>
      <c r="Q1792" s="37"/>
      <c r="R1792" s="37"/>
      <c r="S1792" s="40" t="str">
        <f aca="false">IF($G1792="","",$G1792&amp;"#"&amp;COUNTIF($G$4:$G1792,$G1792))</f>
        <v/>
      </c>
      <c r="T1792" s="40" t="str">
        <f aca="false">IF($B1792="","",IF($C1792="","NIK kosong",IF(LEN($C1792)&lt;&gt;16,"NIK bukan 16 digit",IF(COUNTIF($C$4:$C$2003,$C1792&amp;"*")&gt;1,"NIK ganda",IF($E1792="","Kadus kosong",IF($F1792="","RT kosong",IF($H1792="","Jabatan kosong",IF($I1792="","No. HP kosong",IF($J1792="","Alamat kosong",IF(AND($M1792&lt;&gt;"",$M1792&lt;17),"Usia di bawah 17",""))))))))))</f>
        <v/>
      </c>
      <c r="U1792" s="40" t="str">
        <f aca="false">IF($B1792="","",IF(AND(OR(CARI!$C$5="",ISNUMBER(SEARCH(CARI!$C$5,$B1792&amp;" "&amp;$C1792&amp;" "&amp;$I1792&amp;" "&amp;$J1792&amp;" "&amp;$Q1792))),OR(CARI!$C$6="",$E1792=CARI!$C$6),OR(CARI!$C$7="",$F1792=CARI!$C$7),OR(CARI!$C$8="",$O1792=CARI!$C$8)),MAX($U$3:U1791)+1,""))</f>
        <v/>
      </c>
      <c r="V1792" s="40" t="str">
        <f aca="false">IF($T1792="","",MAX($V$3:V1791)+1)</f>
        <v/>
      </c>
      <c r="W1792" s="40" t="str">
        <f aca="false">IF($E1792="","",$E1792&amp;"#"&amp;COUNTIF($E$4:$E1792,$E1792))</f>
        <v/>
      </c>
      <c r="X1792" s="40" t="str">
        <f aca="false">IF($B1792="","",IF(AND(OR(CETAK!$J$10="",$E1792=CETAK!$J$10),OR(CETAK!$J$11="",$F1792=CETAK!$J$11),OR(CETAK!$J$12="",$K1792=CETAK!$J$12),OR(CETAK!$J$13="",$H1792=CETAK!$J$13),OR(CETAK!$J$14="",$O1792=CETAK!$J$14)),MAX($X$3:X1791)+1,""))</f>
        <v/>
      </c>
      <c r="Y1792" s="40" t="str">
        <f aca="false">IF($B1792="","",IF(AND(OR(ABSENSI!$H$10="",$E1792=ABSENSI!$H$10),OR(ABSENSI!$H$11="",$F1792=ABSENSI!$H$11),OR(ABSENSI!$H$12="",$K1792=ABSENSI!$H$12)),MAX($Y$3:Y1791)+1,""))</f>
        <v/>
      </c>
      <c r="Z1792" s="40" t="str">
        <f aca="false">IF($B1792="","",IF(AND(OR(KARTU!$K$6="",$E1792=KARTU!$K$6),OR(KARTU!$K$7="",$F1792=KARTU!$K$7),OR(KARTU!$K$8="",$K1792=KARTU!$K$8)),MAX($Z$3:Z1791)+1,""))</f>
        <v/>
      </c>
    </row>
    <row r="1793" customFormat="false" ht="15" hidden="false" customHeight="false" outlineLevel="0" collapsed="false">
      <c r="A1793" s="36" t="str">
        <f aca="false">IF($B1793="","",COUNTA($B$4:$B1793))</f>
        <v/>
      </c>
      <c r="B1793" s="37"/>
      <c r="C1793" s="38"/>
      <c r="D1793" s="39"/>
      <c r="E1793" s="37"/>
      <c r="F1793" s="39"/>
      <c r="G1793" s="40" t="str">
        <f aca="false">IF(OR($E1793="",$F1793=""),"",$E1793&amp;" - RT "&amp;$F1793)</f>
        <v/>
      </c>
      <c r="H1793" s="37"/>
      <c r="I1793" s="38"/>
      <c r="J1793" s="37"/>
      <c r="K1793" s="39"/>
      <c r="L1793" s="41"/>
      <c r="M1793" s="36" t="str">
        <f aca="true">IF(OR($B1793="",$L1793=""),"",DATEDIF($L1793,TODAY(),"Y"))</f>
        <v/>
      </c>
      <c r="N1793" s="40" t="str">
        <f aca="false">IF($M1793="","",INDEX(usia_label,MATCH($M1793,usia_min,1)))</f>
        <v/>
      </c>
      <c r="O1793" s="37"/>
      <c r="P1793" s="41"/>
      <c r="Q1793" s="37"/>
      <c r="R1793" s="37"/>
      <c r="S1793" s="40" t="str">
        <f aca="false">IF($G1793="","",$G1793&amp;"#"&amp;COUNTIF($G$4:$G1793,$G1793))</f>
        <v/>
      </c>
      <c r="T1793" s="40" t="str">
        <f aca="false">IF($B1793="","",IF($C1793="","NIK kosong",IF(LEN($C1793)&lt;&gt;16,"NIK bukan 16 digit",IF(COUNTIF($C$4:$C$2003,$C1793&amp;"*")&gt;1,"NIK ganda",IF($E1793="","Kadus kosong",IF($F1793="","RT kosong",IF($H1793="","Jabatan kosong",IF($I1793="","No. HP kosong",IF($J1793="","Alamat kosong",IF(AND($M1793&lt;&gt;"",$M1793&lt;17),"Usia di bawah 17",""))))))))))</f>
        <v/>
      </c>
      <c r="U1793" s="40" t="str">
        <f aca="false">IF($B1793="","",IF(AND(OR(CARI!$C$5="",ISNUMBER(SEARCH(CARI!$C$5,$B1793&amp;" "&amp;$C1793&amp;" "&amp;$I1793&amp;" "&amp;$J1793&amp;" "&amp;$Q1793))),OR(CARI!$C$6="",$E1793=CARI!$C$6),OR(CARI!$C$7="",$F1793=CARI!$C$7),OR(CARI!$C$8="",$O1793=CARI!$C$8)),MAX($U$3:U1792)+1,""))</f>
        <v/>
      </c>
      <c r="V1793" s="40" t="str">
        <f aca="false">IF($T1793="","",MAX($V$3:V1792)+1)</f>
        <v/>
      </c>
      <c r="W1793" s="40" t="str">
        <f aca="false">IF($E1793="","",$E1793&amp;"#"&amp;COUNTIF($E$4:$E1793,$E1793))</f>
        <v/>
      </c>
      <c r="X1793" s="40" t="str">
        <f aca="false">IF($B1793="","",IF(AND(OR(CETAK!$J$10="",$E1793=CETAK!$J$10),OR(CETAK!$J$11="",$F1793=CETAK!$J$11),OR(CETAK!$J$12="",$K1793=CETAK!$J$12),OR(CETAK!$J$13="",$H1793=CETAK!$J$13),OR(CETAK!$J$14="",$O1793=CETAK!$J$14)),MAX($X$3:X1792)+1,""))</f>
        <v/>
      </c>
      <c r="Y1793" s="40" t="str">
        <f aca="false">IF($B1793="","",IF(AND(OR(ABSENSI!$H$10="",$E1793=ABSENSI!$H$10),OR(ABSENSI!$H$11="",$F1793=ABSENSI!$H$11),OR(ABSENSI!$H$12="",$K1793=ABSENSI!$H$12)),MAX($Y$3:Y1792)+1,""))</f>
        <v/>
      </c>
      <c r="Z1793" s="40" t="str">
        <f aca="false">IF($B1793="","",IF(AND(OR(KARTU!$K$6="",$E1793=KARTU!$K$6),OR(KARTU!$K$7="",$F1793=KARTU!$K$7),OR(KARTU!$K$8="",$K1793=KARTU!$K$8)),MAX($Z$3:Z1792)+1,""))</f>
        <v/>
      </c>
    </row>
    <row r="1794" customFormat="false" ht="15" hidden="false" customHeight="false" outlineLevel="0" collapsed="false">
      <c r="A1794" s="36" t="str">
        <f aca="false">IF($B1794="","",COUNTA($B$4:$B1794))</f>
        <v/>
      </c>
      <c r="B1794" s="37"/>
      <c r="C1794" s="38"/>
      <c r="D1794" s="39"/>
      <c r="E1794" s="37"/>
      <c r="F1794" s="39"/>
      <c r="G1794" s="40" t="str">
        <f aca="false">IF(OR($E1794="",$F1794=""),"",$E1794&amp;" - RT "&amp;$F1794)</f>
        <v/>
      </c>
      <c r="H1794" s="37"/>
      <c r="I1794" s="38"/>
      <c r="J1794" s="37"/>
      <c r="K1794" s="39"/>
      <c r="L1794" s="41"/>
      <c r="M1794" s="36" t="str">
        <f aca="true">IF(OR($B1794="",$L1794=""),"",DATEDIF($L1794,TODAY(),"Y"))</f>
        <v/>
      </c>
      <c r="N1794" s="40" t="str">
        <f aca="false">IF($M1794="","",INDEX(usia_label,MATCH($M1794,usia_min,1)))</f>
        <v/>
      </c>
      <c r="O1794" s="37"/>
      <c r="P1794" s="41"/>
      <c r="Q1794" s="37"/>
      <c r="R1794" s="37"/>
      <c r="S1794" s="40" t="str">
        <f aca="false">IF($G1794="","",$G1794&amp;"#"&amp;COUNTIF($G$4:$G1794,$G1794))</f>
        <v/>
      </c>
      <c r="T1794" s="40" t="str">
        <f aca="false">IF($B1794="","",IF($C1794="","NIK kosong",IF(LEN($C1794)&lt;&gt;16,"NIK bukan 16 digit",IF(COUNTIF($C$4:$C$2003,$C1794&amp;"*")&gt;1,"NIK ganda",IF($E1794="","Kadus kosong",IF($F1794="","RT kosong",IF($H1794="","Jabatan kosong",IF($I1794="","No. HP kosong",IF($J1794="","Alamat kosong",IF(AND($M1794&lt;&gt;"",$M1794&lt;17),"Usia di bawah 17",""))))))))))</f>
        <v/>
      </c>
      <c r="U1794" s="40" t="str">
        <f aca="false">IF($B1794="","",IF(AND(OR(CARI!$C$5="",ISNUMBER(SEARCH(CARI!$C$5,$B1794&amp;" "&amp;$C1794&amp;" "&amp;$I1794&amp;" "&amp;$J1794&amp;" "&amp;$Q1794))),OR(CARI!$C$6="",$E1794=CARI!$C$6),OR(CARI!$C$7="",$F1794=CARI!$C$7),OR(CARI!$C$8="",$O1794=CARI!$C$8)),MAX($U$3:U1793)+1,""))</f>
        <v/>
      </c>
      <c r="V1794" s="40" t="str">
        <f aca="false">IF($T1794="","",MAX($V$3:V1793)+1)</f>
        <v/>
      </c>
      <c r="W1794" s="40" t="str">
        <f aca="false">IF($E1794="","",$E1794&amp;"#"&amp;COUNTIF($E$4:$E1794,$E1794))</f>
        <v/>
      </c>
      <c r="X1794" s="40" t="str">
        <f aca="false">IF($B1794="","",IF(AND(OR(CETAK!$J$10="",$E1794=CETAK!$J$10),OR(CETAK!$J$11="",$F1794=CETAK!$J$11),OR(CETAK!$J$12="",$K1794=CETAK!$J$12),OR(CETAK!$J$13="",$H1794=CETAK!$J$13),OR(CETAK!$J$14="",$O1794=CETAK!$J$14)),MAX($X$3:X1793)+1,""))</f>
        <v/>
      </c>
      <c r="Y1794" s="40" t="str">
        <f aca="false">IF($B1794="","",IF(AND(OR(ABSENSI!$H$10="",$E1794=ABSENSI!$H$10),OR(ABSENSI!$H$11="",$F1794=ABSENSI!$H$11),OR(ABSENSI!$H$12="",$K1794=ABSENSI!$H$12)),MAX($Y$3:Y1793)+1,""))</f>
        <v/>
      </c>
      <c r="Z1794" s="40" t="str">
        <f aca="false">IF($B1794="","",IF(AND(OR(KARTU!$K$6="",$E1794=KARTU!$K$6),OR(KARTU!$K$7="",$F1794=KARTU!$K$7),OR(KARTU!$K$8="",$K1794=KARTU!$K$8)),MAX($Z$3:Z1793)+1,""))</f>
        <v/>
      </c>
    </row>
    <row r="1795" customFormat="false" ht="15" hidden="false" customHeight="false" outlineLevel="0" collapsed="false">
      <c r="A1795" s="36" t="str">
        <f aca="false">IF($B1795="","",COUNTA($B$4:$B1795))</f>
        <v/>
      </c>
      <c r="B1795" s="37"/>
      <c r="C1795" s="38"/>
      <c r="D1795" s="39"/>
      <c r="E1795" s="37"/>
      <c r="F1795" s="39"/>
      <c r="G1795" s="40" t="str">
        <f aca="false">IF(OR($E1795="",$F1795=""),"",$E1795&amp;" - RT "&amp;$F1795)</f>
        <v/>
      </c>
      <c r="H1795" s="37"/>
      <c r="I1795" s="38"/>
      <c r="J1795" s="37"/>
      <c r="K1795" s="39"/>
      <c r="L1795" s="41"/>
      <c r="M1795" s="36" t="str">
        <f aca="true">IF(OR($B1795="",$L1795=""),"",DATEDIF($L1795,TODAY(),"Y"))</f>
        <v/>
      </c>
      <c r="N1795" s="40" t="str">
        <f aca="false">IF($M1795="","",INDEX(usia_label,MATCH($M1795,usia_min,1)))</f>
        <v/>
      </c>
      <c r="O1795" s="37"/>
      <c r="P1795" s="41"/>
      <c r="Q1795" s="37"/>
      <c r="R1795" s="37"/>
      <c r="S1795" s="40" t="str">
        <f aca="false">IF($G1795="","",$G1795&amp;"#"&amp;COUNTIF($G$4:$G1795,$G1795))</f>
        <v/>
      </c>
      <c r="T1795" s="40" t="str">
        <f aca="false">IF($B1795="","",IF($C1795="","NIK kosong",IF(LEN($C1795)&lt;&gt;16,"NIK bukan 16 digit",IF(COUNTIF($C$4:$C$2003,$C1795&amp;"*")&gt;1,"NIK ganda",IF($E1795="","Kadus kosong",IF($F1795="","RT kosong",IF($H1795="","Jabatan kosong",IF($I1795="","No. HP kosong",IF($J1795="","Alamat kosong",IF(AND($M1795&lt;&gt;"",$M1795&lt;17),"Usia di bawah 17",""))))))))))</f>
        <v/>
      </c>
      <c r="U1795" s="40" t="str">
        <f aca="false">IF($B1795="","",IF(AND(OR(CARI!$C$5="",ISNUMBER(SEARCH(CARI!$C$5,$B1795&amp;" "&amp;$C1795&amp;" "&amp;$I1795&amp;" "&amp;$J1795&amp;" "&amp;$Q1795))),OR(CARI!$C$6="",$E1795=CARI!$C$6),OR(CARI!$C$7="",$F1795=CARI!$C$7),OR(CARI!$C$8="",$O1795=CARI!$C$8)),MAX($U$3:U1794)+1,""))</f>
        <v/>
      </c>
      <c r="V1795" s="40" t="str">
        <f aca="false">IF($T1795="","",MAX($V$3:V1794)+1)</f>
        <v/>
      </c>
      <c r="W1795" s="40" t="str">
        <f aca="false">IF($E1795="","",$E1795&amp;"#"&amp;COUNTIF($E$4:$E1795,$E1795))</f>
        <v/>
      </c>
      <c r="X1795" s="40" t="str">
        <f aca="false">IF($B1795="","",IF(AND(OR(CETAK!$J$10="",$E1795=CETAK!$J$10),OR(CETAK!$J$11="",$F1795=CETAK!$J$11),OR(CETAK!$J$12="",$K1795=CETAK!$J$12),OR(CETAK!$J$13="",$H1795=CETAK!$J$13),OR(CETAK!$J$14="",$O1795=CETAK!$J$14)),MAX($X$3:X1794)+1,""))</f>
        <v/>
      </c>
      <c r="Y1795" s="40" t="str">
        <f aca="false">IF($B1795="","",IF(AND(OR(ABSENSI!$H$10="",$E1795=ABSENSI!$H$10),OR(ABSENSI!$H$11="",$F1795=ABSENSI!$H$11),OR(ABSENSI!$H$12="",$K1795=ABSENSI!$H$12)),MAX($Y$3:Y1794)+1,""))</f>
        <v/>
      </c>
      <c r="Z1795" s="40" t="str">
        <f aca="false">IF($B1795="","",IF(AND(OR(KARTU!$K$6="",$E1795=KARTU!$K$6),OR(KARTU!$K$7="",$F1795=KARTU!$K$7),OR(KARTU!$K$8="",$K1795=KARTU!$K$8)),MAX($Z$3:Z1794)+1,""))</f>
        <v/>
      </c>
    </row>
    <row r="1796" customFormat="false" ht="15" hidden="false" customHeight="false" outlineLevel="0" collapsed="false">
      <c r="A1796" s="36" t="str">
        <f aca="false">IF($B1796="","",COUNTA($B$4:$B1796))</f>
        <v/>
      </c>
      <c r="B1796" s="37"/>
      <c r="C1796" s="38"/>
      <c r="D1796" s="39"/>
      <c r="E1796" s="37"/>
      <c r="F1796" s="39"/>
      <c r="G1796" s="40" t="str">
        <f aca="false">IF(OR($E1796="",$F1796=""),"",$E1796&amp;" - RT "&amp;$F1796)</f>
        <v/>
      </c>
      <c r="H1796" s="37"/>
      <c r="I1796" s="38"/>
      <c r="J1796" s="37"/>
      <c r="K1796" s="39"/>
      <c r="L1796" s="41"/>
      <c r="M1796" s="36" t="str">
        <f aca="true">IF(OR($B1796="",$L1796=""),"",DATEDIF($L1796,TODAY(),"Y"))</f>
        <v/>
      </c>
      <c r="N1796" s="40" t="str">
        <f aca="false">IF($M1796="","",INDEX(usia_label,MATCH($M1796,usia_min,1)))</f>
        <v/>
      </c>
      <c r="O1796" s="37"/>
      <c r="P1796" s="41"/>
      <c r="Q1796" s="37"/>
      <c r="R1796" s="37"/>
      <c r="S1796" s="40" t="str">
        <f aca="false">IF($G1796="","",$G1796&amp;"#"&amp;COUNTIF($G$4:$G1796,$G1796))</f>
        <v/>
      </c>
      <c r="T1796" s="40" t="str">
        <f aca="false">IF($B1796="","",IF($C1796="","NIK kosong",IF(LEN($C1796)&lt;&gt;16,"NIK bukan 16 digit",IF(COUNTIF($C$4:$C$2003,$C1796&amp;"*")&gt;1,"NIK ganda",IF($E1796="","Kadus kosong",IF($F1796="","RT kosong",IF($H1796="","Jabatan kosong",IF($I1796="","No. HP kosong",IF($J1796="","Alamat kosong",IF(AND($M1796&lt;&gt;"",$M1796&lt;17),"Usia di bawah 17",""))))))))))</f>
        <v/>
      </c>
      <c r="U1796" s="40" t="str">
        <f aca="false">IF($B1796="","",IF(AND(OR(CARI!$C$5="",ISNUMBER(SEARCH(CARI!$C$5,$B1796&amp;" "&amp;$C1796&amp;" "&amp;$I1796&amp;" "&amp;$J1796&amp;" "&amp;$Q1796))),OR(CARI!$C$6="",$E1796=CARI!$C$6),OR(CARI!$C$7="",$F1796=CARI!$C$7),OR(CARI!$C$8="",$O1796=CARI!$C$8)),MAX($U$3:U1795)+1,""))</f>
        <v/>
      </c>
      <c r="V1796" s="40" t="str">
        <f aca="false">IF($T1796="","",MAX($V$3:V1795)+1)</f>
        <v/>
      </c>
      <c r="W1796" s="40" t="str">
        <f aca="false">IF($E1796="","",$E1796&amp;"#"&amp;COUNTIF($E$4:$E1796,$E1796))</f>
        <v/>
      </c>
      <c r="X1796" s="40" t="str">
        <f aca="false">IF($B1796="","",IF(AND(OR(CETAK!$J$10="",$E1796=CETAK!$J$10),OR(CETAK!$J$11="",$F1796=CETAK!$J$11),OR(CETAK!$J$12="",$K1796=CETAK!$J$12),OR(CETAK!$J$13="",$H1796=CETAK!$J$13),OR(CETAK!$J$14="",$O1796=CETAK!$J$14)),MAX($X$3:X1795)+1,""))</f>
        <v/>
      </c>
      <c r="Y1796" s="40" t="str">
        <f aca="false">IF($B1796="","",IF(AND(OR(ABSENSI!$H$10="",$E1796=ABSENSI!$H$10),OR(ABSENSI!$H$11="",$F1796=ABSENSI!$H$11),OR(ABSENSI!$H$12="",$K1796=ABSENSI!$H$12)),MAX($Y$3:Y1795)+1,""))</f>
        <v/>
      </c>
      <c r="Z1796" s="40" t="str">
        <f aca="false">IF($B1796="","",IF(AND(OR(KARTU!$K$6="",$E1796=KARTU!$K$6),OR(KARTU!$K$7="",$F1796=KARTU!$K$7),OR(KARTU!$K$8="",$K1796=KARTU!$K$8)),MAX($Z$3:Z1795)+1,""))</f>
        <v/>
      </c>
    </row>
    <row r="1797" customFormat="false" ht="15" hidden="false" customHeight="false" outlineLevel="0" collapsed="false">
      <c r="A1797" s="36" t="str">
        <f aca="false">IF($B1797="","",COUNTA($B$4:$B1797))</f>
        <v/>
      </c>
      <c r="B1797" s="37"/>
      <c r="C1797" s="38"/>
      <c r="D1797" s="39"/>
      <c r="E1797" s="37"/>
      <c r="F1797" s="39"/>
      <c r="G1797" s="40" t="str">
        <f aca="false">IF(OR($E1797="",$F1797=""),"",$E1797&amp;" - RT "&amp;$F1797)</f>
        <v/>
      </c>
      <c r="H1797" s="37"/>
      <c r="I1797" s="38"/>
      <c r="J1797" s="37"/>
      <c r="K1797" s="39"/>
      <c r="L1797" s="41"/>
      <c r="M1797" s="36" t="str">
        <f aca="true">IF(OR($B1797="",$L1797=""),"",DATEDIF($L1797,TODAY(),"Y"))</f>
        <v/>
      </c>
      <c r="N1797" s="40" t="str">
        <f aca="false">IF($M1797="","",INDEX(usia_label,MATCH($M1797,usia_min,1)))</f>
        <v/>
      </c>
      <c r="O1797" s="37"/>
      <c r="P1797" s="41"/>
      <c r="Q1797" s="37"/>
      <c r="R1797" s="37"/>
      <c r="S1797" s="40" t="str">
        <f aca="false">IF($G1797="","",$G1797&amp;"#"&amp;COUNTIF($G$4:$G1797,$G1797))</f>
        <v/>
      </c>
      <c r="T1797" s="40" t="str">
        <f aca="false">IF($B1797="","",IF($C1797="","NIK kosong",IF(LEN($C1797)&lt;&gt;16,"NIK bukan 16 digit",IF(COUNTIF($C$4:$C$2003,$C1797&amp;"*")&gt;1,"NIK ganda",IF($E1797="","Kadus kosong",IF($F1797="","RT kosong",IF($H1797="","Jabatan kosong",IF($I1797="","No. HP kosong",IF($J1797="","Alamat kosong",IF(AND($M1797&lt;&gt;"",$M1797&lt;17),"Usia di bawah 17",""))))))))))</f>
        <v/>
      </c>
      <c r="U1797" s="40" t="str">
        <f aca="false">IF($B1797="","",IF(AND(OR(CARI!$C$5="",ISNUMBER(SEARCH(CARI!$C$5,$B1797&amp;" "&amp;$C1797&amp;" "&amp;$I1797&amp;" "&amp;$J1797&amp;" "&amp;$Q1797))),OR(CARI!$C$6="",$E1797=CARI!$C$6),OR(CARI!$C$7="",$F1797=CARI!$C$7),OR(CARI!$C$8="",$O1797=CARI!$C$8)),MAX($U$3:U1796)+1,""))</f>
        <v/>
      </c>
      <c r="V1797" s="40" t="str">
        <f aca="false">IF($T1797="","",MAX($V$3:V1796)+1)</f>
        <v/>
      </c>
      <c r="W1797" s="40" t="str">
        <f aca="false">IF($E1797="","",$E1797&amp;"#"&amp;COUNTIF($E$4:$E1797,$E1797))</f>
        <v/>
      </c>
      <c r="X1797" s="40" t="str">
        <f aca="false">IF($B1797="","",IF(AND(OR(CETAK!$J$10="",$E1797=CETAK!$J$10),OR(CETAK!$J$11="",$F1797=CETAK!$J$11),OR(CETAK!$J$12="",$K1797=CETAK!$J$12),OR(CETAK!$J$13="",$H1797=CETAK!$J$13),OR(CETAK!$J$14="",$O1797=CETAK!$J$14)),MAX($X$3:X1796)+1,""))</f>
        <v/>
      </c>
      <c r="Y1797" s="40" t="str">
        <f aca="false">IF($B1797="","",IF(AND(OR(ABSENSI!$H$10="",$E1797=ABSENSI!$H$10),OR(ABSENSI!$H$11="",$F1797=ABSENSI!$H$11),OR(ABSENSI!$H$12="",$K1797=ABSENSI!$H$12)),MAX($Y$3:Y1796)+1,""))</f>
        <v/>
      </c>
      <c r="Z1797" s="40" t="str">
        <f aca="false">IF($B1797="","",IF(AND(OR(KARTU!$K$6="",$E1797=KARTU!$K$6),OR(KARTU!$K$7="",$F1797=KARTU!$K$7),OR(KARTU!$K$8="",$K1797=KARTU!$K$8)),MAX($Z$3:Z1796)+1,""))</f>
        <v/>
      </c>
    </row>
    <row r="1798" customFormat="false" ht="15" hidden="false" customHeight="false" outlineLevel="0" collapsed="false">
      <c r="A1798" s="36" t="str">
        <f aca="false">IF($B1798="","",COUNTA($B$4:$B1798))</f>
        <v/>
      </c>
      <c r="B1798" s="37"/>
      <c r="C1798" s="38"/>
      <c r="D1798" s="39"/>
      <c r="E1798" s="37"/>
      <c r="F1798" s="39"/>
      <c r="G1798" s="40" t="str">
        <f aca="false">IF(OR($E1798="",$F1798=""),"",$E1798&amp;" - RT "&amp;$F1798)</f>
        <v/>
      </c>
      <c r="H1798" s="37"/>
      <c r="I1798" s="38"/>
      <c r="J1798" s="37"/>
      <c r="K1798" s="39"/>
      <c r="L1798" s="41"/>
      <c r="M1798" s="36" t="str">
        <f aca="true">IF(OR($B1798="",$L1798=""),"",DATEDIF($L1798,TODAY(),"Y"))</f>
        <v/>
      </c>
      <c r="N1798" s="40" t="str">
        <f aca="false">IF($M1798="","",INDEX(usia_label,MATCH($M1798,usia_min,1)))</f>
        <v/>
      </c>
      <c r="O1798" s="37"/>
      <c r="P1798" s="41"/>
      <c r="Q1798" s="37"/>
      <c r="R1798" s="37"/>
      <c r="S1798" s="40" t="str">
        <f aca="false">IF($G1798="","",$G1798&amp;"#"&amp;COUNTIF($G$4:$G1798,$G1798))</f>
        <v/>
      </c>
      <c r="T1798" s="40" t="str">
        <f aca="false">IF($B1798="","",IF($C1798="","NIK kosong",IF(LEN($C1798)&lt;&gt;16,"NIK bukan 16 digit",IF(COUNTIF($C$4:$C$2003,$C1798&amp;"*")&gt;1,"NIK ganda",IF($E1798="","Kadus kosong",IF($F1798="","RT kosong",IF($H1798="","Jabatan kosong",IF($I1798="","No. HP kosong",IF($J1798="","Alamat kosong",IF(AND($M1798&lt;&gt;"",$M1798&lt;17),"Usia di bawah 17",""))))))))))</f>
        <v/>
      </c>
      <c r="U1798" s="40" t="str">
        <f aca="false">IF($B1798="","",IF(AND(OR(CARI!$C$5="",ISNUMBER(SEARCH(CARI!$C$5,$B1798&amp;" "&amp;$C1798&amp;" "&amp;$I1798&amp;" "&amp;$J1798&amp;" "&amp;$Q1798))),OR(CARI!$C$6="",$E1798=CARI!$C$6),OR(CARI!$C$7="",$F1798=CARI!$C$7),OR(CARI!$C$8="",$O1798=CARI!$C$8)),MAX($U$3:U1797)+1,""))</f>
        <v/>
      </c>
      <c r="V1798" s="40" t="str">
        <f aca="false">IF($T1798="","",MAX($V$3:V1797)+1)</f>
        <v/>
      </c>
      <c r="W1798" s="40" t="str">
        <f aca="false">IF($E1798="","",$E1798&amp;"#"&amp;COUNTIF($E$4:$E1798,$E1798))</f>
        <v/>
      </c>
      <c r="X1798" s="40" t="str">
        <f aca="false">IF($B1798="","",IF(AND(OR(CETAK!$J$10="",$E1798=CETAK!$J$10),OR(CETAK!$J$11="",$F1798=CETAK!$J$11),OR(CETAK!$J$12="",$K1798=CETAK!$J$12),OR(CETAK!$J$13="",$H1798=CETAK!$J$13),OR(CETAK!$J$14="",$O1798=CETAK!$J$14)),MAX($X$3:X1797)+1,""))</f>
        <v/>
      </c>
      <c r="Y1798" s="40" t="str">
        <f aca="false">IF($B1798="","",IF(AND(OR(ABSENSI!$H$10="",$E1798=ABSENSI!$H$10),OR(ABSENSI!$H$11="",$F1798=ABSENSI!$H$11),OR(ABSENSI!$H$12="",$K1798=ABSENSI!$H$12)),MAX($Y$3:Y1797)+1,""))</f>
        <v/>
      </c>
      <c r="Z1798" s="40" t="str">
        <f aca="false">IF($B1798="","",IF(AND(OR(KARTU!$K$6="",$E1798=KARTU!$K$6),OR(KARTU!$K$7="",$F1798=KARTU!$K$7),OR(KARTU!$K$8="",$K1798=KARTU!$K$8)),MAX($Z$3:Z1797)+1,""))</f>
        <v/>
      </c>
    </row>
    <row r="1799" customFormat="false" ht="15" hidden="false" customHeight="false" outlineLevel="0" collapsed="false">
      <c r="A1799" s="36" t="str">
        <f aca="false">IF($B1799="","",COUNTA($B$4:$B1799))</f>
        <v/>
      </c>
      <c r="B1799" s="37"/>
      <c r="C1799" s="38"/>
      <c r="D1799" s="39"/>
      <c r="E1799" s="37"/>
      <c r="F1799" s="39"/>
      <c r="G1799" s="40" t="str">
        <f aca="false">IF(OR($E1799="",$F1799=""),"",$E1799&amp;" - RT "&amp;$F1799)</f>
        <v/>
      </c>
      <c r="H1799" s="37"/>
      <c r="I1799" s="38"/>
      <c r="J1799" s="37"/>
      <c r="K1799" s="39"/>
      <c r="L1799" s="41"/>
      <c r="M1799" s="36" t="str">
        <f aca="true">IF(OR($B1799="",$L1799=""),"",DATEDIF($L1799,TODAY(),"Y"))</f>
        <v/>
      </c>
      <c r="N1799" s="40" t="str">
        <f aca="false">IF($M1799="","",INDEX(usia_label,MATCH($M1799,usia_min,1)))</f>
        <v/>
      </c>
      <c r="O1799" s="37"/>
      <c r="P1799" s="41"/>
      <c r="Q1799" s="37"/>
      <c r="R1799" s="37"/>
      <c r="S1799" s="40" t="str">
        <f aca="false">IF($G1799="","",$G1799&amp;"#"&amp;COUNTIF($G$4:$G1799,$G1799))</f>
        <v/>
      </c>
      <c r="T1799" s="40" t="str">
        <f aca="false">IF($B1799="","",IF($C1799="","NIK kosong",IF(LEN($C1799)&lt;&gt;16,"NIK bukan 16 digit",IF(COUNTIF($C$4:$C$2003,$C1799&amp;"*")&gt;1,"NIK ganda",IF($E1799="","Kadus kosong",IF($F1799="","RT kosong",IF($H1799="","Jabatan kosong",IF($I1799="","No. HP kosong",IF($J1799="","Alamat kosong",IF(AND($M1799&lt;&gt;"",$M1799&lt;17),"Usia di bawah 17",""))))))))))</f>
        <v/>
      </c>
      <c r="U1799" s="40" t="str">
        <f aca="false">IF($B1799="","",IF(AND(OR(CARI!$C$5="",ISNUMBER(SEARCH(CARI!$C$5,$B1799&amp;" "&amp;$C1799&amp;" "&amp;$I1799&amp;" "&amp;$J1799&amp;" "&amp;$Q1799))),OR(CARI!$C$6="",$E1799=CARI!$C$6),OR(CARI!$C$7="",$F1799=CARI!$C$7),OR(CARI!$C$8="",$O1799=CARI!$C$8)),MAX($U$3:U1798)+1,""))</f>
        <v/>
      </c>
      <c r="V1799" s="40" t="str">
        <f aca="false">IF($T1799="","",MAX($V$3:V1798)+1)</f>
        <v/>
      </c>
      <c r="W1799" s="40" t="str">
        <f aca="false">IF($E1799="","",$E1799&amp;"#"&amp;COUNTIF($E$4:$E1799,$E1799))</f>
        <v/>
      </c>
      <c r="X1799" s="40" t="str">
        <f aca="false">IF($B1799="","",IF(AND(OR(CETAK!$J$10="",$E1799=CETAK!$J$10),OR(CETAK!$J$11="",$F1799=CETAK!$J$11),OR(CETAK!$J$12="",$K1799=CETAK!$J$12),OR(CETAK!$J$13="",$H1799=CETAK!$J$13),OR(CETAK!$J$14="",$O1799=CETAK!$J$14)),MAX($X$3:X1798)+1,""))</f>
        <v/>
      </c>
      <c r="Y1799" s="40" t="str">
        <f aca="false">IF($B1799="","",IF(AND(OR(ABSENSI!$H$10="",$E1799=ABSENSI!$H$10),OR(ABSENSI!$H$11="",$F1799=ABSENSI!$H$11),OR(ABSENSI!$H$12="",$K1799=ABSENSI!$H$12)),MAX($Y$3:Y1798)+1,""))</f>
        <v/>
      </c>
      <c r="Z1799" s="40" t="str">
        <f aca="false">IF($B1799="","",IF(AND(OR(KARTU!$K$6="",$E1799=KARTU!$K$6),OR(KARTU!$K$7="",$F1799=KARTU!$K$7),OR(KARTU!$K$8="",$K1799=KARTU!$K$8)),MAX($Z$3:Z1798)+1,""))</f>
        <v/>
      </c>
    </row>
    <row r="1800" customFormat="false" ht="15" hidden="false" customHeight="false" outlineLevel="0" collapsed="false">
      <c r="A1800" s="36" t="str">
        <f aca="false">IF($B1800="","",COUNTA($B$4:$B1800))</f>
        <v/>
      </c>
      <c r="B1800" s="37"/>
      <c r="C1800" s="38"/>
      <c r="D1800" s="39"/>
      <c r="E1800" s="37"/>
      <c r="F1800" s="39"/>
      <c r="G1800" s="40" t="str">
        <f aca="false">IF(OR($E1800="",$F1800=""),"",$E1800&amp;" - RT "&amp;$F1800)</f>
        <v/>
      </c>
      <c r="H1800" s="37"/>
      <c r="I1800" s="38"/>
      <c r="J1800" s="37"/>
      <c r="K1800" s="39"/>
      <c r="L1800" s="41"/>
      <c r="M1800" s="36" t="str">
        <f aca="true">IF(OR($B1800="",$L1800=""),"",DATEDIF($L1800,TODAY(),"Y"))</f>
        <v/>
      </c>
      <c r="N1800" s="40" t="str">
        <f aca="false">IF($M1800="","",INDEX(usia_label,MATCH($M1800,usia_min,1)))</f>
        <v/>
      </c>
      <c r="O1800" s="37"/>
      <c r="P1800" s="41"/>
      <c r="Q1800" s="37"/>
      <c r="R1800" s="37"/>
      <c r="S1800" s="40" t="str">
        <f aca="false">IF($G1800="","",$G1800&amp;"#"&amp;COUNTIF($G$4:$G1800,$G1800))</f>
        <v/>
      </c>
      <c r="T1800" s="40" t="str">
        <f aca="false">IF($B1800="","",IF($C1800="","NIK kosong",IF(LEN($C1800)&lt;&gt;16,"NIK bukan 16 digit",IF(COUNTIF($C$4:$C$2003,$C1800&amp;"*")&gt;1,"NIK ganda",IF($E1800="","Kadus kosong",IF($F1800="","RT kosong",IF($H1800="","Jabatan kosong",IF($I1800="","No. HP kosong",IF($J1800="","Alamat kosong",IF(AND($M1800&lt;&gt;"",$M1800&lt;17),"Usia di bawah 17",""))))))))))</f>
        <v/>
      </c>
      <c r="U1800" s="40" t="str">
        <f aca="false">IF($B1800="","",IF(AND(OR(CARI!$C$5="",ISNUMBER(SEARCH(CARI!$C$5,$B1800&amp;" "&amp;$C1800&amp;" "&amp;$I1800&amp;" "&amp;$J1800&amp;" "&amp;$Q1800))),OR(CARI!$C$6="",$E1800=CARI!$C$6),OR(CARI!$C$7="",$F1800=CARI!$C$7),OR(CARI!$C$8="",$O1800=CARI!$C$8)),MAX($U$3:U1799)+1,""))</f>
        <v/>
      </c>
      <c r="V1800" s="40" t="str">
        <f aca="false">IF($T1800="","",MAX($V$3:V1799)+1)</f>
        <v/>
      </c>
      <c r="W1800" s="40" t="str">
        <f aca="false">IF($E1800="","",$E1800&amp;"#"&amp;COUNTIF($E$4:$E1800,$E1800))</f>
        <v/>
      </c>
      <c r="X1800" s="40" t="str">
        <f aca="false">IF($B1800="","",IF(AND(OR(CETAK!$J$10="",$E1800=CETAK!$J$10),OR(CETAK!$J$11="",$F1800=CETAK!$J$11),OR(CETAK!$J$12="",$K1800=CETAK!$J$12),OR(CETAK!$J$13="",$H1800=CETAK!$J$13),OR(CETAK!$J$14="",$O1800=CETAK!$J$14)),MAX($X$3:X1799)+1,""))</f>
        <v/>
      </c>
      <c r="Y1800" s="40" t="str">
        <f aca="false">IF($B1800="","",IF(AND(OR(ABSENSI!$H$10="",$E1800=ABSENSI!$H$10),OR(ABSENSI!$H$11="",$F1800=ABSENSI!$H$11),OR(ABSENSI!$H$12="",$K1800=ABSENSI!$H$12)),MAX($Y$3:Y1799)+1,""))</f>
        <v/>
      </c>
      <c r="Z1800" s="40" t="str">
        <f aca="false">IF($B1800="","",IF(AND(OR(KARTU!$K$6="",$E1800=KARTU!$K$6),OR(KARTU!$K$7="",$F1800=KARTU!$K$7),OR(KARTU!$K$8="",$K1800=KARTU!$K$8)),MAX($Z$3:Z1799)+1,""))</f>
        <v/>
      </c>
    </row>
    <row r="1801" customFormat="false" ht="15" hidden="false" customHeight="false" outlineLevel="0" collapsed="false">
      <c r="A1801" s="36" t="str">
        <f aca="false">IF($B1801="","",COUNTA($B$4:$B1801))</f>
        <v/>
      </c>
      <c r="B1801" s="37"/>
      <c r="C1801" s="38"/>
      <c r="D1801" s="39"/>
      <c r="E1801" s="37"/>
      <c r="F1801" s="39"/>
      <c r="G1801" s="40" t="str">
        <f aca="false">IF(OR($E1801="",$F1801=""),"",$E1801&amp;" - RT "&amp;$F1801)</f>
        <v/>
      </c>
      <c r="H1801" s="37"/>
      <c r="I1801" s="38"/>
      <c r="J1801" s="37"/>
      <c r="K1801" s="39"/>
      <c r="L1801" s="41"/>
      <c r="M1801" s="36" t="str">
        <f aca="true">IF(OR($B1801="",$L1801=""),"",DATEDIF($L1801,TODAY(),"Y"))</f>
        <v/>
      </c>
      <c r="N1801" s="40" t="str">
        <f aca="false">IF($M1801="","",INDEX(usia_label,MATCH($M1801,usia_min,1)))</f>
        <v/>
      </c>
      <c r="O1801" s="37"/>
      <c r="P1801" s="41"/>
      <c r="Q1801" s="37"/>
      <c r="R1801" s="37"/>
      <c r="S1801" s="40" t="str">
        <f aca="false">IF($G1801="","",$G1801&amp;"#"&amp;COUNTIF($G$4:$G1801,$G1801))</f>
        <v/>
      </c>
      <c r="T1801" s="40" t="str">
        <f aca="false">IF($B1801="","",IF($C1801="","NIK kosong",IF(LEN($C1801)&lt;&gt;16,"NIK bukan 16 digit",IF(COUNTIF($C$4:$C$2003,$C1801&amp;"*")&gt;1,"NIK ganda",IF($E1801="","Kadus kosong",IF($F1801="","RT kosong",IF($H1801="","Jabatan kosong",IF($I1801="","No. HP kosong",IF($J1801="","Alamat kosong",IF(AND($M1801&lt;&gt;"",$M1801&lt;17),"Usia di bawah 17",""))))))))))</f>
        <v/>
      </c>
      <c r="U1801" s="40" t="str">
        <f aca="false">IF($B1801="","",IF(AND(OR(CARI!$C$5="",ISNUMBER(SEARCH(CARI!$C$5,$B1801&amp;" "&amp;$C1801&amp;" "&amp;$I1801&amp;" "&amp;$J1801&amp;" "&amp;$Q1801))),OR(CARI!$C$6="",$E1801=CARI!$C$6),OR(CARI!$C$7="",$F1801=CARI!$C$7),OR(CARI!$C$8="",$O1801=CARI!$C$8)),MAX($U$3:U1800)+1,""))</f>
        <v/>
      </c>
      <c r="V1801" s="40" t="str">
        <f aca="false">IF($T1801="","",MAX($V$3:V1800)+1)</f>
        <v/>
      </c>
      <c r="W1801" s="40" t="str">
        <f aca="false">IF($E1801="","",$E1801&amp;"#"&amp;COUNTIF($E$4:$E1801,$E1801))</f>
        <v/>
      </c>
      <c r="X1801" s="40" t="str">
        <f aca="false">IF($B1801="","",IF(AND(OR(CETAK!$J$10="",$E1801=CETAK!$J$10),OR(CETAK!$J$11="",$F1801=CETAK!$J$11),OR(CETAK!$J$12="",$K1801=CETAK!$J$12),OR(CETAK!$J$13="",$H1801=CETAK!$J$13),OR(CETAK!$J$14="",$O1801=CETAK!$J$14)),MAX($X$3:X1800)+1,""))</f>
        <v/>
      </c>
      <c r="Y1801" s="40" t="str">
        <f aca="false">IF($B1801="","",IF(AND(OR(ABSENSI!$H$10="",$E1801=ABSENSI!$H$10),OR(ABSENSI!$H$11="",$F1801=ABSENSI!$H$11),OR(ABSENSI!$H$12="",$K1801=ABSENSI!$H$12)),MAX($Y$3:Y1800)+1,""))</f>
        <v/>
      </c>
      <c r="Z1801" s="40" t="str">
        <f aca="false">IF($B1801="","",IF(AND(OR(KARTU!$K$6="",$E1801=KARTU!$K$6),OR(KARTU!$K$7="",$F1801=KARTU!$K$7),OR(KARTU!$K$8="",$K1801=KARTU!$K$8)),MAX($Z$3:Z1800)+1,""))</f>
        <v/>
      </c>
    </row>
    <row r="1802" customFormat="false" ht="15" hidden="false" customHeight="false" outlineLevel="0" collapsed="false">
      <c r="A1802" s="36" t="str">
        <f aca="false">IF($B1802="","",COUNTA($B$4:$B1802))</f>
        <v/>
      </c>
      <c r="B1802" s="37"/>
      <c r="C1802" s="38"/>
      <c r="D1802" s="39"/>
      <c r="E1802" s="37"/>
      <c r="F1802" s="39"/>
      <c r="G1802" s="40" t="str">
        <f aca="false">IF(OR($E1802="",$F1802=""),"",$E1802&amp;" - RT "&amp;$F1802)</f>
        <v/>
      </c>
      <c r="H1802" s="37"/>
      <c r="I1802" s="38"/>
      <c r="J1802" s="37"/>
      <c r="K1802" s="39"/>
      <c r="L1802" s="41"/>
      <c r="M1802" s="36" t="str">
        <f aca="true">IF(OR($B1802="",$L1802=""),"",DATEDIF($L1802,TODAY(),"Y"))</f>
        <v/>
      </c>
      <c r="N1802" s="40" t="str">
        <f aca="false">IF($M1802="","",INDEX(usia_label,MATCH($M1802,usia_min,1)))</f>
        <v/>
      </c>
      <c r="O1802" s="37"/>
      <c r="P1802" s="41"/>
      <c r="Q1802" s="37"/>
      <c r="R1802" s="37"/>
      <c r="S1802" s="40" t="str">
        <f aca="false">IF($G1802="","",$G1802&amp;"#"&amp;COUNTIF($G$4:$G1802,$G1802))</f>
        <v/>
      </c>
      <c r="T1802" s="40" t="str">
        <f aca="false">IF($B1802="","",IF($C1802="","NIK kosong",IF(LEN($C1802)&lt;&gt;16,"NIK bukan 16 digit",IF(COUNTIF($C$4:$C$2003,$C1802&amp;"*")&gt;1,"NIK ganda",IF($E1802="","Kadus kosong",IF($F1802="","RT kosong",IF($H1802="","Jabatan kosong",IF($I1802="","No. HP kosong",IF($J1802="","Alamat kosong",IF(AND($M1802&lt;&gt;"",$M1802&lt;17),"Usia di bawah 17",""))))))))))</f>
        <v/>
      </c>
      <c r="U1802" s="40" t="str">
        <f aca="false">IF($B1802="","",IF(AND(OR(CARI!$C$5="",ISNUMBER(SEARCH(CARI!$C$5,$B1802&amp;" "&amp;$C1802&amp;" "&amp;$I1802&amp;" "&amp;$J1802&amp;" "&amp;$Q1802))),OR(CARI!$C$6="",$E1802=CARI!$C$6),OR(CARI!$C$7="",$F1802=CARI!$C$7),OR(CARI!$C$8="",$O1802=CARI!$C$8)),MAX($U$3:U1801)+1,""))</f>
        <v/>
      </c>
      <c r="V1802" s="40" t="str">
        <f aca="false">IF($T1802="","",MAX($V$3:V1801)+1)</f>
        <v/>
      </c>
      <c r="W1802" s="40" t="str">
        <f aca="false">IF($E1802="","",$E1802&amp;"#"&amp;COUNTIF($E$4:$E1802,$E1802))</f>
        <v/>
      </c>
      <c r="X1802" s="40" t="str">
        <f aca="false">IF($B1802="","",IF(AND(OR(CETAK!$J$10="",$E1802=CETAK!$J$10),OR(CETAK!$J$11="",$F1802=CETAK!$J$11),OR(CETAK!$J$12="",$K1802=CETAK!$J$12),OR(CETAK!$J$13="",$H1802=CETAK!$J$13),OR(CETAK!$J$14="",$O1802=CETAK!$J$14)),MAX($X$3:X1801)+1,""))</f>
        <v/>
      </c>
      <c r="Y1802" s="40" t="str">
        <f aca="false">IF($B1802="","",IF(AND(OR(ABSENSI!$H$10="",$E1802=ABSENSI!$H$10),OR(ABSENSI!$H$11="",$F1802=ABSENSI!$H$11),OR(ABSENSI!$H$12="",$K1802=ABSENSI!$H$12)),MAX($Y$3:Y1801)+1,""))</f>
        <v/>
      </c>
      <c r="Z1802" s="40" t="str">
        <f aca="false">IF($B1802="","",IF(AND(OR(KARTU!$K$6="",$E1802=KARTU!$K$6),OR(KARTU!$K$7="",$F1802=KARTU!$K$7),OR(KARTU!$K$8="",$K1802=KARTU!$K$8)),MAX($Z$3:Z1801)+1,""))</f>
        <v/>
      </c>
    </row>
    <row r="1803" customFormat="false" ht="15" hidden="false" customHeight="false" outlineLevel="0" collapsed="false">
      <c r="A1803" s="36" t="str">
        <f aca="false">IF($B1803="","",COUNTA($B$4:$B1803))</f>
        <v/>
      </c>
      <c r="B1803" s="37"/>
      <c r="C1803" s="38"/>
      <c r="D1803" s="39"/>
      <c r="E1803" s="37"/>
      <c r="F1803" s="39"/>
      <c r="G1803" s="40" t="str">
        <f aca="false">IF(OR($E1803="",$F1803=""),"",$E1803&amp;" - RT "&amp;$F1803)</f>
        <v/>
      </c>
      <c r="H1803" s="37"/>
      <c r="I1803" s="38"/>
      <c r="J1803" s="37"/>
      <c r="K1803" s="39"/>
      <c r="L1803" s="41"/>
      <c r="M1803" s="36" t="str">
        <f aca="true">IF(OR($B1803="",$L1803=""),"",DATEDIF($L1803,TODAY(),"Y"))</f>
        <v/>
      </c>
      <c r="N1803" s="40" t="str">
        <f aca="false">IF($M1803="","",INDEX(usia_label,MATCH($M1803,usia_min,1)))</f>
        <v/>
      </c>
      <c r="O1803" s="37"/>
      <c r="P1803" s="41"/>
      <c r="Q1803" s="37"/>
      <c r="R1803" s="37"/>
      <c r="S1803" s="40" t="str">
        <f aca="false">IF($G1803="","",$G1803&amp;"#"&amp;COUNTIF($G$4:$G1803,$G1803))</f>
        <v/>
      </c>
      <c r="T1803" s="40" t="str">
        <f aca="false">IF($B1803="","",IF($C1803="","NIK kosong",IF(LEN($C1803)&lt;&gt;16,"NIK bukan 16 digit",IF(COUNTIF($C$4:$C$2003,$C1803&amp;"*")&gt;1,"NIK ganda",IF($E1803="","Kadus kosong",IF($F1803="","RT kosong",IF($H1803="","Jabatan kosong",IF($I1803="","No. HP kosong",IF($J1803="","Alamat kosong",IF(AND($M1803&lt;&gt;"",$M1803&lt;17),"Usia di bawah 17",""))))))))))</f>
        <v/>
      </c>
      <c r="U1803" s="40" t="str">
        <f aca="false">IF($B1803="","",IF(AND(OR(CARI!$C$5="",ISNUMBER(SEARCH(CARI!$C$5,$B1803&amp;" "&amp;$C1803&amp;" "&amp;$I1803&amp;" "&amp;$J1803&amp;" "&amp;$Q1803))),OR(CARI!$C$6="",$E1803=CARI!$C$6),OR(CARI!$C$7="",$F1803=CARI!$C$7),OR(CARI!$C$8="",$O1803=CARI!$C$8)),MAX($U$3:U1802)+1,""))</f>
        <v/>
      </c>
      <c r="V1803" s="40" t="str">
        <f aca="false">IF($T1803="","",MAX($V$3:V1802)+1)</f>
        <v/>
      </c>
      <c r="W1803" s="40" t="str">
        <f aca="false">IF($E1803="","",$E1803&amp;"#"&amp;COUNTIF($E$4:$E1803,$E1803))</f>
        <v/>
      </c>
      <c r="X1803" s="40" t="str">
        <f aca="false">IF($B1803="","",IF(AND(OR(CETAK!$J$10="",$E1803=CETAK!$J$10),OR(CETAK!$J$11="",$F1803=CETAK!$J$11),OR(CETAK!$J$12="",$K1803=CETAK!$J$12),OR(CETAK!$J$13="",$H1803=CETAK!$J$13),OR(CETAK!$J$14="",$O1803=CETAK!$J$14)),MAX($X$3:X1802)+1,""))</f>
        <v/>
      </c>
      <c r="Y1803" s="40" t="str">
        <f aca="false">IF($B1803="","",IF(AND(OR(ABSENSI!$H$10="",$E1803=ABSENSI!$H$10),OR(ABSENSI!$H$11="",$F1803=ABSENSI!$H$11),OR(ABSENSI!$H$12="",$K1803=ABSENSI!$H$12)),MAX($Y$3:Y1802)+1,""))</f>
        <v/>
      </c>
      <c r="Z1803" s="40" t="str">
        <f aca="false">IF($B1803="","",IF(AND(OR(KARTU!$K$6="",$E1803=KARTU!$K$6),OR(KARTU!$K$7="",$F1803=KARTU!$K$7),OR(KARTU!$K$8="",$K1803=KARTU!$K$8)),MAX($Z$3:Z1802)+1,""))</f>
        <v/>
      </c>
    </row>
    <row r="1804" customFormat="false" ht="15" hidden="false" customHeight="false" outlineLevel="0" collapsed="false">
      <c r="A1804" s="36" t="str">
        <f aca="false">IF($B1804="","",COUNTA($B$4:$B1804))</f>
        <v/>
      </c>
      <c r="B1804" s="37"/>
      <c r="C1804" s="38"/>
      <c r="D1804" s="39"/>
      <c r="E1804" s="37"/>
      <c r="F1804" s="39"/>
      <c r="G1804" s="40" t="str">
        <f aca="false">IF(OR($E1804="",$F1804=""),"",$E1804&amp;" - RT "&amp;$F1804)</f>
        <v/>
      </c>
      <c r="H1804" s="37"/>
      <c r="I1804" s="38"/>
      <c r="J1804" s="37"/>
      <c r="K1804" s="39"/>
      <c r="L1804" s="41"/>
      <c r="M1804" s="36" t="str">
        <f aca="true">IF(OR($B1804="",$L1804=""),"",DATEDIF($L1804,TODAY(),"Y"))</f>
        <v/>
      </c>
      <c r="N1804" s="40" t="str">
        <f aca="false">IF($M1804="","",INDEX(usia_label,MATCH($M1804,usia_min,1)))</f>
        <v/>
      </c>
      <c r="O1804" s="37"/>
      <c r="P1804" s="41"/>
      <c r="Q1804" s="37"/>
      <c r="R1804" s="37"/>
      <c r="S1804" s="40" t="str">
        <f aca="false">IF($G1804="","",$G1804&amp;"#"&amp;COUNTIF($G$4:$G1804,$G1804))</f>
        <v/>
      </c>
      <c r="T1804" s="40" t="str">
        <f aca="false">IF($B1804="","",IF($C1804="","NIK kosong",IF(LEN($C1804)&lt;&gt;16,"NIK bukan 16 digit",IF(COUNTIF($C$4:$C$2003,$C1804&amp;"*")&gt;1,"NIK ganda",IF($E1804="","Kadus kosong",IF($F1804="","RT kosong",IF($H1804="","Jabatan kosong",IF($I1804="","No. HP kosong",IF($J1804="","Alamat kosong",IF(AND($M1804&lt;&gt;"",$M1804&lt;17),"Usia di bawah 17",""))))))))))</f>
        <v/>
      </c>
      <c r="U1804" s="40" t="str">
        <f aca="false">IF($B1804="","",IF(AND(OR(CARI!$C$5="",ISNUMBER(SEARCH(CARI!$C$5,$B1804&amp;" "&amp;$C1804&amp;" "&amp;$I1804&amp;" "&amp;$J1804&amp;" "&amp;$Q1804))),OR(CARI!$C$6="",$E1804=CARI!$C$6),OR(CARI!$C$7="",$F1804=CARI!$C$7),OR(CARI!$C$8="",$O1804=CARI!$C$8)),MAX($U$3:U1803)+1,""))</f>
        <v/>
      </c>
      <c r="V1804" s="40" t="str">
        <f aca="false">IF($T1804="","",MAX($V$3:V1803)+1)</f>
        <v/>
      </c>
      <c r="W1804" s="40" t="str">
        <f aca="false">IF($E1804="","",$E1804&amp;"#"&amp;COUNTIF($E$4:$E1804,$E1804))</f>
        <v/>
      </c>
      <c r="X1804" s="40" t="str">
        <f aca="false">IF($B1804="","",IF(AND(OR(CETAK!$J$10="",$E1804=CETAK!$J$10),OR(CETAK!$J$11="",$F1804=CETAK!$J$11),OR(CETAK!$J$12="",$K1804=CETAK!$J$12),OR(CETAK!$J$13="",$H1804=CETAK!$J$13),OR(CETAK!$J$14="",$O1804=CETAK!$J$14)),MAX($X$3:X1803)+1,""))</f>
        <v/>
      </c>
      <c r="Y1804" s="40" t="str">
        <f aca="false">IF($B1804="","",IF(AND(OR(ABSENSI!$H$10="",$E1804=ABSENSI!$H$10),OR(ABSENSI!$H$11="",$F1804=ABSENSI!$H$11),OR(ABSENSI!$H$12="",$K1804=ABSENSI!$H$12)),MAX($Y$3:Y1803)+1,""))</f>
        <v/>
      </c>
      <c r="Z1804" s="40" t="str">
        <f aca="false">IF($B1804="","",IF(AND(OR(KARTU!$K$6="",$E1804=KARTU!$K$6),OR(KARTU!$K$7="",$F1804=KARTU!$K$7),OR(KARTU!$K$8="",$K1804=KARTU!$K$8)),MAX($Z$3:Z1803)+1,""))</f>
        <v/>
      </c>
    </row>
    <row r="1805" customFormat="false" ht="15" hidden="false" customHeight="false" outlineLevel="0" collapsed="false">
      <c r="A1805" s="36" t="str">
        <f aca="false">IF($B1805="","",COUNTA($B$4:$B1805))</f>
        <v/>
      </c>
      <c r="B1805" s="37"/>
      <c r="C1805" s="38"/>
      <c r="D1805" s="39"/>
      <c r="E1805" s="37"/>
      <c r="F1805" s="39"/>
      <c r="G1805" s="40" t="str">
        <f aca="false">IF(OR($E1805="",$F1805=""),"",$E1805&amp;" - RT "&amp;$F1805)</f>
        <v/>
      </c>
      <c r="H1805" s="37"/>
      <c r="I1805" s="38"/>
      <c r="J1805" s="37"/>
      <c r="K1805" s="39"/>
      <c r="L1805" s="41"/>
      <c r="M1805" s="36" t="str">
        <f aca="true">IF(OR($B1805="",$L1805=""),"",DATEDIF($L1805,TODAY(),"Y"))</f>
        <v/>
      </c>
      <c r="N1805" s="40" t="str">
        <f aca="false">IF($M1805="","",INDEX(usia_label,MATCH($M1805,usia_min,1)))</f>
        <v/>
      </c>
      <c r="O1805" s="37"/>
      <c r="P1805" s="41"/>
      <c r="Q1805" s="37"/>
      <c r="R1805" s="37"/>
      <c r="S1805" s="40" t="str">
        <f aca="false">IF($G1805="","",$G1805&amp;"#"&amp;COUNTIF($G$4:$G1805,$G1805))</f>
        <v/>
      </c>
      <c r="T1805" s="40" t="str">
        <f aca="false">IF($B1805="","",IF($C1805="","NIK kosong",IF(LEN($C1805)&lt;&gt;16,"NIK bukan 16 digit",IF(COUNTIF($C$4:$C$2003,$C1805&amp;"*")&gt;1,"NIK ganda",IF($E1805="","Kadus kosong",IF($F1805="","RT kosong",IF($H1805="","Jabatan kosong",IF($I1805="","No. HP kosong",IF($J1805="","Alamat kosong",IF(AND($M1805&lt;&gt;"",$M1805&lt;17),"Usia di bawah 17",""))))))))))</f>
        <v/>
      </c>
      <c r="U1805" s="40" t="str">
        <f aca="false">IF($B1805="","",IF(AND(OR(CARI!$C$5="",ISNUMBER(SEARCH(CARI!$C$5,$B1805&amp;" "&amp;$C1805&amp;" "&amp;$I1805&amp;" "&amp;$J1805&amp;" "&amp;$Q1805))),OR(CARI!$C$6="",$E1805=CARI!$C$6),OR(CARI!$C$7="",$F1805=CARI!$C$7),OR(CARI!$C$8="",$O1805=CARI!$C$8)),MAX($U$3:U1804)+1,""))</f>
        <v/>
      </c>
      <c r="V1805" s="40" t="str">
        <f aca="false">IF($T1805="","",MAX($V$3:V1804)+1)</f>
        <v/>
      </c>
      <c r="W1805" s="40" t="str">
        <f aca="false">IF($E1805="","",$E1805&amp;"#"&amp;COUNTIF($E$4:$E1805,$E1805))</f>
        <v/>
      </c>
      <c r="X1805" s="40" t="str">
        <f aca="false">IF($B1805="","",IF(AND(OR(CETAK!$J$10="",$E1805=CETAK!$J$10),OR(CETAK!$J$11="",$F1805=CETAK!$J$11),OR(CETAK!$J$12="",$K1805=CETAK!$J$12),OR(CETAK!$J$13="",$H1805=CETAK!$J$13),OR(CETAK!$J$14="",$O1805=CETAK!$J$14)),MAX($X$3:X1804)+1,""))</f>
        <v/>
      </c>
      <c r="Y1805" s="40" t="str">
        <f aca="false">IF($B1805="","",IF(AND(OR(ABSENSI!$H$10="",$E1805=ABSENSI!$H$10),OR(ABSENSI!$H$11="",$F1805=ABSENSI!$H$11),OR(ABSENSI!$H$12="",$K1805=ABSENSI!$H$12)),MAX($Y$3:Y1804)+1,""))</f>
        <v/>
      </c>
      <c r="Z1805" s="40" t="str">
        <f aca="false">IF($B1805="","",IF(AND(OR(KARTU!$K$6="",$E1805=KARTU!$K$6),OR(KARTU!$K$7="",$F1805=KARTU!$K$7),OR(KARTU!$K$8="",$K1805=KARTU!$K$8)),MAX($Z$3:Z1804)+1,""))</f>
        <v/>
      </c>
    </row>
    <row r="1806" customFormat="false" ht="15" hidden="false" customHeight="false" outlineLevel="0" collapsed="false">
      <c r="A1806" s="36" t="str">
        <f aca="false">IF($B1806="","",COUNTA($B$4:$B1806))</f>
        <v/>
      </c>
      <c r="B1806" s="37"/>
      <c r="C1806" s="38"/>
      <c r="D1806" s="39"/>
      <c r="E1806" s="37"/>
      <c r="F1806" s="39"/>
      <c r="G1806" s="40" t="str">
        <f aca="false">IF(OR($E1806="",$F1806=""),"",$E1806&amp;" - RT "&amp;$F1806)</f>
        <v/>
      </c>
      <c r="H1806" s="37"/>
      <c r="I1806" s="38"/>
      <c r="J1806" s="37"/>
      <c r="K1806" s="39"/>
      <c r="L1806" s="41"/>
      <c r="M1806" s="36" t="str">
        <f aca="true">IF(OR($B1806="",$L1806=""),"",DATEDIF($L1806,TODAY(),"Y"))</f>
        <v/>
      </c>
      <c r="N1806" s="40" t="str">
        <f aca="false">IF($M1806="","",INDEX(usia_label,MATCH($M1806,usia_min,1)))</f>
        <v/>
      </c>
      <c r="O1806" s="37"/>
      <c r="P1806" s="41"/>
      <c r="Q1806" s="37"/>
      <c r="R1806" s="37"/>
      <c r="S1806" s="40" t="str">
        <f aca="false">IF($G1806="","",$G1806&amp;"#"&amp;COUNTIF($G$4:$G1806,$G1806))</f>
        <v/>
      </c>
      <c r="T1806" s="40" t="str">
        <f aca="false">IF($B1806="","",IF($C1806="","NIK kosong",IF(LEN($C1806)&lt;&gt;16,"NIK bukan 16 digit",IF(COUNTIF($C$4:$C$2003,$C1806&amp;"*")&gt;1,"NIK ganda",IF($E1806="","Kadus kosong",IF($F1806="","RT kosong",IF($H1806="","Jabatan kosong",IF($I1806="","No. HP kosong",IF($J1806="","Alamat kosong",IF(AND($M1806&lt;&gt;"",$M1806&lt;17),"Usia di bawah 17",""))))))))))</f>
        <v/>
      </c>
      <c r="U1806" s="40" t="str">
        <f aca="false">IF($B1806="","",IF(AND(OR(CARI!$C$5="",ISNUMBER(SEARCH(CARI!$C$5,$B1806&amp;" "&amp;$C1806&amp;" "&amp;$I1806&amp;" "&amp;$J1806&amp;" "&amp;$Q1806))),OR(CARI!$C$6="",$E1806=CARI!$C$6),OR(CARI!$C$7="",$F1806=CARI!$C$7),OR(CARI!$C$8="",$O1806=CARI!$C$8)),MAX($U$3:U1805)+1,""))</f>
        <v/>
      </c>
      <c r="V1806" s="40" t="str">
        <f aca="false">IF($T1806="","",MAX($V$3:V1805)+1)</f>
        <v/>
      </c>
      <c r="W1806" s="40" t="str">
        <f aca="false">IF($E1806="","",$E1806&amp;"#"&amp;COUNTIF($E$4:$E1806,$E1806))</f>
        <v/>
      </c>
      <c r="X1806" s="40" t="str">
        <f aca="false">IF($B1806="","",IF(AND(OR(CETAK!$J$10="",$E1806=CETAK!$J$10),OR(CETAK!$J$11="",$F1806=CETAK!$J$11),OR(CETAK!$J$12="",$K1806=CETAK!$J$12),OR(CETAK!$J$13="",$H1806=CETAK!$J$13),OR(CETAK!$J$14="",$O1806=CETAK!$J$14)),MAX($X$3:X1805)+1,""))</f>
        <v/>
      </c>
      <c r="Y1806" s="40" t="str">
        <f aca="false">IF($B1806="","",IF(AND(OR(ABSENSI!$H$10="",$E1806=ABSENSI!$H$10),OR(ABSENSI!$H$11="",$F1806=ABSENSI!$H$11),OR(ABSENSI!$H$12="",$K1806=ABSENSI!$H$12)),MAX($Y$3:Y1805)+1,""))</f>
        <v/>
      </c>
      <c r="Z1806" s="40" t="str">
        <f aca="false">IF($B1806="","",IF(AND(OR(KARTU!$K$6="",$E1806=KARTU!$K$6),OR(KARTU!$K$7="",$F1806=KARTU!$K$7),OR(KARTU!$K$8="",$K1806=KARTU!$K$8)),MAX($Z$3:Z1805)+1,""))</f>
        <v/>
      </c>
    </row>
    <row r="1807" customFormat="false" ht="15" hidden="false" customHeight="false" outlineLevel="0" collapsed="false">
      <c r="A1807" s="36" t="str">
        <f aca="false">IF($B1807="","",COUNTA($B$4:$B1807))</f>
        <v/>
      </c>
      <c r="B1807" s="37"/>
      <c r="C1807" s="38"/>
      <c r="D1807" s="39"/>
      <c r="E1807" s="37"/>
      <c r="F1807" s="39"/>
      <c r="G1807" s="40" t="str">
        <f aca="false">IF(OR($E1807="",$F1807=""),"",$E1807&amp;" - RT "&amp;$F1807)</f>
        <v/>
      </c>
      <c r="H1807" s="37"/>
      <c r="I1807" s="38"/>
      <c r="J1807" s="37"/>
      <c r="K1807" s="39"/>
      <c r="L1807" s="41"/>
      <c r="M1807" s="36" t="str">
        <f aca="true">IF(OR($B1807="",$L1807=""),"",DATEDIF($L1807,TODAY(),"Y"))</f>
        <v/>
      </c>
      <c r="N1807" s="40" t="str">
        <f aca="false">IF($M1807="","",INDEX(usia_label,MATCH($M1807,usia_min,1)))</f>
        <v/>
      </c>
      <c r="O1807" s="37"/>
      <c r="P1807" s="41"/>
      <c r="Q1807" s="37"/>
      <c r="R1807" s="37"/>
      <c r="S1807" s="40" t="str">
        <f aca="false">IF($G1807="","",$G1807&amp;"#"&amp;COUNTIF($G$4:$G1807,$G1807))</f>
        <v/>
      </c>
      <c r="T1807" s="40" t="str">
        <f aca="false">IF($B1807="","",IF($C1807="","NIK kosong",IF(LEN($C1807)&lt;&gt;16,"NIK bukan 16 digit",IF(COUNTIF($C$4:$C$2003,$C1807&amp;"*")&gt;1,"NIK ganda",IF($E1807="","Kadus kosong",IF($F1807="","RT kosong",IF($H1807="","Jabatan kosong",IF($I1807="","No. HP kosong",IF($J1807="","Alamat kosong",IF(AND($M1807&lt;&gt;"",$M1807&lt;17),"Usia di bawah 17",""))))))))))</f>
        <v/>
      </c>
      <c r="U1807" s="40" t="str">
        <f aca="false">IF($B1807="","",IF(AND(OR(CARI!$C$5="",ISNUMBER(SEARCH(CARI!$C$5,$B1807&amp;" "&amp;$C1807&amp;" "&amp;$I1807&amp;" "&amp;$J1807&amp;" "&amp;$Q1807))),OR(CARI!$C$6="",$E1807=CARI!$C$6),OR(CARI!$C$7="",$F1807=CARI!$C$7),OR(CARI!$C$8="",$O1807=CARI!$C$8)),MAX($U$3:U1806)+1,""))</f>
        <v/>
      </c>
      <c r="V1807" s="40" t="str">
        <f aca="false">IF($T1807="","",MAX($V$3:V1806)+1)</f>
        <v/>
      </c>
      <c r="W1807" s="40" t="str">
        <f aca="false">IF($E1807="","",$E1807&amp;"#"&amp;COUNTIF($E$4:$E1807,$E1807))</f>
        <v/>
      </c>
      <c r="X1807" s="40" t="str">
        <f aca="false">IF($B1807="","",IF(AND(OR(CETAK!$J$10="",$E1807=CETAK!$J$10),OR(CETAK!$J$11="",$F1807=CETAK!$J$11),OR(CETAK!$J$12="",$K1807=CETAK!$J$12),OR(CETAK!$J$13="",$H1807=CETAK!$J$13),OR(CETAK!$J$14="",$O1807=CETAK!$J$14)),MAX($X$3:X1806)+1,""))</f>
        <v/>
      </c>
      <c r="Y1807" s="40" t="str">
        <f aca="false">IF($B1807="","",IF(AND(OR(ABSENSI!$H$10="",$E1807=ABSENSI!$H$10),OR(ABSENSI!$H$11="",$F1807=ABSENSI!$H$11),OR(ABSENSI!$H$12="",$K1807=ABSENSI!$H$12)),MAX($Y$3:Y1806)+1,""))</f>
        <v/>
      </c>
      <c r="Z1807" s="40" t="str">
        <f aca="false">IF($B1807="","",IF(AND(OR(KARTU!$K$6="",$E1807=KARTU!$K$6),OR(KARTU!$K$7="",$F1807=KARTU!$K$7),OR(KARTU!$K$8="",$K1807=KARTU!$K$8)),MAX($Z$3:Z1806)+1,""))</f>
        <v/>
      </c>
    </row>
    <row r="1808" customFormat="false" ht="15" hidden="false" customHeight="false" outlineLevel="0" collapsed="false">
      <c r="A1808" s="36" t="str">
        <f aca="false">IF($B1808="","",COUNTA($B$4:$B1808))</f>
        <v/>
      </c>
      <c r="B1808" s="37"/>
      <c r="C1808" s="38"/>
      <c r="D1808" s="39"/>
      <c r="E1808" s="37"/>
      <c r="F1808" s="39"/>
      <c r="G1808" s="40" t="str">
        <f aca="false">IF(OR($E1808="",$F1808=""),"",$E1808&amp;" - RT "&amp;$F1808)</f>
        <v/>
      </c>
      <c r="H1808" s="37"/>
      <c r="I1808" s="38"/>
      <c r="J1808" s="37"/>
      <c r="K1808" s="39"/>
      <c r="L1808" s="41"/>
      <c r="M1808" s="36" t="str">
        <f aca="true">IF(OR($B1808="",$L1808=""),"",DATEDIF($L1808,TODAY(),"Y"))</f>
        <v/>
      </c>
      <c r="N1808" s="40" t="str">
        <f aca="false">IF($M1808="","",INDEX(usia_label,MATCH($M1808,usia_min,1)))</f>
        <v/>
      </c>
      <c r="O1808" s="37"/>
      <c r="P1808" s="41"/>
      <c r="Q1808" s="37"/>
      <c r="R1808" s="37"/>
      <c r="S1808" s="40" t="str">
        <f aca="false">IF($G1808="","",$G1808&amp;"#"&amp;COUNTIF($G$4:$G1808,$G1808))</f>
        <v/>
      </c>
      <c r="T1808" s="40" t="str">
        <f aca="false">IF($B1808="","",IF($C1808="","NIK kosong",IF(LEN($C1808)&lt;&gt;16,"NIK bukan 16 digit",IF(COUNTIF($C$4:$C$2003,$C1808&amp;"*")&gt;1,"NIK ganda",IF($E1808="","Kadus kosong",IF($F1808="","RT kosong",IF($H1808="","Jabatan kosong",IF($I1808="","No. HP kosong",IF($J1808="","Alamat kosong",IF(AND($M1808&lt;&gt;"",$M1808&lt;17),"Usia di bawah 17",""))))))))))</f>
        <v/>
      </c>
      <c r="U1808" s="40" t="str">
        <f aca="false">IF($B1808="","",IF(AND(OR(CARI!$C$5="",ISNUMBER(SEARCH(CARI!$C$5,$B1808&amp;" "&amp;$C1808&amp;" "&amp;$I1808&amp;" "&amp;$J1808&amp;" "&amp;$Q1808))),OR(CARI!$C$6="",$E1808=CARI!$C$6),OR(CARI!$C$7="",$F1808=CARI!$C$7),OR(CARI!$C$8="",$O1808=CARI!$C$8)),MAX($U$3:U1807)+1,""))</f>
        <v/>
      </c>
      <c r="V1808" s="40" t="str">
        <f aca="false">IF($T1808="","",MAX($V$3:V1807)+1)</f>
        <v/>
      </c>
      <c r="W1808" s="40" t="str">
        <f aca="false">IF($E1808="","",$E1808&amp;"#"&amp;COUNTIF($E$4:$E1808,$E1808))</f>
        <v/>
      </c>
      <c r="X1808" s="40" t="str">
        <f aca="false">IF($B1808="","",IF(AND(OR(CETAK!$J$10="",$E1808=CETAK!$J$10),OR(CETAK!$J$11="",$F1808=CETAK!$J$11),OR(CETAK!$J$12="",$K1808=CETAK!$J$12),OR(CETAK!$J$13="",$H1808=CETAK!$J$13),OR(CETAK!$J$14="",$O1808=CETAK!$J$14)),MAX($X$3:X1807)+1,""))</f>
        <v/>
      </c>
      <c r="Y1808" s="40" t="str">
        <f aca="false">IF($B1808="","",IF(AND(OR(ABSENSI!$H$10="",$E1808=ABSENSI!$H$10),OR(ABSENSI!$H$11="",$F1808=ABSENSI!$H$11),OR(ABSENSI!$H$12="",$K1808=ABSENSI!$H$12)),MAX($Y$3:Y1807)+1,""))</f>
        <v/>
      </c>
      <c r="Z1808" s="40" t="str">
        <f aca="false">IF($B1808="","",IF(AND(OR(KARTU!$K$6="",$E1808=KARTU!$K$6),OR(KARTU!$K$7="",$F1808=KARTU!$K$7),OR(KARTU!$K$8="",$K1808=KARTU!$K$8)),MAX($Z$3:Z1807)+1,""))</f>
        <v/>
      </c>
    </row>
    <row r="1809" customFormat="false" ht="15" hidden="false" customHeight="false" outlineLevel="0" collapsed="false">
      <c r="A1809" s="36" t="str">
        <f aca="false">IF($B1809="","",COUNTA($B$4:$B1809))</f>
        <v/>
      </c>
      <c r="B1809" s="37"/>
      <c r="C1809" s="38"/>
      <c r="D1809" s="39"/>
      <c r="E1809" s="37"/>
      <c r="F1809" s="39"/>
      <c r="G1809" s="40" t="str">
        <f aca="false">IF(OR($E1809="",$F1809=""),"",$E1809&amp;" - RT "&amp;$F1809)</f>
        <v/>
      </c>
      <c r="H1809" s="37"/>
      <c r="I1809" s="38"/>
      <c r="J1809" s="37"/>
      <c r="K1809" s="39"/>
      <c r="L1809" s="41"/>
      <c r="M1809" s="36" t="str">
        <f aca="true">IF(OR($B1809="",$L1809=""),"",DATEDIF($L1809,TODAY(),"Y"))</f>
        <v/>
      </c>
      <c r="N1809" s="40" t="str">
        <f aca="false">IF($M1809="","",INDEX(usia_label,MATCH($M1809,usia_min,1)))</f>
        <v/>
      </c>
      <c r="O1809" s="37"/>
      <c r="P1809" s="41"/>
      <c r="Q1809" s="37"/>
      <c r="R1809" s="37"/>
      <c r="S1809" s="40" t="str">
        <f aca="false">IF($G1809="","",$G1809&amp;"#"&amp;COUNTIF($G$4:$G1809,$G1809))</f>
        <v/>
      </c>
      <c r="T1809" s="40" t="str">
        <f aca="false">IF($B1809="","",IF($C1809="","NIK kosong",IF(LEN($C1809)&lt;&gt;16,"NIK bukan 16 digit",IF(COUNTIF($C$4:$C$2003,$C1809&amp;"*")&gt;1,"NIK ganda",IF($E1809="","Kadus kosong",IF($F1809="","RT kosong",IF($H1809="","Jabatan kosong",IF($I1809="","No. HP kosong",IF($J1809="","Alamat kosong",IF(AND($M1809&lt;&gt;"",$M1809&lt;17),"Usia di bawah 17",""))))))))))</f>
        <v/>
      </c>
      <c r="U1809" s="40" t="str">
        <f aca="false">IF($B1809="","",IF(AND(OR(CARI!$C$5="",ISNUMBER(SEARCH(CARI!$C$5,$B1809&amp;" "&amp;$C1809&amp;" "&amp;$I1809&amp;" "&amp;$J1809&amp;" "&amp;$Q1809))),OR(CARI!$C$6="",$E1809=CARI!$C$6),OR(CARI!$C$7="",$F1809=CARI!$C$7),OR(CARI!$C$8="",$O1809=CARI!$C$8)),MAX($U$3:U1808)+1,""))</f>
        <v/>
      </c>
      <c r="V1809" s="40" t="str">
        <f aca="false">IF($T1809="","",MAX($V$3:V1808)+1)</f>
        <v/>
      </c>
      <c r="W1809" s="40" t="str">
        <f aca="false">IF($E1809="","",$E1809&amp;"#"&amp;COUNTIF($E$4:$E1809,$E1809))</f>
        <v/>
      </c>
      <c r="X1809" s="40" t="str">
        <f aca="false">IF($B1809="","",IF(AND(OR(CETAK!$J$10="",$E1809=CETAK!$J$10),OR(CETAK!$J$11="",$F1809=CETAK!$J$11),OR(CETAK!$J$12="",$K1809=CETAK!$J$12),OR(CETAK!$J$13="",$H1809=CETAK!$J$13),OR(CETAK!$J$14="",$O1809=CETAK!$J$14)),MAX($X$3:X1808)+1,""))</f>
        <v/>
      </c>
      <c r="Y1809" s="40" t="str">
        <f aca="false">IF($B1809="","",IF(AND(OR(ABSENSI!$H$10="",$E1809=ABSENSI!$H$10),OR(ABSENSI!$H$11="",$F1809=ABSENSI!$H$11),OR(ABSENSI!$H$12="",$K1809=ABSENSI!$H$12)),MAX($Y$3:Y1808)+1,""))</f>
        <v/>
      </c>
      <c r="Z1809" s="40" t="str">
        <f aca="false">IF($B1809="","",IF(AND(OR(KARTU!$K$6="",$E1809=KARTU!$K$6),OR(KARTU!$K$7="",$F1809=KARTU!$K$7),OR(KARTU!$K$8="",$K1809=KARTU!$K$8)),MAX($Z$3:Z1808)+1,""))</f>
        <v/>
      </c>
    </row>
    <row r="1810" customFormat="false" ht="15" hidden="false" customHeight="false" outlineLevel="0" collapsed="false">
      <c r="A1810" s="36" t="str">
        <f aca="false">IF($B1810="","",COUNTA($B$4:$B1810))</f>
        <v/>
      </c>
      <c r="B1810" s="37"/>
      <c r="C1810" s="38"/>
      <c r="D1810" s="39"/>
      <c r="E1810" s="37"/>
      <c r="F1810" s="39"/>
      <c r="G1810" s="40" t="str">
        <f aca="false">IF(OR($E1810="",$F1810=""),"",$E1810&amp;" - RT "&amp;$F1810)</f>
        <v/>
      </c>
      <c r="H1810" s="37"/>
      <c r="I1810" s="38"/>
      <c r="J1810" s="37"/>
      <c r="K1810" s="39"/>
      <c r="L1810" s="41"/>
      <c r="M1810" s="36" t="str">
        <f aca="true">IF(OR($B1810="",$L1810=""),"",DATEDIF($L1810,TODAY(),"Y"))</f>
        <v/>
      </c>
      <c r="N1810" s="40" t="str">
        <f aca="false">IF($M1810="","",INDEX(usia_label,MATCH($M1810,usia_min,1)))</f>
        <v/>
      </c>
      <c r="O1810" s="37"/>
      <c r="P1810" s="41"/>
      <c r="Q1810" s="37"/>
      <c r="R1810" s="37"/>
      <c r="S1810" s="40" t="str">
        <f aca="false">IF($G1810="","",$G1810&amp;"#"&amp;COUNTIF($G$4:$G1810,$G1810))</f>
        <v/>
      </c>
      <c r="T1810" s="40" t="str">
        <f aca="false">IF($B1810="","",IF($C1810="","NIK kosong",IF(LEN($C1810)&lt;&gt;16,"NIK bukan 16 digit",IF(COUNTIF($C$4:$C$2003,$C1810&amp;"*")&gt;1,"NIK ganda",IF($E1810="","Kadus kosong",IF($F1810="","RT kosong",IF($H1810="","Jabatan kosong",IF($I1810="","No. HP kosong",IF($J1810="","Alamat kosong",IF(AND($M1810&lt;&gt;"",$M1810&lt;17),"Usia di bawah 17",""))))))))))</f>
        <v/>
      </c>
      <c r="U1810" s="40" t="str">
        <f aca="false">IF($B1810="","",IF(AND(OR(CARI!$C$5="",ISNUMBER(SEARCH(CARI!$C$5,$B1810&amp;" "&amp;$C1810&amp;" "&amp;$I1810&amp;" "&amp;$J1810&amp;" "&amp;$Q1810))),OR(CARI!$C$6="",$E1810=CARI!$C$6),OR(CARI!$C$7="",$F1810=CARI!$C$7),OR(CARI!$C$8="",$O1810=CARI!$C$8)),MAX($U$3:U1809)+1,""))</f>
        <v/>
      </c>
      <c r="V1810" s="40" t="str">
        <f aca="false">IF($T1810="","",MAX($V$3:V1809)+1)</f>
        <v/>
      </c>
      <c r="W1810" s="40" t="str">
        <f aca="false">IF($E1810="","",$E1810&amp;"#"&amp;COUNTIF($E$4:$E1810,$E1810))</f>
        <v/>
      </c>
      <c r="X1810" s="40" t="str">
        <f aca="false">IF($B1810="","",IF(AND(OR(CETAK!$J$10="",$E1810=CETAK!$J$10),OR(CETAK!$J$11="",$F1810=CETAK!$J$11),OR(CETAK!$J$12="",$K1810=CETAK!$J$12),OR(CETAK!$J$13="",$H1810=CETAK!$J$13),OR(CETAK!$J$14="",$O1810=CETAK!$J$14)),MAX($X$3:X1809)+1,""))</f>
        <v/>
      </c>
      <c r="Y1810" s="40" t="str">
        <f aca="false">IF($B1810="","",IF(AND(OR(ABSENSI!$H$10="",$E1810=ABSENSI!$H$10),OR(ABSENSI!$H$11="",$F1810=ABSENSI!$H$11),OR(ABSENSI!$H$12="",$K1810=ABSENSI!$H$12)),MAX($Y$3:Y1809)+1,""))</f>
        <v/>
      </c>
      <c r="Z1810" s="40" t="str">
        <f aca="false">IF($B1810="","",IF(AND(OR(KARTU!$K$6="",$E1810=KARTU!$K$6),OR(KARTU!$K$7="",$F1810=KARTU!$K$7),OR(KARTU!$K$8="",$K1810=KARTU!$K$8)),MAX($Z$3:Z1809)+1,""))</f>
        <v/>
      </c>
    </row>
    <row r="1811" customFormat="false" ht="15" hidden="false" customHeight="false" outlineLevel="0" collapsed="false">
      <c r="A1811" s="36" t="str">
        <f aca="false">IF($B1811="","",COUNTA($B$4:$B1811))</f>
        <v/>
      </c>
      <c r="B1811" s="37"/>
      <c r="C1811" s="38"/>
      <c r="D1811" s="39"/>
      <c r="E1811" s="37"/>
      <c r="F1811" s="39"/>
      <c r="G1811" s="40" t="str">
        <f aca="false">IF(OR($E1811="",$F1811=""),"",$E1811&amp;" - RT "&amp;$F1811)</f>
        <v/>
      </c>
      <c r="H1811" s="37"/>
      <c r="I1811" s="38"/>
      <c r="J1811" s="37"/>
      <c r="K1811" s="39"/>
      <c r="L1811" s="41"/>
      <c r="M1811" s="36" t="str">
        <f aca="true">IF(OR($B1811="",$L1811=""),"",DATEDIF($L1811,TODAY(),"Y"))</f>
        <v/>
      </c>
      <c r="N1811" s="40" t="str">
        <f aca="false">IF($M1811="","",INDEX(usia_label,MATCH($M1811,usia_min,1)))</f>
        <v/>
      </c>
      <c r="O1811" s="37"/>
      <c r="P1811" s="41"/>
      <c r="Q1811" s="37"/>
      <c r="R1811" s="37"/>
      <c r="S1811" s="40" t="str">
        <f aca="false">IF($G1811="","",$G1811&amp;"#"&amp;COUNTIF($G$4:$G1811,$G1811))</f>
        <v/>
      </c>
      <c r="T1811" s="40" t="str">
        <f aca="false">IF($B1811="","",IF($C1811="","NIK kosong",IF(LEN($C1811)&lt;&gt;16,"NIK bukan 16 digit",IF(COUNTIF($C$4:$C$2003,$C1811&amp;"*")&gt;1,"NIK ganda",IF($E1811="","Kadus kosong",IF($F1811="","RT kosong",IF($H1811="","Jabatan kosong",IF($I1811="","No. HP kosong",IF($J1811="","Alamat kosong",IF(AND($M1811&lt;&gt;"",$M1811&lt;17),"Usia di bawah 17",""))))))))))</f>
        <v/>
      </c>
      <c r="U1811" s="40" t="str">
        <f aca="false">IF($B1811="","",IF(AND(OR(CARI!$C$5="",ISNUMBER(SEARCH(CARI!$C$5,$B1811&amp;" "&amp;$C1811&amp;" "&amp;$I1811&amp;" "&amp;$J1811&amp;" "&amp;$Q1811))),OR(CARI!$C$6="",$E1811=CARI!$C$6),OR(CARI!$C$7="",$F1811=CARI!$C$7),OR(CARI!$C$8="",$O1811=CARI!$C$8)),MAX($U$3:U1810)+1,""))</f>
        <v/>
      </c>
      <c r="V1811" s="40" t="str">
        <f aca="false">IF($T1811="","",MAX($V$3:V1810)+1)</f>
        <v/>
      </c>
      <c r="W1811" s="40" t="str">
        <f aca="false">IF($E1811="","",$E1811&amp;"#"&amp;COUNTIF($E$4:$E1811,$E1811))</f>
        <v/>
      </c>
      <c r="X1811" s="40" t="str">
        <f aca="false">IF($B1811="","",IF(AND(OR(CETAK!$J$10="",$E1811=CETAK!$J$10),OR(CETAK!$J$11="",$F1811=CETAK!$J$11),OR(CETAK!$J$12="",$K1811=CETAK!$J$12),OR(CETAK!$J$13="",$H1811=CETAK!$J$13),OR(CETAK!$J$14="",$O1811=CETAK!$J$14)),MAX($X$3:X1810)+1,""))</f>
        <v/>
      </c>
      <c r="Y1811" s="40" t="str">
        <f aca="false">IF($B1811="","",IF(AND(OR(ABSENSI!$H$10="",$E1811=ABSENSI!$H$10),OR(ABSENSI!$H$11="",$F1811=ABSENSI!$H$11),OR(ABSENSI!$H$12="",$K1811=ABSENSI!$H$12)),MAX($Y$3:Y1810)+1,""))</f>
        <v/>
      </c>
      <c r="Z1811" s="40" t="str">
        <f aca="false">IF($B1811="","",IF(AND(OR(KARTU!$K$6="",$E1811=KARTU!$K$6),OR(KARTU!$K$7="",$F1811=KARTU!$K$7),OR(KARTU!$K$8="",$K1811=KARTU!$K$8)),MAX($Z$3:Z1810)+1,""))</f>
        <v/>
      </c>
    </row>
    <row r="1812" customFormat="false" ht="15" hidden="false" customHeight="false" outlineLevel="0" collapsed="false">
      <c r="A1812" s="36" t="str">
        <f aca="false">IF($B1812="","",COUNTA($B$4:$B1812))</f>
        <v/>
      </c>
      <c r="B1812" s="37"/>
      <c r="C1812" s="38"/>
      <c r="D1812" s="39"/>
      <c r="E1812" s="37"/>
      <c r="F1812" s="39"/>
      <c r="G1812" s="40" t="str">
        <f aca="false">IF(OR($E1812="",$F1812=""),"",$E1812&amp;" - RT "&amp;$F1812)</f>
        <v/>
      </c>
      <c r="H1812" s="37"/>
      <c r="I1812" s="38"/>
      <c r="J1812" s="37"/>
      <c r="K1812" s="39"/>
      <c r="L1812" s="41"/>
      <c r="M1812" s="36" t="str">
        <f aca="true">IF(OR($B1812="",$L1812=""),"",DATEDIF($L1812,TODAY(),"Y"))</f>
        <v/>
      </c>
      <c r="N1812" s="40" t="str">
        <f aca="false">IF($M1812="","",INDEX(usia_label,MATCH($M1812,usia_min,1)))</f>
        <v/>
      </c>
      <c r="O1812" s="37"/>
      <c r="P1812" s="41"/>
      <c r="Q1812" s="37"/>
      <c r="R1812" s="37"/>
      <c r="S1812" s="40" t="str">
        <f aca="false">IF($G1812="","",$G1812&amp;"#"&amp;COUNTIF($G$4:$G1812,$G1812))</f>
        <v/>
      </c>
      <c r="T1812" s="40" t="str">
        <f aca="false">IF($B1812="","",IF($C1812="","NIK kosong",IF(LEN($C1812)&lt;&gt;16,"NIK bukan 16 digit",IF(COUNTIF($C$4:$C$2003,$C1812&amp;"*")&gt;1,"NIK ganda",IF($E1812="","Kadus kosong",IF($F1812="","RT kosong",IF($H1812="","Jabatan kosong",IF($I1812="","No. HP kosong",IF($J1812="","Alamat kosong",IF(AND($M1812&lt;&gt;"",$M1812&lt;17),"Usia di bawah 17",""))))))))))</f>
        <v/>
      </c>
      <c r="U1812" s="40" t="str">
        <f aca="false">IF($B1812="","",IF(AND(OR(CARI!$C$5="",ISNUMBER(SEARCH(CARI!$C$5,$B1812&amp;" "&amp;$C1812&amp;" "&amp;$I1812&amp;" "&amp;$J1812&amp;" "&amp;$Q1812))),OR(CARI!$C$6="",$E1812=CARI!$C$6),OR(CARI!$C$7="",$F1812=CARI!$C$7),OR(CARI!$C$8="",$O1812=CARI!$C$8)),MAX($U$3:U1811)+1,""))</f>
        <v/>
      </c>
      <c r="V1812" s="40" t="str">
        <f aca="false">IF($T1812="","",MAX($V$3:V1811)+1)</f>
        <v/>
      </c>
      <c r="W1812" s="40" t="str">
        <f aca="false">IF($E1812="","",$E1812&amp;"#"&amp;COUNTIF($E$4:$E1812,$E1812))</f>
        <v/>
      </c>
      <c r="X1812" s="40" t="str">
        <f aca="false">IF($B1812="","",IF(AND(OR(CETAK!$J$10="",$E1812=CETAK!$J$10),OR(CETAK!$J$11="",$F1812=CETAK!$J$11),OR(CETAK!$J$12="",$K1812=CETAK!$J$12),OR(CETAK!$J$13="",$H1812=CETAK!$J$13),OR(CETAK!$J$14="",$O1812=CETAK!$J$14)),MAX($X$3:X1811)+1,""))</f>
        <v/>
      </c>
      <c r="Y1812" s="40" t="str">
        <f aca="false">IF($B1812="","",IF(AND(OR(ABSENSI!$H$10="",$E1812=ABSENSI!$H$10),OR(ABSENSI!$H$11="",$F1812=ABSENSI!$H$11),OR(ABSENSI!$H$12="",$K1812=ABSENSI!$H$12)),MAX($Y$3:Y1811)+1,""))</f>
        <v/>
      </c>
      <c r="Z1812" s="40" t="str">
        <f aca="false">IF($B1812="","",IF(AND(OR(KARTU!$K$6="",$E1812=KARTU!$K$6),OR(KARTU!$K$7="",$F1812=KARTU!$K$7),OR(KARTU!$K$8="",$K1812=KARTU!$K$8)),MAX($Z$3:Z1811)+1,""))</f>
        <v/>
      </c>
    </row>
    <row r="1813" customFormat="false" ht="15" hidden="false" customHeight="false" outlineLevel="0" collapsed="false">
      <c r="A1813" s="36" t="str">
        <f aca="false">IF($B1813="","",COUNTA($B$4:$B1813))</f>
        <v/>
      </c>
      <c r="B1813" s="37"/>
      <c r="C1813" s="38"/>
      <c r="D1813" s="39"/>
      <c r="E1813" s="37"/>
      <c r="F1813" s="39"/>
      <c r="G1813" s="40" t="str">
        <f aca="false">IF(OR($E1813="",$F1813=""),"",$E1813&amp;" - RT "&amp;$F1813)</f>
        <v/>
      </c>
      <c r="H1813" s="37"/>
      <c r="I1813" s="38"/>
      <c r="J1813" s="37"/>
      <c r="K1813" s="39"/>
      <c r="L1813" s="41"/>
      <c r="M1813" s="36" t="str">
        <f aca="true">IF(OR($B1813="",$L1813=""),"",DATEDIF($L1813,TODAY(),"Y"))</f>
        <v/>
      </c>
      <c r="N1813" s="40" t="str">
        <f aca="false">IF($M1813="","",INDEX(usia_label,MATCH($M1813,usia_min,1)))</f>
        <v/>
      </c>
      <c r="O1813" s="37"/>
      <c r="P1813" s="41"/>
      <c r="Q1813" s="37"/>
      <c r="R1813" s="37"/>
      <c r="S1813" s="40" t="str">
        <f aca="false">IF($G1813="","",$G1813&amp;"#"&amp;COUNTIF($G$4:$G1813,$G1813))</f>
        <v/>
      </c>
      <c r="T1813" s="40" t="str">
        <f aca="false">IF($B1813="","",IF($C1813="","NIK kosong",IF(LEN($C1813)&lt;&gt;16,"NIK bukan 16 digit",IF(COUNTIF($C$4:$C$2003,$C1813&amp;"*")&gt;1,"NIK ganda",IF($E1813="","Kadus kosong",IF($F1813="","RT kosong",IF($H1813="","Jabatan kosong",IF($I1813="","No. HP kosong",IF($J1813="","Alamat kosong",IF(AND($M1813&lt;&gt;"",$M1813&lt;17),"Usia di bawah 17",""))))))))))</f>
        <v/>
      </c>
      <c r="U1813" s="40" t="str">
        <f aca="false">IF($B1813="","",IF(AND(OR(CARI!$C$5="",ISNUMBER(SEARCH(CARI!$C$5,$B1813&amp;" "&amp;$C1813&amp;" "&amp;$I1813&amp;" "&amp;$J1813&amp;" "&amp;$Q1813))),OR(CARI!$C$6="",$E1813=CARI!$C$6),OR(CARI!$C$7="",$F1813=CARI!$C$7),OR(CARI!$C$8="",$O1813=CARI!$C$8)),MAX($U$3:U1812)+1,""))</f>
        <v/>
      </c>
      <c r="V1813" s="40" t="str">
        <f aca="false">IF($T1813="","",MAX($V$3:V1812)+1)</f>
        <v/>
      </c>
      <c r="W1813" s="40" t="str">
        <f aca="false">IF($E1813="","",$E1813&amp;"#"&amp;COUNTIF($E$4:$E1813,$E1813))</f>
        <v/>
      </c>
      <c r="X1813" s="40" t="str">
        <f aca="false">IF($B1813="","",IF(AND(OR(CETAK!$J$10="",$E1813=CETAK!$J$10),OR(CETAK!$J$11="",$F1813=CETAK!$J$11),OR(CETAK!$J$12="",$K1813=CETAK!$J$12),OR(CETAK!$J$13="",$H1813=CETAK!$J$13),OR(CETAK!$J$14="",$O1813=CETAK!$J$14)),MAX($X$3:X1812)+1,""))</f>
        <v/>
      </c>
      <c r="Y1813" s="40" t="str">
        <f aca="false">IF($B1813="","",IF(AND(OR(ABSENSI!$H$10="",$E1813=ABSENSI!$H$10),OR(ABSENSI!$H$11="",$F1813=ABSENSI!$H$11),OR(ABSENSI!$H$12="",$K1813=ABSENSI!$H$12)),MAX($Y$3:Y1812)+1,""))</f>
        <v/>
      </c>
      <c r="Z1813" s="40" t="str">
        <f aca="false">IF($B1813="","",IF(AND(OR(KARTU!$K$6="",$E1813=KARTU!$K$6),OR(KARTU!$K$7="",$F1813=KARTU!$K$7),OR(KARTU!$K$8="",$K1813=KARTU!$K$8)),MAX($Z$3:Z1812)+1,""))</f>
        <v/>
      </c>
    </row>
    <row r="1814" customFormat="false" ht="15" hidden="false" customHeight="false" outlineLevel="0" collapsed="false">
      <c r="A1814" s="36" t="str">
        <f aca="false">IF($B1814="","",COUNTA($B$4:$B1814))</f>
        <v/>
      </c>
      <c r="B1814" s="37"/>
      <c r="C1814" s="38"/>
      <c r="D1814" s="39"/>
      <c r="E1814" s="37"/>
      <c r="F1814" s="39"/>
      <c r="G1814" s="40" t="str">
        <f aca="false">IF(OR($E1814="",$F1814=""),"",$E1814&amp;" - RT "&amp;$F1814)</f>
        <v/>
      </c>
      <c r="H1814" s="37"/>
      <c r="I1814" s="38"/>
      <c r="J1814" s="37"/>
      <c r="K1814" s="39"/>
      <c r="L1814" s="41"/>
      <c r="M1814" s="36" t="str">
        <f aca="true">IF(OR($B1814="",$L1814=""),"",DATEDIF($L1814,TODAY(),"Y"))</f>
        <v/>
      </c>
      <c r="N1814" s="40" t="str">
        <f aca="false">IF($M1814="","",INDEX(usia_label,MATCH($M1814,usia_min,1)))</f>
        <v/>
      </c>
      <c r="O1814" s="37"/>
      <c r="P1814" s="41"/>
      <c r="Q1814" s="37"/>
      <c r="R1814" s="37"/>
      <c r="S1814" s="40" t="str">
        <f aca="false">IF($G1814="","",$G1814&amp;"#"&amp;COUNTIF($G$4:$G1814,$G1814))</f>
        <v/>
      </c>
      <c r="T1814" s="40" t="str">
        <f aca="false">IF($B1814="","",IF($C1814="","NIK kosong",IF(LEN($C1814)&lt;&gt;16,"NIK bukan 16 digit",IF(COUNTIF($C$4:$C$2003,$C1814&amp;"*")&gt;1,"NIK ganda",IF($E1814="","Kadus kosong",IF($F1814="","RT kosong",IF($H1814="","Jabatan kosong",IF($I1814="","No. HP kosong",IF($J1814="","Alamat kosong",IF(AND($M1814&lt;&gt;"",$M1814&lt;17),"Usia di bawah 17",""))))))))))</f>
        <v/>
      </c>
      <c r="U1814" s="40" t="str">
        <f aca="false">IF($B1814="","",IF(AND(OR(CARI!$C$5="",ISNUMBER(SEARCH(CARI!$C$5,$B1814&amp;" "&amp;$C1814&amp;" "&amp;$I1814&amp;" "&amp;$J1814&amp;" "&amp;$Q1814))),OR(CARI!$C$6="",$E1814=CARI!$C$6),OR(CARI!$C$7="",$F1814=CARI!$C$7),OR(CARI!$C$8="",$O1814=CARI!$C$8)),MAX($U$3:U1813)+1,""))</f>
        <v/>
      </c>
      <c r="V1814" s="40" t="str">
        <f aca="false">IF($T1814="","",MAX($V$3:V1813)+1)</f>
        <v/>
      </c>
      <c r="W1814" s="40" t="str">
        <f aca="false">IF($E1814="","",$E1814&amp;"#"&amp;COUNTIF($E$4:$E1814,$E1814))</f>
        <v/>
      </c>
      <c r="X1814" s="40" t="str">
        <f aca="false">IF($B1814="","",IF(AND(OR(CETAK!$J$10="",$E1814=CETAK!$J$10),OR(CETAK!$J$11="",$F1814=CETAK!$J$11),OR(CETAK!$J$12="",$K1814=CETAK!$J$12),OR(CETAK!$J$13="",$H1814=CETAK!$J$13),OR(CETAK!$J$14="",$O1814=CETAK!$J$14)),MAX($X$3:X1813)+1,""))</f>
        <v/>
      </c>
      <c r="Y1814" s="40" t="str">
        <f aca="false">IF($B1814="","",IF(AND(OR(ABSENSI!$H$10="",$E1814=ABSENSI!$H$10),OR(ABSENSI!$H$11="",$F1814=ABSENSI!$H$11),OR(ABSENSI!$H$12="",$K1814=ABSENSI!$H$12)),MAX($Y$3:Y1813)+1,""))</f>
        <v/>
      </c>
      <c r="Z1814" s="40" t="str">
        <f aca="false">IF($B1814="","",IF(AND(OR(KARTU!$K$6="",$E1814=KARTU!$K$6),OR(KARTU!$K$7="",$F1814=KARTU!$K$7),OR(KARTU!$K$8="",$K1814=KARTU!$K$8)),MAX($Z$3:Z1813)+1,""))</f>
        <v/>
      </c>
    </row>
    <row r="1815" customFormat="false" ht="15" hidden="false" customHeight="false" outlineLevel="0" collapsed="false">
      <c r="A1815" s="36" t="str">
        <f aca="false">IF($B1815="","",COUNTA($B$4:$B1815))</f>
        <v/>
      </c>
      <c r="B1815" s="37"/>
      <c r="C1815" s="38"/>
      <c r="D1815" s="39"/>
      <c r="E1815" s="37"/>
      <c r="F1815" s="39"/>
      <c r="G1815" s="40" t="str">
        <f aca="false">IF(OR($E1815="",$F1815=""),"",$E1815&amp;" - RT "&amp;$F1815)</f>
        <v/>
      </c>
      <c r="H1815" s="37"/>
      <c r="I1815" s="38"/>
      <c r="J1815" s="37"/>
      <c r="K1815" s="39"/>
      <c r="L1815" s="41"/>
      <c r="M1815" s="36" t="str">
        <f aca="true">IF(OR($B1815="",$L1815=""),"",DATEDIF($L1815,TODAY(),"Y"))</f>
        <v/>
      </c>
      <c r="N1815" s="40" t="str">
        <f aca="false">IF($M1815="","",INDEX(usia_label,MATCH($M1815,usia_min,1)))</f>
        <v/>
      </c>
      <c r="O1815" s="37"/>
      <c r="P1815" s="41"/>
      <c r="Q1815" s="37"/>
      <c r="R1815" s="37"/>
      <c r="S1815" s="40" t="str">
        <f aca="false">IF($G1815="","",$G1815&amp;"#"&amp;COUNTIF($G$4:$G1815,$G1815))</f>
        <v/>
      </c>
      <c r="T1815" s="40" t="str">
        <f aca="false">IF($B1815="","",IF($C1815="","NIK kosong",IF(LEN($C1815)&lt;&gt;16,"NIK bukan 16 digit",IF(COUNTIF($C$4:$C$2003,$C1815&amp;"*")&gt;1,"NIK ganda",IF($E1815="","Kadus kosong",IF($F1815="","RT kosong",IF($H1815="","Jabatan kosong",IF($I1815="","No. HP kosong",IF($J1815="","Alamat kosong",IF(AND($M1815&lt;&gt;"",$M1815&lt;17),"Usia di bawah 17",""))))))))))</f>
        <v/>
      </c>
      <c r="U1815" s="40" t="str">
        <f aca="false">IF($B1815="","",IF(AND(OR(CARI!$C$5="",ISNUMBER(SEARCH(CARI!$C$5,$B1815&amp;" "&amp;$C1815&amp;" "&amp;$I1815&amp;" "&amp;$J1815&amp;" "&amp;$Q1815))),OR(CARI!$C$6="",$E1815=CARI!$C$6),OR(CARI!$C$7="",$F1815=CARI!$C$7),OR(CARI!$C$8="",$O1815=CARI!$C$8)),MAX($U$3:U1814)+1,""))</f>
        <v/>
      </c>
      <c r="V1815" s="40" t="str">
        <f aca="false">IF($T1815="","",MAX($V$3:V1814)+1)</f>
        <v/>
      </c>
      <c r="W1815" s="40" t="str">
        <f aca="false">IF($E1815="","",$E1815&amp;"#"&amp;COUNTIF($E$4:$E1815,$E1815))</f>
        <v/>
      </c>
      <c r="X1815" s="40" t="str">
        <f aca="false">IF($B1815="","",IF(AND(OR(CETAK!$J$10="",$E1815=CETAK!$J$10),OR(CETAK!$J$11="",$F1815=CETAK!$J$11),OR(CETAK!$J$12="",$K1815=CETAK!$J$12),OR(CETAK!$J$13="",$H1815=CETAK!$J$13),OR(CETAK!$J$14="",$O1815=CETAK!$J$14)),MAX($X$3:X1814)+1,""))</f>
        <v/>
      </c>
      <c r="Y1815" s="40" t="str">
        <f aca="false">IF($B1815="","",IF(AND(OR(ABSENSI!$H$10="",$E1815=ABSENSI!$H$10),OR(ABSENSI!$H$11="",$F1815=ABSENSI!$H$11),OR(ABSENSI!$H$12="",$K1815=ABSENSI!$H$12)),MAX($Y$3:Y1814)+1,""))</f>
        <v/>
      </c>
      <c r="Z1815" s="40" t="str">
        <f aca="false">IF($B1815="","",IF(AND(OR(KARTU!$K$6="",$E1815=KARTU!$K$6),OR(KARTU!$K$7="",$F1815=KARTU!$K$7),OR(KARTU!$K$8="",$K1815=KARTU!$K$8)),MAX($Z$3:Z1814)+1,""))</f>
        <v/>
      </c>
    </row>
    <row r="1816" customFormat="false" ht="15" hidden="false" customHeight="false" outlineLevel="0" collapsed="false">
      <c r="A1816" s="36" t="str">
        <f aca="false">IF($B1816="","",COUNTA($B$4:$B1816))</f>
        <v/>
      </c>
      <c r="B1816" s="37"/>
      <c r="C1816" s="38"/>
      <c r="D1816" s="39"/>
      <c r="E1816" s="37"/>
      <c r="F1816" s="39"/>
      <c r="G1816" s="40" t="str">
        <f aca="false">IF(OR($E1816="",$F1816=""),"",$E1816&amp;" - RT "&amp;$F1816)</f>
        <v/>
      </c>
      <c r="H1816" s="37"/>
      <c r="I1816" s="38"/>
      <c r="J1816" s="37"/>
      <c r="K1816" s="39"/>
      <c r="L1816" s="41"/>
      <c r="M1816" s="36" t="str">
        <f aca="true">IF(OR($B1816="",$L1816=""),"",DATEDIF($L1816,TODAY(),"Y"))</f>
        <v/>
      </c>
      <c r="N1816" s="40" t="str">
        <f aca="false">IF($M1816="","",INDEX(usia_label,MATCH($M1816,usia_min,1)))</f>
        <v/>
      </c>
      <c r="O1816" s="37"/>
      <c r="P1816" s="41"/>
      <c r="Q1816" s="37"/>
      <c r="R1816" s="37"/>
      <c r="S1816" s="40" t="str">
        <f aca="false">IF($G1816="","",$G1816&amp;"#"&amp;COUNTIF($G$4:$G1816,$G1816))</f>
        <v/>
      </c>
      <c r="T1816" s="40" t="str">
        <f aca="false">IF($B1816="","",IF($C1816="","NIK kosong",IF(LEN($C1816)&lt;&gt;16,"NIK bukan 16 digit",IF(COUNTIF($C$4:$C$2003,$C1816&amp;"*")&gt;1,"NIK ganda",IF($E1816="","Kadus kosong",IF($F1816="","RT kosong",IF($H1816="","Jabatan kosong",IF($I1816="","No. HP kosong",IF($J1816="","Alamat kosong",IF(AND($M1816&lt;&gt;"",$M1816&lt;17),"Usia di bawah 17",""))))))))))</f>
        <v/>
      </c>
      <c r="U1816" s="40" t="str">
        <f aca="false">IF($B1816="","",IF(AND(OR(CARI!$C$5="",ISNUMBER(SEARCH(CARI!$C$5,$B1816&amp;" "&amp;$C1816&amp;" "&amp;$I1816&amp;" "&amp;$J1816&amp;" "&amp;$Q1816))),OR(CARI!$C$6="",$E1816=CARI!$C$6),OR(CARI!$C$7="",$F1816=CARI!$C$7),OR(CARI!$C$8="",$O1816=CARI!$C$8)),MAX($U$3:U1815)+1,""))</f>
        <v/>
      </c>
      <c r="V1816" s="40" t="str">
        <f aca="false">IF($T1816="","",MAX($V$3:V1815)+1)</f>
        <v/>
      </c>
      <c r="W1816" s="40" t="str">
        <f aca="false">IF($E1816="","",$E1816&amp;"#"&amp;COUNTIF($E$4:$E1816,$E1816))</f>
        <v/>
      </c>
      <c r="X1816" s="40" t="str">
        <f aca="false">IF($B1816="","",IF(AND(OR(CETAK!$J$10="",$E1816=CETAK!$J$10),OR(CETAK!$J$11="",$F1816=CETAK!$J$11),OR(CETAK!$J$12="",$K1816=CETAK!$J$12),OR(CETAK!$J$13="",$H1816=CETAK!$J$13),OR(CETAK!$J$14="",$O1816=CETAK!$J$14)),MAX($X$3:X1815)+1,""))</f>
        <v/>
      </c>
      <c r="Y1816" s="40" t="str">
        <f aca="false">IF($B1816="","",IF(AND(OR(ABSENSI!$H$10="",$E1816=ABSENSI!$H$10),OR(ABSENSI!$H$11="",$F1816=ABSENSI!$H$11),OR(ABSENSI!$H$12="",$K1816=ABSENSI!$H$12)),MAX($Y$3:Y1815)+1,""))</f>
        <v/>
      </c>
      <c r="Z1816" s="40" t="str">
        <f aca="false">IF($B1816="","",IF(AND(OR(KARTU!$K$6="",$E1816=KARTU!$K$6),OR(KARTU!$K$7="",$F1816=KARTU!$K$7),OR(KARTU!$K$8="",$K1816=KARTU!$K$8)),MAX($Z$3:Z1815)+1,""))</f>
        <v/>
      </c>
    </row>
    <row r="1817" customFormat="false" ht="15" hidden="false" customHeight="false" outlineLevel="0" collapsed="false">
      <c r="A1817" s="36" t="str">
        <f aca="false">IF($B1817="","",COUNTA($B$4:$B1817))</f>
        <v/>
      </c>
      <c r="B1817" s="37"/>
      <c r="C1817" s="38"/>
      <c r="D1817" s="39"/>
      <c r="E1817" s="37"/>
      <c r="F1817" s="39"/>
      <c r="G1817" s="40" t="str">
        <f aca="false">IF(OR($E1817="",$F1817=""),"",$E1817&amp;" - RT "&amp;$F1817)</f>
        <v/>
      </c>
      <c r="H1817" s="37"/>
      <c r="I1817" s="38"/>
      <c r="J1817" s="37"/>
      <c r="K1817" s="39"/>
      <c r="L1817" s="41"/>
      <c r="M1817" s="36" t="str">
        <f aca="true">IF(OR($B1817="",$L1817=""),"",DATEDIF($L1817,TODAY(),"Y"))</f>
        <v/>
      </c>
      <c r="N1817" s="40" t="str">
        <f aca="false">IF($M1817="","",INDEX(usia_label,MATCH($M1817,usia_min,1)))</f>
        <v/>
      </c>
      <c r="O1817" s="37"/>
      <c r="P1817" s="41"/>
      <c r="Q1817" s="37"/>
      <c r="R1817" s="37"/>
      <c r="S1817" s="40" t="str">
        <f aca="false">IF($G1817="","",$G1817&amp;"#"&amp;COUNTIF($G$4:$G1817,$G1817))</f>
        <v/>
      </c>
      <c r="T1817" s="40" t="str">
        <f aca="false">IF($B1817="","",IF($C1817="","NIK kosong",IF(LEN($C1817)&lt;&gt;16,"NIK bukan 16 digit",IF(COUNTIF($C$4:$C$2003,$C1817&amp;"*")&gt;1,"NIK ganda",IF($E1817="","Kadus kosong",IF($F1817="","RT kosong",IF($H1817="","Jabatan kosong",IF($I1817="","No. HP kosong",IF($J1817="","Alamat kosong",IF(AND($M1817&lt;&gt;"",$M1817&lt;17),"Usia di bawah 17",""))))))))))</f>
        <v/>
      </c>
      <c r="U1817" s="40" t="str">
        <f aca="false">IF($B1817="","",IF(AND(OR(CARI!$C$5="",ISNUMBER(SEARCH(CARI!$C$5,$B1817&amp;" "&amp;$C1817&amp;" "&amp;$I1817&amp;" "&amp;$J1817&amp;" "&amp;$Q1817))),OR(CARI!$C$6="",$E1817=CARI!$C$6),OR(CARI!$C$7="",$F1817=CARI!$C$7),OR(CARI!$C$8="",$O1817=CARI!$C$8)),MAX($U$3:U1816)+1,""))</f>
        <v/>
      </c>
      <c r="V1817" s="40" t="str">
        <f aca="false">IF($T1817="","",MAX($V$3:V1816)+1)</f>
        <v/>
      </c>
      <c r="W1817" s="40" t="str">
        <f aca="false">IF($E1817="","",$E1817&amp;"#"&amp;COUNTIF($E$4:$E1817,$E1817))</f>
        <v/>
      </c>
      <c r="X1817" s="40" t="str">
        <f aca="false">IF($B1817="","",IF(AND(OR(CETAK!$J$10="",$E1817=CETAK!$J$10),OR(CETAK!$J$11="",$F1817=CETAK!$J$11),OR(CETAK!$J$12="",$K1817=CETAK!$J$12),OR(CETAK!$J$13="",$H1817=CETAK!$J$13),OR(CETAK!$J$14="",$O1817=CETAK!$J$14)),MAX($X$3:X1816)+1,""))</f>
        <v/>
      </c>
      <c r="Y1817" s="40" t="str">
        <f aca="false">IF($B1817="","",IF(AND(OR(ABSENSI!$H$10="",$E1817=ABSENSI!$H$10),OR(ABSENSI!$H$11="",$F1817=ABSENSI!$H$11),OR(ABSENSI!$H$12="",$K1817=ABSENSI!$H$12)),MAX($Y$3:Y1816)+1,""))</f>
        <v/>
      </c>
      <c r="Z1817" s="40" t="str">
        <f aca="false">IF($B1817="","",IF(AND(OR(KARTU!$K$6="",$E1817=KARTU!$K$6),OR(KARTU!$K$7="",$F1817=KARTU!$K$7),OR(KARTU!$K$8="",$K1817=KARTU!$K$8)),MAX($Z$3:Z1816)+1,""))</f>
        <v/>
      </c>
    </row>
    <row r="1818" customFormat="false" ht="15" hidden="false" customHeight="false" outlineLevel="0" collapsed="false">
      <c r="A1818" s="36" t="str">
        <f aca="false">IF($B1818="","",COUNTA($B$4:$B1818))</f>
        <v/>
      </c>
      <c r="B1818" s="37"/>
      <c r="C1818" s="38"/>
      <c r="D1818" s="39"/>
      <c r="E1818" s="37"/>
      <c r="F1818" s="39"/>
      <c r="G1818" s="40" t="str">
        <f aca="false">IF(OR($E1818="",$F1818=""),"",$E1818&amp;" - RT "&amp;$F1818)</f>
        <v/>
      </c>
      <c r="H1818" s="37"/>
      <c r="I1818" s="38"/>
      <c r="J1818" s="37"/>
      <c r="K1818" s="39"/>
      <c r="L1818" s="41"/>
      <c r="M1818" s="36" t="str">
        <f aca="true">IF(OR($B1818="",$L1818=""),"",DATEDIF($L1818,TODAY(),"Y"))</f>
        <v/>
      </c>
      <c r="N1818" s="40" t="str">
        <f aca="false">IF($M1818="","",INDEX(usia_label,MATCH($M1818,usia_min,1)))</f>
        <v/>
      </c>
      <c r="O1818" s="37"/>
      <c r="P1818" s="41"/>
      <c r="Q1818" s="37"/>
      <c r="R1818" s="37"/>
      <c r="S1818" s="40" t="str">
        <f aca="false">IF($G1818="","",$G1818&amp;"#"&amp;COUNTIF($G$4:$G1818,$G1818))</f>
        <v/>
      </c>
      <c r="T1818" s="40" t="str">
        <f aca="false">IF($B1818="","",IF($C1818="","NIK kosong",IF(LEN($C1818)&lt;&gt;16,"NIK bukan 16 digit",IF(COUNTIF($C$4:$C$2003,$C1818&amp;"*")&gt;1,"NIK ganda",IF($E1818="","Kadus kosong",IF($F1818="","RT kosong",IF($H1818="","Jabatan kosong",IF($I1818="","No. HP kosong",IF($J1818="","Alamat kosong",IF(AND($M1818&lt;&gt;"",$M1818&lt;17),"Usia di bawah 17",""))))))))))</f>
        <v/>
      </c>
      <c r="U1818" s="40" t="str">
        <f aca="false">IF($B1818="","",IF(AND(OR(CARI!$C$5="",ISNUMBER(SEARCH(CARI!$C$5,$B1818&amp;" "&amp;$C1818&amp;" "&amp;$I1818&amp;" "&amp;$J1818&amp;" "&amp;$Q1818))),OR(CARI!$C$6="",$E1818=CARI!$C$6),OR(CARI!$C$7="",$F1818=CARI!$C$7),OR(CARI!$C$8="",$O1818=CARI!$C$8)),MAX($U$3:U1817)+1,""))</f>
        <v/>
      </c>
      <c r="V1818" s="40" t="str">
        <f aca="false">IF($T1818="","",MAX($V$3:V1817)+1)</f>
        <v/>
      </c>
      <c r="W1818" s="40" t="str">
        <f aca="false">IF($E1818="","",$E1818&amp;"#"&amp;COUNTIF($E$4:$E1818,$E1818))</f>
        <v/>
      </c>
      <c r="X1818" s="40" t="str">
        <f aca="false">IF($B1818="","",IF(AND(OR(CETAK!$J$10="",$E1818=CETAK!$J$10),OR(CETAK!$J$11="",$F1818=CETAK!$J$11),OR(CETAK!$J$12="",$K1818=CETAK!$J$12),OR(CETAK!$J$13="",$H1818=CETAK!$J$13),OR(CETAK!$J$14="",$O1818=CETAK!$J$14)),MAX($X$3:X1817)+1,""))</f>
        <v/>
      </c>
      <c r="Y1818" s="40" t="str">
        <f aca="false">IF($B1818="","",IF(AND(OR(ABSENSI!$H$10="",$E1818=ABSENSI!$H$10),OR(ABSENSI!$H$11="",$F1818=ABSENSI!$H$11),OR(ABSENSI!$H$12="",$K1818=ABSENSI!$H$12)),MAX($Y$3:Y1817)+1,""))</f>
        <v/>
      </c>
      <c r="Z1818" s="40" t="str">
        <f aca="false">IF($B1818="","",IF(AND(OR(KARTU!$K$6="",$E1818=KARTU!$K$6),OR(KARTU!$K$7="",$F1818=KARTU!$K$7),OR(KARTU!$K$8="",$K1818=KARTU!$K$8)),MAX($Z$3:Z1817)+1,""))</f>
        <v/>
      </c>
    </row>
    <row r="1819" customFormat="false" ht="15" hidden="false" customHeight="false" outlineLevel="0" collapsed="false">
      <c r="A1819" s="36" t="str">
        <f aca="false">IF($B1819="","",COUNTA($B$4:$B1819))</f>
        <v/>
      </c>
      <c r="B1819" s="37"/>
      <c r="C1819" s="38"/>
      <c r="D1819" s="39"/>
      <c r="E1819" s="37"/>
      <c r="F1819" s="39"/>
      <c r="G1819" s="40" t="str">
        <f aca="false">IF(OR($E1819="",$F1819=""),"",$E1819&amp;" - RT "&amp;$F1819)</f>
        <v/>
      </c>
      <c r="H1819" s="37"/>
      <c r="I1819" s="38"/>
      <c r="J1819" s="37"/>
      <c r="K1819" s="39"/>
      <c r="L1819" s="41"/>
      <c r="M1819" s="36" t="str">
        <f aca="true">IF(OR($B1819="",$L1819=""),"",DATEDIF($L1819,TODAY(),"Y"))</f>
        <v/>
      </c>
      <c r="N1819" s="40" t="str">
        <f aca="false">IF($M1819="","",INDEX(usia_label,MATCH($M1819,usia_min,1)))</f>
        <v/>
      </c>
      <c r="O1819" s="37"/>
      <c r="P1819" s="41"/>
      <c r="Q1819" s="37"/>
      <c r="R1819" s="37"/>
      <c r="S1819" s="40" t="str">
        <f aca="false">IF($G1819="","",$G1819&amp;"#"&amp;COUNTIF($G$4:$G1819,$G1819))</f>
        <v/>
      </c>
      <c r="T1819" s="40" t="str">
        <f aca="false">IF($B1819="","",IF($C1819="","NIK kosong",IF(LEN($C1819)&lt;&gt;16,"NIK bukan 16 digit",IF(COUNTIF($C$4:$C$2003,$C1819&amp;"*")&gt;1,"NIK ganda",IF($E1819="","Kadus kosong",IF($F1819="","RT kosong",IF($H1819="","Jabatan kosong",IF($I1819="","No. HP kosong",IF($J1819="","Alamat kosong",IF(AND($M1819&lt;&gt;"",$M1819&lt;17),"Usia di bawah 17",""))))))))))</f>
        <v/>
      </c>
      <c r="U1819" s="40" t="str">
        <f aca="false">IF($B1819="","",IF(AND(OR(CARI!$C$5="",ISNUMBER(SEARCH(CARI!$C$5,$B1819&amp;" "&amp;$C1819&amp;" "&amp;$I1819&amp;" "&amp;$J1819&amp;" "&amp;$Q1819))),OR(CARI!$C$6="",$E1819=CARI!$C$6),OR(CARI!$C$7="",$F1819=CARI!$C$7),OR(CARI!$C$8="",$O1819=CARI!$C$8)),MAX($U$3:U1818)+1,""))</f>
        <v/>
      </c>
      <c r="V1819" s="40" t="str">
        <f aca="false">IF($T1819="","",MAX($V$3:V1818)+1)</f>
        <v/>
      </c>
      <c r="W1819" s="40" t="str">
        <f aca="false">IF($E1819="","",$E1819&amp;"#"&amp;COUNTIF($E$4:$E1819,$E1819))</f>
        <v/>
      </c>
      <c r="X1819" s="40" t="str">
        <f aca="false">IF($B1819="","",IF(AND(OR(CETAK!$J$10="",$E1819=CETAK!$J$10),OR(CETAK!$J$11="",$F1819=CETAK!$J$11),OR(CETAK!$J$12="",$K1819=CETAK!$J$12),OR(CETAK!$J$13="",$H1819=CETAK!$J$13),OR(CETAK!$J$14="",$O1819=CETAK!$J$14)),MAX($X$3:X1818)+1,""))</f>
        <v/>
      </c>
      <c r="Y1819" s="40" t="str">
        <f aca="false">IF($B1819="","",IF(AND(OR(ABSENSI!$H$10="",$E1819=ABSENSI!$H$10),OR(ABSENSI!$H$11="",$F1819=ABSENSI!$H$11),OR(ABSENSI!$H$12="",$K1819=ABSENSI!$H$12)),MAX($Y$3:Y1818)+1,""))</f>
        <v/>
      </c>
      <c r="Z1819" s="40" t="str">
        <f aca="false">IF($B1819="","",IF(AND(OR(KARTU!$K$6="",$E1819=KARTU!$K$6),OR(KARTU!$K$7="",$F1819=KARTU!$K$7),OR(KARTU!$K$8="",$K1819=KARTU!$K$8)),MAX($Z$3:Z1818)+1,""))</f>
        <v/>
      </c>
    </row>
    <row r="1820" customFormat="false" ht="15" hidden="false" customHeight="false" outlineLevel="0" collapsed="false">
      <c r="A1820" s="36" t="str">
        <f aca="false">IF($B1820="","",COUNTA($B$4:$B1820))</f>
        <v/>
      </c>
      <c r="B1820" s="37"/>
      <c r="C1820" s="38"/>
      <c r="D1820" s="39"/>
      <c r="E1820" s="37"/>
      <c r="F1820" s="39"/>
      <c r="G1820" s="40" t="str">
        <f aca="false">IF(OR($E1820="",$F1820=""),"",$E1820&amp;" - RT "&amp;$F1820)</f>
        <v/>
      </c>
      <c r="H1820" s="37"/>
      <c r="I1820" s="38"/>
      <c r="J1820" s="37"/>
      <c r="K1820" s="39"/>
      <c r="L1820" s="41"/>
      <c r="M1820" s="36" t="str">
        <f aca="true">IF(OR($B1820="",$L1820=""),"",DATEDIF($L1820,TODAY(),"Y"))</f>
        <v/>
      </c>
      <c r="N1820" s="40" t="str">
        <f aca="false">IF($M1820="","",INDEX(usia_label,MATCH($M1820,usia_min,1)))</f>
        <v/>
      </c>
      <c r="O1820" s="37"/>
      <c r="P1820" s="41"/>
      <c r="Q1820" s="37"/>
      <c r="R1820" s="37"/>
      <c r="S1820" s="40" t="str">
        <f aca="false">IF($G1820="","",$G1820&amp;"#"&amp;COUNTIF($G$4:$G1820,$G1820))</f>
        <v/>
      </c>
      <c r="T1820" s="40" t="str">
        <f aca="false">IF($B1820="","",IF($C1820="","NIK kosong",IF(LEN($C1820)&lt;&gt;16,"NIK bukan 16 digit",IF(COUNTIF($C$4:$C$2003,$C1820&amp;"*")&gt;1,"NIK ganda",IF($E1820="","Kadus kosong",IF($F1820="","RT kosong",IF($H1820="","Jabatan kosong",IF($I1820="","No. HP kosong",IF($J1820="","Alamat kosong",IF(AND($M1820&lt;&gt;"",$M1820&lt;17),"Usia di bawah 17",""))))))))))</f>
        <v/>
      </c>
      <c r="U1820" s="40" t="str">
        <f aca="false">IF($B1820="","",IF(AND(OR(CARI!$C$5="",ISNUMBER(SEARCH(CARI!$C$5,$B1820&amp;" "&amp;$C1820&amp;" "&amp;$I1820&amp;" "&amp;$J1820&amp;" "&amp;$Q1820))),OR(CARI!$C$6="",$E1820=CARI!$C$6),OR(CARI!$C$7="",$F1820=CARI!$C$7),OR(CARI!$C$8="",$O1820=CARI!$C$8)),MAX($U$3:U1819)+1,""))</f>
        <v/>
      </c>
      <c r="V1820" s="40" t="str">
        <f aca="false">IF($T1820="","",MAX($V$3:V1819)+1)</f>
        <v/>
      </c>
      <c r="W1820" s="40" t="str">
        <f aca="false">IF($E1820="","",$E1820&amp;"#"&amp;COUNTIF($E$4:$E1820,$E1820))</f>
        <v/>
      </c>
      <c r="X1820" s="40" t="str">
        <f aca="false">IF($B1820="","",IF(AND(OR(CETAK!$J$10="",$E1820=CETAK!$J$10),OR(CETAK!$J$11="",$F1820=CETAK!$J$11),OR(CETAK!$J$12="",$K1820=CETAK!$J$12),OR(CETAK!$J$13="",$H1820=CETAK!$J$13),OR(CETAK!$J$14="",$O1820=CETAK!$J$14)),MAX($X$3:X1819)+1,""))</f>
        <v/>
      </c>
      <c r="Y1820" s="40" t="str">
        <f aca="false">IF($B1820="","",IF(AND(OR(ABSENSI!$H$10="",$E1820=ABSENSI!$H$10),OR(ABSENSI!$H$11="",$F1820=ABSENSI!$H$11),OR(ABSENSI!$H$12="",$K1820=ABSENSI!$H$12)),MAX($Y$3:Y1819)+1,""))</f>
        <v/>
      </c>
      <c r="Z1820" s="40" t="str">
        <f aca="false">IF($B1820="","",IF(AND(OR(KARTU!$K$6="",$E1820=KARTU!$K$6),OR(KARTU!$K$7="",$F1820=KARTU!$K$7),OR(KARTU!$K$8="",$K1820=KARTU!$K$8)),MAX($Z$3:Z1819)+1,""))</f>
        <v/>
      </c>
    </row>
    <row r="1821" customFormat="false" ht="15" hidden="false" customHeight="false" outlineLevel="0" collapsed="false">
      <c r="A1821" s="36" t="str">
        <f aca="false">IF($B1821="","",COUNTA($B$4:$B1821))</f>
        <v/>
      </c>
      <c r="B1821" s="37"/>
      <c r="C1821" s="38"/>
      <c r="D1821" s="39"/>
      <c r="E1821" s="37"/>
      <c r="F1821" s="39"/>
      <c r="G1821" s="40" t="str">
        <f aca="false">IF(OR($E1821="",$F1821=""),"",$E1821&amp;" - RT "&amp;$F1821)</f>
        <v/>
      </c>
      <c r="H1821" s="37"/>
      <c r="I1821" s="38"/>
      <c r="J1821" s="37"/>
      <c r="K1821" s="39"/>
      <c r="L1821" s="41"/>
      <c r="M1821" s="36" t="str">
        <f aca="true">IF(OR($B1821="",$L1821=""),"",DATEDIF($L1821,TODAY(),"Y"))</f>
        <v/>
      </c>
      <c r="N1821" s="40" t="str">
        <f aca="false">IF($M1821="","",INDEX(usia_label,MATCH($M1821,usia_min,1)))</f>
        <v/>
      </c>
      <c r="O1821" s="37"/>
      <c r="P1821" s="41"/>
      <c r="Q1821" s="37"/>
      <c r="R1821" s="37"/>
      <c r="S1821" s="40" t="str">
        <f aca="false">IF($G1821="","",$G1821&amp;"#"&amp;COUNTIF($G$4:$G1821,$G1821))</f>
        <v/>
      </c>
      <c r="T1821" s="40" t="str">
        <f aca="false">IF($B1821="","",IF($C1821="","NIK kosong",IF(LEN($C1821)&lt;&gt;16,"NIK bukan 16 digit",IF(COUNTIF($C$4:$C$2003,$C1821&amp;"*")&gt;1,"NIK ganda",IF($E1821="","Kadus kosong",IF($F1821="","RT kosong",IF($H1821="","Jabatan kosong",IF($I1821="","No. HP kosong",IF($J1821="","Alamat kosong",IF(AND($M1821&lt;&gt;"",$M1821&lt;17),"Usia di bawah 17",""))))))))))</f>
        <v/>
      </c>
      <c r="U1821" s="40" t="str">
        <f aca="false">IF($B1821="","",IF(AND(OR(CARI!$C$5="",ISNUMBER(SEARCH(CARI!$C$5,$B1821&amp;" "&amp;$C1821&amp;" "&amp;$I1821&amp;" "&amp;$J1821&amp;" "&amp;$Q1821))),OR(CARI!$C$6="",$E1821=CARI!$C$6),OR(CARI!$C$7="",$F1821=CARI!$C$7),OR(CARI!$C$8="",$O1821=CARI!$C$8)),MAX($U$3:U1820)+1,""))</f>
        <v/>
      </c>
      <c r="V1821" s="40" t="str">
        <f aca="false">IF($T1821="","",MAX($V$3:V1820)+1)</f>
        <v/>
      </c>
      <c r="W1821" s="40" t="str">
        <f aca="false">IF($E1821="","",$E1821&amp;"#"&amp;COUNTIF($E$4:$E1821,$E1821))</f>
        <v/>
      </c>
      <c r="X1821" s="40" t="str">
        <f aca="false">IF($B1821="","",IF(AND(OR(CETAK!$J$10="",$E1821=CETAK!$J$10),OR(CETAK!$J$11="",$F1821=CETAK!$J$11),OR(CETAK!$J$12="",$K1821=CETAK!$J$12),OR(CETAK!$J$13="",$H1821=CETAK!$J$13),OR(CETAK!$J$14="",$O1821=CETAK!$J$14)),MAX($X$3:X1820)+1,""))</f>
        <v/>
      </c>
      <c r="Y1821" s="40" t="str">
        <f aca="false">IF($B1821="","",IF(AND(OR(ABSENSI!$H$10="",$E1821=ABSENSI!$H$10),OR(ABSENSI!$H$11="",$F1821=ABSENSI!$H$11),OR(ABSENSI!$H$12="",$K1821=ABSENSI!$H$12)),MAX($Y$3:Y1820)+1,""))</f>
        <v/>
      </c>
      <c r="Z1821" s="40" t="str">
        <f aca="false">IF($B1821="","",IF(AND(OR(KARTU!$K$6="",$E1821=KARTU!$K$6),OR(KARTU!$K$7="",$F1821=KARTU!$K$7),OR(KARTU!$K$8="",$K1821=KARTU!$K$8)),MAX($Z$3:Z1820)+1,""))</f>
        <v/>
      </c>
    </row>
    <row r="1822" customFormat="false" ht="15" hidden="false" customHeight="false" outlineLevel="0" collapsed="false">
      <c r="A1822" s="36" t="str">
        <f aca="false">IF($B1822="","",COUNTA($B$4:$B1822))</f>
        <v/>
      </c>
      <c r="B1822" s="37"/>
      <c r="C1822" s="38"/>
      <c r="D1822" s="39"/>
      <c r="E1822" s="37"/>
      <c r="F1822" s="39"/>
      <c r="G1822" s="40" t="str">
        <f aca="false">IF(OR($E1822="",$F1822=""),"",$E1822&amp;" - RT "&amp;$F1822)</f>
        <v/>
      </c>
      <c r="H1822" s="37"/>
      <c r="I1822" s="38"/>
      <c r="J1822" s="37"/>
      <c r="K1822" s="39"/>
      <c r="L1822" s="41"/>
      <c r="M1822" s="36" t="str">
        <f aca="true">IF(OR($B1822="",$L1822=""),"",DATEDIF($L1822,TODAY(),"Y"))</f>
        <v/>
      </c>
      <c r="N1822" s="40" t="str">
        <f aca="false">IF($M1822="","",INDEX(usia_label,MATCH($M1822,usia_min,1)))</f>
        <v/>
      </c>
      <c r="O1822" s="37"/>
      <c r="P1822" s="41"/>
      <c r="Q1822" s="37"/>
      <c r="R1822" s="37"/>
      <c r="S1822" s="40" t="str">
        <f aca="false">IF($G1822="","",$G1822&amp;"#"&amp;COUNTIF($G$4:$G1822,$G1822))</f>
        <v/>
      </c>
      <c r="T1822" s="40" t="str">
        <f aca="false">IF($B1822="","",IF($C1822="","NIK kosong",IF(LEN($C1822)&lt;&gt;16,"NIK bukan 16 digit",IF(COUNTIF($C$4:$C$2003,$C1822&amp;"*")&gt;1,"NIK ganda",IF($E1822="","Kadus kosong",IF($F1822="","RT kosong",IF($H1822="","Jabatan kosong",IF($I1822="","No. HP kosong",IF($J1822="","Alamat kosong",IF(AND($M1822&lt;&gt;"",$M1822&lt;17),"Usia di bawah 17",""))))))))))</f>
        <v/>
      </c>
      <c r="U1822" s="40" t="str">
        <f aca="false">IF($B1822="","",IF(AND(OR(CARI!$C$5="",ISNUMBER(SEARCH(CARI!$C$5,$B1822&amp;" "&amp;$C1822&amp;" "&amp;$I1822&amp;" "&amp;$J1822&amp;" "&amp;$Q1822))),OR(CARI!$C$6="",$E1822=CARI!$C$6),OR(CARI!$C$7="",$F1822=CARI!$C$7),OR(CARI!$C$8="",$O1822=CARI!$C$8)),MAX($U$3:U1821)+1,""))</f>
        <v/>
      </c>
      <c r="V1822" s="40" t="str">
        <f aca="false">IF($T1822="","",MAX($V$3:V1821)+1)</f>
        <v/>
      </c>
      <c r="W1822" s="40" t="str">
        <f aca="false">IF($E1822="","",$E1822&amp;"#"&amp;COUNTIF($E$4:$E1822,$E1822))</f>
        <v/>
      </c>
      <c r="X1822" s="40" t="str">
        <f aca="false">IF($B1822="","",IF(AND(OR(CETAK!$J$10="",$E1822=CETAK!$J$10),OR(CETAK!$J$11="",$F1822=CETAK!$J$11),OR(CETAK!$J$12="",$K1822=CETAK!$J$12),OR(CETAK!$J$13="",$H1822=CETAK!$J$13),OR(CETAK!$J$14="",$O1822=CETAK!$J$14)),MAX($X$3:X1821)+1,""))</f>
        <v/>
      </c>
      <c r="Y1822" s="40" t="str">
        <f aca="false">IF($B1822="","",IF(AND(OR(ABSENSI!$H$10="",$E1822=ABSENSI!$H$10),OR(ABSENSI!$H$11="",$F1822=ABSENSI!$H$11),OR(ABSENSI!$H$12="",$K1822=ABSENSI!$H$12)),MAX($Y$3:Y1821)+1,""))</f>
        <v/>
      </c>
      <c r="Z1822" s="40" t="str">
        <f aca="false">IF($B1822="","",IF(AND(OR(KARTU!$K$6="",$E1822=KARTU!$K$6),OR(KARTU!$K$7="",$F1822=KARTU!$K$7),OR(KARTU!$K$8="",$K1822=KARTU!$K$8)),MAX($Z$3:Z1821)+1,""))</f>
        <v/>
      </c>
    </row>
    <row r="1823" customFormat="false" ht="15" hidden="false" customHeight="false" outlineLevel="0" collapsed="false">
      <c r="A1823" s="36" t="str">
        <f aca="false">IF($B1823="","",COUNTA($B$4:$B1823))</f>
        <v/>
      </c>
      <c r="B1823" s="37"/>
      <c r="C1823" s="38"/>
      <c r="D1823" s="39"/>
      <c r="E1823" s="37"/>
      <c r="F1823" s="39"/>
      <c r="G1823" s="40" t="str">
        <f aca="false">IF(OR($E1823="",$F1823=""),"",$E1823&amp;" - RT "&amp;$F1823)</f>
        <v/>
      </c>
      <c r="H1823" s="37"/>
      <c r="I1823" s="38"/>
      <c r="J1823" s="37"/>
      <c r="K1823" s="39"/>
      <c r="L1823" s="41"/>
      <c r="M1823" s="36" t="str">
        <f aca="true">IF(OR($B1823="",$L1823=""),"",DATEDIF($L1823,TODAY(),"Y"))</f>
        <v/>
      </c>
      <c r="N1823" s="40" t="str">
        <f aca="false">IF($M1823="","",INDEX(usia_label,MATCH($M1823,usia_min,1)))</f>
        <v/>
      </c>
      <c r="O1823" s="37"/>
      <c r="P1823" s="41"/>
      <c r="Q1823" s="37"/>
      <c r="R1823" s="37"/>
      <c r="S1823" s="40" t="str">
        <f aca="false">IF($G1823="","",$G1823&amp;"#"&amp;COUNTIF($G$4:$G1823,$G1823))</f>
        <v/>
      </c>
      <c r="T1823" s="40" t="str">
        <f aca="false">IF($B1823="","",IF($C1823="","NIK kosong",IF(LEN($C1823)&lt;&gt;16,"NIK bukan 16 digit",IF(COUNTIF($C$4:$C$2003,$C1823&amp;"*")&gt;1,"NIK ganda",IF($E1823="","Kadus kosong",IF($F1823="","RT kosong",IF($H1823="","Jabatan kosong",IF($I1823="","No. HP kosong",IF($J1823="","Alamat kosong",IF(AND($M1823&lt;&gt;"",$M1823&lt;17),"Usia di bawah 17",""))))))))))</f>
        <v/>
      </c>
      <c r="U1823" s="40" t="str">
        <f aca="false">IF($B1823="","",IF(AND(OR(CARI!$C$5="",ISNUMBER(SEARCH(CARI!$C$5,$B1823&amp;" "&amp;$C1823&amp;" "&amp;$I1823&amp;" "&amp;$J1823&amp;" "&amp;$Q1823))),OR(CARI!$C$6="",$E1823=CARI!$C$6),OR(CARI!$C$7="",$F1823=CARI!$C$7),OR(CARI!$C$8="",$O1823=CARI!$C$8)),MAX($U$3:U1822)+1,""))</f>
        <v/>
      </c>
      <c r="V1823" s="40" t="str">
        <f aca="false">IF($T1823="","",MAX($V$3:V1822)+1)</f>
        <v/>
      </c>
      <c r="W1823" s="40" t="str">
        <f aca="false">IF($E1823="","",$E1823&amp;"#"&amp;COUNTIF($E$4:$E1823,$E1823))</f>
        <v/>
      </c>
      <c r="X1823" s="40" t="str">
        <f aca="false">IF($B1823="","",IF(AND(OR(CETAK!$J$10="",$E1823=CETAK!$J$10),OR(CETAK!$J$11="",$F1823=CETAK!$J$11),OR(CETAK!$J$12="",$K1823=CETAK!$J$12),OR(CETAK!$J$13="",$H1823=CETAK!$J$13),OR(CETAK!$J$14="",$O1823=CETAK!$J$14)),MAX($X$3:X1822)+1,""))</f>
        <v/>
      </c>
      <c r="Y1823" s="40" t="str">
        <f aca="false">IF($B1823="","",IF(AND(OR(ABSENSI!$H$10="",$E1823=ABSENSI!$H$10),OR(ABSENSI!$H$11="",$F1823=ABSENSI!$H$11),OR(ABSENSI!$H$12="",$K1823=ABSENSI!$H$12)),MAX($Y$3:Y1822)+1,""))</f>
        <v/>
      </c>
      <c r="Z1823" s="40" t="str">
        <f aca="false">IF($B1823="","",IF(AND(OR(KARTU!$K$6="",$E1823=KARTU!$K$6),OR(KARTU!$K$7="",$F1823=KARTU!$K$7),OR(KARTU!$K$8="",$K1823=KARTU!$K$8)),MAX($Z$3:Z1822)+1,""))</f>
        <v/>
      </c>
    </row>
    <row r="1824" customFormat="false" ht="15" hidden="false" customHeight="false" outlineLevel="0" collapsed="false">
      <c r="A1824" s="36" t="str">
        <f aca="false">IF($B1824="","",COUNTA($B$4:$B1824))</f>
        <v/>
      </c>
      <c r="B1824" s="37"/>
      <c r="C1824" s="38"/>
      <c r="D1824" s="39"/>
      <c r="E1824" s="37"/>
      <c r="F1824" s="39"/>
      <c r="G1824" s="40" t="str">
        <f aca="false">IF(OR($E1824="",$F1824=""),"",$E1824&amp;" - RT "&amp;$F1824)</f>
        <v/>
      </c>
      <c r="H1824" s="37"/>
      <c r="I1824" s="38"/>
      <c r="J1824" s="37"/>
      <c r="K1824" s="39"/>
      <c r="L1824" s="41"/>
      <c r="M1824" s="36" t="str">
        <f aca="true">IF(OR($B1824="",$L1824=""),"",DATEDIF($L1824,TODAY(),"Y"))</f>
        <v/>
      </c>
      <c r="N1824" s="40" t="str">
        <f aca="false">IF($M1824="","",INDEX(usia_label,MATCH($M1824,usia_min,1)))</f>
        <v/>
      </c>
      <c r="O1824" s="37"/>
      <c r="P1824" s="41"/>
      <c r="Q1824" s="37"/>
      <c r="R1824" s="37"/>
      <c r="S1824" s="40" t="str">
        <f aca="false">IF($G1824="","",$G1824&amp;"#"&amp;COUNTIF($G$4:$G1824,$G1824))</f>
        <v/>
      </c>
      <c r="T1824" s="40" t="str">
        <f aca="false">IF($B1824="","",IF($C1824="","NIK kosong",IF(LEN($C1824)&lt;&gt;16,"NIK bukan 16 digit",IF(COUNTIF($C$4:$C$2003,$C1824&amp;"*")&gt;1,"NIK ganda",IF($E1824="","Kadus kosong",IF($F1824="","RT kosong",IF($H1824="","Jabatan kosong",IF($I1824="","No. HP kosong",IF($J1824="","Alamat kosong",IF(AND($M1824&lt;&gt;"",$M1824&lt;17),"Usia di bawah 17",""))))))))))</f>
        <v/>
      </c>
      <c r="U1824" s="40" t="str">
        <f aca="false">IF($B1824="","",IF(AND(OR(CARI!$C$5="",ISNUMBER(SEARCH(CARI!$C$5,$B1824&amp;" "&amp;$C1824&amp;" "&amp;$I1824&amp;" "&amp;$J1824&amp;" "&amp;$Q1824))),OR(CARI!$C$6="",$E1824=CARI!$C$6),OR(CARI!$C$7="",$F1824=CARI!$C$7),OR(CARI!$C$8="",$O1824=CARI!$C$8)),MAX($U$3:U1823)+1,""))</f>
        <v/>
      </c>
      <c r="V1824" s="40" t="str">
        <f aca="false">IF($T1824="","",MAX($V$3:V1823)+1)</f>
        <v/>
      </c>
      <c r="W1824" s="40" t="str">
        <f aca="false">IF($E1824="","",$E1824&amp;"#"&amp;COUNTIF($E$4:$E1824,$E1824))</f>
        <v/>
      </c>
      <c r="X1824" s="40" t="str">
        <f aca="false">IF($B1824="","",IF(AND(OR(CETAK!$J$10="",$E1824=CETAK!$J$10),OR(CETAK!$J$11="",$F1824=CETAK!$J$11),OR(CETAK!$J$12="",$K1824=CETAK!$J$12),OR(CETAK!$J$13="",$H1824=CETAK!$J$13),OR(CETAK!$J$14="",$O1824=CETAK!$J$14)),MAX($X$3:X1823)+1,""))</f>
        <v/>
      </c>
      <c r="Y1824" s="40" t="str">
        <f aca="false">IF($B1824="","",IF(AND(OR(ABSENSI!$H$10="",$E1824=ABSENSI!$H$10),OR(ABSENSI!$H$11="",$F1824=ABSENSI!$H$11),OR(ABSENSI!$H$12="",$K1824=ABSENSI!$H$12)),MAX($Y$3:Y1823)+1,""))</f>
        <v/>
      </c>
      <c r="Z1824" s="40" t="str">
        <f aca="false">IF($B1824="","",IF(AND(OR(KARTU!$K$6="",$E1824=KARTU!$K$6),OR(KARTU!$K$7="",$F1824=KARTU!$K$7),OR(KARTU!$K$8="",$K1824=KARTU!$K$8)),MAX($Z$3:Z1823)+1,""))</f>
        <v/>
      </c>
    </row>
    <row r="1825" customFormat="false" ht="15" hidden="false" customHeight="false" outlineLevel="0" collapsed="false">
      <c r="A1825" s="36" t="str">
        <f aca="false">IF($B1825="","",COUNTA($B$4:$B1825))</f>
        <v/>
      </c>
      <c r="B1825" s="37"/>
      <c r="C1825" s="38"/>
      <c r="D1825" s="39"/>
      <c r="E1825" s="37"/>
      <c r="F1825" s="39"/>
      <c r="G1825" s="40" t="str">
        <f aca="false">IF(OR($E1825="",$F1825=""),"",$E1825&amp;" - RT "&amp;$F1825)</f>
        <v/>
      </c>
      <c r="H1825" s="37"/>
      <c r="I1825" s="38"/>
      <c r="J1825" s="37"/>
      <c r="K1825" s="39"/>
      <c r="L1825" s="41"/>
      <c r="M1825" s="36" t="str">
        <f aca="true">IF(OR($B1825="",$L1825=""),"",DATEDIF($L1825,TODAY(),"Y"))</f>
        <v/>
      </c>
      <c r="N1825" s="40" t="str">
        <f aca="false">IF($M1825="","",INDEX(usia_label,MATCH($M1825,usia_min,1)))</f>
        <v/>
      </c>
      <c r="O1825" s="37"/>
      <c r="P1825" s="41"/>
      <c r="Q1825" s="37"/>
      <c r="R1825" s="37"/>
      <c r="S1825" s="40" t="str">
        <f aca="false">IF($G1825="","",$G1825&amp;"#"&amp;COUNTIF($G$4:$G1825,$G1825))</f>
        <v/>
      </c>
      <c r="T1825" s="40" t="str">
        <f aca="false">IF($B1825="","",IF($C1825="","NIK kosong",IF(LEN($C1825)&lt;&gt;16,"NIK bukan 16 digit",IF(COUNTIF($C$4:$C$2003,$C1825&amp;"*")&gt;1,"NIK ganda",IF($E1825="","Kadus kosong",IF($F1825="","RT kosong",IF($H1825="","Jabatan kosong",IF($I1825="","No. HP kosong",IF($J1825="","Alamat kosong",IF(AND($M1825&lt;&gt;"",$M1825&lt;17),"Usia di bawah 17",""))))))))))</f>
        <v/>
      </c>
      <c r="U1825" s="40" t="str">
        <f aca="false">IF($B1825="","",IF(AND(OR(CARI!$C$5="",ISNUMBER(SEARCH(CARI!$C$5,$B1825&amp;" "&amp;$C1825&amp;" "&amp;$I1825&amp;" "&amp;$J1825&amp;" "&amp;$Q1825))),OR(CARI!$C$6="",$E1825=CARI!$C$6),OR(CARI!$C$7="",$F1825=CARI!$C$7),OR(CARI!$C$8="",$O1825=CARI!$C$8)),MAX($U$3:U1824)+1,""))</f>
        <v/>
      </c>
      <c r="V1825" s="40" t="str">
        <f aca="false">IF($T1825="","",MAX($V$3:V1824)+1)</f>
        <v/>
      </c>
      <c r="W1825" s="40" t="str">
        <f aca="false">IF($E1825="","",$E1825&amp;"#"&amp;COUNTIF($E$4:$E1825,$E1825))</f>
        <v/>
      </c>
      <c r="X1825" s="40" t="str">
        <f aca="false">IF($B1825="","",IF(AND(OR(CETAK!$J$10="",$E1825=CETAK!$J$10),OR(CETAK!$J$11="",$F1825=CETAK!$J$11),OR(CETAK!$J$12="",$K1825=CETAK!$J$12),OR(CETAK!$J$13="",$H1825=CETAK!$J$13),OR(CETAK!$J$14="",$O1825=CETAK!$J$14)),MAX($X$3:X1824)+1,""))</f>
        <v/>
      </c>
      <c r="Y1825" s="40" t="str">
        <f aca="false">IF($B1825="","",IF(AND(OR(ABSENSI!$H$10="",$E1825=ABSENSI!$H$10),OR(ABSENSI!$H$11="",$F1825=ABSENSI!$H$11),OR(ABSENSI!$H$12="",$K1825=ABSENSI!$H$12)),MAX($Y$3:Y1824)+1,""))</f>
        <v/>
      </c>
      <c r="Z1825" s="40" t="str">
        <f aca="false">IF($B1825="","",IF(AND(OR(KARTU!$K$6="",$E1825=KARTU!$K$6),OR(KARTU!$K$7="",$F1825=KARTU!$K$7),OR(KARTU!$K$8="",$K1825=KARTU!$K$8)),MAX($Z$3:Z1824)+1,""))</f>
        <v/>
      </c>
    </row>
    <row r="1826" customFormat="false" ht="15" hidden="false" customHeight="false" outlineLevel="0" collapsed="false">
      <c r="A1826" s="36" t="str">
        <f aca="false">IF($B1826="","",COUNTA($B$4:$B1826))</f>
        <v/>
      </c>
      <c r="B1826" s="37"/>
      <c r="C1826" s="38"/>
      <c r="D1826" s="39"/>
      <c r="E1826" s="37"/>
      <c r="F1826" s="39"/>
      <c r="G1826" s="40" t="str">
        <f aca="false">IF(OR($E1826="",$F1826=""),"",$E1826&amp;" - RT "&amp;$F1826)</f>
        <v/>
      </c>
      <c r="H1826" s="37"/>
      <c r="I1826" s="38"/>
      <c r="J1826" s="37"/>
      <c r="K1826" s="39"/>
      <c r="L1826" s="41"/>
      <c r="M1826" s="36" t="str">
        <f aca="true">IF(OR($B1826="",$L1826=""),"",DATEDIF($L1826,TODAY(),"Y"))</f>
        <v/>
      </c>
      <c r="N1826" s="40" t="str">
        <f aca="false">IF($M1826="","",INDEX(usia_label,MATCH($M1826,usia_min,1)))</f>
        <v/>
      </c>
      <c r="O1826" s="37"/>
      <c r="P1826" s="41"/>
      <c r="Q1826" s="37"/>
      <c r="R1826" s="37"/>
      <c r="S1826" s="40" t="str">
        <f aca="false">IF($G1826="","",$G1826&amp;"#"&amp;COUNTIF($G$4:$G1826,$G1826))</f>
        <v/>
      </c>
      <c r="T1826" s="40" t="str">
        <f aca="false">IF($B1826="","",IF($C1826="","NIK kosong",IF(LEN($C1826)&lt;&gt;16,"NIK bukan 16 digit",IF(COUNTIF($C$4:$C$2003,$C1826&amp;"*")&gt;1,"NIK ganda",IF($E1826="","Kadus kosong",IF($F1826="","RT kosong",IF($H1826="","Jabatan kosong",IF($I1826="","No. HP kosong",IF($J1826="","Alamat kosong",IF(AND($M1826&lt;&gt;"",$M1826&lt;17),"Usia di bawah 17",""))))))))))</f>
        <v/>
      </c>
      <c r="U1826" s="40" t="str">
        <f aca="false">IF($B1826="","",IF(AND(OR(CARI!$C$5="",ISNUMBER(SEARCH(CARI!$C$5,$B1826&amp;" "&amp;$C1826&amp;" "&amp;$I1826&amp;" "&amp;$J1826&amp;" "&amp;$Q1826))),OR(CARI!$C$6="",$E1826=CARI!$C$6),OR(CARI!$C$7="",$F1826=CARI!$C$7),OR(CARI!$C$8="",$O1826=CARI!$C$8)),MAX($U$3:U1825)+1,""))</f>
        <v/>
      </c>
      <c r="V1826" s="40" t="str">
        <f aca="false">IF($T1826="","",MAX($V$3:V1825)+1)</f>
        <v/>
      </c>
      <c r="W1826" s="40" t="str">
        <f aca="false">IF($E1826="","",$E1826&amp;"#"&amp;COUNTIF($E$4:$E1826,$E1826))</f>
        <v/>
      </c>
      <c r="X1826" s="40" t="str">
        <f aca="false">IF($B1826="","",IF(AND(OR(CETAK!$J$10="",$E1826=CETAK!$J$10),OR(CETAK!$J$11="",$F1826=CETAK!$J$11),OR(CETAK!$J$12="",$K1826=CETAK!$J$12),OR(CETAK!$J$13="",$H1826=CETAK!$J$13),OR(CETAK!$J$14="",$O1826=CETAK!$J$14)),MAX($X$3:X1825)+1,""))</f>
        <v/>
      </c>
      <c r="Y1826" s="40" t="str">
        <f aca="false">IF($B1826="","",IF(AND(OR(ABSENSI!$H$10="",$E1826=ABSENSI!$H$10),OR(ABSENSI!$H$11="",$F1826=ABSENSI!$H$11),OR(ABSENSI!$H$12="",$K1826=ABSENSI!$H$12)),MAX($Y$3:Y1825)+1,""))</f>
        <v/>
      </c>
      <c r="Z1826" s="40" t="str">
        <f aca="false">IF($B1826="","",IF(AND(OR(KARTU!$K$6="",$E1826=KARTU!$K$6),OR(KARTU!$K$7="",$F1826=KARTU!$K$7),OR(KARTU!$K$8="",$K1826=KARTU!$K$8)),MAX($Z$3:Z1825)+1,""))</f>
        <v/>
      </c>
    </row>
    <row r="1827" customFormat="false" ht="15" hidden="false" customHeight="false" outlineLevel="0" collapsed="false">
      <c r="A1827" s="36" t="str">
        <f aca="false">IF($B1827="","",COUNTA($B$4:$B1827))</f>
        <v/>
      </c>
      <c r="B1827" s="37"/>
      <c r="C1827" s="38"/>
      <c r="D1827" s="39"/>
      <c r="E1827" s="37"/>
      <c r="F1827" s="39"/>
      <c r="G1827" s="40" t="str">
        <f aca="false">IF(OR($E1827="",$F1827=""),"",$E1827&amp;" - RT "&amp;$F1827)</f>
        <v/>
      </c>
      <c r="H1827" s="37"/>
      <c r="I1827" s="38"/>
      <c r="J1827" s="37"/>
      <c r="K1827" s="39"/>
      <c r="L1827" s="41"/>
      <c r="M1827" s="36" t="str">
        <f aca="true">IF(OR($B1827="",$L1827=""),"",DATEDIF($L1827,TODAY(),"Y"))</f>
        <v/>
      </c>
      <c r="N1827" s="40" t="str">
        <f aca="false">IF($M1827="","",INDEX(usia_label,MATCH($M1827,usia_min,1)))</f>
        <v/>
      </c>
      <c r="O1827" s="37"/>
      <c r="P1827" s="41"/>
      <c r="Q1827" s="37"/>
      <c r="R1827" s="37"/>
      <c r="S1827" s="40" t="str">
        <f aca="false">IF($G1827="","",$G1827&amp;"#"&amp;COUNTIF($G$4:$G1827,$G1827))</f>
        <v/>
      </c>
      <c r="T1827" s="40" t="str">
        <f aca="false">IF($B1827="","",IF($C1827="","NIK kosong",IF(LEN($C1827)&lt;&gt;16,"NIK bukan 16 digit",IF(COUNTIF($C$4:$C$2003,$C1827&amp;"*")&gt;1,"NIK ganda",IF($E1827="","Kadus kosong",IF($F1827="","RT kosong",IF($H1827="","Jabatan kosong",IF($I1827="","No. HP kosong",IF($J1827="","Alamat kosong",IF(AND($M1827&lt;&gt;"",$M1827&lt;17),"Usia di bawah 17",""))))))))))</f>
        <v/>
      </c>
      <c r="U1827" s="40" t="str">
        <f aca="false">IF($B1827="","",IF(AND(OR(CARI!$C$5="",ISNUMBER(SEARCH(CARI!$C$5,$B1827&amp;" "&amp;$C1827&amp;" "&amp;$I1827&amp;" "&amp;$J1827&amp;" "&amp;$Q1827))),OR(CARI!$C$6="",$E1827=CARI!$C$6),OR(CARI!$C$7="",$F1827=CARI!$C$7),OR(CARI!$C$8="",$O1827=CARI!$C$8)),MAX($U$3:U1826)+1,""))</f>
        <v/>
      </c>
      <c r="V1827" s="40" t="str">
        <f aca="false">IF($T1827="","",MAX($V$3:V1826)+1)</f>
        <v/>
      </c>
      <c r="W1827" s="40" t="str">
        <f aca="false">IF($E1827="","",$E1827&amp;"#"&amp;COUNTIF($E$4:$E1827,$E1827))</f>
        <v/>
      </c>
      <c r="X1827" s="40" t="str">
        <f aca="false">IF($B1827="","",IF(AND(OR(CETAK!$J$10="",$E1827=CETAK!$J$10),OR(CETAK!$J$11="",$F1827=CETAK!$J$11),OR(CETAK!$J$12="",$K1827=CETAK!$J$12),OR(CETAK!$J$13="",$H1827=CETAK!$J$13),OR(CETAK!$J$14="",$O1827=CETAK!$J$14)),MAX($X$3:X1826)+1,""))</f>
        <v/>
      </c>
      <c r="Y1827" s="40" t="str">
        <f aca="false">IF($B1827="","",IF(AND(OR(ABSENSI!$H$10="",$E1827=ABSENSI!$H$10),OR(ABSENSI!$H$11="",$F1827=ABSENSI!$H$11),OR(ABSENSI!$H$12="",$K1827=ABSENSI!$H$12)),MAX($Y$3:Y1826)+1,""))</f>
        <v/>
      </c>
      <c r="Z1827" s="40" t="str">
        <f aca="false">IF($B1827="","",IF(AND(OR(KARTU!$K$6="",$E1827=KARTU!$K$6),OR(KARTU!$K$7="",$F1827=KARTU!$K$7),OR(KARTU!$K$8="",$K1827=KARTU!$K$8)),MAX($Z$3:Z1826)+1,""))</f>
        <v/>
      </c>
    </row>
    <row r="1828" customFormat="false" ht="15" hidden="false" customHeight="false" outlineLevel="0" collapsed="false">
      <c r="A1828" s="36" t="str">
        <f aca="false">IF($B1828="","",COUNTA($B$4:$B1828))</f>
        <v/>
      </c>
      <c r="B1828" s="37"/>
      <c r="C1828" s="38"/>
      <c r="D1828" s="39"/>
      <c r="E1828" s="37"/>
      <c r="F1828" s="39"/>
      <c r="G1828" s="40" t="str">
        <f aca="false">IF(OR($E1828="",$F1828=""),"",$E1828&amp;" - RT "&amp;$F1828)</f>
        <v/>
      </c>
      <c r="H1828" s="37"/>
      <c r="I1828" s="38"/>
      <c r="J1828" s="37"/>
      <c r="K1828" s="39"/>
      <c r="L1828" s="41"/>
      <c r="M1828" s="36" t="str">
        <f aca="true">IF(OR($B1828="",$L1828=""),"",DATEDIF($L1828,TODAY(),"Y"))</f>
        <v/>
      </c>
      <c r="N1828" s="40" t="str">
        <f aca="false">IF($M1828="","",INDEX(usia_label,MATCH($M1828,usia_min,1)))</f>
        <v/>
      </c>
      <c r="O1828" s="37"/>
      <c r="P1828" s="41"/>
      <c r="Q1828" s="37"/>
      <c r="R1828" s="37"/>
      <c r="S1828" s="40" t="str">
        <f aca="false">IF($G1828="","",$G1828&amp;"#"&amp;COUNTIF($G$4:$G1828,$G1828))</f>
        <v/>
      </c>
      <c r="T1828" s="40" t="str">
        <f aca="false">IF($B1828="","",IF($C1828="","NIK kosong",IF(LEN($C1828)&lt;&gt;16,"NIK bukan 16 digit",IF(COUNTIF($C$4:$C$2003,$C1828&amp;"*")&gt;1,"NIK ganda",IF($E1828="","Kadus kosong",IF($F1828="","RT kosong",IF($H1828="","Jabatan kosong",IF($I1828="","No. HP kosong",IF($J1828="","Alamat kosong",IF(AND($M1828&lt;&gt;"",$M1828&lt;17),"Usia di bawah 17",""))))))))))</f>
        <v/>
      </c>
      <c r="U1828" s="40" t="str">
        <f aca="false">IF($B1828="","",IF(AND(OR(CARI!$C$5="",ISNUMBER(SEARCH(CARI!$C$5,$B1828&amp;" "&amp;$C1828&amp;" "&amp;$I1828&amp;" "&amp;$J1828&amp;" "&amp;$Q1828))),OR(CARI!$C$6="",$E1828=CARI!$C$6),OR(CARI!$C$7="",$F1828=CARI!$C$7),OR(CARI!$C$8="",$O1828=CARI!$C$8)),MAX($U$3:U1827)+1,""))</f>
        <v/>
      </c>
      <c r="V1828" s="40" t="str">
        <f aca="false">IF($T1828="","",MAX($V$3:V1827)+1)</f>
        <v/>
      </c>
      <c r="W1828" s="40" t="str">
        <f aca="false">IF($E1828="","",$E1828&amp;"#"&amp;COUNTIF($E$4:$E1828,$E1828))</f>
        <v/>
      </c>
      <c r="X1828" s="40" t="str">
        <f aca="false">IF($B1828="","",IF(AND(OR(CETAK!$J$10="",$E1828=CETAK!$J$10),OR(CETAK!$J$11="",$F1828=CETAK!$J$11),OR(CETAK!$J$12="",$K1828=CETAK!$J$12),OR(CETAK!$J$13="",$H1828=CETAK!$J$13),OR(CETAK!$J$14="",$O1828=CETAK!$J$14)),MAX($X$3:X1827)+1,""))</f>
        <v/>
      </c>
      <c r="Y1828" s="40" t="str">
        <f aca="false">IF($B1828="","",IF(AND(OR(ABSENSI!$H$10="",$E1828=ABSENSI!$H$10),OR(ABSENSI!$H$11="",$F1828=ABSENSI!$H$11),OR(ABSENSI!$H$12="",$K1828=ABSENSI!$H$12)),MAX($Y$3:Y1827)+1,""))</f>
        <v/>
      </c>
      <c r="Z1828" s="40" t="str">
        <f aca="false">IF($B1828="","",IF(AND(OR(KARTU!$K$6="",$E1828=KARTU!$K$6),OR(KARTU!$K$7="",$F1828=KARTU!$K$7),OR(KARTU!$K$8="",$K1828=KARTU!$K$8)),MAX($Z$3:Z1827)+1,""))</f>
        <v/>
      </c>
    </row>
    <row r="1829" customFormat="false" ht="15" hidden="false" customHeight="false" outlineLevel="0" collapsed="false">
      <c r="A1829" s="36" t="str">
        <f aca="false">IF($B1829="","",COUNTA($B$4:$B1829))</f>
        <v/>
      </c>
      <c r="B1829" s="37"/>
      <c r="C1829" s="38"/>
      <c r="D1829" s="39"/>
      <c r="E1829" s="37"/>
      <c r="F1829" s="39"/>
      <c r="G1829" s="40" t="str">
        <f aca="false">IF(OR($E1829="",$F1829=""),"",$E1829&amp;" - RT "&amp;$F1829)</f>
        <v/>
      </c>
      <c r="H1829" s="37"/>
      <c r="I1829" s="38"/>
      <c r="J1829" s="37"/>
      <c r="K1829" s="39"/>
      <c r="L1829" s="41"/>
      <c r="M1829" s="36" t="str">
        <f aca="true">IF(OR($B1829="",$L1829=""),"",DATEDIF($L1829,TODAY(),"Y"))</f>
        <v/>
      </c>
      <c r="N1829" s="40" t="str">
        <f aca="false">IF($M1829="","",INDEX(usia_label,MATCH($M1829,usia_min,1)))</f>
        <v/>
      </c>
      <c r="O1829" s="37"/>
      <c r="P1829" s="41"/>
      <c r="Q1829" s="37"/>
      <c r="R1829" s="37"/>
      <c r="S1829" s="40" t="str">
        <f aca="false">IF($G1829="","",$G1829&amp;"#"&amp;COUNTIF($G$4:$G1829,$G1829))</f>
        <v/>
      </c>
      <c r="T1829" s="40" t="str">
        <f aca="false">IF($B1829="","",IF($C1829="","NIK kosong",IF(LEN($C1829)&lt;&gt;16,"NIK bukan 16 digit",IF(COUNTIF($C$4:$C$2003,$C1829&amp;"*")&gt;1,"NIK ganda",IF($E1829="","Kadus kosong",IF($F1829="","RT kosong",IF($H1829="","Jabatan kosong",IF($I1829="","No. HP kosong",IF($J1829="","Alamat kosong",IF(AND($M1829&lt;&gt;"",$M1829&lt;17),"Usia di bawah 17",""))))))))))</f>
        <v/>
      </c>
      <c r="U1829" s="40" t="str">
        <f aca="false">IF($B1829="","",IF(AND(OR(CARI!$C$5="",ISNUMBER(SEARCH(CARI!$C$5,$B1829&amp;" "&amp;$C1829&amp;" "&amp;$I1829&amp;" "&amp;$J1829&amp;" "&amp;$Q1829))),OR(CARI!$C$6="",$E1829=CARI!$C$6),OR(CARI!$C$7="",$F1829=CARI!$C$7),OR(CARI!$C$8="",$O1829=CARI!$C$8)),MAX($U$3:U1828)+1,""))</f>
        <v/>
      </c>
      <c r="V1829" s="40" t="str">
        <f aca="false">IF($T1829="","",MAX($V$3:V1828)+1)</f>
        <v/>
      </c>
      <c r="W1829" s="40" t="str">
        <f aca="false">IF($E1829="","",$E1829&amp;"#"&amp;COUNTIF($E$4:$E1829,$E1829))</f>
        <v/>
      </c>
      <c r="X1829" s="40" t="str">
        <f aca="false">IF($B1829="","",IF(AND(OR(CETAK!$J$10="",$E1829=CETAK!$J$10),OR(CETAK!$J$11="",$F1829=CETAK!$J$11),OR(CETAK!$J$12="",$K1829=CETAK!$J$12),OR(CETAK!$J$13="",$H1829=CETAK!$J$13),OR(CETAK!$J$14="",$O1829=CETAK!$J$14)),MAX($X$3:X1828)+1,""))</f>
        <v/>
      </c>
      <c r="Y1829" s="40" t="str">
        <f aca="false">IF($B1829="","",IF(AND(OR(ABSENSI!$H$10="",$E1829=ABSENSI!$H$10),OR(ABSENSI!$H$11="",$F1829=ABSENSI!$H$11),OR(ABSENSI!$H$12="",$K1829=ABSENSI!$H$12)),MAX($Y$3:Y1828)+1,""))</f>
        <v/>
      </c>
      <c r="Z1829" s="40" t="str">
        <f aca="false">IF($B1829="","",IF(AND(OR(KARTU!$K$6="",$E1829=KARTU!$K$6),OR(KARTU!$K$7="",$F1829=KARTU!$K$7),OR(KARTU!$K$8="",$K1829=KARTU!$K$8)),MAX($Z$3:Z1828)+1,""))</f>
        <v/>
      </c>
    </row>
    <row r="1830" customFormat="false" ht="15" hidden="false" customHeight="false" outlineLevel="0" collapsed="false">
      <c r="A1830" s="36" t="str">
        <f aca="false">IF($B1830="","",COUNTA($B$4:$B1830))</f>
        <v/>
      </c>
      <c r="B1830" s="37"/>
      <c r="C1830" s="38"/>
      <c r="D1830" s="39"/>
      <c r="E1830" s="37"/>
      <c r="F1830" s="39"/>
      <c r="G1830" s="40" t="str">
        <f aca="false">IF(OR($E1830="",$F1830=""),"",$E1830&amp;" - RT "&amp;$F1830)</f>
        <v/>
      </c>
      <c r="H1830" s="37"/>
      <c r="I1830" s="38"/>
      <c r="J1830" s="37"/>
      <c r="K1830" s="39"/>
      <c r="L1830" s="41"/>
      <c r="M1830" s="36" t="str">
        <f aca="true">IF(OR($B1830="",$L1830=""),"",DATEDIF($L1830,TODAY(),"Y"))</f>
        <v/>
      </c>
      <c r="N1830" s="40" t="str">
        <f aca="false">IF($M1830="","",INDEX(usia_label,MATCH($M1830,usia_min,1)))</f>
        <v/>
      </c>
      <c r="O1830" s="37"/>
      <c r="P1830" s="41"/>
      <c r="Q1830" s="37"/>
      <c r="R1830" s="37"/>
      <c r="S1830" s="40" t="str">
        <f aca="false">IF($G1830="","",$G1830&amp;"#"&amp;COUNTIF($G$4:$G1830,$G1830))</f>
        <v/>
      </c>
      <c r="T1830" s="40" t="str">
        <f aca="false">IF($B1830="","",IF($C1830="","NIK kosong",IF(LEN($C1830)&lt;&gt;16,"NIK bukan 16 digit",IF(COUNTIF($C$4:$C$2003,$C1830&amp;"*")&gt;1,"NIK ganda",IF($E1830="","Kadus kosong",IF($F1830="","RT kosong",IF($H1830="","Jabatan kosong",IF($I1830="","No. HP kosong",IF($J1830="","Alamat kosong",IF(AND($M1830&lt;&gt;"",$M1830&lt;17),"Usia di bawah 17",""))))))))))</f>
        <v/>
      </c>
      <c r="U1830" s="40" t="str">
        <f aca="false">IF($B1830="","",IF(AND(OR(CARI!$C$5="",ISNUMBER(SEARCH(CARI!$C$5,$B1830&amp;" "&amp;$C1830&amp;" "&amp;$I1830&amp;" "&amp;$J1830&amp;" "&amp;$Q1830))),OR(CARI!$C$6="",$E1830=CARI!$C$6),OR(CARI!$C$7="",$F1830=CARI!$C$7),OR(CARI!$C$8="",$O1830=CARI!$C$8)),MAX($U$3:U1829)+1,""))</f>
        <v/>
      </c>
      <c r="V1830" s="40" t="str">
        <f aca="false">IF($T1830="","",MAX($V$3:V1829)+1)</f>
        <v/>
      </c>
      <c r="W1830" s="40" t="str">
        <f aca="false">IF($E1830="","",$E1830&amp;"#"&amp;COUNTIF($E$4:$E1830,$E1830))</f>
        <v/>
      </c>
      <c r="X1830" s="40" t="str">
        <f aca="false">IF($B1830="","",IF(AND(OR(CETAK!$J$10="",$E1830=CETAK!$J$10),OR(CETAK!$J$11="",$F1830=CETAK!$J$11),OR(CETAK!$J$12="",$K1830=CETAK!$J$12),OR(CETAK!$J$13="",$H1830=CETAK!$J$13),OR(CETAK!$J$14="",$O1830=CETAK!$J$14)),MAX($X$3:X1829)+1,""))</f>
        <v/>
      </c>
      <c r="Y1830" s="40" t="str">
        <f aca="false">IF($B1830="","",IF(AND(OR(ABSENSI!$H$10="",$E1830=ABSENSI!$H$10),OR(ABSENSI!$H$11="",$F1830=ABSENSI!$H$11),OR(ABSENSI!$H$12="",$K1830=ABSENSI!$H$12)),MAX($Y$3:Y1829)+1,""))</f>
        <v/>
      </c>
      <c r="Z1830" s="40" t="str">
        <f aca="false">IF($B1830="","",IF(AND(OR(KARTU!$K$6="",$E1830=KARTU!$K$6),OR(KARTU!$K$7="",$F1830=KARTU!$K$7),OR(KARTU!$K$8="",$K1830=KARTU!$K$8)),MAX($Z$3:Z1829)+1,""))</f>
        <v/>
      </c>
    </row>
    <row r="1831" customFormat="false" ht="15" hidden="false" customHeight="false" outlineLevel="0" collapsed="false">
      <c r="A1831" s="36" t="str">
        <f aca="false">IF($B1831="","",COUNTA($B$4:$B1831))</f>
        <v/>
      </c>
      <c r="B1831" s="37"/>
      <c r="C1831" s="38"/>
      <c r="D1831" s="39"/>
      <c r="E1831" s="37"/>
      <c r="F1831" s="39"/>
      <c r="G1831" s="40" t="str">
        <f aca="false">IF(OR($E1831="",$F1831=""),"",$E1831&amp;" - RT "&amp;$F1831)</f>
        <v/>
      </c>
      <c r="H1831" s="37"/>
      <c r="I1831" s="38"/>
      <c r="J1831" s="37"/>
      <c r="K1831" s="39"/>
      <c r="L1831" s="41"/>
      <c r="M1831" s="36" t="str">
        <f aca="true">IF(OR($B1831="",$L1831=""),"",DATEDIF($L1831,TODAY(),"Y"))</f>
        <v/>
      </c>
      <c r="N1831" s="40" t="str">
        <f aca="false">IF($M1831="","",INDEX(usia_label,MATCH($M1831,usia_min,1)))</f>
        <v/>
      </c>
      <c r="O1831" s="37"/>
      <c r="P1831" s="41"/>
      <c r="Q1831" s="37"/>
      <c r="R1831" s="37"/>
      <c r="S1831" s="40" t="str">
        <f aca="false">IF($G1831="","",$G1831&amp;"#"&amp;COUNTIF($G$4:$G1831,$G1831))</f>
        <v/>
      </c>
      <c r="T1831" s="40" t="str">
        <f aca="false">IF($B1831="","",IF($C1831="","NIK kosong",IF(LEN($C1831)&lt;&gt;16,"NIK bukan 16 digit",IF(COUNTIF($C$4:$C$2003,$C1831&amp;"*")&gt;1,"NIK ganda",IF($E1831="","Kadus kosong",IF($F1831="","RT kosong",IF($H1831="","Jabatan kosong",IF($I1831="","No. HP kosong",IF($J1831="","Alamat kosong",IF(AND($M1831&lt;&gt;"",$M1831&lt;17),"Usia di bawah 17",""))))))))))</f>
        <v/>
      </c>
      <c r="U1831" s="40" t="str">
        <f aca="false">IF($B1831="","",IF(AND(OR(CARI!$C$5="",ISNUMBER(SEARCH(CARI!$C$5,$B1831&amp;" "&amp;$C1831&amp;" "&amp;$I1831&amp;" "&amp;$J1831&amp;" "&amp;$Q1831))),OR(CARI!$C$6="",$E1831=CARI!$C$6),OR(CARI!$C$7="",$F1831=CARI!$C$7),OR(CARI!$C$8="",$O1831=CARI!$C$8)),MAX($U$3:U1830)+1,""))</f>
        <v/>
      </c>
      <c r="V1831" s="40" t="str">
        <f aca="false">IF($T1831="","",MAX($V$3:V1830)+1)</f>
        <v/>
      </c>
      <c r="W1831" s="40" t="str">
        <f aca="false">IF($E1831="","",$E1831&amp;"#"&amp;COUNTIF($E$4:$E1831,$E1831))</f>
        <v/>
      </c>
      <c r="X1831" s="40" t="str">
        <f aca="false">IF($B1831="","",IF(AND(OR(CETAK!$J$10="",$E1831=CETAK!$J$10),OR(CETAK!$J$11="",$F1831=CETAK!$J$11),OR(CETAK!$J$12="",$K1831=CETAK!$J$12),OR(CETAK!$J$13="",$H1831=CETAK!$J$13),OR(CETAK!$J$14="",$O1831=CETAK!$J$14)),MAX($X$3:X1830)+1,""))</f>
        <v/>
      </c>
      <c r="Y1831" s="40" t="str">
        <f aca="false">IF($B1831="","",IF(AND(OR(ABSENSI!$H$10="",$E1831=ABSENSI!$H$10),OR(ABSENSI!$H$11="",$F1831=ABSENSI!$H$11),OR(ABSENSI!$H$12="",$K1831=ABSENSI!$H$12)),MAX($Y$3:Y1830)+1,""))</f>
        <v/>
      </c>
      <c r="Z1831" s="40" t="str">
        <f aca="false">IF($B1831="","",IF(AND(OR(KARTU!$K$6="",$E1831=KARTU!$K$6),OR(KARTU!$K$7="",$F1831=KARTU!$K$7),OR(KARTU!$K$8="",$K1831=KARTU!$K$8)),MAX($Z$3:Z1830)+1,""))</f>
        <v/>
      </c>
    </row>
    <row r="1832" customFormat="false" ht="15" hidden="false" customHeight="false" outlineLevel="0" collapsed="false">
      <c r="A1832" s="36" t="str">
        <f aca="false">IF($B1832="","",COUNTA($B$4:$B1832))</f>
        <v/>
      </c>
      <c r="B1832" s="37"/>
      <c r="C1832" s="38"/>
      <c r="D1832" s="39"/>
      <c r="E1832" s="37"/>
      <c r="F1832" s="39"/>
      <c r="G1832" s="40" t="str">
        <f aca="false">IF(OR($E1832="",$F1832=""),"",$E1832&amp;" - RT "&amp;$F1832)</f>
        <v/>
      </c>
      <c r="H1832" s="37"/>
      <c r="I1832" s="38"/>
      <c r="J1832" s="37"/>
      <c r="K1832" s="39"/>
      <c r="L1832" s="41"/>
      <c r="M1832" s="36" t="str">
        <f aca="true">IF(OR($B1832="",$L1832=""),"",DATEDIF($L1832,TODAY(),"Y"))</f>
        <v/>
      </c>
      <c r="N1832" s="40" t="str">
        <f aca="false">IF($M1832="","",INDEX(usia_label,MATCH($M1832,usia_min,1)))</f>
        <v/>
      </c>
      <c r="O1832" s="37"/>
      <c r="P1832" s="41"/>
      <c r="Q1832" s="37"/>
      <c r="R1832" s="37"/>
      <c r="S1832" s="40" t="str">
        <f aca="false">IF($G1832="","",$G1832&amp;"#"&amp;COUNTIF($G$4:$G1832,$G1832))</f>
        <v/>
      </c>
      <c r="T1832" s="40" t="str">
        <f aca="false">IF($B1832="","",IF($C1832="","NIK kosong",IF(LEN($C1832)&lt;&gt;16,"NIK bukan 16 digit",IF(COUNTIF($C$4:$C$2003,$C1832&amp;"*")&gt;1,"NIK ganda",IF($E1832="","Kadus kosong",IF($F1832="","RT kosong",IF($H1832="","Jabatan kosong",IF($I1832="","No. HP kosong",IF($J1832="","Alamat kosong",IF(AND($M1832&lt;&gt;"",$M1832&lt;17),"Usia di bawah 17",""))))))))))</f>
        <v/>
      </c>
      <c r="U1832" s="40" t="str">
        <f aca="false">IF($B1832="","",IF(AND(OR(CARI!$C$5="",ISNUMBER(SEARCH(CARI!$C$5,$B1832&amp;" "&amp;$C1832&amp;" "&amp;$I1832&amp;" "&amp;$J1832&amp;" "&amp;$Q1832))),OR(CARI!$C$6="",$E1832=CARI!$C$6),OR(CARI!$C$7="",$F1832=CARI!$C$7),OR(CARI!$C$8="",$O1832=CARI!$C$8)),MAX($U$3:U1831)+1,""))</f>
        <v/>
      </c>
      <c r="V1832" s="40" t="str">
        <f aca="false">IF($T1832="","",MAX($V$3:V1831)+1)</f>
        <v/>
      </c>
      <c r="W1832" s="40" t="str">
        <f aca="false">IF($E1832="","",$E1832&amp;"#"&amp;COUNTIF($E$4:$E1832,$E1832))</f>
        <v/>
      </c>
      <c r="X1832" s="40" t="str">
        <f aca="false">IF($B1832="","",IF(AND(OR(CETAK!$J$10="",$E1832=CETAK!$J$10),OR(CETAK!$J$11="",$F1832=CETAK!$J$11),OR(CETAK!$J$12="",$K1832=CETAK!$J$12),OR(CETAK!$J$13="",$H1832=CETAK!$J$13),OR(CETAK!$J$14="",$O1832=CETAK!$J$14)),MAX($X$3:X1831)+1,""))</f>
        <v/>
      </c>
      <c r="Y1832" s="40" t="str">
        <f aca="false">IF($B1832="","",IF(AND(OR(ABSENSI!$H$10="",$E1832=ABSENSI!$H$10),OR(ABSENSI!$H$11="",$F1832=ABSENSI!$H$11),OR(ABSENSI!$H$12="",$K1832=ABSENSI!$H$12)),MAX($Y$3:Y1831)+1,""))</f>
        <v/>
      </c>
      <c r="Z1832" s="40" t="str">
        <f aca="false">IF($B1832="","",IF(AND(OR(KARTU!$K$6="",$E1832=KARTU!$K$6),OR(KARTU!$K$7="",$F1832=KARTU!$K$7),OR(KARTU!$K$8="",$K1832=KARTU!$K$8)),MAX($Z$3:Z1831)+1,""))</f>
        <v/>
      </c>
    </row>
    <row r="1833" customFormat="false" ht="15" hidden="false" customHeight="false" outlineLevel="0" collapsed="false">
      <c r="A1833" s="36" t="str">
        <f aca="false">IF($B1833="","",COUNTA($B$4:$B1833))</f>
        <v/>
      </c>
      <c r="B1833" s="37"/>
      <c r="C1833" s="38"/>
      <c r="D1833" s="39"/>
      <c r="E1833" s="37"/>
      <c r="F1833" s="39"/>
      <c r="G1833" s="40" t="str">
        <f aca="false">IF(OR($E1833="",$F1833=""),"",$E1833&amp;" - RT "&amp;$F1833)</f>
        <v/>
      </c>
      <c r="H1833" s="37"/>
      <c r="I1833" s="38"/>
      <c r="J1833" s="37"/>
      <c r="K1833" s="39"/>
      <c r="L1833" s="41"/>
      <c r="M1833" s="36" t="str">
        <f aca="true">IF(OR($B1833="",$L1833=""),"",DATEDIF($L1833,TODAY(),"Y"))</f>
        <v/>
      </c>
      <c r="N1833" s="40" t="str">
        <f aca="false">IF($M1833="","",INDEX(usia_label,MATCH($M1833,usia_min,1)))</f>
        <v/>
      </c>
      <c r="O1833" s="37"/>
      <c r="P1833" s="41"/>
      <c r="Q1833" s="37"/>
      <c r="R1833" s="37"/>
      <c r="S1833" s="40" t="str">
        <f aca="false">IF($G1833="","",$G1833&amp;"#"&amp;COUNTIF($G$4:$G1833,$G1833))</f>
        <v/>
      </c>
      <c r="T1833" s="40" t="str">
        <f aca="false">IF($B1833="","",IF($C1833="","NIK kosong",IF(LEN($C1833)&lt;&gt;16,"NIK bukan 16 digit",IF(COUNTIF($C$4:$C$2003,$C1833&amp;"*")&gt;1,"NIK ganda",IF($E1833="","Kadus kosong",IF($F1833="","RT kosong",IF($H1833="","Jabatan kosong",IF($I1833="","No. HP kosong",IF($J1833="","Alamat kosong",IF(AND($M1833&lt;&gt;"",$M1833&lt;17),"Usia di bawah 17",""))))))))))</f>
        <v/>
      </c>
      <c r="U1833" s="40" t="str">
        <f aca="false">IF($B1833="","",IF(AND(OR(CARI!$C$5="",ISNUMBER(SEARCH(CARI!$C$5,$B1833&amp;" "&amp;$C1833&amp;" "&amp;$I1833&amp;" "&amp;$J1833&amp;" "&amp;$Q1833))),OR(CARI!$C$6="",$E1833=CARI!$C$6),OR(CARI!$C$7="",$F1833=CARI!$C$7),OR(CARI!$C$8="",$O1833=CARI!$C$8)),MAX($U$3:U1832)+1,""))</f>
        <v/>
      </c>
      <c r="V1833" s="40" t="str">
        <f aca="false">IF($T1833="","",MAX($V$3:V1832)+1)</f>
        <v/>
      </c>
      <c r="W1833" s="40" t="str">
        <f aca="false">IF($E1833="","",$E1833&amp;"#"&amp;COUNTIF($E$4:$E1833,$E1833))</f>
        <v/>
      </c>
      <c r="X1833" s="40" t="str">
        <f aca="false">IF($B1833="","",IF(AND(OR(CETAK!$J$10="",$E1833=CETAK!$J$10),OR(CETAK!$J$11="",$F1833=CETAK!$J$11),OR(CETAK!$J$12="",$K1833=CETAK!$J$12),OR(CETAK!$J$13="",$H1833=CETAK!$J$13),OR(CETAK!$J$14="",$O1833=CETAK!$J$14)),MAX($X$3:X1832)+1,""))</f>
        <v/>
      </c>
      <c r="Y1833" s="40" t="str">
        <f aca="false">IF($B1833="","",IF(AND(OR(ABSENSI!$H$10="",$E1833=ABSENSI!$H$10),OR(ABSENSI!$H$11="",$F1833=ABSENSI!$H$11),OR(ABSENSI!$H$12="",$K1833=ABSENSI!$H$12)),MAX($Y$3:Y1832)+1,""))</f>
        <v/>
      </c>
      <c r="Z1833" s="40" t="str">
        <f aca="false">IF($B1833="","",IF(AND(OR(KARTU!$K$6="",$E1833=KARTU!$K$6),OR(KARTU!$K$7="",$F1833=KARTU!$K$7),OR(KARTU!$K$8="",$K1833=KARTU!$K$8)),MAX($Z$3:Z1832)+1,""))</f>
        <v/>
      </c>
    </row>
    <row r="1834" customFormat="false" ht="15" hidden="false" customHeight="false" outlineLevel="0" collapsed="false">
      <c r="A1834" s="36" t="str">
        <f aca="false">IF($B1834="","",COUNTA($B$4:$B1834))</f>
        <v/>
      </c>
      <c r="B1834" s="37"/>
      <c r="C1834" s="38"/>
      <c r="D1834" s="39"/>
      <c r="E1834" s="37"/>
      <c r="F1834" s="39"/>
      <c r="G1834" s="40" t="str">
        <f aca="false">IF(OR($E1834="",$F1834=""),"",$E1834&amp;" - RT "&amp;$F1834)</f>
        <v/>
      </c>
      <c r="H1834" s="37"/>
      <c r="I1834" s="38"/>
      <c r="J1834" s="37"/>
      <c r="K1834" s="39"/>
      <c r="L1834" s="41"/>
      <c r="M1834" s="36" t="str">
        <f aca="true">IF(OR($B1834="",$L1834=""),"",DATEDIF($L1834,TODAY(),"Y"))</f>
        <v/>
      </c>
      <c r="N1834" s="40" t="str">
        <f aca="false">IF($M1834="","",INDEX(usia_label,MATCH($M1834,usia_min,1)))</f>
        <v/>
      </c>
      <c r="O1834" s="37"/>
      <c r="P1834" s="41"/>
      <c r="Q1834" s="37"/>
      <c r="R1834" s="37"/>
      <c r="S1834" s="40" t="str">
        <f aca="false">IF($G1834="","",$G1834&amp;"#"&amp;COUNTIF($G$4:$G1834,$G1834))</f>
        <v/>
      </c>
      <c r="T1834" s="40" t="str">
        <f aca="false">IF($B1834="","",IF($C1834="","NIK kosong",IF(LEN($C1834)&lt;&gt;16,"NIK bukan 16 digit",IF(COUNTIF($C$4:$C$2003,$C1834&amp;"*")&gt;1,"NIK ganda",IF($E1834="","Kadus kosong",IF($F1834="","RT kosong",IF($H1834="","Jabatan kosong",IF($I1834="","No. HP kosong",IF($J1834="","Alamat kosong",IF(AND($M1834&lt;&gt;"",$M1834&lt;17),"Usia di bawah 17",""))))))))))</f>
        <v/>
      </c>
      <c r="U1834" s="40" t="str">
        <f aca="false">IF($B1834="","",IF(AND(OR(CARI!$C$5="",ISNUMBER(SEARCH(CARI!$C$5,$B1834&amp;" "&amp;$C1834&amp;" "&amp;$I1834&amp;" "&amp;$J1834&amp;" "&amp;$Q1834))),OR(CARI!$C$6="",$E1834=CARI!$C$6),OR(CARI!$C$7="",$F1834=CARI!$C$7),OR(CARI!$C$8="",$O1834=CARI!$C$8)),MAX($U$3:U1833)+1,""))</f>
        <v/>
      </c>
      <c r="V1834" s="40" t="str">
        <f aca="false">IF($T1834="","",MAX($V$3:V1833)+1)</f>
        <v/>
      </c>
      <c r="W1834" s="40" t="str">
        <f aca="false">IF($E1834="","",$E1834&amp;"#"&amp;COUNTIF($E$4:$E1834,$E1834))</f>
        <v/>
      </c>
      <c r="X1834" s="40" t="str">
        <f aca="false">IF($B1834="","",IF(AND(OR(CETAK!$J$10="",$E1834=CETAK!$J$10),OR(CETAK!$J$11="",$F1834=CETAK!$J$11),OR(CETAK!$J$12="",$K1834=CETAK!$J$12),OR(CETAK!$J$13="",$H1834=CETAK!$J$13),OR(CETAK!$J$14="",$O1834=CETAK!$J$14)),MAX($X$3:X1833)+1,""))</f>
        <v/>
      </c>
      <c r="Y1834" s="40" t="str">
        <f aca="false">IF($B1834="","",IF(AND(OR(ABSENSI!$H$10="",$E1834=ABSENSI!$H$10),OR(ABSENSI!$H$11="",$F1834=ABSENSI!$H$11),OR(ABSENSI!$H$12="",$K1834=ABSENSI!$H$12)),MAX($Y$3:Y1833)+1,""))</f>
        <v/>
      </c>
      <c r="Z1834" s="40" t="str">
        <f aca="false">IF($B1834="","",IF(AND(OR(KARTU!$K$6="",$E1834=KARTU!$K$6),OR(KARTU!$K$7="",$F1834=KARTU!$K$7),OR(KARTU!$K$8="",$K1834=KARTU!$K$8)),MAX($Z$3:Z1833)+1,""))</f>
        <v/>
      </c>
    </row>
    <row r="1835" customFormat="false" ht="15" hidden="false" customHeight="false" outlineLevel="0" collapsed="false">
      <c r="A1835" s="36" t="str">
        <f aca="false">IF($B1835="","",COUNTA($B$4:$B1835))</f>
        <v/>
      </c>
      <c r="B1835" s="37"/>
      <c r="C1835" s="38"/>
      <c r="D1835" s="39"/>
      <c r="E1835" s="37"/>
      <c r="F1835" s="39"/>
      <c r="G1835" s="40" t="str">
        <f aca="false">IF(OR($E1835="",$F1835=""),"",$E1835&amp;" - RT "&amp;$F1835)</f>
        <v/>
      </c>
      <c r="H1835" s="37"/>
      <c r="I1835" s="38"/>
      <c r="J1835" s="37"/>
      <c r="K1835" s="39"/>
      <c r="L1835" s="41"/>
      <c r="M1835" s="36" t="str">
        <f aca="true">IF(OR($B1835="",$L1835=""),"",DATEDIF($L1835,TODAY(),"Y"))</f>
        <v/>
      </c>
      <c r="N1835" s="40" t="str">
        <f aca="false">IF($M1835="","",INDEX(usia_label,MATCH($M1835,usia_min,1)))</f>
        <v/>
      </c>
      <c r="O1835" s="37"/>
      <c r="P1835" s="41"/>
      <c r="Q1835" s="37"/>
      <c r="R1835" s="37"/>
      <c r="S1835" s="40" t="str">
        <f aca="false">IF($G1835="","",$G1835&amp;"#"&amp;COUNTIF($G$4:$G1835,$G1835))</f>
        <v/>
      </c>
      <c r="T1835" s="40" t="str">
        <f aca="false">IF($B1835="","",IF($C1835="","NIK kosong",IF(LEN($C1835)&lt;&gt;16,"NIK bukan 16 digit",IF(COUNTIF($C$4:$C$2003,$C1835&amp;"*")&gt;1,"NIK ganda",IF($E1835="","Kadus kosong",IF($F1835="","RT kosong",IF($H1835="","Jabatan kosong",IF($I1835="","No. HP kosong",IF($J1835="","Alamat kosong",IF(AND($M1835&lt;&gt;"",$M1835&lt;17),"Usia di bawah 17",""))))))))))</f>
        <v/>
      </c>
      <c r="U1835" s="40" t="str">
        <f aca="false">IF($B1835="","",IF(AND(OR(CARI!$C$5="",ISNUMBER(SEARCH(CARI!$C$5,$B1835&amp;" "&amp;$C1835&amp;" "&amp;$I1835&amp;" "&amp;$J1835&amp;" "&amp;$Q1835))),OR(CARI!$C$6="",$E1835=CARI!$C$6),OR(CARI!$C$7="",$F1835=CARI!$C$7),OR(CARI!$C$8="",$O1835=CARI!$C$8)),MAX($U$3:U1834)+1,""))</f>
        <v/>
      </c>
      <c r="V1835" s="40" t="str">
        <f aca="false">IF($T1835="","",MAX($V$3:V1834)+1)</f>
        <v/>
      </c>
      <c r="W1835" s="40" t="str">
        <f aca="false">IF($E1835="","",$E1835&amp;"#"&amp;COUNTIF($E$4:$E1835,$E1835))</f>
        <v/>
      </c>
      <c r="X1835" s="40" t="str">
        <f aca="false">IF($B1835="","",IF(AND(OR(CETAK!$J$10="",$E1835=CETAK!$J$10),OR(CETAK!$J$11="",$F1835=CETAK!$J$11),OR(CETAK!$J$12="",$K1835=CETAK!$J$12),OR(CETAK!$J$13="",$H1835=CETAK!$J$13),OR(CETAK!$J$14="",$O1835=CETAK!$J$14)),MAX($X$3:X1834)+1,""))</f>
        <v/>
      </c>
      <c r="Y1835" s="40" t="str">
        <f aca="false">IF($B1835="","",IF(AND(OR(ABSENSI!$H$10="",$E1835=ABSENSI!$H$10),OR(ABSENSI!$H$11="",$F1835=ABSENSI!$H$11),OR(ABSENSI!$H$12="",$K1835=ABSENSI!$H$12)),MAX($Y$3:Y1834)+1,""))</f>
        <v/>
      </c>
      <c r="Z1835" s="40" t="str">
        <f aca="false">IF($B1835="","",IF(AND(OR(KARTU!$K$6="",$E1835=KARTU!$K$6),OR(KARTU!$K$7="",$F1835=KARTU!$K$7),OR(KARTU!$K$8="",$K1835=KARTU!$K$8)),MAX($Z$3:Z1834)+1,""))</f>
        <v/>
      </c>
    </row>
    <row r="1836" customFormat="false" ht="15" hidden="false" customHeight="false" outlineLevel="0" collapsed="false">
      <c r="A1836" s="36" t="str">
        <f aca="false">IF($B1836="","",COUNTA($B$4:$B1836))</f>
        <v/>
      </c>
      <c r="B1836" s="37"/>
      <c r="C1836" s="38"/>
      <c r="D1836" s="39"/>
      <c r="E1836" s="37"/>
      <c r="F1836" s="39"/>
      <c r="G1836" s="40" t="str">
        <f aca="false">IF(OR($E1836="",$F1836=""),"",$E1836&amp;" - RT "&amp;$F1836)</f>
        <v/>
      </c>
      <c r="H1836" s="37"/>
      <c r="I1836" s="38"/>
      <c r="J1836" s="37"/>
      <c r="K1836" s="39"/>
      <c r="L1836" s="41"/>
      <c r="M1836" s="36" t="str">
        <f aca="true">IF(OR($B1836="",$L1836=""),"",DATEDIF($L1836,TODAY(),"Y"))</f>
        <v/>
      </c>
      <c r="N1836" s="40" t="str">
        <f aca="false">IF($M1836="","",INDEX(usia_label,MATCH($M1836,usia_min,1)))</f>
        <v/>
      </c>
      <c r="O1836" s="37"/>
      <c r="P1836" s="41"/>
      <c r="Q1836" s="37"/>
      <c r="R1836" s="37"/>
      <c r="S1836" s="40" t="str">
        <f aca="false">IF($G1836="","",$G1836&amp;"#"&amp;COUNTIF($G$4:$G1836,$G1836))</f>
        <v/>
      </c>
      <c r="T1836" s="40" t="str">
        <f aca="false">IF($B1836="","",IF($C1836="","NIK kosong",IF(LEN($C1836)&lt;&gt;16,"NIK bukan 16 digit",IF(COUNTIF($C$4:$C$2003,$C1836&amp;"*")&gt;1,"NIK ganda",IF($E1836="","Kadus kosong",IF($F1836="","RT kosong",IF($H1836="","Jabatan kosong",IF($I1836="","No. HP kosong",IF($J1836="","Alamat kosong",IF(AND($M1836&lt;&gt;"",$M1836&lt;17),"Usia di bawah 17",""))))))))))</f>
        <v/>
      </c>
      <c r="U1836" s="40" t="str">
        <f aca="false">IF($B1836="","",IF(AND(OR(CARI!$C$5="",ISNUMBER(SEARCH(CARI!$C$5,$B1836&amp;" "&amp;$C1836&amp;" "&amp;$I1836&amp;" "&amp;$J1836&amp;" "&amp;$Q1836))),OR(CARI!$C$6="",$E1836=CARI!$C$6),OR(CARI!$C$7="",$F1836=CARI!$C$7),OR(CARI!$C$8="",$O1836=CARI!$C$8)),MAX($U$3:U1835)+1,""))</f>
        <v/>
      </c>
      <c r="V1836" s="40" t="str">
        <f aca="false">IF($T1836="","",MAX($V$3:V1835)+1)</f>
        <v/>
      </c>
      <c r="W1836" s="40" t="str">
        <f aca="false">IF($E1836="","",$E1836&amp;"#"&amp;COUNTIF($E$4:$E1836,$E1836))</f>
        <v/>
      </c>
      <c r="X1836" s="40" t="str">
        <f aca="false">IF($B1836="","",IF(AND(OR(CETAK!$J$10="",$E1836=CETAK!$J$10),OR(CETAK!$J$11="",$F1836=CETAK!$J$11),OR(CETAK!$J$12="",$K1836=CETAK!$J$12),OR(CETAK!$J$13="",$H1836=CETAK!$J$13),OR(CETAK!$J$14="",$O1836=CETAK!$J$14)),MAX($X$3:X1835)+1,""))</f>
        <v/>
      </c>
      <c r="Y1836" s="40" t="str">
        <f aca="false">IF($B1836="","",IF(AND(OR(ABSENSI!$H$10="",$E1836=ABSENSI!$H$10),OR(ABSENSI!$H$11="",$F1836=ABSENSI!$H$11),OR(ABSENSI!$H$12="",$K1836=ABSENSI!$H$12)),MAX($Y$3:Y1835)+1,""))</f>
        <v/>
      </c>
      <c r="Z1836" s="40" t="str">
        <f aca="false">IF($B1836="","",IF(AND(OR(KARTU!$K$6="",$E1836=KARTU!$K$6),OR(KARTU!$K$7="",$F1836=KARTU!$K$7),OR(KARTU!$K$8="",$K1836=KARTU!$K$8)),MAX($Z$3:Z1835)+1,""))</f>
        <v/>
      </c>
    </row>
    <row r="1837" customFormat="false" ht="15" hidden="false" customHeight="false" outlineLevel="0" collapsed="false">
      <c r="A1837" s="36" t="str">
        <f aca="false">IF($B1837="","",COUNTA($B$4:$B1837))</f>
        <v/>
      </c>
      <c r="B1837" s="37"/>
      <c r="C1837" s="38"/>
      <c r="D1837" s="39"/>
      <c r="E1837" s="37"/>
      <c r="F1837" s="39"/>
      <c r="G1837" s="40" t="str">
        <f aca="false">IF(OR($E1837="",$F1837=""),"",$E1837&amp;" - RT "&amp;$F1837)</f>
        <v/>
      </c>
      <c r="H1837" s="37"/>
      <c r="I1837" s="38"/>
      <c r="J1837" s="37"/>
      <c r="K1837" s="39"/>
      <c r="L1837" s="41"/>
      <c r="M1837" s="36" t="str">
        <f aca="true">IF(OR($B1837="",$L1837=""),"",DATEDIF($L1837,TODAY(),"Y"))</f>
        <v/>
      </c>
      <c r="N1837" s="40" t="str">
        <f aca="false">IF($M1837="","",INDEX(usia_label,MATCH($M1837,usia_min,1)))</f>
        <v/>
      </c>
      <c r="O1837" s="37"/>
      <c r="P1837" s="41"/>
      <c r="Q1837" s="37"/>
      <c r="R1837" s="37"/>
      <c r="S1837" s="40" t="str">
        <f aca="false">IF($G1837="","",$G1837&amp;"#"&amp;COUNTIF($G$4:$G1837,$G1837))</f>
        <v/>
      </c>
      <c r="T1837" s="40" t="str">
        <f aca="false">IF($B1837="","",IF($C1837="","NIK kosong",IF(LEN($C1837)&lt;&gt;16,"NIK bukan 16 digit",IF(COUNTIF($C$4:$C$2003,$C1837&amp;"*")&gt;1,"NIK ganda",IF($E1837="","Kadus kosong",IF($F1837="","RT kosong",IF($H1837="","Jabatan kosong",IF($I1837="","No. HP kosong",IF($J1837="","Alamat kosong",IF(AND($M1837&lt;&gt;"",$M1837&lt;17),"Usia di bawah 17",""))))))))))</f>
        <v/>
      </c>
      <c r="U1837" s="40" t="str">
        <f aca="false">IF($B1837="","",IF(AND(OR(CARI!$C$5="",ISNUMBER(SEARCH(CARI!$C$5,$B1837&amp;" "&amp;$C1837&amp;" "&amp;$I1837&amp;" "&amp;$J1837&amp;" "&amp;$Q1837))),OR(CARI!$C$6="",$E1837=CARI!$C$6),OR(CARI!$C$7="",$F1837=CARI!$C$7),OR(CARI!$C$8="",$O1837=CARI!$C$8)),MAX($U$3:U1836)+1,""))</f>
        <v/>
      </c>
      <c r="V1837" s="40" t="str">
        <f aca="false">IF($T1837="","",MAX($V$3:V1836)+1)</f>
        <v/>
      </c>
      <c r="W1837" s="40" t="str">
        <f aca="false">IF($E1837="","",$E1837&amp;"#"&amp;COUNTIF($E$4:$E1837,$E1837))</f>
        <v/>
      </c>
      <c r="X1837" s="40" t="str">
        <f aca="false">IF($B1837="","",IF(AND(OR(CETAK!$J$10="",$E1837=CETAK!$J$10),OR(CETAK!$J$11="",$F1837=CETAK!$J$11),OR(CETAK!$J$12="",$K1837=CETAK!$J$12),OR(CETAK!$J$13="",$H1837=CETAK!$J$13),OR(CETAK!$J$14="",$O1837=CETAK!$J$14)),MAX($X$3:X1836)+1,""))</f>
        <v/>
      </c>
      <c r="Y1837" s="40" t="str">
        <f aca="false">IF($B1837="","",IF(AND(OR(ABSENSI!$H$10="",$E1837=ABSENSI!$H$10),OR(ABSENSI!$H$11="",$F1837=ABSENSI!$H$11),OR(ABSENSI!$H$12="",$K1837=ABSENSI!$H$12)),MAX($Y$3:Y1836)+1,""))</f>
        <v/>
      </c>
      <c r="Z1837" s="40" t="str">
        <f aca="false">IF($B1837="","",IF(AND(OR(KARTU!$K$6="",$E1837=KARTU!$K$6),OR(KARTU!$K$7="",$F1837=KARTU!$K$7),OR(KARTU!$K$8="",$K1837=KARTU!$K$8)),MAX($Z$3:Z1836)+1,""))</f>
        <v/>
      </c>
    </row>
    <row r="1838" customFormat="false" ht="15" hidden="false" customHeight="false" outlineLevel="0" collapsed="false">
      <c r="A1838" s="36" t="str">
        <f aca="false">IF($B1838="","",COUNTA($B$4:$B1838))</f>
        <v/>
      </c>
      <c r="B1838" s="37"/>
      <c r="C1838" s="38"/>
      <c r="D1838" s="39"/>
      <c r="E1838" s="37"/>
      <c r="F1838" s="39"/>
      <c r="G1838" s="40" t="str">
        <f aca="false">IF(OR($E1838="",$F1838=""),"",$E1838&amp;" - RT "&amp;$F1838)</f>
        <v/>
      </c>
      <c r="H1838" s="37"/>
      <c r="I1838" s="38"/>
      <c r="J1838" s="37"/>
      <c r="K1838" s="39"/>
      <c r="L1838" s="41"/>
      <c r="M1838" s="36" t="str">
        <f aca="true">IF(OR($B1838="",$L1838=""),"",DATEDIF($L1838,TODAY(),"Y"))</f>
        <v/>
      </c>
      <c r="N1838" s="40" t="str">
        <f aca="false">IF($M1838="","",INDEX(usia_label,MATCH($M1838,usia_min,1)))</f>
        <v/>
      </c>
      <c r="O1838" s="37"/>
      <c r="P1838" s="41"/>
      <c r="Q1838" s="37"/>
      <c r="R1838" s="37"/>
      <c r="S1838" s="40" t="str">
        <f aca="false">IF($G1838="","",$G1838&amp;"#"&amp;COUNTIF($G$4:$G1838,$G1838))</f>
        <v/>
      </c>
      <c r="T1838" s="40" t="str">
        <f aca="false">IF($B1838="","",IF($C1838="","NIK kosong",IF(LEN($C1838)&lt;&gt;16,"NIK bukan 16 digit",IF(COUNTIF($C$4:$C$2003,$C1838&amp;"*")&gt;1,"NIK ganda",IF($E1838="","Kadus kosong",IF($F1838="","RT kosong",IF($H1838="","Jabatan kosong",IF($I1838="","No. HP kosong",IF($J1838="","Alamat kosong",IF(AND($M1838&lt;&gt;"",$M1838&lt;17),"Usia di bawah 17",""))))))))))</f>
        <v/>
      </c>
      <c r="U1838" s="40" t="str">
        <f aca="false">IF($B1838="","",IF(AND(OR(CARI!$C$5="",ISNUMBER(SEARCH(CARI!$C$5,$B1838&amp;" "&amp;$C1838&amp;" "&amp;$I1838&amp;" "&amp;$J1838&amp;" "&amp;$Q1838))),OR(CARI!$C$6="",$E1838=CARI!$C$6),OR(CARI!$C$7="",$F1838=CARI!$C$7),OR(CARI!$C$8="",$O1838=CARI!$C$8)),MAX($U$3:U1837)+1,""))</f>
        <v/>
      </c>
      <c r="V1838" s="40" t="str">
        <f aca="false">IF($T1838="","",MAX($V$3:V1837)+1)</f>
        <v/>
      </c>
      <c r="W1838" s="40" t="str">
        <f aca="false">IF($E1838="","",$E1838&amp;"#"&amp;COUNTIF($E$4:$E1838,$E1838))</f>
        <v/>
      </c>
      <c r="X1838" s="40" t="str">
        <f aca="false">IF($B1838="","",IF(AND(OR(CETAK!$J$10="",$E1838=CETAK!$J$10),OR(CETAK!$J$11="",$F1838=CETAK!$J$11),OR(CETAK!$J$12="",$K1838=CETAK!$J$12),OR(CETAK!$J$13="",$H1838=CETAK!$J$13),OR(CETAK!$J$14="",$O1838=CETAK!$J$14)),MAX($X$3:X1837)+1,""))</f>
        <v/>
      </c>
      <c r="Y1838" s="40" t="str">
        <f aca="false">IF($B1838="","",IF(AND(OR(ABSENSI!$H$10="",$E1838=ABSENSI!$H$10),OR(ABSENSI!$H$11="",$F1838=ABSENSI!$H$11),OR(ABSENSI!$H$12="",$K1838=ABSENSI!$H$12)),MAX($Y$3:Y1837)+1,""))</f>
        <v/>
      </c>
      <c r="Z1838" s="40" t="str">
        <f aca="false">IF($B1838="","",IF(AND(OR(KARTU!$K$6="",$E1838=KARTU!$K$6),OR(KARTU!$K$7="",$F1838=KARTU!$K$7),OR(KARTU!$K$8="",$K1838=KARTU!$K$8)),MAX($Z$3:Z1837)+1,""))</f>
        <v/>
      </c>
    </row>
    <row r="1839" customFormat="false" ht="15" hidden="false" customHeight="false" outlineLevel="0" collapsed="false">
      <c r="A1839" s="36" t="str">
        <f aca="false">IF($B1839="","",COUNTA($B$4:$B1839))</f>
        <v/>
      </c>
      <c r="B1839" s="37"/>
      <c r="C1839" s="38"/>
      <c r="D1839" s="39"/>
      <c r="E1839" s="37"/>
      <c r="F1839" s="39"/>
      <c r="G1839" s="40" t="str">
        <f aca="false">IF(OR($E1839="",$F1839=""),"",$E1839&amp;" - RT "&amp;$F1839)</f>
        <v/>
      </c>
      <c r="H1839" s="37"/>
      <c r="I1839" s="38"/>
      <c r="J1839" s="37"/>
      <c r="K1839" s="39"/>
      <c r="L1839" s="41"/>
      <c r="M1839" s="36" t="str">
        <f aca="true">IF(OR($B1839="",$L1839=""),"",DATEDIF($L1839,TODAY(),"Y"))</f>
        <v/>
      </c>
      <c r="N1839" s="40" t="str">
        <f aca="false">IF($M1839="","",INDEX(usia_label,MATCH($M1839,usia_min,1)))</f>
        <v/>
      </c>
      <c r="O1839" s="37"/>
      <c r="P1839" s="41"/>
      <c r="Q1839" s="37"/>
      <c r="R1839" s="37"/>
      <c r="S1839" s="40" t="str">
        <f aca="false">IF($G1839="","",$G1839&amp;"#"&amp;COUNTIF($G$4:$G1839,$G1839))</f>
        <v/>
      </c>
      <c r="T1839" s="40" t="str">
        <f aca="false">IF($B1839="","",IF($C1839="","NIK kosong",IF(LEN($C1839)&lt;&gt;16,"NIK bukan 16 digit",IF(COUNTIF($C$4:$C$2003,$C1839&amp;"*")&gt;1,"NIK ganda",IF($E1839="","Kadus kosong",IF($F1839="","RT kosong",IF($H1839="","Jabatan kosong",IF($I1839="","No. HP kosong",IF($J1839="","Alamat kosong",IF(AND($M1839&lt;&gt;"",$M1839&lt;17),"Usia di bawah 17",""))))))))))</f>
        <v/>
      </c>
      <c r="U1839" s="40" t="str">
        <f aca="false">IF($B1839="","",IF(AND(OR(CARI!$C$5="",ISNUMBER(SEARCH(CARI!$C$5,$B1839&amp;" "&amp;$C1839&amp;" "&amp;$I1839&amp;" "&amp;$J1839&amp;" "&amp;$Q1839))),OR(CARI!$C$6="",$E1839=CARI!$C$6),OR(CARI!$C$7="",$F1839=CARI!$C$7),OR(CARI!$C$8="",$O1839=CARI!$C$8)),MAX($U$3:U1838)+1,""))</f>
        <v/>
      </c>
      <c r="V1839" s="40" t="str">
        <f aca="false">IF($T1839="","",MAX($V$3:V1838)+1)</f>
        <v/>
      </c>
      <c r="W1839" s="40" t="str">
        <f aca="false">IF($E1839="","",$E1839&amp;"#"&amp;COUNTIF($E$4:$E1839,$E1839))</f>
        <v/>
      </c>
      <c r="X1839" s="40" t="str">
        <f aca="false">IF($B1839="","",IF(AND(OR(CETAK!$J$10="",$E1839=CETAK!$J$10),OR(CETAK!$J$11="",$F1839=CETAK!$J$11),OR(CETAK!$J$12="",$K1839=CETAK!$J$12),OR(CETAK!$J$13="",$H1839=CETAK!$J$13),OR(CETAK!$J$14="",$O1839=CETAK!$J$14)),MAX($X$3:X1838)+1,""))</f>
        <v/>
      </c>
      <c r="Y1839" s="40" t="str">
        <f aca="false">IF($B1839="","",IF(AND(OR(ABSENSI!$H$10="",$E1839=ABSENSI!$H$10),OR(ABSENSI!$H$11="",$F1839=ABSENSI!$H$11),OR(ABSENSI!$H$12="",$K1839=ABSENSI!$H$12)),MAX($Y$3:Y1838)+1,""))</f>
        <v/>
      </c>
      <c r="Z1839" s="40" t="str">
        <f aca="false">IF($B1839="","",IF(AND(OR(KARTU!$K$6="",$E1839=KARTU!$K$6),OR(KARTU!$K$7="",$F1839=KARTU!$K$7),OR(KARTU!$K$8="",$K1839=KARTU!$K$8)),MAX($Z$3:Z1838)+1,""))</f>
        <v/>
      </c>
    </row>
    <row r="1840" customFormat="false" ht="15" hidden="false" customHeight="false" outlineLevel="0" collapsed="false">
      <c r="A1840" s="36" t="str">
        <f aca="false">IF($B1840="","",COUNTA($B$4:$B1840))</f>
        <v/>
      </c>
      <c r="B1840" s="37"/>
      <c r="C1840" s="38"/>
      <c r="D1840" s="39"/>
      <c r="E1840" s="37"/>
      <c r="F1840" s="39"/>
      <c r="G1840" s="40" t="str">
        <f aca="false">IF(OR($E1840="",$F1840=""),"",$E1840&amp;" - RT "&amp;$F1840)</f>
        <v/>
      </c>
      <c r="H1840" s="37"/>
      <c r="I1840" s="38"/>
      <c r="J1840" s="37"/>
      <c r="K1840" s="39"/>
      <c r="L1840" s="41"/>
      <c r="M1840" s="36" t="str">
        <f aca="true">IF(OR($B1840="",$L1840=""),"",DATEDIF($L1840,TODAY(),"Y"))</f>
        <v/>
      </c>
      <c r="N1840" s="40" t="str">
        <f aca="false">IF($M1840="","",INDEX(usia_label,MATCH($M1840,usia_min,1)))</f>
        <v/>
      </c>
      <c r="O1840" s="37"/>
      <c r="P1840" s="41"/>
      <c r="Q1840" s="37"/>
      <c r="R1840" s="37"/>
      <c r="S1840" s="40" t="str">
        <f aca="false">IF($G1840="","",$G1840&amp;"#"&amp;COUNTIF($G$4:$G1840,$G1840))</f>
        <v/>
      </c>
      <c r="T1840" s="40" t="str">
        <f aca="false">IF($B1840="","",IF($C1840="","NIK kosong",IF(LEN($C1840)&lt;&gt;16,"NIK bukan 16 digit",IF(COUNTIF($C$4:$C$2003,$C1840&amp;"*")&gt;1,"NIK ganda",IF($E1840="","Kadus kosong",IF($F1840="","RT kosong",IF($H1840="","Jabatan kosong",IF($I1840="","No. HP kosong",IF($J1840="","Alamat kosong",IF(AND($M1840&lt;&gt;"",$M1840&lt;17),"Usia di bawah 17",""))))))))))</f>
        <v/>
      </c>
      <c r="U1840" s="40" t="str">
        <f aca="false">IF($B1840="","",IF(AND(OR(CARI!$C$5="",ISNUMBER(SEARCH(CARI!$C$5,$B1840&amp;" "&amp;$C1840&amp;" "&amp;$I1840&amp;" "&amp;$J1840&amp;" "&amp;$Q1840))),OR(CARI!$C$6="",$E1840=CARI!$C$6),OR(CARI!$C$7="",$F1840=CARI!$C$7),OR(CARI!$C$8="",$O1840=CARI!$C$8)),MAX($U$3:U1839)+1,""))</f>
        <v/>
      </c>
      <c r="V1840" s="40" t="str">
        <f aca="false">IF($T1840="","",MAX($V$3:V1839)+1)</f>
        <v/>
      </c>
      <c r="W1840" s="40" t="str">
        <f aca="false">IF($E1840="","",$E1840&amp;"#"&amp;COUNTIF($E$4:$E1840,$E1840))</f>
        <v/>
      </c>
      <c r="X1840" s="40" t="str">
        <f aca="false">IF($B1840="","",IF(AND(OR(CETAK!$J$10="",$E1840=CETAK!$J$10),OR(CETAK!$J$11="",$F1840=CETAK!$J$11),OR(CETAK!$J$12="",$K1840=CETAK!$J$12),OR(CETAK!$J$13="",$H1840=CETAK!$J$13),OR(CETAK!$J$14="",$O1840=CETAK!$J$14)),MAX($X$3:X1839)+1,""))</f>
        <v/>
      </c>
      <c r="Y1840" s="40" t="str">
        <f aca="false">IF($B1840="","",IF(AND(OR(ABSENSI!$H$10="",$E1840=ABSENSI!$H$10),OR(ABSENSI!$H$11="",$F1840=ABSENSI!$H$11),OR(ABSENSI!$H$12="",$K1840=ABSENSI!$H$12)),MAX($Y$3:Y1839)+1,""))</f>
        <v/>
      </c>
      <c r="Z1840" s="40" t="str">
        <f aca="false">IF($B1840="","",IF(AND(OR(KARTU!$K$6="",$E1840=KARTU!$K$6),OR(KARTU!$K$7="",$F1840=KARTU!$K$7),OR(KARTU!$K$8="",$K1840=KARTU!$K$8)),MAX($Z$3:Z1839)+1,""))</f>
        <v/>
      </c>
    </row>
    <row r="1841" customFormat="false" ht="15" hidden="false" customHeight="false" outlineLevel="0" collapsed="false">
      <c r="A1841" s="36" t="str">
        <f aca="false">IF($B1841="","",COUNTA($B$4:$B1841))</f>
        <v/>
      </c>
      <c r="B1841" s="37"/>
      <c r="C1841" s="38"/>
      <c r="D1841" s="39"/>
      <c r="E1841" s="37"/>
      <c r="F1841" s="39"/>
      <c r="G1841" s="40" t="str">
        <f aca="false">IF(OR($E1841="",$F1841=""),"",$E1841&amp;" - RT "&amp;$F1841)</f>
        <v/>
      </c>
      <c r="H1841" s="37"/>
      <c r="I1841" s="38"/>
      <c r="J1841" s="37"/>
      <c r="K1841" s="39"/>
      <c r="L1841" s="41"/>
      <c r="M1841" s="36" t="str">
        <f aca="true">IF(OR($B1841="",$L1841=""),"",DATEDIF($L1841,TODAY(),"Y"))</f>
        <v/>
      </c>
      <c r="N1841" s="40" t="str">
        <f aca="false">IF($M1841="","",INDEX(usia_label,MATCH($M1841,usia_min,1)))</f>
        <v/>
      </c>
      <c r="O1841" s="37"/>
      <c r="P1841" s="41"/>
      <c r="Q1841" s="37"/>
      <c r="R1841" s="37"/>
      <c r="S1841" s="40" t="str">
        <f aca="false">IF($G1841="","",$G1841&amp;"#"&amp;COUNTIF($G$4:$G1841,$G1841))</f>
        <v/>
      </c>
      <c r="T1841" s="40" t="str">
        <f aca="false">IF($B1841="","",IF($C1841="","NIK kosong",IF(LEN($C1841)&lt;&gt;16,"NIK bukan 16 digit",IF(COUNTIF($C$4:$C$2003,$C1841&amp;"*")&gt;1,"NIK ganda",IF($E1841="","Kadus kosong",IF($F1841="","RT kosong",IF($H1841="","Jabatan kosong",IF($I1841="","No. HP kosong",IF($J1841="","Alamat kosong",IF(AND($M1841&lt;&gt;"",$M1841&lt;17),"Usia di bawah 17",""))))))))))</f>
        <v/>
      </c>
      <c r="U1841" s="40" t="str">
        <f aca="false">IF($B1841="","",IF(AND(OR(CARI!$C$5="",ISNUMBER(SEARCH(CARI!$C$5,$B1841&amp;" "&amp;$C1841&amp;" "&amp;$I1841&amp;" "&amp;$J1841&amp;" "&amp;$Q1841))),OR(CARI!$C$6="",$E1841=CARI!$C$6),OR(CARI!$C$7="",$F1841=CARI!$C$7),OR(CARI!$C$8="",$O1841=CARI!$C$8)),MAX($U$3:U1840)+1,""))</f>
        <v/>
      </c>
      <c r="V1841" s="40" t="str">
        <f aca="false">IF($T1841="","",MAX($V$3:V1840)+1)</f>
        <v/>
      </c>
      <c r="W1841" s="40" t="str">
        <f aca="false">IF($E1841="","",$E1841&amp;"#"&amp;COUNTIF($E$4:$E1841,$E1841))</f>
        <v/>
      </c>
      <c r="X1841" s="40" t="str">
        <f aca="false">IF($B1841="","",IF(AND(OR(CETAK!$J$10="",$E1841=CETAK!$J$10),OR(CETAK!$J$11="",$F1841=CETAK!$J$11),OR(CETAK!$J$12="",$K1841=CETAK!$J$12),OR(CETAK!$J$13="",$H1841=CETAK!$J$13),OR(CETAK!$J$14="",$O1841=CETAK!$J$14)),MAX($X$3:X1840)+1,""))</f>
        <v/>
      </c>
      <c r="Y1841" s="40" t="str">
        <f aca="false">IF($B1841="","",IF(AND(OR(ABSENSI!$H$10="",$E1841=ABSENSI!$H$10),OR(ABSENSI!$H$11="",$F1841=ABSENSI!$H$11),OR(ABSENSI!$H$12="",$K1841=ABSENSI!$H$12)),MAX($Y$3:Y1840)+1,""))</f>
        <v/>
      </c>
      <c r="Z1841" s="40" t="str">
        <f aca="false">IF($B1841="","",IF(AND(OR(KARTU!$K$6="",$E1841=KARTU!$K$6),OR(KARTU!$K$7="",$F1841=KARTU!$K$7),OR(KARTU!$K$8="",$K1841=KARTU!$K$8)),MAX($Z$3:Z1840)+1,""))</f>
        <v/>
      </c>
    </row>
    <row r="1842" customFormat="false" ht="15" hidden="false" customHeight="false" outlineLevel="0" collapsed="false">
      <c r="A1842" s="36" t="str">
        <f aca="false">IF($B1842="","",COUNTA($B$4:$B1842))</f>
        <v/>
      </c>
      <c r="B1842" s="37"/>
      <c r="C1842" s="38"/>
      <c r="D1842" s="39"/>
      <c r="E1842" s="37"/>
      <c r="F1842" s="39"/>
      <c r="G1842" s="40" t="str">
        <f aca="false">IF(OR($E1842="",$F1842=""),"",$E1842&amp;" - RT "&amp;$F1842)</f>
        <v/>
      </c>
      <c r="H1842" s="37"/>
      <c r="I1842" s="38"/>
      <c r="J1842" s="37"/>
      <c r="K1842" s="39"/>
      <c r="L1842" s="41"/>
      <c r="M1842" s="36" t="str">
        <f aca="true">IF(OR($B1842="",$L1842=""),"",DATEDIF($L1842,TODAY(),"Y"))</f>
        <v/>
      </c>
      <c r="N1842" s="40" t="str">
        <f aca="false">IF($M1842="","",INDEX(usia_label,MATCH($M1842,usia_min,1)))</f>
        <v/>
      </c>
      <c r="O1842" s="37"/>
      <c r="P1842" s="41"/>
      <c r="Q1842" s="37"/>
      <c r="R1842" s="37"/>
      <c r="S1842" s="40" t="str">
        <f aca="false">IF($G1842="","",$G1842&amp;"#"&amp;COUNTIF($G$4:$G1842,$G1842))</f>
        <v/>
      </c>
      <c r="T1842" s="40" t="str">
        <f aca="false">IF($B1842="","",IF($C1842="","NIK kosong",IF(LEN($C1842)&lt;&gt;16,"NIK bukan 16 digit",IF(COUNTIF($C$4:$C$2003,$C1842&amp;"*")&gt;1,"NIK ganda",IF($E1842="","Kadus kosong",IF($F1842="","RT kosong",IF($H1842="","Jabatan kosong",IF($I1842="","No. HP kosong",IF($J1842="","Alamat kosong",IF(AND($M1842&lt;&gt;"",$M1842&lt;17),"Usia di bawah 17",""))))))))))</f>
        <v/>
      </c>
      <c r="U1842" s="40" t="str">
        <f aca="false">IF($B1842="","",IF(AND(OR(CARI!$C$5="",ISNUMBER(SEARCH(CARI!$C$5,$B1842&amp;" "&amp;$C1842&amp;" "&amp;$I1842&amp;" "&amp;$J1842&amp;" "&amp;$Q1842))),OR(CARI!$C$6="",$E1842=CARI!$C$6),OR(CARI!$C$7="",$F1842=CARI!$C$7),OR(CARI!$C$8="",$O1842=CARI!$C$8)),MAX($U$3:U1841)+1,""))</f>
        <v/>
      </c>
      <c r="V1842" s="40" t="str">
        <f aca="false">IF($T1842="","",MAX($V$3:V1841)+1)</f>
        <v/>
      </c>
      <c r="W1842" s="40" t="str">
        <f aca="false">IF($E1842="","",$E1842&amp;"#"&amp;COUNTIF($E$4:$E1842,$E1842))</f>
        <v/>
      </c>
      <c r="X1842" s="40" t="str">
        <f aca="false">IF($B1842="","",IF(AND(OR(CETAK!$J$10="",$E1842=CETAK!$J$10),OR(CETAK!$J$11="",$F1842=CETAK!$J$11),OR(CETAK!$J$12="",$K1842=CETAK!$J$12),OR(CETAK!$J$13="",$H1842=CETAK!$J$13),OR(CETAK!$J$14="",$O1842=CETAK!$J$14)),MAX($X$3:X1841)+1,""))</f>
        <v/>
      </c>
      <c r="Y1842" s="40" t="str">
        <f aca="false">IF($B1842="","",IF(AND(OR(ABSENSI!$H$10="",$E1842=ABSENSI!$H$10),OR(ABSENSI!$H$11="",$F1842=ABSENSI!$H$11),OR(ABSENSI!$H$12="",$K1842=ABSENSI!$H$12)),MAX($Y$3:Y1841)+1,""))</f>
        <v/>
      </c>
      <c r="Z1842" s="40" t="str">
        <f aca="false">IF($B1842="","",IF(AND(OR(KARTU!$K$6="",$E1842=KARTU!$K$6),OR(KARTU!$K$7="",$F1842=KARTU!$K$7),OR(KARTU!$K$8="",$K1842=KARTU!$K$8)),MAX($Z$3:Z1841)+1,""))</f>
        <v/>
      </c>
    </row>
    <row r="1843" customFormat="false" ht="15" hidden="false" customHeight="false" outlineLevel="0" collapsed="false">
      <c r="A1843" s="36" t="str">
        <f aca="false">IF($B1843="","",COUNTA($B$4:$B1843))</f>
        <v/>
      </c>
      <c r="B1843" s="37"/>
      <c r="C1843" s="38"/>
      <c r="D1843" s="39"/>
      <c r="E1843" s="37"/>
      <c r="F1843" s="39"/>
      <c r="G1843" s="40" t="str">
        <f aca="false">IF(OR($E1843="",$F1843=""),"",$E1843&amp;" - RT "&amp;$F1843)</f>
        <v/>
      </c>
      <c r="H1843" s="37"/>
      <c r="I1843" s="38"/>
      <c r="J1843" s="37"/>
      <c r="K1843" s="39"/>
      <c r="L1843" s="41"/>
      <c r="M1843" s="36" t="str">
        <f aca="true">IF(OR($B1843="",$L1843=""),"",DATEDIF($L1843,TODAY(),"Y"))</f>
        <v/>
      </c>
      <c r="N1843" s="40" t="str">
        <f aca="false">IF($M1843="","",INDEX(usia_label,MATCH($M1843,usia_min,1)))</f>
        <v/>
      </c>
      <c r="O1843" s="37"/>
      <c r="P1843" s="41"/>
      <c r="Q1843" s="37"/>
      <c r="R1843" s="37"/>
      <c r="S1843" s="40" t="str">
        <f aca="false">IF($G1843="","",$G1843&amp;"#"&amp;COUNTIF($G$4:$G1843,$G1843))</f>
        <v/>
      </c>
      <c r="T1843" s="40" t="str">
        <f aca="false">IF($B1843="","",IF($C1843="","NIK kosong",IF(LEN($C1843)&lt;&gt;16,"NIK bukan 16 digit",IF(COUNTIF($C$4:$C$2003,$C1843&amp;"*")&gt;1,"NIK ganda",IF($E1843="","Kadus kosong",IF($F1843="","RT kosong",IF($H1843="","Jabatan kosong",IF($I1843="","No. HP kosong",IF($J1843="","Alamat kosong",IF(AND($M1843&lt;&gt;"",$M1843&lt;17),"Usia di bawah 17",""))))))))))</f>
        <v/>
      </c>
      <c r="U1843" s="40" t="str">
        <f aca="false">IF($B1843="","",IF(AND(OR(CARI!$C$5="",ISNUMBER(SEARCH(CARI!$C$5,$B1843&amp;" "&amp;$C1843&amp;" "&amp;$I1843&amp;" "&amp;$J1843&amp;" "&amp;$Q1843))),OR(CARI!$C$6="",$E1843=CARI!$C$6),OR(CARI!$C$7="",$F1843=CARI!$C$7),OR(CARI!$C$8="",$O1843=CARI!$C$8)),MAX($U$3:U1842)+1,""))</f>
        <v/>
      </c>
      <c r="V1843" s="40" t="str">
        <f aca="false">IF($T1843="","",MAX($V$3:V1842)+1)</f>
        <v/>
      </c>
      <c r="W1843" s="40" t="str">
        <f aca="false">IF($E1843="","",$E1843&amp;"#"&amp;COUNTIF($E$4:$E1843,$E1843))</f>
        <v/>
      </c>
      <c r="X1843" s="40" t="str">
        <f aca="false">IF($B1843="","",IF(AND(OR(CETAK!$J$10="",$E1843=CETAK!$J$10),OR(CETAK!$J$11="",$F1843=CETAK!$J$11),OR(CETAK!$J$12="",$K1843=CETAK!$J$12),OR(CETAK!$J$13="",$H1843=CETAK!$J$13),OR(CETAK!$J$14="",$O1843=CETAK!$J$14)),MAX($X$3:X1842)+1,""))</f>
        <v/>
      </c>
      <c r="Y1843" s="40" t="str">
        <f aca="false">IF($B1843="","",IF(AND(OR(ABSENSI!$H$10="",$E1843=ABSENSI!$H$10),OR(ABSENSI!$H$11="",$F1843=ABSENSI!$H$11),OR(ABSENSI!$H$12="",$K1843=ABSENSI!$H$12)),MAX($Y$3:Y1842)+1,""))</f>
        <v/>
      </c>
      <c r="Z1843" s="40" t="str">
        <f aca="false">IF($B1843="","",IF(AND(OR(KARTU!$K$6="",$E1843=KARTU!$K$6),OR(KARTU!$K$7="",$F1843=KARTU!$K$7),OR(KARTU!$K$8="",$K1843=KARTU!$K$8)),MAX($Z$3:Z1842)+1,""))</f>
        <v/>
      </c>
    </row>
    <row r="1844" customFormat="false" ht="15" hidden="false" customHeight="false" outlineLevel="0" collapsed="false">
      <c r="A1844" s="36" t="str">
        <f aca="false">IF($B1844="","",COUNTA($B$4:$B1844))</f>
        <v/>
      </c>
      <c r="B1844" s="37"/>
      <c r="C1844" s="38"/>
      <c r="D1844" s="39"/>
      <c r="E1844" s="37"/>
      <c r="F1844" s="39"/>
      <c r="G1844" s="40" t="str">
        <f aca="false">IF(OR($E1844="",$F1844=""),"",$E1844&amp;" - RT "&amp;$F1844)</f>
        <v/>
      </c>
      <c r="H1844" s="37"/>
      <c r="I1844" s="38"/>
      <c r="J1844" s="37"/>
      <c r="K1844" s="39"/>
      <c r="L1844" s="41"/>
      <c r="M1844" s="36" t="str">
        <f aca="true">IF(OR($B1844="",$L1844=""),"",DATEDIF($L1844,TODAY(),"Y"))</f>
        <v/>
      </c>
      <c r="N1844" s="40" t="str">
        <f aca="false">IF($M1844="","",INDEX(usia_label,MATCH($M1844,usia_min,1)))</f>
        <v/>
      </c>
      <c r="O1844" s="37"/>
      <c r="P1844" s="41"/>
      <c r="Q1844" s="37"/>
      <c r="R1844" s="37"/>
      <c r="S1844" s="40" t="str">
        <f aca="false">IF($G1844="","",$G1844&amp;"#"&amp;COUNTIF($G$4:$G1844,$G1844))</f>
        <v/>
      </c>
      <c r="T1844" s="40" t="str">
        <f aca="false">IF($B1844="","",IF($C1844="","NIK kosong",IF(LEN($C1844)&lt;&gt;16,"NIK bukan 16 digit",IF(COUNTIF($C$4:$C$2003,$C1844&amp;"*")&gt;1,"NIK ganda",IF($E1844="","Kadus kosong",IF($F1844="","RT kosong",IF($H1844="","Jabatan kosong",IF($I1844="","No. HP kosong",IF($J1844="","Alamat kosong",IF(AND($M1844&lt;&gt;"",$M1844&lt;17),"Usia di bawah 17",""))))))))))</f>
        <v/>
      </c>
      <c r="U1844" s="40" t="str">
        <f aca="false">IF($B1844="","",IF(AND(OR(CARI!$C$5="",ISNUMBER(SEARCH(CARI!$C$5,$B1844&amp;" "&amp;$C1844&amp;" "&amp;$I1844&amp;" "&amp;$J1844&amp;" "&amp;$Q1844))),OR(CARI!$C$6="",$E1844=CARI!$C$6),OR(CARI!$C$7="",$F1844=CARI!$C$7),OR(CARI!$C$8="",$O1844=CARI!$C$8)),MAX($U$3:U1843)+1,""))</f>
        <v/>
      </c>
      <c r="V1844" s="40" t="str">
        <f aca="false">IF($T1844="","",MAX($V$3:V1843)+1)</f>
        <v/>
      </c>
      <c r="W1844" s="40" t="str">
        <f aca="false">IF($E1844="","",$E1844&amp;"#"&amp;COUNTIF($E$4:$E1844,$E1844))</f>
        <v/>
      </c>
      <c r="X1844" s="40" t="str">
        <f aca="false">IF($B1844="","",IF(AND(OR(CETAK!$J$10="",$E1844=CETAK!$J$10),OR(CETAK!$J$11="",$F1844=CETAK!$J$11),OR(CETAK!$J$12="",$K1844=CETAK!$J$12),OR(CETAK!$J$13="",$H1844=CETAK!$J$13),OR(CETAK!$J$14="",$O1844=CETAK!$J$14)),MAX($X$3:X1843)+1,""))</f>
        <v/>
      </c>
      <c r="Y1844" s="40" t="str">
        <f aca="false">IF($B1844="","",IF(AND(OR(ABSENSI!$H$10="",$E1844=ABSENSI!$H$10),OR(ABSENSI!$H$11="",$F1844=ABSENSI!$H$11),OR(ABSENSI!$H$12="",$K1844=ABSENSI!$H$12)),MAX($Y$3:Y1843)+1,""))</f>
        <v/>
      </c>
      <c r="Z1844" s="40" t="str">
        <f aca="false">IF($B1844="","",IF(AND(OR(KARTU!$K$6="",$E1844=KARTU!$K$6),OR(KARTU!$K$7="",$F1844=KARTU!$K$7),OR(KARTU!$K$8="",$K1844=KARTU!$K$8)),MAX($Z$3:Z1843)+1,""))</f>
        <v/>
      </c>
    </row>
    <row r="1845" customFormat="false" ht="15" hidden="false" customHeight="false" outlineLevel="0" collapsed="false">
      <c r="A1845" s="36" t="str">
        <f aca="false">IF($B1845="","",COUNTA($B$4:$B1845))</f>
        <v/>
      </c>
      <c r="B1845" s="37"/>
      <c r="C1845" s="38"/>
      <c r="D1845" s="39"/>
      <c r="E1845" s="37"/>
      <c r="F1845" s="39"/>
      <c r="G1845" s="40" t="str">
        <f aca="false">IF(OR($E1845="",$F1845=""),"",$E1845&amp;" - RT "&amp;$F1845)</f>
        <v/>
      </c>
      <c r="H1845" s="37"/>
      <c r="I1845" s="38"/>
      <c r="J1845" s="37"/>
      <c r="K1845" s="39"/>
      <c r="L1845" s="41"/>
      <c r="M1845" s="36" t="str">
        <f aca="true">IF(OR($B1845="",$L1845=""),"",DATEDIF($L1845,TODAY(),"Y"))</f>
        <v/>
      </c>
      <c r="N1845" s="40" t="str">
        <f aca="false">IF($M1845="","",INDEX(usia_label,MATCH($M1845,usia_min,1)))</f>
        <v/>
      </c>
      <c r="O1845" s="37"/>
      <c r="P1845" s="41"/>
      <c r="Q1845" s="37"/>
      <c r="R1845" s="37"/>
      <c r="S1845" s="40" t="str">
        <f aca="false">IF($G1845="","",$G1845&amp;"#"&amp;COUNTIF($G$4:$G1845,$G1845))</f>
        <v/>
      </c>
      <c r="T1845" s="40" t="str">
        <f aca="false">IF($B1845="","",IF($C1845="","NIK kosong",IF(LEN($C1845)&lt;&gt;16,"NIK bukan 16 digit",IF(COUNTIF($C$4:$C$2003,$C1845&amp;"*")&gt;1,"NIK ganda",IF($E1845="","Kadus kosong",IF($F1845="","RT kosong",IF($H1845="","Jabatan kosong",IF($I1845="","No. HP kosong",IF($J1845="","Alamat kosong",IF(AND($M1845&lt;&gt;"",$M1845&lt;17),"Usia di bawah 17",""))))))))))</f>
        <v/>
      </c>
      <c r="U1845" s="40" t="str">
        <f aca="false">IF($B1845="","",IF(AND(OR(CARI!$C$5="",ISNUMBER(SEARCH(CARI!$C$5,$B1845&amp;" "&amp;$C1845&amp;" "&amp;$I1845&amp;" "&amp;$J1845&amp;" "&amp;$Q1845))),OR(CARI!$C$6="",$E1845=CARI!$C$6),OR(CARI!$C$7="",$F1845=CARI!$C$7),OR(CARI!$C$8="",$O1845=CARI!$C$8)),MAX($U$3:U1844)+1,""))</f>
        <v/>
      </c>
      <c r="V1845" s="40" t="str">
        <f aca="false">IF($T1845="","",MAX($V$3:V1844)+1)</f>
        <v/>
      </c>
      <c r="W1845" s="40" t="str">
        <f aca="false">IF($E1845="","",$E1845&amp;"#"&amp;COUNTIF($E$4:$E1845,$E1845))</f>
        <v/>
      </c>
      <c r="X1845" s="40" t="str">
        <f aca="false">IF($B1845="","",IF(AND(OR(CETAK!$J$10="",$E1845=CETAK!$J$10),OR(CETAK!$J$11="",$F1845=CETAK!$J$11),OR(CETAK!$J$12="",$K1845=CETAK!$J$12),OR(CETAK!$J$13="",$H1845=CETAK!$J$13),OR(CETAK!$J$14="",$O1845=CETAK!$J$14)),MAX($X$3:X1844)+1,""))</f>
        <v/>
      </c>
      <c r="Y1845" s="40" t="str">
        <f aca="false">IF($B1845="","",IF(AND(OR(ABSENSI!$H$10="",$E1845=ABSENSI!$H$10),OR(ABSENSI!$H$11="",$F1845=ABSENSI!$H$11),OR(ABSENSI!$H$12="",$K1845=ABSENSI!$H$12)),MAX($Y$3:Y1844)+1,""))</f>
        <v/>
      </c>
      <c r="Z1845" s="40" t="str">
        <f aca="false">IF($B1845="","",IF(AND(OR(KARTU!$K$6="",$E1845=KARTU!$K$6),OR(KARTU!$K$7="",$F1845=KARTU!$K$7),OR(KARTU!$K$8="",$K1845=KARTU!$K$8)),MAX($Z$3:Z1844)+1,""))</f>
        <v/>
      </c>
    </row>
    <row r="1846" customFormat="false" ht="15" hidden="false" customHeight="false" outlineLevel="0" collapsed="false">
      <c r="A1846" s="36" t="str">
        <f aca="false">IF($B1846="","",COUNTA($B$4:$B1846))</f>
        <v/>
      </c>
      <c r="B1846" s="37"/>
      <c r="C1846" s="38"/>
      <c r="D1846" s="39"/>
      <c r="E1846" s="37"/>
      <c r="F1846" s="39"/>
      <c r="G1846" s="40" t="str">
        <f aca="false">IF(OR($E1846="",$F1846=""),"",$E1846&amp;" - RT "&amp;$F1846)</f>
        <v/>
      </c>
      <c r="H1846" s="37"/>
      <c r="I1846" s="38"/>
      <c r="J1846" s="37"/>
      <c r="K1846" s="39"/>
      <c r="L1846" s="41"/>
      <c r="M1846" s="36" t="str">
        <f aca="true">IF(OR($B1846="",$L1846=""),"",DATEDIF($L1846,TODAY(),"Y"))</f>
        <v/>
      </c>
      <c r="N1846" s="40" t="str">
        <f aca="false">IF($M1846="","",INDEX(usia_label,MATCH($M1846,usia_min,1)))</f>
        <v/>
      </c>
      <c r="O1846" s="37"/>
      <c r="P1846" s="41"/>
      <c r="Q1846" s="37"/>
      <c r="R1846" s="37"/>
      <c r="S1846" s="40" t="str">
        <f aca="false">IF($G1846="","",$G1846&amp;"#"&amp;COUNTIF($G$4:$G1846,$G1846))</f>
        <v/>
      </c>
      <c r="T1846" s="40" t="str">
        <f aca="false">IF($B1846="","",IF($C1846="","NIK kosong",IF(LEN($C1846)&lt;&gt;16,"NIK bukan 16 digit",IF(COUNTIF($C$4:$C$2003,$C1846&amp;"*")&gt;1,"NIK ganda",IF($E1846="","Kadus kosong",IF($F1846="","RT kosong",IF($H1846="","Jabatan kosong",IF($I1846="","No. HP kosong",IF($J1846="","Alamat kosong",IF(AND($M1846&lt;&gt;"",$M1846&lt;17),"Usia di bawah 17",""))))))))))</f>
        <v/>
      </c>
      <c r="U1846" s="40" t="str">
        <f aca="false">IF($B1846="","",IF(AND(OR(CARI!$C$5="",ISNUMBER(SEARCH(CARI!$C$5,$B1846&amp;" "&amp;$C1846&amp;" "&amp;$I1846&amp;" "&amp;$J1846&amp;" "&amp;$Q1846))),OR(CARI!$C$6="",$E1846=CARI!$C$6),OR(CARI!$C$7="",$F1846=CARI!$C$7),OR(CARI!$C$8="",$O1846=CARI!$C$8)),MAX($U$3:U1845)+1,""))</f>
        <v/>
      </c>
      <c r="V1846" s="40" t="str">
        <f aca="false">IF($T1846="","",MAX($V$3:V1845)+1)</f>
        <v/>
      </c>
      <c r="W1846" s="40" t="str">
        <f aca="false">IF($E1846="","",$E1846&amp;"#"&amp;COUNTIF($E$4:$E1846,$E1846))</f>
        <v/>
      </c>
      <c r="X1846" s="40" t="str">
        <f aca="false">IF($B1846="","",IF(AND(OR(CETAK!$J$10="",$E1846=CETAK!$J$10),OR(CETAK!$J$11="",$F1846=CETAK!$J$11),OR(CETAK!$J$12="",$K1846=CETAK!$J$12),OR(CETAK!$J$13="",$H1846=CETAK!$J$13),OR(CETAK!$J$14="",$O1846=CETAK!$J$14)),MAX($X$3:X1845)+1,""))</f>
        <v/>
      </c>
      <c r="Y1846" s="40" t="str">
        <f aca="false">IF($B1846="","",IF(AND(OR(ABSENSI!$H$10="",$E1846=ABSENSI!$H$10),OR(ABSENSI!$H$11="",$F1846=ABSENSI!$H$11),OR(ABSENSI!$H$12="",$K1846=ABSENSI!$H$12)),MAX($Y$3:Y1845)+1,""))</f>
        <v/>
      </c>
      <c r="Z1846" s="40" t="str">
        <f aca="false">IF($B1846="","",IF(AND(OR(KARTU!$K$6="",$E1846=KARTU!$K$6),OR(KARTU!$K$7="",$F1846=KARTU!$K$7),OR(KARTU!$K$8="",$K1846=KARTU!$K$8)),MAX($Z$3:Z1845)+1,""))</f>
        <v/>
      </c>
    </row>
    <row r="1847" customFormat="false" ht="15" hidden="false" customHeight="false" outlineLevel="0" collapsed="false">
      <c r="A1847" s="36" t="str">
        <f aca="false">IF($B1847="","",COUNTA($B$4:$B1847))</f>
        <v/>
      </c>
      <c r="B1847" s="37"/>
      <c r="C1847" s="38"/>
      <c r="D1847" s="39"/>
      <c r="E1847" s="37"/>
      <c r="F1847" s="39"/>
      <c r="G1847" s="40" t="str">
        <f aca="false">IF(OR($E1847="",$F1847=""),"",$E1847&amp;" - RT "&amp;$F1847)</f>
        <v/>
      </c>
      <c r="H1847" s="37"/>
      <c r="I1847" s="38"/>
      <c r="J1847" s="37"/>
      <c r="K1847" s="39"/>
      <c r="L1847" s="41"/>
      <c r="M1847" s="36" t="str">
        <f aca="true">IF(OR($B1847="",$L1847=""),"",DATEDIF($L1847,TODAY(),"Y"))</f>
        <v/>
      </c>
      <c r="N1847" s="40" t="str">
        <f aca="false">IF($M1847="","",INDEX(usia_label,MATCH($M1847,usia_min,1)))</f>
        <v/>
      </c>
      <c r="O1847" s="37"/>
      <c r="P1847" s="41"/>
      <c r="Q1847" s="37"/>
      <c r="R1847" s="37"/>
      <c r="S1847" s="40" t="str">
        <f aca="false">IF($G1847="","",$G1847&amp;"#"&amp;COUNTIF($G$4:$G1847,$G1847))</f>
        <v/>
      </c>
      <c r="T1847" s="40" t="str">
        <f aca="false">IF($B1847="","",IF($C1847="","NIK kosong",IF(LEN($C1847)&lt;&gt;16,"NIK bukan 16 digit",IF(COUNTIF($C$4:$C$2003,$C1847&amp;"*")&gt;1,"NIK ganda",IF($E1847="","Kadus kosong",IF($F1847="","RT kosong",IF($H1847="","Jabatan kosong",IF($I1847="","No. HP kosong",IF($J1847="","Alamat kosong",IF(AND($M1847&lt;&gt;"",$M1847&lt;17),"Usia di bawah 17",""))))))))))</f>
        <v/>
      </c>
      <c r="U1847" s="40" t="str">
        <f aca="false">IF($B1847="","",IF(AND(OR(CARI!$C$5="",ISNUMBER(SEARCH(CARI!$C$5,$B1847&amp;" "&amp;$C1847&amp;" "&amp;$I1847&amp;" "&amp;$J1847&amp;" "&amp;$Q1847))),OR(CARI!$C$6="",$E1847=CARI!$C$6),OR(CARI!$C$7="",$F1847=CARI!$C$7),OR(CARI!$C$8="",$O1847=CARI!$C$8)),MAX($U$3:U1846)+1,""))</f>
        <v/>
      </c>
      <c r="V1847" s="40" t="str">
        <f aca="false">IF($T1847="","",MAX($V$3:V1846)+1)</f>
        <v/>
      </c>
      <c r="W1847" s="40" t="str">
        <f aca="false">IF($E1847="","",$E1847&amp;"#"&amp;COUNTIF($E$4:$E1847,$E1847))</f>
        <v/>
      </c>
      <c r="X1847" s="40" t="str">
        <f aca="false">IF($B1847="","",IF(AND(OR(CETAK!$J$10="",$E1847=CETAK!$J$10),OR(CETAK!$J$11="",$F1847=CETAK!$J$11),OR(CETAK!$J$12="",$K1847=CETAK!$J$12),OR(CETAK!$J$13="",$H1847=CETAK!$J$13),OR(CETAK!$J$14="",$O1847=CETAK!$J$14)),MAX($X$3:X1846)+1,""))</f>
        <v/>
      </c>
      <c r="Y1847" s="40" t="str">
        <f aca="false">IF($B1847="","",IF(AND(OR(ABSENSI!$H$10="",$E1847=ABSENSI!$H$10),OR(ABSENSI!$H$11="",$F1847=ABSENSI!$H$11),OR(ABSENSI!$H$12="",$K1847=ABSENSI!$H$12)),MAX($Y$3:Y1846)+1,""))</f>
        <v/>
      </c>
      <c r="Z1847" s="40" t="str">
        <f aca="false">IF($B1847="","",IF(AND(OR(KARTU!$K$6="",$E1847=KARTU!$K$6),OR(KARTU!$K$7="",$F1847=KARTU!$K$7),OR(KARTU!$K$8="",$K1847=KARTU!$K$8)),MAX($Z$3:Z1846)+1,""))</f>
        <v/>
      </c>
    </row>
    <row r="1848" customFormat="false" ht="15" hidden="false" customHeight="false" outlineLevel="0" collapsed="false">
      <c r="A1848" s="36" t="str">
        <f aca="false">IF($B1848="","",COUNTA($B$4:$B1848))</f>
        <v/>
      </c>
      <c r="B1848" s="37"/>
      <c r="C1848" s="38"/>
      <c r="D1848" s="39"/>
      <c r="E1848" s="37"/>
      <c r="F1848" s="39"/>
      <c r="G1848" s="40" t="str">
        <f aca="false">IF(OR($E1848="",$F1848=""),"",$E1848&amp;" - RT "&amp;$F1848)</f>
        <v/>
      </c>
      <c r="H1848" s="37"/>
      <c r="I1848" s="38"/>
      <c r="J1848" s="37"/>
      <c r="K1848" s="39"/>
      <c r="L1848" s="41"/>
      <c r="M1848" s="36" t="str">
        <f aca="true">IF(OR($B1848="",$L1848=""),"",DATEDIF($L1848,TODAY(),"Y"))</f>
        <v/>
      </c>
      <c r="N1848" s="40" t="str">
        <f aca="false">IF($M1848="","",INDEX(usia_label,MATCH($M1848,usia_min,1)))</f>
        <v/>
      </c>
      <c r="O1848" s="37"/>
      <c r="P1848" s="41"/>
      <c r="Q1848" s="37"/>
      <c r="R1848" s="37"/>
      <c r="S1848" s="40" t="str">
        <f aca="false">IF($G1848="","",$G1848&amp;"#"&amp;COUNTIF($G$4:$G1848,$G1848))</f>
        <v/>
      </c>
      <c r="T1848" s="40" t="str">
        <f aca="false">IF($B1848="","",IF($C1848="","NIK kosong",IF(LEN($C1848)&lt;&gt;16,"NIK bukan 16 digit",IF(COUNTIF($C$4:$C$2003,$C1848&amp;"*")&gt;1,"NIK ganda",IF($E1848="","Kadus kosong",IF($F1848="","RT kosong",IF($H1848="","Jabatan kosong",IF($I1848="","No. HP kosong",IF($J1848="","Alamat kosong",IF(AND($M1848&lt;&gt;"",$M1848&lt;17),"Usia di bawah 17",""))))))))))</f>
        <v/>
      </c>
      <c r="U1848" s="40" t="str">
        <f aca="false">IF($B1848="","",IF(AND(OR(CARI!$C$5="",ISNUMBER(SEARCH(CARI!$C$5,$B1848&amp;" "&amp;$C1848&amp;" "&amp;$I1848&amp;" "&amp;$J1848&amp;" "&amp;$Q1848))),OR(CARI!$C$6="",$E1848=CARI!$C$6),OR(CARI!$C$7="",$F1848=CARI!$C$7),OR(CARI!$C$8="",$O1848=CARI!$C$8)),MAX($U$3:U1847)+1,""))</f>
        <v/>
      </c>
      <c r="V1848" s="40" t="str">
        <f aca="false">IF($T1848="","",MAX($V$3:V1847)+1)</f>
        <v/>
      </c>
      <c r="W1848" s="40" t="str">
        <f aca="false">IF($E1848="","",$E1848&amp;"#"&amp;COUNTIF($E$4:$E1848,$E1848))</f>
        <v/>
      </c>
      <c r="X1848" s="40" t="str">
        <f aca="false">IF($B1848="","",IF(AND(OR(CETAK!$J$10="",$E1848=CETAK!$J$10),OR(CETAK!$J$11="",$F1848=CETAK!$J$11),OR(CETAK!$J$12="",$K1848=CETAK!$J$12),OR(CETAK!$J$13="",$H1848=CETAK!$J$13),OR(CETAK!$J$14="",$O1848=CETAK!$J$14)),MAX($X$3:X1847)+1,""))</f>
        <v/>
      </c>
      <c r="Y1848" s="40" t="str">
        <f aca="false">IF($B1848="","",IF(AND(OR(ABSENSI!$H$10="",$E1848=ABSENSI!$H$10),OR(ABSENSI!$H$11="",$F1848=ABSENSI!$H$11),OR(ABSENSI!$H$12="",$K1848=ABSENSI!$H$12)),MAX($Y$3:Y1847)+1,""))</f>
        <v/>
      </c>
      <c r="Z1848" s="40" t="str">
        <f aca="false">IF($B1848="","",IF(AND(OR(KARTU!$K$6="",$E1848=KARTU!$K$6),OR(KARTU!$K$7="",$F1848=KARTU!$K$7),OR(KARTU!$K$8="",$K1848=KARTU!$K$8)),MAX($Z$3:Z1847)+1,""))</f>
        <v/>
      </c>
    </row>
    <row r="1849" customFormat="false" ht="15" hidden="false" customHeight="false" outlineLevel="0" collapsed="false">
      <c r="A1849" s="36" t="str">
        <f aca="false">IF($B1849="","",COUNTA($B$4:$B1849))</f>
        <v/>
      </c>
      <c r="B1849" s="37"/>
      <c r="C1849" s="38"/>
      <c r="D1849" s="39"/>
      <c r="E1849" s="37"/>
      <c r="F1849" s="39"/>
      <c r="G1849" s="40" t="str">
        <f aca="false">IF(OR($E1849="",$F1849=""),"",$E1849&amp;" - RT "&amp;$F1849)</f>
        <v/>
      </c>
      <c r="H1849" s="37"/>
      <c r="I1849" s="38"/>
      <c r="J1849" s="37"/>
      <c r="K1849" s="39"/>
      <c r="L1849" s="41"/>
      <c r="M1849" s="36" t="str">
        <f aca="true">IF(OR($B1849="",$L1849=""),"",DATEDIF($L1849,TODAY(),"Y"))</f>
        <v/>
      </c>
      <c r="N1849" s="40" t="str">
        <f aca="false">IF($M1849="","",INDEX(usia_label,MATCH($M1849,usia_min,1)))</f>
        <v/>
      </c>
      <c r="O1849" s="37"/>
      <c r="P1849" s="41"/>
      <c r="Q1849" s="37"/>
      <c r="R1849" s="37"/>
      <c r="S1849" s="40" t="str">
        <f aca="false">IF($G1849="","",$G1849&amp;"#"&amp;COUNTIF($G$4:$G1849,$G1849))</f>
        <v/>
      </c>
      <c r="T1849" s="40" t="str">
        <f aca="false">IF($B1849="","",IF($C1849="","NIK kosong",IF(LEN($C1849)&lt;&gt;16,"NIK bukan 16 digit",IF(COUNTIF($C$4:$C$2003,$C1849&amp;"*")&gt;1,"NIK ganda",IF($E1849="","Kadus kosong",IF($F1849="","RT kosong",IF($H1849="","Jabatan kosong",IF($I1849="","No. HP kosong",IF($J1849="","Alamat kosong",IF(AND($M1849&lt;&gt;"",$M1849&lt;17),"Usia di bawah 17",""))))))))))</f>
        <v/>
      </c>
      <c r="U1849" s="40" t="str">
        <f aca="false">IF($B1849="","",IF(AND(OR(CARI!$C$5="",ISNUMBER(SEARCH(CARI!$C$5,$B1849&amp;" "&amp;$C1849&amp;" "&amp;$I1849&amp;" "&amp;$J1849&amp;" "&amp;$Q1849))),OR(CARI!$C$6="",$E1849=CARI!$C$6),OR(CARI!$C$7="",$F1849=CARI!$C$7),OR(CARI!$C$8="",$O1849=CARI!$C$8)),MAX($U$3:U1848)+1,""))</f>
        <v/>
      </c>
      <c r="V1849" s="40" t="str">
        <f aca="false">IF($T1849="","",MAX($V$3:V1848)+1)</f>
        <v/>
      </c>
      <c r="W1849" s="40" t="str">
        <f aca="false">IF($E1849="","",$E1849&amp;"#"&amp;COUNTIF($E$4:$E1849,$E1849))</f>
        <v/>
      </c>
      <c r="X1849" s="40" t="str">
        <f aca="false">IF($B1849="","",IF(AND(OR(CETAK!$J$10="",$E1849=CETAK!$J$10),OR(CETAK!$J$11="",$F1849=CETAK!$J$11),OR(CETAK!$J$12="",$K1849=CETAK!$J$12),OR(CETAK!$J$13="",$H1849=CETAK!$J$13),OR(CETAK!$J$14="",$O1849=CETAK!$J$14)),MAX($X$3:X1848)+1,""))</f>
        <v/>
      </c>
      <c r="Y1849" s="40" t="str">
        <f aca="false">IF($B1849="","",IF(AND(OR(ABSENSI!$H$10="",$E1849=ABSENSI!$H$10),OR(ABSENSI!$H$11="",$F1849=ABSENSI!$H$11),OR(ABSENSI!$H$12="",$K1849=ABSENSI!$H$12)),MAX($Y$3:Y1848)+1,""))</f>
        <v/>
      </c>
      <c r="Z1849" s="40" t="str">
        <f aca="false">IF($B1849="","",IF(AND(OR(KARTU!$K$6="",$E1849=KARTU!$K$6),OR(KARTU!$K$7="",$F1849=KARTU!$K$7),OR(KARTU!$K$8="",$K1849=KARTU!$K$8)),MAX($Z$3:Z1848)+1,""))</f>
        <v/>
      </c>
    </row>
    <row r="1850" customFormat="false" ht="15" hidden="false" customHeight="false" outlineLevel="0" collapsed="false">
      <c r="A1850" s="36" t="str">
        <f aca="false">IF($B1850="","",COUNTA($B$4:$B1850))</f>
        <v/>
      </c>
      <c r="B1850" s="37"/>
      <c r="C1850" s="38"/>
      <c r="D1850" s="39"/>
      <c r="E1850" s="37"/>
      <c r="F1850" s="39"/>
      <c r="G1850" s="40" t="str">
        <f aca="false">IF(OR($E1850="",$F1850=""),"",$E1850&amp;" - RT "&amp;$F1850)</f>
        <v/>
      </c>
      <c r="H1850" s="37"/>
      <c r="I1850" s="38"/>
      <c r="J1850" s="37"/>
      <c r="K1850" s="39"/>
      <c r="L1850" s="41"/>
      <c r="M1850" s="36" t="str">
        <f aca="true">IF(OR($B1850="",$L1850=""),"",DATEDIF($L1850,TODAY(),"Y"))</f>
        <v/>
      </c>
      <c r="N1850" s="40" t="str">
        <f aca="false">IF($M1850="","",INDEX(usia_label,MATCH($M1850,usia_min,1)))</f>
        <v/>
      </c>
      <c r="O1850" s="37"/>
      <c r="P1850" s="41"/>
      <c r="Q1850" s="37"/>
      <c r="R1850" s="37"/>
      <c r="S1850" s="40" t="str">
        <f aca="false">IF($G1850="","",$G1850&amp;"#"&amp;COUNTIF($G$4:$G1850,$G1850))</f>
        <v/>
      </c>
      <c r="T1850" s="40" t="str">
        <f aca="false">IF($B1850="","",IF($C1850="","NIK kosong",IF(LEN($C1850)&lt;&gt;16,"NIK bukan 16 digit",IF(COUNTIF($C$4:$C$2003,$C1850&amp;"*")&gt;1,"NIK ganda",IF($E1850="","Kadus kosong",IF($F1850="","RT kosong",IF($H1850="","Jabatan kosong",IF($I1850="","No. HP kosong",IF($J1850="","Alamat kosong",IF(AND($M1850&lt;&gt;"",$M1850&lt;17),"Usia di bawah 17",""))))))))))</f>
        <v/>
      </c>
      <c r="U1850" s="40" t="str">
        <f aca="false">IF($B1850="","",IF(AND(OR(CARI!$C$5="",ISNUMBER(SEARCH(CARI!$C$5,$B1850&amp;" "&amp;$C1850&amp;" "&amp;$I1850&amp;" "&amp;$J1850&amp;" "&amp;$Q1850))),OR(CARI!$C$6="",$E1850=CARI!$C$6),OR(CARI!$C$7="",$F1850=CARI!$C$7),OR(CARI!$C$8="",$O1850=CARI!$C$8)),MAX($U$3:U1849)+1,""))</f>
        <v/>
      </c>
      <c r="V1850" s="40" t="str">
        <f aca="false">IF($T1850="","",MAX($V$3:V1849)+1)</f>
        <v/>
      </c>
      <c r="W1850" s="40" t="str">
        <f aca="false">IF($E1850="","",$E1850&amp;"#"&amp;COUNTIF($E$4:$E1850,$E1850))</f>
        <v/>
      </c>
      <c r="X1850" s="40" t="str">
        <f aca="false">IF($B1850="","",IF(AND(OR(CETAK!$J$10="",$E1850=CETAK!$J$10),OR(CETAK!$J$11="",$F1850=CETAK!$J$11),OR(CETAK!$J$12="",$K1850=CETAK!$J$12),OR(CETAK!$J$13="",$H1850=CETAK!$J$13),OR(CETAK!$J$14="",$O1850=CETAK!$J$14)),MAX($X$3:X1849)+1,""))</f>
        <v/>
      </c>
      <c r="Y1850" s="40" t="str">
        <f aca="false">IF($B1850="","",IF(AND(OR(ABSENSI!$H$10="",$E1850=ABSENSI!$H$10),OR(ABSENSI!$H$11="",$F1850=ABSENSI!$H$11),OR(ABSENSI!$H$12="",$K1850=ABSENSI!$H$12)),MAX($Y$3:Y1849)+1,""))</f>
        <v/>
      </c>
      <c r="Z1850" s="40" t="str">
        <f aca="false">IF($B1850="","",IF(AND(OR(KARTU!$K$6="",$E1850=KARTU!$K$6),OR(KARTU!$K$7="",$F1850=KARTU!$K$7),OR(KARTU!$K$8="",$K1850=KARTU!$K$8)),MAX($Z$3:Z1849)+1,""))</f>
        <v/>
      </c>
    </row>
    <row r="1851" customFormat="false" ht="15" hidden="false" customHeight="false" outlineLevel="0" collapsed="false">
      <c r="A1851" s="36" t="str">
        <f aca="false">IF($B1851="","",COUNTA($B$4:$B1851))</f>
        <v/>
      </c>
      <c r="B1851" s="37"/>
      <c r="C1851" s="38"/>
      <c r="D1851" s="39"/>
      <c r="E1851" s="37"/>
      <c r="F1851" s="39"/>
      <c r="G1851" s="40" t="str">
        <f aca="false">IF(OR($E1851="",$F1851=""),"",$E1851&amp;" - RT "&amp;$F1851)</f>
        <v/>
      </c>
      <c r="H1851" s="37"/>
      <c r="I1851" s="38"/>
      <c r="J1851" s="37"/>
      <c r="K1851" s="39"/>
      <c r="L1851" s="41"/>
      <c r="M1851" s="36" t="str">
        <f aca="true">IF(OR($B1851="",$L1851=""),"",DATEDIF($L1851,TODAY(),"Y"))</f>
        <v/>
      </c>
      <c r="N1851" s="40" t="str">
        <f aca="false">IF($M1851="","",INDEX(usia_label,MATCH($M1851,usia_min,1)))</f>
        <v/>
      </c>
      <c r="O1851" s="37"/>
      <c r="P1851" s="41"/>
      <c r="Q1851" s="37"/>
      <c r="R1851" s="37"/>
      <c r="S1851" s="40" t="str">
        <f aca="false">IF($G1851="","",$G1851&amp;"#"&amp;COUNTIF($G$4:$G1851,$G1851))</f>
        <v/>
      </c>
      <c r="T1851" s="40" t="str">
        <f aca="false">IF($B1851="","",IF($C1851="","NIK kosong",IF(LEN($C1851)&lt;&gt;16,"NIK bukan 16 digit",IF(COUNTIF($C$4:$C$2003,$C1851&amp;"*")&gt;1,"NIK ganda",IF($E1851="","Kadus kosong",IF($F1851="","RT kosong",IF($H1851="","Jabatan kosong",IF($I1851="","No. HP kosong",IF($J1851="","Alamat kosong",IF(AND($M1851&lt;&gt;"",$M1851&lt;17),"Usia di bawah 17",""))))))))))</f>
        <v/>
      </c>
      <c r="U1851" s="40" t="str">
        <f aca="false">IF($B1851="","",IF(AND(OR(CARI!$C$5="",ISNUMBER(SEARCH(CARI!$C$5,$B1851&amp;" "&amp;$C1851&amp;" "&amp;$I1851&amp;" "&amp;$J1851&amp;" "&amp;$Q1851))),OR(CARI!$C$6="",$E1851=CARI!$C$6),OR(CARI!$C$7="",$F1851=CARI!$C$7),OR(CARI!$C$8="",$O1851=CARI!$C$8)),MAX($U$3:U1850)+1,""))</f>
        <v/>
      </c>
      <c r="V1851" s="40" t="str">
        <f aca="false">IF($T1851="","",MAX($V$3:V1850)+1)</f>
        <v/>
      </c>
      <c r="W1851" s="40" t="str">
        <f aca="false">IF($E1851="","",$E1851&amp;"#"&amp;COUNTIF($E$4:$E1851,$E1851))</f>
        <v/>
      </c>
      <c r="X1851" s="40" t="str">
        <f aca="false">IF($B1851="","",IF(AND(OR(CETAK!$J$10="",$E1851=CETAK!$J$10),OR(CETAK!$J$11="",$F1851=CETAK!$J$11),OR(CETAK!$J$12="",$K1851=CETAK!$J$12),OR(CETAK!$J$13="",$H1851=CETAK!$J$13),OR(CETAK!$J$14="",$O1851=CETAK!$J$14)),MAX($X$3:X1850)+1,""))</f>
        <v/>
      </c>
      <c r="Y1851" s="40" t="str">
        <f aca="false">IF($B1851="","",IF(AND(OR(ABSENSI!$H$10="",$E1851=ABSENSI!$H$10),OR(ABSENSI!$H$11="",$F1851=ABSENSI!$H$11),OR(ABSENSI!$H$12="",$K1851=ABSENSI!$H$12)),MAX($Y$3:Y1850)+1,""))</f>
        <v/>
      </c>
      <c r="Z1851" s="40" t="str">
        <f aca="false">IF($B1851="","",IF(AND(OR(KARTU!$K$6="",$E1851=KARTU!$K$6),OR(KARTU!$K$7="",$F1851=KARTU!$K$7),OR(KARTU!$K$8="",$K1851=KARTU!$K$8)),MAX($Z$3:Z1850)+1,""))</f>
        <v/>
      </c>
    </row>
    <row r="1852" customFormat="false" ht="15" hidden="false" customHeight="false" outlineLevel="0" collapsed="false">
      <c r="A1852" s="36" t="str">
        <f aca="false">IF($B1852="","",COUNTA($B$4:$B1852))</f>
        <v/>
      </c>
      <c r="B1852" s="37"/>
      <c r="C1852" s="38"/>
      <c r="D1852" s="39"/>
      <c r="E1852" s="37"/>
      <c r="F1852" s="39"/>
      <c r="G1852" s="40" t="str">
        <f aca="false">IF(OR($E1852="",$F1852=""),"",$E1852&amp;" - RT "&amp;$F1852)</f>
        <v/>
      </c>
      <c r="H1852" s="37"/>
      <c r="I1852" s="38"/>
      <c r="J1852" s="37"/>
      <c r="K1852" s="39"/>
      <c r="L1852" s="41"/>
      <c r="M1852" s="36" t="str">
        <f aca="true">IF(OR($B1852="",$L1852=""),"",DATEDIF($L1852,TODAY(),"Y"))</f>
        <v/>
      </c>
      <c r="N1852" s="40" t="str">
        <f aca="false">IF($M1852="","",INDEX(usia_label,MATCH($M1852,usia_min,1)))</f>
        <v/>
      </c>
      <c r="O1852" s="37"/>
      <c r="P1852" s="41"/>
      <c r="Q1852" s="37"/>
      <c r="R1852" s="37"/>
      <c r="S1852" s="40" t="str">
        <f aca="false">IF($G1852="","",$G1852&amp;"#"&amp;COUNTIF($G$4:$G1852,$G1852))</f>
        <v/>
      </c>
      <c r="T1852" s="40" t="str">
        <f aca="false">IF($B1852="","",IF($C1852="","NIK kosong",IF(LEN($C1852)&lt;&gt;16,"NIK bukan 16 digit",IF(COUNTIF($C$4:$C$2003,$C1852&amp;"*")&gt;1,"NIK ganda",IF($E1852="","Kadus kosong",IF($F1852="","RT kosong",IF($H1852="","Jabatan kosong",IF($I1852="","No. HP kosong",IF($J1852="","Alamat kosong",IF(AND($M1852&lt;&gt;"",$M1852&lt;17),"Usia di bawah 17",""))))))))))</f>
        <v/>
      </c>
      <c r="U1852" s="40" t="str">
        <f aca="false">IF($B1852="","",IF(AND(OR(CARI!$C$5="",ISNUMBER(SEARCH(CARI!$C$5,$B1852&amp;" "&amp;$C1852&amp;" "&amp;$I1852&amp;" "&amp;$J1852&amp;" "&amp;$Q1852))),OR(CARI!$C$6="",$E1852=CARI!$C$6),OR(CARI!$C$7="",$F1852=CARI!$C$7),OR(CARI!$C$8="",$O1852=CARI!$C$8)),MAX($U$3:U1851)+1,""))</f>
        <v/>
      </c>
      <c r="V1852" s="40" t="str">
        <f aca="false">IF($T1852="","",MAX($V$3:V1851)+1)</f>
        <v/>
      </c>
      <c r="W1852" s="40" t="str">
        <f aca="false">IF($E1852="","",$E1852&amp;"#"&amp;COUNTIF($E$4:$E1852,$E1852))</f>
        <v/>
      </c>
      <c r="X1852" s="40" t="str">
        <f aca="false">IF($B1852="","",IF(AND(OR(CETAK!$J$10="",$E1852=CETAK!$J$10),OR(CETAK!$J$11="",$F1852=CETAK!$J$11),OR(CETAK!$J$12="",$K1852=CETAK!$J$12),OR(CETAK!$J$13="",$H1852=CETAK!$J$13),OR(CETAK!$J$14="",$O1852=CETAK!$J$14)),MAX($X$3:X1851)+1,""))</f>
        <v/>
      </c>
      <c r="Y1852" s="40" t="str">
        <f aca="false">IF($B1852="","",IF(AND(OR(ABSENSI!$H$10="",$E1852=ABSENSI!$H$10),OR(ABSENSI!$H$11="",$F1852=ABSENSI!$H$11),OR(ABSENSI!$H$12="",$K1852=ABSENSI!$H$12)),MAX($Y$3:Y1851)+1,""))</f>
        <v/>
      </c>
      <c r="Z1852" s="40" t="str">
        <f aca="false">IF($B1852="","",IF(AND(OR(KARTU!$K$6="",$E1852=KARTU!$K$6),OR(KARTU!$K$7="",$F1852=KARTU!$K$7),OR(KARTU!$K$8="",$K1852=KARTU!$K$8)),MAX($Z$3:Z1851)+1,""))</f>
        <v/>
      </c>
    </row>
    <row r="1853" customFormat="false" ht="15" hidden="false" customHeight="false" outlineLevel="0" collapsed="false">
      <c r="A1853" s="36" t="str">
        <f aca="false">IF($B1853="","",COUNTA($B$4:$B1853))</f>
        <v/>
      </c>
      <c r="B1853" s="37"/>
      <c r="C1853" s="38"/>
      <c r="D1853" s="39"/>
      <c r="E1853" s="37"/>
      <c r="F1853" s="39"/>
      <c r="G1853" s="40" t="str">
        <f aca="false">IF(OR($E1853="",$F1853=""),"",$E1853&amp;" - RT "&amp;$F1853)</f>
        <v/>
      </c>
      <c r="H1853" s="37"/>
      <c r="I1853" s="38"/>
      <c r="J1853" s="37"/>
      <c r="K1853" s="39"/>
      <c r="L1853" s="41"/>
      <c r="M1853" s="36" t="str">
        <f aca="true">IF(OR($B1853="",$L1853=""),"",DATEDIF($L1853,TODAY(),"Y"))</f>
        <v/>
      </c>
      <c r="N1853" s="40" t="str">
        <f aca="false">IF($M1853="","",INDEX(usia_label,MATCH($M1853,usia_min,1)))</f>
        <v/>
      </c>
      <c r="O1853" s="37"/>
      <c r="P1853" s="41"/>
      <c r="Q1853" s="37"/>
      <c r="R1853" s="37"/>
      <c r="S1853" s="40" t="str">
        <f aca="false">IF($G1853="","",$G1853&amp;"#"&amp;COUNTIF($G$4:$G1853,$G1853))</f>
        <v/>
      </c>
      <c r="T1853" s="40" t="str">
        <f aca="false">IF($B1853="","",IF($C1853="","NIK kosong",IF(LEN($C1853)&lt;&gt;16,"NIK bukan 16 digit",IF(COUNTIF($C$4:$C$2003,$C1853&amp;"*")&gt;1,"NIK ganda",IF($E1853="","Kadus kosong",IF($F1853="","RT kosong",IF($H1853="","Jabatan kosong",IF($I1853="","No. HP kosong",IF($J1853="","Alamat kosong",IF(AND($M1853&lt;&gt;"",$M1853&lt;17),"Usia di bawah 17",""))))))))))</f>
        <v/>
      </c>
      <c r="U1853" s="40" t="str">
        <f aca="false">IF($B1853="","",IF(AND(OR(CARI!$C$5="",ISNUMBER(SEARCH(CARI!$C$5,$B1853&amp;" "&amp;$C1853&amp;" "&amp;$I1853&amp;" "&amp;$J1853&amp;" "&amp;$Q1853))),OR(CARI!$C$6="",$E1853=CARI!$C$6),OR(CARI!$C$7="",$F1853=CARI!$C$7),OR(CARI!$C$8="",$O1853=CARI!$C$8)),MAX($U$3:U1852)+1,""))</f>
        <v/>
      </c>
      <c r="V1853" s="40" t="str">
        <f aca="false">IF($T1853="","",MAX($V$3:V1852)+1)</f>
        <v/>
      </c>
      <c r="W1853" s="40" t="str">
        <f aca="false">IF($E1853="","",$E1853&amp;"#"&amp;COUNTIF($E$4:$E1853,$E1853))</f>
        <v/>
      </c>
      <c r="X1853" s="40" t="str">
        <f aca="false">IF($B1853="","",IF(AND(OR(CETAK!$J$10="",$E1853=CETAK!$J$10),OR(CETAK!$J$11="",$F1853=CETAK!$J$11),OR(CETAK!$J$12="",$K1853=CETAK!$J$12),OR(CETAK!$J$13="",$H1853=CETAK!$J$13),OR(CETAK!$J$14="",$O1853=CETAK!$J$14)),MAX($X$3:X1852)+1,""))</f>
        <v/>
      </c>
      <c r="Y1853" s="40" t="str">
        <f aca="false">IF($B1853="","",IF(AND(OR(ABSENSI!$H$10="",$E1853=ABSENSI!$H$10),OR(ABSENSI!$H$11="",$F1853=ABSENSI!$H$11),OR(ABSENSI!$H$12="",$K1853=ABSENSI!$H$12)),MAX($Y$3:Y1852)+1,""))</f>
        <v/>
      </c>
      <c r="Z1853" s="40" t="str">
        <f aca="false">IF($B1853="","",IF(AND(OR(KARTU!$K$6="",$E1853=KARTU!$K$6),OR(KARTU!$K$7="",$F1853=KARTU!$K$7),OR(KARTU!$K$8="",$K1853=KARTU!$K$8)),MAX($Z$3:Z1852)+1,""))</f>
        <v/>
      </c>
    </row>
    <row r="1854" customFormat="false" ht="15" hidden="false" customHeight="false" outlineLevel="0" collapsed="false">
      <c r="A1854" s="36" t="str">
        <f aca="false">IF($B1854="","",COUNTA($B$4:$B1854))</f>
        <v/>
      </c>
      <c r="B1854" s="37"/>
      <c r="C1854" s="38"/>
      <c r="D1854" s="39"/>
      <c r="E1854" s="37"/>
      <c r="F1854" s="39"/>
      <c r="G1854" s="40" t="str">
        <f aca="false">IF(OR($E1854="",$F1854=""),"",$E1854&amp;" - RT "&amp;$F1854)</f>
        <v/>
      </c>
      <c r="H1854" s="37"/>
      <c r="I1854" s="38"/>
      <c r="J1854" s="37"/>
      <c r="K1854" s="39"/>
      <c r="L1854" s="41"/>
      <c r="M1854" s="36" t="str">
        <f aca="true">IF(OR($B1854="",$L1854=""),"",DATEDIF($L1854,TODAY(),"Y"))</f>
        <v/>
      </c>
      <c r="N1854" s="40" t="str">
        <f aca="false">IF($M1854="","",INDEX(usia_label,MATCH($M1854,usia_min,1)))</f>
        <v/>
      </c>
      <c r="O1854" s="37"/>
      <c r="P1854" s="41"/>
      <c r="Q1854" s="37"/>
      <c r="R1854" s="37"/>
      <c r="S1854" s="40" t="str">
        <f aca="false">IF($G1854="","",$G1854&amp;"#"&amp;COUNTIF($G$4:$G1854,$G1854))</f>
        <v/>
      </c>
      <c r="T1854" s="40" t="str">
        <f aca="false">IF($B1854="","",IF($C1854="","NIK kosong",IF(LEN($C1854)&lt;&gt;16,"NIK bukan 16 digit",IF(COUNTIF($C$4:$C$2003,$C1854&amp;"*")&gt;1,"NIK ganda",IF($E1854="","Kadus kosong",IF($F1854="","RT kosong",IF($H1854="","Jabatan kosong",IF($I1854="","No. HP kosong",IF($J1854="","Alamat kosong",IF(AND($M1854&lt;&gt;"",$M1854&lt;17),"Usia di bawah 17",""))))))))))</f>
        <v/>
      </c>
      <c r="U1854" s="40" t="str">
        <f aca="false">IF($B1854="","",IF(AND(OR(CARI!$C$5="",ISNUMBER(SEARCH(CARI!$C$5,$B1854&amp;" "&amp;$C1854&amp;" "&amp;$I1854&amp;" "&amp;$J1854&amp;" "&amp;$Q1854))),OR(CARI!$C$6="",$E1854=CARI!$C$6),OR(CARI!$C$7="",$F1854=CARI!$C$7),OR(CARI!$C$8="",$O1854=CARI!$C$8)),MAX($U$3:U1853)+1,""))</f>
        <v/>
      </c>
      <c r="V1854" s="40" t="str">
        <f aca="false">IF($T1854="","",MAX($V$3:V1853)+1)</f>
        <v/>
      </c>
      <c r="W1854" s="40" t="str">
        <f aca="false">IF($E1854="","",$E1854&amp;"#"&amp;COUNTIF($E$4:$E1854,$E1854))</f>
        <v/>
      </c>
      <c r="X1854" s="40" t="str">
        <f aca="false">IF($B1854="","",IF(AND(OR(CETAK!$J$10="",$E1854=CETAK!$J$10),OR(CETAK!$J$11="",$F1854=CETAK!$J$11),OR(CETAK!$J$12="",$K1854=CETAK!$J$12),OR(CETAK!$J$13="",$H1854=CETAK!$J$13),OR(CETAK!$J$14="",$O1854=CETAK!$J$14)),MAX($X$3:X1853)+1,""))</f>
        <v/>
      </c>
      <c r="Y1854" s="40" t="str">
        <f aca="false">IF($B1854="","",IF(AND(OR(ABSENSI!$H$10="",$E1854=ABSENSI!$H$10),OR(ABSENSI!$H$11="",$F1854=ABSENSI!$H$11),OR(ABSENSI!$H$12="",$K1854=ABSENSI!$H$12)),MAX($Y$3:Y1853)+1,""))</f>
        <v/>
      </c>
      <c r="Z1854" s="40" t="str">
        <f aca="false">IF($B1854="","",IF(AND(OR(KARTU!$K$6="",$E1854=KARTU!$K$6),OR(KARTU!$K$7="",$F1854=KARTU!$K$7),OR(KARTU!$K$8="",$K1854=KARTU!$K$8)),MAX($Z$3:Z1853)+1,""))</f>
        <v/>
      </c>
    </row>
    <row r="1855" customFormat="false" ht="15" hidden="false" customHeight="false" outlineLevel="0" collapsed="false">
      <c r="A1855" s="36" t="str">
        <f aca="false">IF($B1855="","",COUNTA($B$4:$B1855))</f>
        <v/>
      </c>
      <c r="B1855" s="37"/>
      <c r="C1855" s="38"/>
      <c r="D1855" s="39"/>
      <c r="E1855" s="37"/>
      <c r="F1855" s="39"/>
      <c r="G1855" s="40" t="str">
        <f aca="false">IF(OR($E1855="",$F1855=""),"",$E1855&amp;" - RT "&amp;$F1855)</f>
        <v/>
      </c>
      <c r="H1855" s="37"/>
      <c r="I1855" s="38"/>
      <c r="J1855" s="37"/>
      <c r="K1855" s="39"/>
      <c r="L1855" s="41"/>
      <c r="M1855" s="36" t="str">
        <f aca="true">IF(OR($B1855="",$L1855=""),"",DATEDIF($L1855,TODAY(),"Y"))</f>
        <v/>
      </c>
      <c r="N1855" s="40" t="str">
        <f aca="false">IF($M1855="","",INDEX(usia_label,MATCH($M1855,usia_min,1)))</f>
        <v/>
      </c>
      <c r="O1855" s="37"/>
      <c r="P1855" s="41"/>
      <c r="Q1855" s="37"/>
      <c r="R1855" s="37"/>
      <c r="S1855" s="40" t="str">
        <f aca="false">IF($G1855="","",$G1855&amp;"#"&amp;COUNTIF($G$4:$G1855,$G1855))</f>
        <v/>
      </c>
      <c r="T1855" s="40" t="str">
        <f aca="false">IF($B1855="","",IF($C1855="","NIK kosong",IF(LEN($C1855)&lt;&gt;16,"NIK bukan 16 digit",IF(COUNTIF($C$4:$C$2003,$C1855&amp;"*")&gt;1,"NIK ganda",IF($E1855="","Kadus kosong",IF($F1855="","RT kosong",IF($H1855="","Jabatan kosong",IF($I1855="","No. HP kosong",IF($J1855="","Alamat kosong",IF(AND($M1855&lt;&gt;"",$M1855&lt;17),"Usia di bawah 17",""))))))))))</f>
        <v/>
      </c>
      <c r="U1855" s="40" t="str">
        <f aca="false">IF($B1855="","",IF(AND(OR(CARI!$C$5="",ISNUMBER(SEARCH(CARI!$C$5,$B1855&amp;" "&amp;$C1855&amp;" "&amp;$I1855&amp;" "&amp;$J1855&amp;" "&amp;$Q1855))),OR(CARI!$C$6="",$E1855=CARI!$C$6),OR(CARI!$C$7="",$F1855=CARI!$C$7),OR(CARI!$C$8="",$O1855=CARI!$C$8)),MAX($U$3:U1854)+1,""))</f>
        <v/>
      </c>
      <c r="V1855" s="40" t="str">
        <f aca="false">IF($T1855="","",MAX($V$3:V1854)+1)</f>
        <v/>
      </c>
      <c r="W1855" s="40" t="str">
        <f aca="false">IF($E1855="","",$E1855&amp;"#"&amp;COUNTIF($E$4:$E1855,$E1855))</f>
        <v/>
      </c>
      <c r="X1855" s="40" t="str">
        <f aca="false">IF($B1855="","",IF(AND(OR(CETAK!$J$10="",$E1855=CETAK!$J$10),OR(CETAK!$J$11="",$F1855=CETAK!$J$11),OR(CETAK!$J$12="",$K1855=CETAK!$J$12),OR(CETAK!$J$13="",$H1855=CETAK!$J$13),OR(CETAK!$J$14="",$O1855=CETAK!$J$14)),MAX($X$3:X1854)+1,""))</f>
        <v/>
      </c>
      <c r="Y1855" s="40" t="str">
        <f aca="false">IF($B1855="","",IF(AND(OR(ABSENSI!$H$10="",$E1855=ABSENSI!$H$10),OR(ABSENSI!$H$11="",$F1855=ABSENSI!$H$11),OR(ABSENSI!$H$12="",$K1855=ABSENSI!$H$12)),MAX($Y$3:Y1854)+1,""))</f>
        <v/>
      </c>
      <c r="Z1855" s="40" t="str">
        <f aca="false">IF($B1855="","",IF(AND(OR(KARTU!$K$6="",$E1855=KARTU!$K$6),OR(KARTU!$K$7="",$F1855=KARTU!$K$7),OR(KARTU!$K$8="",$K1855=KARTU!$K$8)),MAX($Z$3:Z1854)+1,""))</f>
        <v/>
      </c>
    </row>
    <row r="1856" customFormat="false" ht="15" hidden="false" customHeight="false" outlineLevel="0" collapsed="false">
      <c r="A1856" s="36" t="str">
        <f aca="false">IF($B1856="","",COUNTA($B$4:$B1856))</f>
        <v/>
      </c>
      <c r="B1856" s="37"/>
      <c r="C1856" s="38"/>
      <c r="D1856" s="39"/>
      <c r="E1856" s="37"/>
      <c r="F1856" s="39"/>
      <c r="G1856" s="40" t="str">
        <f aca="false">IF(OR($E1856="",$F1856=""),"",$E1856&amp;" - RT "&amp;$F1856)</f>
        <v/>
      </c>
      <c r="H1856" s="37"/>
      <c r="I1856" s="38"/>
      <c r="J1856" s="37"/>
      <c r="K1856" s="39"/>
      <c r="L1856" s="41"/>
      <c r="M1856" s="36" t="str">
        <f aca="true">IF(OR($B1856="",$L1856=""),"",DATEDIF($L1856,TODAY(),"Y"))</f>
        <v/>
      </c>
      <c r="N1856" s="40" t="str">
        <f aca="false">IF($M1856="","",INDEX(usia_label,MATCH($M1856,usia_min,1)))</f>
        <v/>
      </c>
      <c r="O1856" s="37"/>
      <c r="P1856" s="41"/>
      <c r="Q1856" s="37"/>
      <c r="R1856" s="37"/>
      <c r="S1856" s="40" t="str">
        <f aca="false">IF($G1856="","",$G1856&amp;"#"&amp;COUNTIF($G$4:$G1856,$G1856))</f>
        <v/>
      </c>
      <c r="T1856" s="40" t="str">
        <f aca="false">IF($B1856="","",IF($C1856="","NIK kosong",IF(LEN($C1856)&lt;&gt;16,"NIK bukan 16 digit",IF(COUNTIF($C$4:$C$2003,$C1856&amp;"*")&gt;1,"NIK ganda",IF($E1856="","Kadus kosong",IF($F1856="","RT kosong",IF($H1856="","Jabatan kosong",IF($I1856="","No. HP kosong",IF($J1856="","Alamat kosong",IF(AND($M1856&lt;&gt;"",$M1856&lt;17),"Usia di bawah 17",""))))))))))</f>
        <v/>
      </c>
      <c r="U1856" s="40" t="str">
        <f aca="false">IF($B1856="","",IF(AND(OR(CARI!$C$5="",ISNUMBER(SEARCH(CARI!$C$5,$B1856&amp;" "&amp;$C1856&amp;" "&amp;$I1856&amp;" "&amp;$J1856&amp;" "&amp;$Q1856))),OR(CARI!$C$6="",$E1856=CARI!$C$6),OR(CARI!$C$7="",$F1856=CARI!$C$7),OR(CARI!$C$8="",$O1856=CARI!$C$8)),MAX($U$3:U1855)+1,""))</f>
        <v/>
      </c>
      <c r="V1856" s="40" t="str">
        <f aca="false">IF($T1856="","",MAX($V$3:V1855)+1)</f>
        <v/>
      </c>
      <c r="W1856" s="40" t="str">
        <f aca="false">IF($E1856="","",$E1856&amp;"#"&amp;COUNTIF($E$4:$E1856,$E1856))</f>
        <v/>
      </c>
      <c r="X1856" s="40" t="str">
        <f aca="false">IF($B1856="","",IF(AND(OR(CETAK!$J$10="",$E1856=CETAK!$J$10),OR(CETAK!$J$11="",$F1856=CETAK!$J$11),OR(CETAK!$J$12="",$K1856=CETAK!$J$12),OR(CETAK!$J$13="",$H1856=CETAK!$J$13),OR(CETAK!$J$14="",$O1856=CETAK!$J$14)),MAX($X$3:X1855)+1,""))</f>
        <v/>
      </c>
      <c r="Y1856" s="40" t="str">
        <f aca="false">IF($B1856="","",IF(AND(OR(ABSENSI!$H$10="",$E1856=ABSENSI!$H$10),OR(ABSENSI!$H$11="",$F1856=ABSENSI!$H$11),OR(ABSENSI!$H$12="",$K1856=ABSENSI!$H$12)),MAX($Y$3:Y1855)+1,""))</f>
        <v/>
      </c>
      <c r="Z1856" s="40" t="str">
        <f aca="false">IF($B1856="","",IF(AND(OR(KARTU!$K$6="",$E1856=KARTU!$K$6),OR(KARTU!$K$7="",$F1856=KARTU!$K$7),OR(KARTU!$K$8="",$K1856=KARTU!$K$8)),MAX($Z$3:Z1855)+1,""))</f>
        <v/>
      </c>
    </row>
    <row r="1857" customFormat="false" ht="15" hidden="false" customHeight="false" outlineLevel="0" collapsed="false">
      <c r="A1857" s="36" t="str">
        <f aca="false">IF($B1857="","",COUNTA($B$4:$B1857))</f>
        <v/>
      </c>
      <c r="B1857" s="37"/>
      <c r="C1857" s="38"/>
      <c r="D1857" s="39"/>
      <c r="E1857" s="37"/>
      <c r="F1857" s="39"/>
      <c r="G1857" s="40" t="str">
        <f aca="false">IF(OR($E1857="",$F1857=""),"",$E1857&amp;" - RT "&amp;$F1857)</f>
        <v/>
      </c>
      <c r="H1857" s="37"/>
      <c r="I1857" s="38"/>
      <c r="J1857" s="37"/>
      <c r="K1857" s="39"/>
      <c r="L1857" s="41"/>
      <c r="M1857" s="36" t="str">
        <f aca="true">IF(OR($B1857="",$L1857=""),"",DATEDIF($L1857,TODAY(),"Y"))</f>
        <v/>
      </c>
      <c r="N1857" s="40" t="str">
        <f aca="false">IF($M1857="","",INDEX(usia_label,MATCH($M1857,usia_min,1)))</f>
        <v/>
      </c>
      <c r="O1857" s="37"/>
      <c r="P1857" s="41"/>
      <c r="Q1857" s="37"/>
      <c r="R1857" s="37"/>
      <c r="S1857" s="40" t="str">
        <f aca="false">IF($G1857="","",$G1857&amp;"#"&amp;COUNTIF($G$4:$G1857,$G1857))</f>
        <v/>
      </c>
      <c r="T1857" s="40" t="str">
        <f aca="false">IF($B1857="","",IF($C1857="","NIK kosong",IF(LEN($C1857)&lt;&gt;16,"NIK bukan 16 digit",IF(COUNTIF($C$4:$C$2003,$C1857&amp;"*")&gt;1,"NIK ganda",IF($E1857="","Kadus kosong",IF($F1857="","RT kosong",IF($H1857="","Jabatan kosong",IF($I1857="","No. HP kosong",IF($J1857="","Alamat kosong",IF(AND($M1857&lt;&gt;"",$M1857&lt;17),"Usia di bawah 17",""))))))))))</f>
        <v/>
      </c>
      <c r="U1857" s="40" t="str">
        <f aca="false">IF($B1857="","",IF(AND(OR(CARI!$C$5="",ISNUMBER(SEARCH(CARI!$C$5,$B1857&amp;" "&amp;$C1857&amp;" "&amp;$I1857&amp;" "&amp;$J1857&amp;" "&amp;$Q1857))),OR(CARI!$C$6="",$E1857=CARI!$C$6),OR(CARI!$C$7="",$F1857=CARI!$C$7),OR(CARI!$C$8="",$O1857=CARI!$C$8)),MAX($U$3:U1856)+1,""))</f>
        <v/>
      </c>
      <c r="V1857" s="40" t="str">
        <f aca="false">IF($T1857="","",MAX($V$3:V1856)+1)</f>
        <v/>
      </c>
      <c r="W1857" s="40" t="str">
        <f aca="false">IF($E1857="","",$E1857&amp;"#"&amp;COUNTIF($E$4:$E1857,$E1857))</f>
        <v/>
      </c>
      <c r="X1857" s="40" t="str">
        <f aca="false">IF($B1857="","",IF(AND(OR(CETAK!$J$10="",$E1857=CETAK!$J$10),OR(CETAK!$J$11="",$F1857=CETAK!$J$11),OR(CETAK!$J$12="",$K1857=CETAK!$J$12),OR(CETAK!$J$13="",$H1857=CETAK!$J$13),OR(CETAK!$J$14="",$O1857=CETAK!$J$14)),MAX($X$3:X1856)+1,""))</f>
        <v/>
      </c>
      <c r="Y1857" s="40" t="str">
        <f aca="false">IF($B1857="","",IF(AND(OR(ABSENSI!$H$10="",$E1857=ABSENSI!$H$10),OR(ABSENSI!$H$11="",$F1857=ABSENSI!$H$11),OR(ABSENSI!$H$12="",$K1857=ABSENSI!$H$12)),MAX($Y$3:Y1856)+1,""))</f>
        <v/>
      </c>
      <c r="Z1857" s="40" t="str">
        <f aca="false">IF($B1857="","",IF(AND(OR(KARTU!$K$6="",$E1857=KARTU!$K$6),OR(KARTU!$K$7="",$F1857=KARTU!$K$7),OR(KARTU!$K$8="",$K1857=KARTU!$K$8)),MAX($Z$3:Z1856)+1,""))</f>
        <v/>
      </c>
    </row>
    <row r="1858" customFormat="false" ht="15" hidden="false" customHeight="false" outlineLevel="0" collapsed="false">
      <c r="A1858" s="36" t="str">
        <f aca="false">IF($B1858="","",COUNTA($B$4:$B1858))</f>
        <v/>
      </c>
      <c r="B1858" s="37"/>
      <c r="C1858" s="38"/>
      <c r="D1858" s="39"/>
      <c r="E1858" s="37"/>
      <c r="F1858" s="39"/>
      <c r="G1858" s="40" t="str">
        <f aca="false">IF(OR($E1858="",$F1858=""),"",$E1858&amp;" - RT "&amp;$F1858)</f>
        <v/>
      </c>
      <c r="H1858" s="37"/>
      <c r="I1858" s="38"/>
      <c r="J1858" s="37"/>
      <c r="K1858" s="39"/>
      <c r="L1858" s="41"/>
      <c r="M1858" s="36" t="str">
        <f aca="true">IF(OR($B1858="",$L1858=""),"",DATEDIF($L1858,TODAY(),"Y"))</f>
        <v/>
      </c>
      <c r="N1858" s="40" t="str">
        <f aca="false">IF($M1858="","",INDEX(usia_label,MATCH($M1858,usia_min,1)))</f>
        <v/>
      </c>
      <c r="O1858" s="37"/>
      <c r="P1858" s="41"/>
      <c r="Q1858" s="37"/>
      <c r="R1858" s="37"/>
      <c r="S1858" s="40" t="str">
        <f aca="false">IF($G1858="","",$G1858&amp;"#"&amp;COUNTIF($G$4:$G1858,$G1858))</f>
        <v/>
      </c>
      <c r="T1858" s="40" t="str">
        <f aca="false">IF($B1858="","",IF($C1858="","NIK kosong",IF(LEN($C1858)&lt;&gt;16,"NIK bukan 16 digit",IF(COUNTIF($C$4:$C$2003,$C1858&amp;"*")&gt;1,"NIK ganda",IF($E1858="","Kadus kosong",IF($F1858="","RT kosong",IF($H1858="","Jabatan kosong",IF($I1858="","No. HP kosong",IF($J1858="","Alamat kosong",IF(AND($M1858&lt;&gt;"",$M1858&lt;17),"Usia di bawah 17",""))))))))))</f>
        <v/>
      </c>
      <c r="U1858" s="40" t="str">
        <f aca="false">IF($B1858="","",IF(AND(OR(CARI!$C$5="",ISNUMBER(SEARCH(CARI!$C$5,$B1858&amp;" "&amp;$C1858&amp;" "&amp;$I1858&amp;" "&amp;$J1858&amp;" "&amp;$Q1858))),OR(CARI!$C$6="",$E1858=CARI!$C$6),OR(CARI!$C$7="",$F1858=CARI!$C$7),OR(CARI!$C$8="",$O1858=CARI!$C$8)),MAX($U$3:U1857)+1,""))</f>
        <v/>
      </c>
      <c r="V1858" s="40" t="str">
        <f aca="false">IF($T1858="","",MAX($V$3:V1857)+1)</f>
        <v/>
      </c>
      <c r="W1858" s="40" t="str">
        <f aca="false">IF($E1858="","",$E1858&amp;"#"&amp;COUNTIF($E$4:$E1858,$E1858))</f>
        <v/>
      </c>
      <c r="X1858" s="40" t="str">
        <f aca="false">IF($B1858="","",IF(AND(OR(CETAK!$J$10="",$E1858=CETAK!$J$10),OR(CETAK!$J$11="",$F1858=CETAK!$J$11),OR(CETAK!$J$12="",$K1858=CETAK!$J$12),OR(CETAK!$J$13="",$H1858=CETAK!$J$13),OR(CETAK!$J$14="",$O1858=CETAK!$J$14)),MAX($X$3:X1857)+1,""))</f>
        <v/>
      </c>
      <c r="Y1858" s="40" t="str">
        <f aca="false">IF($B1858="","",IF(AND(OR(ABSENSI!$H$10="",$E1858=ABSENSI!$H$10),OR(ABSENSI!$H$11="",$F1858=ABSENSI!$H$11),OR(ABSENSI!$H$12="",$K1858=ABSENSI!$H$12)),MAX($Y$3:Y1857)+1,""))</f>
        <v/>
      </c>
      <c r="Z1858" s="40" t="str">
        <f aca="false">IF($B1858="","",IF(AND(OR(KARTU!$K$6="",$E1858=KARTU!$K$6),OR(KARTU!$K$7="",$F1858=KARTU!$K$7),OR(KARTU!$K$8="",$K1858=KARTU!$K$8)),MAX($Z$3:Z1857)+1,""))</f>
        <v/>
      </c>
    </row>
    <row r="1859" customFormat="false" ht="15" hidden="false" customHeight="false" outlineLevel="0" collapsed="false">
      <c r="A1859" s="36" t="str">
        <f aca="false">IF($B1859="","",COUNTA($B$4:$B1859))</f>
        <v/>
      </c>
      <c r="B1859" s="37"/>
      <c r="C1859" s="38"/>
      <c r="D1859" s="39"/>
      <c r="E1859" s="37"/>
      <c r="F1859" s="39"/>
      <c r="G1859" s="40" t="str">
        <f aca="false">IF(OR($E1859="",$F1859=""),"",$E1859&amp;" - RT "&amp;$F1859)</f>
        <v/>
      </c>
      <c r="H1859" s="37"/>
      <c r="I1859" s="38"/>
      <c r="J1859" s="37"/>
      <c r="K1859" s="39"/>
      <c r="L1859" s="41"/>
      <c r="M1859" s="36" t="str">
        <f aca="true">IF(OR($B1859="",$L1859=""),"",DATEDIF($L1859,TODAY(),"Y"))</f>
        <v/>
      </c>
      <c r="N1859" s="40" t="str">
        <f aca="false">IF($M1859="","",INDEX(usia_label,MATCH($M1859,usia_min,1)))</f>
        <v/>
      </c>
      <c r="O1859" s="37"/>
      <c r="P1859" s="41"/>
      <c r="Q1859" s="37"/>
      <c r="R1859" s="37"/>
      <c r="S1859" s="40" t="str">
        <f aca="false">IF($G1859="","",$G1859&amp;"#"&amp;COUNTIF($G$4:$G1859,$G1859))</f>
        <v/>
      </c>
      <c r="T1859" s="40" t="str">
        <f aca="false">IF($B1859="","",IF($C1859="","NIK kosong",IF(LEN($C1859)&lt;&gt;16,"NIK bukan 16 digit",IF(COUNTIF($C$4:$C$2003,$C1859&amp;"*")&gt;1,"NIK ganda",IF($E1859="","Kadus kosong",IF($F1859="","RT kosong",IF($H1859="","Jabatan kosong",IF($I1859="","No. HP kosong",IF($J1859="","Alamat kosong",IF(AND($M1859&lt;&gt;"",$M1859&lt;17),"Usia di bawah 17",""))))))))))</f>
        <v/>
      </c>
      <c r="U1859" s="40" t="str">
        <f aca="false">IF($B1859="","",IF(AND(OR(CARI!$C$5="",ISNUMBER(SEARCH(CARI!$C$5,$B1859&amp;" "&amp;$C1859&amp;" "&amp;$I1859&amp;" "&amp;$J1859&amp;" "&amp;$Q1859))),OR(CARI!$C$6="",$E1859=CARI!$C$6),OR(CARI!$C$7="",$F1859=CARI!$C$7),OR(CARI!$C$8="",$O1859=CARI!$C$8)),MAX($U$3:U1858)+1,""))</f>
        <v/>
      </c>
      <c r="V1859" s="40" t="str">
        <f aca="false">IF($T1859="","",MAX($V$3:V1858)+1)</f>
        <v/>
      </c>
      <c r="W1859" s="40" t="str">
        <f aca="false">IF($E1859="","",$E1859&amp;"#"&amp;COUNTIF($E$4:$E1859,$E1859))</f>
        <v/>
      </c>
      <c r="X1859" s="40" t="str">
        <f aca="false">IF($B1859="","",IF(AND(OR(CETAK!$J$10="",$E1859=CETAK!$J$10),OR(CETAK!$J$11="",$F1859=CETAK!$J$11),OR(CETAK!$J$12="",$K1859=CETAK!$J$12),OR(CETAK!$J$13="",$H1859=CETAK!$J$13),OR(CETAK!$J$14="",$O1859=CETAK!$J$14)),MAX($X$3:X1858)+1,""))</f>
        <v/>
      </c>
      <c r="Y1859" s="40" t="str">
        <f aca="false">IF($B1859="","",IF(AND(OR(ABSENSI!$H$10="",$E1859=ABSENSI!$H$10),OR(ABSENSI!$H$11="",$F1859=ABSENSI!$H$11),OR(ABSENSI!$H$12="",$K1859=ABSENSI!$H$12)),MAX($Y$3:Y1858)+1,""))</f>
        <v/>
      </c>
      <c r="Z1859" s="40" t="str">
        <f aca="false">IF($B1859="","",IF(AND(OR(KARTU!$K$6="",$E1859=KARTU!$K$6),OR(KARTU!$K$7="",$F1859=KARTU!$K$7),OR(KARTU!$K$8="",$K1859=KARTU!$K$8)),MAX($Z$3:Z1858)+1,""))</f>
        <v/>
      </c>
    </row>
    <row r="1860" customFormat="false" ht="15" hidden="false" customHeight="false" outlineLevel="0" collapsed="false">
      <c r="A1860" s="36" t="str">
        <f aca="false">IF($B1860="","",COUNTA($B$4:$B1860))</f>
        <v/>
      </c>
      <c r="B1860" s="37"/>
      <c r="C1860" s="38"/>
      <c r="D1860" s="39"/>
      <c r="E1860" s="37"/>
      <c r="F1860" s="39"/>
      <c r="G1860" s="40" t="str">
        <f aca="false">IF(OR($E1860="",$F1860=""),"",$E1860&amp;" - RT "&amp;$F1860)</f>
        <v/>
      </c>
      <c r="H1860" s="37"/>
      <c r="I1860" s="38"/>
      <c r="J1860" s="37"/>
      <c r="K1860" s="39"/>
      <c r="L1860" s="41"/>
      <c r="M1860" s="36" t="str">
        <f aca="true">IF(OR($B1860="",$L1860=""),"",DATEDIF($L1860,TODAY(),"Y"))</f>
        <v/>
      </c>
      <c r="N1860" s="40" t="str">
        <f aca="false">IF($M1860="","",INDEX(usia_label,MATCH($M1860,usia_min,1)))</f>
        <v/>
      </c>
      <c r="O1860" s="37"/>
      <c r="P1860" s="41"/>
      <c r="Q1860" s="37"/>
      <c r="R1860" s="37"/>
      <c r="S1860" s="40" t="str">
        <f aca="false">IF($G1860="","",$G1860&amp;"#"&amp;COUNTIF($G$4:$G1860,$G1860))</f>
        <v/>
      </c>
      <c r="T1860" s="40" t="str">
        <f aca="false">IF($B1860="","",IF($C1860="","NIK kosong",IF(LEN($C1860)&lt;&gt;16,"NIK bukan 16 digit",IF(COUNTIF($C$4:$C$2003,$C1860&amp;"*")&gt;1,"NIK ganda",IF($E1860="","Kadus kosong",IF($F1860="","RT kosong",IF($H1860="","Jabatan kosong",IF($I1860="","No. HP kosong",IF($J1860="","Alamat kosong",IF(AND($M1860&lt;&gt;"",$M1860&lt;17),"Usia di bawah 17",""))))))))))</f>
        <v/>
      </c>
      <c r="U1860" s="40" t="str">
        <f aca="false">IF($B1860="","",IF(AND(OR(CARI!$C$5="",ISNUMBER(SEARCH(CARI!$C$5,$B1860&amp;" "&amp;$C1860&amp;" "&amp;$I1860&amp;" "&amp;$J1860&amp;" "&amp;$Q1860))),OR(CARI!$C$6="",$E1860=CARI!$C$6),OR(CARI!$C$7="",$F1860=CARI!$C$7),OR(CARI!$C$8="",$O1860=CARI!$C$8)),MAX($U$3:U1859)+1,""))</f>
        <v/>
      </c>
      <c r="V1860" s="40" t="str">
        <f aca="false">IF($T1860="","",MAX($V$3:V1859)+1)</f>
        <v/>
      </c>
      <c r="W1860" s="40" t="str">
        <f aca="false">IF($E1860="","",$E1860&amp;"#"&amp;COUNTIF($E$4:$E1860,$E1860))</f>
        <v/>
      </c>
      <c r="X1860" s="40" t="str">
        <f aca="false">IF($B1860="","",IF(AND(OR(CETAK!$J$10="",$E1860=CETAK!$J$10),OR(CETAK!$J$11="",$F1860=CETAK!$J$11),OR(CETAK!$J$12="",$K1860=CETAK!$J$12),OR(CETAK!$J$13="",$H1860=CETAK!$J$13),OR(CETAK!$J$14="",$O1860=CETAK!$J$14)),MAX($X$3:X1859)+1,""))</f>
        <v/>
      </c>
      <c r="Y1860" s="40" t="str">
        <f aca="false">IF($B1860="","",IF(AND(OR(ABSENSI!$H$10="",$E1860=ABSENSI!$H$10),OR(ABSENSI!$H$11="",$F1860=ABSENSI!$H$11),OR(ABSENSI!$H$12="",$K1860=ABSENSI!$H$12)),MAX($Y$3:Y1859)+1,""))</f>
        <v/>
      </c>
      <c r="Z1860" s="40" t="str">
        <f aca="false">IF($B1860="","",IF(AND(OR(KARTU!$K$6="",$E1860=KARTU!$K$6),OR(KARTU!$K$7="",$F1860=KARTU!$K$7),OR(KARTU!$K$8="",$K1860=KARTU!$K$8)),MAX($Z$3:Z1859)+1,""))</f>
        <v/>
      </c>
    </row>
    <row r="1861" customFormat="false" ht="15" hidden="false" customHeight="false" outlineLevel="0" collapsed="false">
      <c r="A1861" s="36" t="str">
        <f aca="false">IF($B1861="","",COUNTA($B$4:$B1861))</f>
        <v/>
      </c>
      <c r="B1861" s="37"/>
      <c r="C1861" s="38"/>
      <c r="D1861" s="39"/>
      <c r="E1861" s="37"/>
      <c r="F1861" s="39"/>
      <c r="G1861" s="40" t="str">
        <f aca="false">IF(OR($E1861="",$F1861=""),"",$E1861&amp;" - RT "&amp;$F1861)</f>
        <v/>
      </c>
      <c r="H1861" s="37"/>
      <c r="I1861" s="38"/>
      <c r="J1861" s="37"/>
      <c r="K1861" s="39"/>
      <c r="L1861" s="41"/>
      <c r="M1861" s="36" t="str">
        <f aca="true">IF(OR($B1861="",$L1861=""),"",DATEDIF($L1861,TODAY(),"Y"))</f>
        <v/>
      </c>
      <c r="N1861" s="40" t="str">
        <f aca="false">IF($M1861="","",INDEX(usia_label,MATCH($M1861,usia_min,1)))</f>
        <v/>
      </c>
      <c r="O1861" s="37"/>
      <c r="P1861" s="41"/>
      <c r="Q1861" s="37"/>
      <c r="R1861" s="37"/>
      <c r="S1861" s="40" t="str">
        <f aca="false">IF($G1861="","",$G1861&amp;"#"&amp;COUNTIF($G$4:$G1861,$G1861))</f>
        <v/>
      </c>
      <c r="T1861" s="40" t="str">
        <f aca="false">IF($B1861="","",IF($C1861="","NIK kosong",IF(LEN($C1861)&lt;&gt;16,"NIK bukan 16 digit",IF(COUNTIF($C$4:$C$2003,$C1861&amp;"*")&gt;1,"NIK ganda",IF($E1861="","Kadus kosong",IF($F1861="","RT kosong",IF($H1861="","Jabatan kosong",IF($I1861="","No. HP kosong",IF($J1861="","Alamat kosong",IF(AND($M1861&lt;&gt;"",$M1861&lt;17),"Usia di bawah 17",""))))))))))</f>
        <v/>
      </c>
      <c r="U1861" s="40" t="str">
        <f aca="false">IF($B1861="","",IF(AND(OR(CARI!$C$5="",ISNUMBER(SEARCH(CARI!$C$5,$B1861&amp;" "&amp;$C1861&amp;" "&amp;$I1861&amp;" "&amp;$J1861&amp;" "&amp;$Q1861))),OR(CARI!$C$6="",$E1861=CARI!$C$6),OR(CARI!$C$7="",$F1861=CARI!$C$7),OR(CARI!$C$8="",$O1861=CARI!$C$8)),MAX($U$3:U1860)+1,""))</f>
        <v/>
      </c>
      <c r="V1861" s="40" t="str">
        <f aca="false">IF($T1861="","",MAX($V$3:V1860)+1)</f>
        <v/>
      </c>
      <c r="W1861" s="40" t="str">
        <f aca="false">IF($E1861="","",$E1861&amp;"#"&amp;COUNTIF($E$4:$E1861,$E1861))</f>
        <v/>
      </c>
      <c r="X1861" s="40" t="str">
        <f aca="false">IF($B1861="","",IF(AND(OR(CETAK!$J$10="",$E1861=CETAK!$J$10),OR(CETAK!$J$11="",$F1861=CETAK!$J$11),OR(CETAK!$J$12="",$K1861=CETAK!$J$12),OR(CETAK!$J$13="",$H1861=CETAK!$J$13),OR(CETAK!$J$14="",$O1861=CETAK!$J$14)),MAX($X$3:X1860)+1,""))</f>
        <v/>
      </c>
      <c r="Y1861" s="40" t="str">
        <f aca="false">IF($B1861="","",IF(AND(OR(ABSENSI!$H$10="",$E1861=ABSENSI!$H$10),OR(ABSENSI!$H$11="",$F1861=ABSENSI!$H$11),OR(ABSENSI!$H$12="",$K1861=ABSENSI!$H$12)),MAX($Y$3:Y1860)+1,""))</f>
        <v/>
      </c>
      <c r="Z1861" s="40" t="str">
        <f aca="false">IF($B1861="","",IF(AND(OR(KARTU!$K$6="",$E1861=KARTU!$K$6),OR(KARTU!$K$7="",$F1861=KARTU!$K$7),OR(KARTU!$K$8="",$K1861=KARTU!$K$8)),MAX($Z$3:Z1860)+1,""))</f>
        <v/>
      </c>
    </row>
    <row r="1862" customFormat="false" ht="15" hidden="false" customHeight="false" outlineLevel="0" collapsed="false">
      <c r="A1862" s="36" t="str">
        <f aca="false">IF($B1862="","",COUNTA($B$4:$B1862))</f>
        <v/>
      </c>
      <c r="B1862" s="37"/>
      <c r="C1862" s="38"/>
      <c r="D1862" s="39"/>
      <c r="E1862" s="37"/>
      <c r="F1862" s="39"/>
      <c r="G1862" s="40" t="str">
        <f aca="false">IF(OR($E1862="",$F1862=""),"",$E1862&amp;" - RT "&amp;$F1862)</f>
        <v/>
      </c>
      <c r="H1862" s="37"/>
      <c r="I1862" s="38"/>
      <c r="J1862" s="37"/>
      <c r="K1862" s="39"/>
      <c r="L1862" s="41"/>
      <c r="M1862" s="36" t="str">
        <f aca="true">IF(OR($B1862="",$L1862=""),"",DATEDIF($L1862,TODAY(),"Y"))</f>
        <v/>
      </c>
      <c r="N1862" s="40" t="str">
        <f aca="false">IF($M1862="","",INDEX(usia_label,MATCH($M1862,usia_min,1)))</f>
        <v/>
      </c>
      <c r="O1862" s="37"/>
      <c r="P1862" s="41"/>
      <c r="Q1862" s="37"/>
      <c r="R1862" s="37"/>
      <c r="S1862" s="40" t="str">
        <f aca="false">IF($G1862="","",$G1862&amp;"#"&amp;COUNTIF($G$4:$G1862,$G1862))</f>
        <v/>
      </c>
      <c r="T1862" s="40" t="str">
        <f aca="false">IF($B1862="","",IF($C1862="","NIK kosong",IF(LEN($C1862)&lt;&gt;16,"NIK bukan 16 digit",IF(COUNTIF($C$4:$C$2003,$C1862&amp;"*")&gt;1,"NIK ganda",IF($E1862="","Kadus kosong",IF($F1862="","RT kosong",IF($H1862="","Jabatan kosong",IF($I1862="","No. HP kosong",IF($J1862="","Alamat kosong",IF(AND($M1862&lt;&gt;"",$M1862&lt;17),"Usia di bawah 17",""))))))))))</f>
        <v/>
      </c>
      <c r="U1862" s="40" t="str">
        <f aca="false">IF($B1862="","",IF(AND(OR(CARI!$C$5="",ISNUMBER(SEARCH(CARI!$C$5,$B1862&amp;" "&amp;$C1862&amp;" "&amp;$I1862&amp;" "&amp;$J1862&amp;" "&amp;$Q1862))),OR(CARI!$C$6="",$E1862=CARI!$C$6),OR(CARI!$C$7="",$F1862=CARI!$C$7),OR(CARI!$C$8="",$O1862=CARI!$C$8)),MAX($U$3:U1861)+1,""))</f>
        <v/>
      </c>
      <c r="V1862" s="40" t="str">
        <f aca="false">IF($T1862="","",MAX($V$3:V1861)+1)</f>
        <v/>
      </c>
      <c r="W1862" s="40" t="str">
        <f aca="false">IF($E1862="","",$E1862&amp;"#"&amp;COUNTIF($E$4:$E1862,$E1862))</f>
        <v/>
      </c>
      <c r="X1862" s="40" t="str">
        <f aca="false">IF($B1862="","",IF(AND(OR(CETAK!$J$10="",$E1862=CETAK!$J$10),OR(CETAK!$J$11="",$F1862=CETAK!$J$11),OR(CETAK!$J$12="",$K1862=CETAK!$J$12),OR(CETAK!$J$13="",$H1862=CETAK!$J$13),OR(CETAK!$J$14="",$O1862=CETAK!$J$14)),MAX($X$3:X1861)+1,""))</f>
        <v/>
      </c>
      <c r="Y1862" s="40" t="str">
        <f aca="false">IF($B1862="","",IF(AND(OR(ABSENSI!$H$10="",$E1862=ABSENSI!$H$10),OR(ABSENSI!$H$11="",$F1862=ABSENSI!$H$11),OR(ABSENSI!$H$12="",$K1862=ABSENSI!$H$12)),MAX($Y$3:Y1861)+1,""))</f>
        <v/>
      </c>
      <c r="Z1862" s="40" t="str">
        <f aca="false">IF($B1862="","",IF(AND(OR(KARTU!$K$6="",$E1862=KARTU!$K$6),OR(KARTU!$K$7="",$F1862=KARTU!$K$7),OR(KARTU!$K$8="",$K1862=KARTU!$K$8)),MAX($Z$3:Z1861)+1,""))</f>
        <v/>
      </c>
    </row>
    <row r="1863" customFormat="false" ht="15" hidden="false" customHeight="false" outlineLevel="0" collapsed="false">
      <c r="A1863" s="36" t="str">
        <f aca="false">IF($B1863="","",COUNTA($B$4:$B1863))</f>
        <v/>
      </c>
      <c r="B1863" s="37"/>
      <c r="C1863" s="38"/>
      <c r="D1863" s="39"/>
      <c r="E1863" s="37"/>
      <c r="F1863" s="39"/>
      <c r="G1863" s="40" t="str">
        <f aca="false">IF(OR($E1863="",$F1863=""),"",$E1863&amp;" - RT "&amp;$F1863)</f>
        <v/>
      </c>
      <c r="H1863" s="37"/>
      <c r="I1863" s="38"/>
      <c r="J1863" s="37"/>
      <c r="K1863" s="39"/>
      <c r="L1863" s="41"/>
      <c r="M1863" s="36" t="str">
        <f aca="true">IF(OR($B1863="",$L1863=""),"",DATEDIF($L1863,TODAY(),"Y"))</f>
        <v/>
      </c>
      <c r="N1863" s="40" t="str">
        <f aca="false">IF($M1863="","",INDEX(usia_label,MATCH($M1863,usia_min,1)))</f>
        <v/>
      </c>
      <c r="O1863" s="37"/>
      <c r="P1863" s="41"/>
      <c r="Q1863" s="37"/>
      <c r="R1863" s="37"/>
      <c r="S1863" s="40" t="str">
        <f aca="false">IF($G1863="","",$G1863&amp;"#"&amp;COUNTIF($G$4:$G1863,$G1863))</f>
        <v/>
      </c>
      <c r="T1863" s="40" t="str">
        <f aca="false">IF($B1863="","",IF($C1863="","NIK kosong",IF(LEN($C1863)&lt;&gt;16,"NIK bukan 16 digit",IF(COUNTIF($C$4:$C$2003,$C1863&amp;"*")&gt;1,"NIK ganda",IF($E1863="","Kadus kosong",IF($F1863="","RT kosong",IF($H1863="","Jabatan kosong",IF($I1863="","No. HP kosong",IF($J1863="","Alamat kosong",IF(AND($M1863&lt;&gt;"",$M1863&lt;17),"Usia di bawah 17",""))))))))))</f>
        <v/>
      </c>
      <c r="U1863" s="40" t="str">
        <f aca="false">IF($B1863="","",IF(AND(OR(CARI!$C$5="",ISNUMBER(SEARCH(CARI!$C$5,$B1863&amp;" "&amp;$C1863&amp;" "&amp;$I1863&amp;" "&amp;$J1863&amp;" "&amp;$Q1863))),OR(CARI!$C$6="",$E1863=CARI!$C$6),OR(CARI!$C$7="",$F1863=CARI!$C$7),OR(CARI!$C$8="",$O1863=CARI!$C$8)),MAX($U$3:U1862)+1,""))</f>
        <v/>
      </c>
      <c r="V1863" s="40" t="str">
        <f aca="false">IF($T1863="","",MAX($V$3:V1862)+1)</f>
        <v/>
      </c>
      <c r="W1863" s="40" t="str">
        <f aca="false">IF($E1863="","",$E1863&amp;"#"&amp;COUNTIF($E$4:$E1863,$E1863))</f>
        <v/>
      </c>
      <c r="X1863" s="40" t="str">
        <f aca="false">IF($B1863="","",IF(AND(OR(CETAK!$J$10="",$E1863=CETAK!$J$10),OR(CETAK!$J$11="",$F1863=CETAK!$J$11),OR(CETAK!$J$12="",$K1863=CETAK!$J$12),OR(CETAK!$J$13="",$H1863=CETAK!$J$13),OR(CETAK!$J$14="",$O1863=CETAK!$J$14)),MAX($X$3:X1862)+1,""))</f>
        <v/>
      </c>
      <c r="Y1863" s="40" t="str">
        <f aca="false">IF($B1863="","",IF(AND(OR(ABSENSI!$H$10="",$E1863=ABSENSI!$H$10),OR(ABSENSI!$H$11="",$F1863=ABSENSI!$H$11),OR(ABSENSI!$H$12="",$K1863=ABSENSI!$H$12)),MAX($Y$3:Y1862)+1,""))</f>
        <v/>
      </c>
      <c r="Z1863" s="40" t="str">
        <f aca="false">IF($B1863="","",IF(AND(OR(KARTU!$K$6="",$E1863=KARTU!$K$6),OR(KARTU!$K$7="",$F1863=KARTU!$K$7),OR(KARTU!$K$8="",$K1863=KARTU!$K$8)),MAX($Z$3:Z1862)+1,""))</f>
        <v/>
      </c>
    </row>
    <row r="1864" customFormat="false" ht="15" hidden="false" customHeight="false" outlineLevel="0" collapsed="false">
      <c r="A1864" s="36" t="str">
        <f aca="false">IF($B1864="","",COUNTA($B$4:$B1864))</f>
        <v/>
      </c>
      <c r="B1864" s="37"/>
      <c r="C1864" s="38"/>
      <c r="D1864" s="39"/>
      <c r="E1864" s="37"/>
      <c r="F1864" s="39"/>
      <c r="G1864" s="40" t="str">
        <f aca="false">IF(OR($E1864="",$F1864=""),"",$E1864&amp;" - RT "&amp;$F1864)</f>
        <v/>
      </c>
      <c r="H1864" s="37"/>
      <c r="I1864" s="38"/>
      <c r="J1864" s="37"/>
      <c r="K1864" s="39"/>
      <c r="L1864" s="41"/>
      <c r="M1864" s="36" t="str">
        <f aca="true">IF(OR($B1864="",$L1864=""),"",DATEDIF($L1864,TODAY(),"Y"))</f>
        <v/>
      </c>
      <c r="N1864" s="40" t="str">
        <f aca="false">IF($M1864="","",INDEX(usia_label,MATCH($M1864,usia_min,1)))</f>
        <v/>
      </c>
      <c r="O1864" s="37"/>
      <c r="P1864" s="41"/>
      <c r="Q1864" s="37"/>
      <c r="R1864" s="37"/>
      <c r="S1864" s="40" t="str">
        <f aca="false">IF($G1864="","",$G1864&amp;"#"&amp;COUNTIF($G$4:$G1864,$G1864))</f>
        <v/>
      </c>
      <c r="T1864" s="40" t="str">
        <f aca="false">IF($B1864="","",IF($C1864="","NIK kosong",IF(LEN($C1864)&lt;&gt;16,"NIK bukan 16 digit",IF(COUNTIF($C$4:$C$2003,$C1864&amp;"*")&gt;1,"NIK ganda",IF($E1864="","Kadus kosong",IF($F1864="","RT kosong",IF($H1864="","Jabatan kosong",IF($I1864="","No. HP kosong",IF($J1864="","Alamat kosong",IF(AND($M1864&lt;&gt;"",$M1864&lt;17),"Usia di bawah 17",""))))))))))</f>
        <v/>
      </c>
      <c r="U1864" s="40" t="str">
        <f aca="false">IF($B1864="","",IF(AND(OR(CARI!$C$5="",ISNUMBER(SEARCH(CARI!$C$5,$B1864&amp;" "&amp;$C1864&amp;" "&amp;$I1864&amp;" "&amp;$J1864&amp;" "&amp;$Q1864))),OR(CARI!$C$6="",$E1864=CARI!$C$6),OR(CARI!$C$7="",$F1864=CARI!$C$7),OR(CARI!$C$8="",$O1864=CARI!$C$8)),MAX($U$3:U1863)+1,""))</f>
        <v/>
      </c>
      <c r="V1864" s="40" t="str">
        <f aca="false">IF($T1864="","",MAX($V$3:V1863)+1)</f>
        <v/>
      </c>
      <c r="W1864" s="40" t="str">
        <f aca="false">IF($E1864="","",$E1864&amp;"#"&amp;COUNTIF($E$4:$E1864,$E1864))</f>
        <v/>
      </c>
      <c r="X1864" s="40" t="str">
        <f aca="false">IF($B1864="","",IF(AND(OR(CETAK!$J$10="",$E1864=CETAK!$J$10),OR(CETAK!$J$11="",$F1864=CETAK!$J$11),OR(CETAK!$J$12="",$K1864=CETAK!$J$12),OR(CETAK!$J$13="",$H1864=CETAK!$J$13),OR(CETAK!$J$14="",$O1864=CETAK!$J$14)),MAX($X$3:X1863)+1,""))</f>
        <v/>
      </c>
      <c r="Y1864" s="40" t="str">
        <f aca="false">IF($B1864="","",IF(AND(OR(ABSENSI!$H$10="",$E1864=ABSENSI!$H$10),OR(ABSENSI!$H$11="",$F1864=ABSENSI!$H$11),OR(ABSENSI!$H$12="",$K1864=ABSENSI!$H$12)),MAX($Y$3:Y1863)+1,""))</f>
        <v/>
      </c>
      <c r="Z1864" s="40" t="str">
        <f aca="false">IF($B1864="","",IF(AND(OR(KARTU!$K$6="",$E1864=KARTU!$K$6),OR(KARTU!$K$7="",$F1864=KARTU!$K$7),OR(KARTU!$K$8="",$K1864=KARTU!$K$8)),MAX($Z$3:Z1863)+1,""))</f>
        <v/>
      </c>
    </row>
    <row r="1865" customFormat="false" ht="15" hidden="false" customHeight="false" outlineLevel="0" collapsed="false">
      <c r="A1865" s="36" t="str">
        <f aca="false">IF($B1865="","",COUNTA($B$4:$B1865))</f>
        <v/>
      </c>
      <c r="B1865" s="37"/>
      <c r="C1865" s="38"/>
      <c r="D1865" s="39"/>
      <c r="E1865" s="37"/>
      <c r="F1865" s="39"/>
      <c r="G1865" s="40" t="str">
        <f aca="false">IF(OR($E1865="",$F1865=""),"",$E1865&amp;" - RT "&amp;$F1865)</f>
        <v/>
      </c>
      <c r="H1865" s="37"/>
      <c r="I1865" s="38"/>
      <c r="J1865" s="37"/>
      <c r="K1865" s="39"/>
      <c r="L1865" s="41"/>
      <c r="M1865" s="36" t="str">
        <f aca="true">IF(OR($B1865="",$L1865=""),"",DATEDIF($L1865,TODAY(),"Y"))</f>
        <v/>
      </c>
      <c r="N1865" s="40" t="str">
        <f aca="false">IF($M1865="","",INDEX(usia_label,MATCH($M1865,usia_min,1)))</f>
        <v/>
      </c>
      <c r="O1865" s="37"/>
      <c r="P1865" s="41"/>
      <c r="Q1865" s="37"/>
      <c r="R1865" s="37"/>
      <c r="S1865" s="40" t="str">
        <f aca="false">IF($G1865="","",$G1865&amp;"#"&amp;COUNTIF($G$4:$G1865,$G1865))</f>
        <v/>
      </c>
      <c r="T1865" s="40" t="str">
        <f aca="false">IF($B1865="","",IF($C1865="","NIK kosong",IF(LEN($C1865)&lt;&gt;16,"NIK bukan 16 digit",IF(COUNTIF($C$4:$C$2003,$C1865&amp;"*")&gt;1,"NIK ganda",IF($E1865="","Kadus kosong",IF($F1865="","RT kosong",IF($H1865="","Jabatan kosong",IF($I1865="","No. HP kosong",IF($J1865="","Alamat kosong",IF(AND($M1865&lt;&gt;"",$M1865&lt;17),"Usia di bawah 17",""))))))))))</f>
        <v/>
      </c>
      <c r="U1865" s="40" t="str">
        <f aca="false">IF($B1865="","",IF(AND(OR(CARI!$C$5="",ISNUMBER(SEARCH(CARI!$C$5,$B1865&amp;" "&amp;$C1865&amp;" "&amp;$I1865&amp;" "&amp;$J1865&amp;" "&amp;$Q1865))),OR(CARI!$C$6="",$E1865=CARI!$C$6),OR(CARI!$C$7="",$F1865=CARI!$C$7),OR(CARI!$C$8="",$O1865=CARI!$C$8)),MAX($U$3:U1864)+1,""))</f>
        <v/>
      </c>
      <c r="V1865" s="40" t="str">
        <f aca="false">IF($T1865="","",MAX($V$3:V1864)+1)</f>
        <v/>
      </c>
      <c r="W1865" s="40" t="str">
        <f aca="false">IF($E1865="","",$E1865&amp;"#"&amp;COUNTIF($E$4:$E1865,$E1865))</f>
        <v/>
      </c>
      <c r="X1865" s="40" t="str">
        <f aca="false">IF($B1865="","",IF(AND(OR(CETAK!$J$10="",$E1865=CETAK!$J$10),OR(CETAK!$J$11="",$F1865=CETAK!$J$11),OR(CETAK!$J$12="",$K1865=CETAK!$J$12),OR(CETAK!$J$13="",$H1865=CETAK!$J$13),OR(CETAK!$J$14="",$O1865=CETAK!$J$14)),MAX($X$3:X1864)+1,""))</f>
        <v/>
      </c>
      <c r="Y1865" s="40" t="str">
        <f aca="false">IF($B1865="","",IF(AND(OR(ABSENSI!$H$10="",$E1865=ABSENSI!$H$10),OR(ABSENSI!$H$11="",$F1865=ABSENSI!$H$11),OR(ABSENSI!$H$12="",$K1865=ABSENSI!$H$12)),MAX($Y$3:Y1864)+1,""))</f>
        <v/>
      </c>
      <c r="Z1865" s="40" t="str">
        <f aca="false">IF($B1865="","",IF(AND(OR(KARTU!$K$6="",$E1865=KARTU!$K$6),OR(KARTU!$K$7="",$F1865=KARTU!$K$7),OR(KARTU!$K$8="",$K1865=KARTU!$K$8)),MAX($Z$3:Z1864)+1,""))</f>
        <v/>
      </c>
    </row>
    <row r="1866" customFormat="false" ht="15" hidden="false" customHeight="false" outlineLevel="0" collapsed="false">
      <c r="A1866" s="36" t="str">
        <f aca="false">IF($B1866="","",COUNTA($B$4:$B1866))</f>
        <v/>
      </c>
      <c r="B1866" s="37"/>
      <c r="C1866" s="38"/>
      <c r="D1866" s="39"/>
      <c r="E1866" s="37"/>
      <c r="F1866" s="39"/>
      <c r="G1866" s="40" t="str">
        <f aca="false">IF(OR($E1866="",$F1866=""),"",$E1866&amp;" - RT "&amp;$F1866)</f>
        <v/>
      </c>
      <c r="H1866" s="37"/>
      <c r="I1866" s="38"/>
      <c r="J1866" s="37"/>
      <c r="K1866" s="39"/>
      <c r="L1866" s="41"/>
      <c r="M1866" s="36" t="str">
        <f aca="true">IF(OR($B1866="",$L1866=""),"",DATEDIF($L1866,TODAY(),"Y"))</f>
        <v/>
      </c>
      <c r="N1866" s="40" t="str">
        <f aca="false">IF($M1866="","",INDEX(usia_label,MATCH($M1866,usia_min,1)))</f>
        <v/>
      </c>
      <c r="O1866" s="37"/>
      <c r="P1866" s="41"/>
      <c r="Q1866" s="37"/>
      <c r="R1866" s="37"/>
      <c r="S1866" s="40" t="str">
        <f aca="false">IF($G1866="","",$G1866&amp;"#"&amp;COUNTIF($G$4:$G1866,$G1866))</f>
        <v/>
      </c>
      <c r="T1866" s="40" t="str">
        <f aca="false">IF($B1866="","",IF($C1866="","NIK kosong",IF(LEN($C1866)&lt;&gt;16,"NIK bukan 16 digit",IF(COUNTIF($C$4:$C$2003,$C1866&amp;"*")&gt;1,"NIK ganda",IF($E1866="","Kadus kosong",IF($F1866="","RT kosong",IF($H1866="","Jabatan kosong",IF($I1866="","No. HP kosong",IF($J1866="","Alamat kosong",IF(AND($M1866&lt;&gt;"",$M1866&lt;17),"Usia di bawah 17",""))))))))))</f>
        <v/>
      </c>
      <c r="U1866" s="40" t="str">
        <f aca="false">IF($B1866="","",IF(AND(OR(CARI!$C$5="",ISNUMBER(SEARCH(CARI!$C$5,$B1866&amp;" "&amp;$C1866&amp;" "&amp;$I1866&amp;" "&amp;$J1866&amp;" "&amp;$Q1866))),OR(CARI!$C$6="",$E1866=CARI!$C$6),OR(CARI!$C$7="",$F1866=CARI!$C$7),OR(CARI!$C$8="",$O1866=CARI!$C$8)),MAX($U$3:U1865)+1,""))</f>
        <v/>
      </c>
      <c r="V1866" s="40" t="str">
        <f aca="false">IF($T1866="","",MAX($V$3:V1865)+1)</f>
        <v/>
      </c>
      <c r="W1866" s="40" t="str">
        <f aca="false">IF($E1866="","",$E1866&amp;"#"&amp;COUNTIF($E$4:$E1866,$E1866))</f>
        <v/>
      </c>
      <c r="X1866" s="40" t="str">
        <f aca="false">IF($B1866="","",IF(AND(OR(CETAK!$J$10="",$E1866=CETAK!$J$10),OR(CETAK!$J$11="",$F1866=CETAK!$J$11),OR(CETAK!$J$12="",$K1866=CETAK!$J$12),OR(CETAK!$J$13="",$H1866=CETAK!$J$13),OR(CETAK!$J$14="",$O1866=CETAK!$J$14)),MAX($X$3:X1865)+1,""))</f>
        <v/>
      </c>
      <c r="Y1866" s="40" t="str">
        <f aca="false">IF($B1866="","",IF(AND(OR(ABSENSI!$H$10="",$E1866=ABSENSI!$H$10),OR(ABSENSI!$H$11="",$F1866=ABSENSI!$H$11),OR(ABSENSI!$H$12="",$K1866=ABSENSI!$H$12)),MAX($Y$3:Y1865)+1,""))</f>
        <v/>
      </c>
      <c r="Z1866" s="40" t="str">
        <f aca="false">IF($B1866="","",IF(AND(OR(KARTU!$K$6="",$E1866=KARTU!$K$6),OR(KARTU!$K$7="",$F1866=KARTU!$K$7),OR(KARTU!$K$8="",$K1866=KARTU!$K$8)),MAX($Z$3:Z1865)+1,""))</f>
        <v/>
      </c>
    </row>
    <row r="1867" customFormat="false" ht="15" hidden="false" customHeight="false" outlineLevel="0" collapsed="false">
      <c r="A1867" s="36" t="str">
        <f aca="false">IF($B1867="","",COUNTA($B$4:$B1867))</f>
        <v/>
      </c>
      <c r="B1867" s="37"/>
      <c r="C1867" s="38"/>
      <c r="D1867" s="39"/>
      <c r="E1867" s="37"/>
      <c r="F1867" s="39"/>
      <c r="G1867" s="40" t="str">
        <f aca="false">IF(OR($E1867="",$F1867=""),"",$E1867&amp;" - RT "&amp;$F1867)</f>
        <v/>
      </c>
      <c r="H1867" s="37"/>
      <c r="I1867" s="38"/>
      <c r="J1867" s="37"/>
      <c r="K1867" s="39"/>
      <c r="L1867" s="41"/>
      <c r="M1867" s="36" t="str">
        <f aca="true">IF(OR($B1867="",$L1867=""),"",DATEDIF($L1867,TODAY(),"Y"))</f>
        <v/>
      </c>
      <c r="N1867" s="40" t="str">
        <f aca="false">IF($M1867="","",INDEX(usia_label,MATCH($M1867,usia_min,1)))</f>
        <v/>
      </c>
      <c r="O1867" s="37"/>
      <c r="P1867" s="41"/>
      <c r="Q1867" s="37"/>
      <c r="R1867" s="37"/>
      <c r="S1867" s="40" t="str">
        <f aca="false">IF($G1867="","",$G1867&amp;"#"&amp;COUNTIF($G$4:$G1867,$G1867))</f>
        <v/>
      </c>
      <c r="T1867" s="40" t="str">
        <f aca="false">IF($B1867="","",IF($C1867="","NIK kosong",IF(LEN($C1867)&lt;&gt;16,"NIK bukan 16 digit",IF(COUNTIF($C$4:$C$2003,$C1867&amp;"*")&gt;1,"NIK ganda",IF($E1867="","Kadus kosong",IF($F1867="","RT kosong",IF($H1867="","Jabatan kosong",IF($I1867="","No. HP kosong",IF($J1867="","Alamat kosong",IF(AND($M1867&lt;&gt;"",$M1867&lt;17),"Usia di bawah 17",""))))))))))</f>
        <v/>
      </c>
      <c r="U1867" s="40" t="str">
        <f aca="false">IF($B1867="","",IF(AND(OR(CARI!$C$5="",ISNUMBER(SEARCH(CARI!$C$5,$B1867&amp;" "&amp;$C1867&amp;" "&amp;$I1867&amp;" "&amp;$J1867&amp;" "&amp;$Q1867))),OR(CARI!$C$6="",$E1867=CARI!$C$6),OR(CARI!$C$7="",$F1867=CARI!$C$7),OR(CARI!$C$8="",$O1867=CARI!$C$8)),MAX($U$3:U1866)+1,""))</f>
        <v/>
      </c>
      <c r="V1867" s="40" t="str">
        <f aca="false">IF($T1867="","",MAX($V$3:V1866)+1)</f>
        <v/>
      </c>
      <c r="W1867" s="40" t="str">
        <f aca="false">IF($E1867="","",$E1867&amp;"#"&amp;COUNTIF($E$4:$E1867,$E1867))</f>
        <v/>
      </c>
      <c r="X1867" s="40" t="str">
        <f aca="false">IF($B1867="","",IF(AND(OR(CETAK!$J$10="",$E1867=CETAK!$J$10),OR(CETAK!$J$11="",$F1867=CETAK!$J$11),OR(CETAK!$J$12="",$K1867=CETAK!$J$12),OR(CETAK!$J$13="",$H1867=CETAK!$J$13),OR(CETAK!$J$14="",$O1867=CETAK!$J$14)),MAX($X$3:X1866)+1,""))</f>
        <v/>
      </c>
      <c r="Y1867" s="40" t="str">
        <f aca="false">IF($B1867="","",IF(AND(OR(ABSENSI!$H$10="",$E1867=ABSENSI!$H$10),OR(ABSENSI!$H$11="",$F1867=ABSENSI!$H$11),OR(ABSENSI!$H$12="",$K1867=ABSENSI!$H$12)),MAX($Y$3:Y1866)+1,""))</f>
        <v/>
      </c>
      <c r="Z1867" s="40" t="str">
        <f aca="false">IF($B1867="","",IF(AND(OR(KARTU!$K$6="",$E1867=KARTU!$K$6),OR(KARTU!$K$7="",$F1867=KARTU!$K$7),OR(KARTU!$K$8="",$K1867=KARTU!$K$8)),MAX($Z$3:Z1866)+1,""))</f>
        <v/>
      </c>
    </row>
    <row r="1868" customFormat="false" ht="15" hidden="false" customHeight="false" outlineLevel="0" collapsed="false">
      <c r="A1868" s="36" t="str">
        <f aca="false">IF($B1868="","",COUNTA($B$4:$B1868))</f>
        <v/>
      </c>
      <c r="B1868" s="37"/>
      <c r="C1868" s="38"/>
      <c r="D1868" s="39"/>
      <c r="E1868" s="37"/>
      <c r="F1868" s="39"/>
      <c r="G1868" s="40" t="str">
        <f aca="false">IF(OR($E1868="",$F1868=""),"",$E1868&amp;" - RT "&amp;$F1868)</f>
        <v/>
      </c>
      <c r="H1868" s="37"/>
      <c r="I1868" s="38"/>
      <c r="J1868" s="37"/>
      <c r="K1868" s="39"/>
      <c r="L1868" s="41"/>
      <c r="M1868" s="36" t="str">
        <f aca="true">IF(OR($B1868="",$L1868=""),"",DATEDIF($L1868,TODAY(),"Y"))</f>
        <v/>
      </c>
      <c r="N1868" s="40" t="str">
        <f aca="false">IF($M1868="","",INDEX(usia_label,MATCH($M1868,usia_min,1)))</f>
        <v/>
      </c>
      <c r="O1868" s="37"/>
      <c r="P1868" s="41"/>
      <c r="Q1868" s="37"/>
      <c r="R1868" s="37"/>
      <c r="S1868" s="40" t="str">
        <f aca="false">IF($G1868="","",$G1868&amp;"#"&amp;COUNTIF($G$4:$G1868,$G1868))</f>
        <v/>
      </c>
      <c r="T1868" s="40" t="str">
        <f aca="false">IF($B1868="","",IF($C1868="","NIK kosong",IF(LEN($C1868)&lt;&gt;16,"NIK bukan 16 digit",IF(COUNTIF($C$4:$C$2003,$C1868&amp;"*")&gt;1,"NIK ganda",IF($E1868="","Kadus kosong",IF($F1868="","RT kosong",IF($H1868="","Jabatan kosong",IF($I1868="","No. HP kosong",IF($J1868="","Alamat kosong",IF(AND($M1868&lt;&gt;"",$M1868&lt;17),"Usia di bawah 17",""))))))))))</f>
        <v/>
      </c>
      <c r="U1868" s="40" t="str">
        <f aca="false">IF($B1868="","",IF(AND(OR(CARI!$C$5="",ISNUMBER(SEARCH(CARI!$C$5,$B1868&amp;" "&amp;$C1868&amp;" "&amp;$I1868&amp;" "&amp;$J1868&amp;" "&amp;$Q1868))),OR(CARI!$C$6="",$E1868=CARI!$C$6),OR(CARI!$C$7="",$F1868=CARI!$C$7),OR(CARI!$C$8="",$O1868=CARI!$C$8)),MAX($U$3:U1867)+1,""))</f>
        <v/>
      </c>
      <c r="V1868" s="40" t="str">
        <f aca="false">IF($T1868="","",MAX($V$3:V1867)+1)</f>
        <v/>
      </c>
      <c r="W1868" s="40" t="str">
        <f aca="false">IF($E1868="","",$E1868&amp;"#"&amp;COUNTIF($E$4:$E1868,$E1868))</f>
        <v/>
      </c>
      <c r="X1868" s="40" t="str">
        <f aca="false">IF($B1868="","",IF(AND(OR(CETAK!$J$10="",$E1868=CETAK!$J$10),OR(CETAK!$J$11="",$F1868=CETAK!$J$11),OR(CETAK!$J$12="",$K1868=CETAK!$J$12),OR(CETAK!$J$13="",$H1868=CETAK!$J$13),OR(CETAK!$J$14="",$O1868=CETAK!$J$14)),MAX($X$3:X1867)+1,""))</f>
        <v/>
      </c>
      <c r="Y1868" s="40" t="str">
        <f aca="false">IF($B1868="","",IF(AND(OR(ABSENSI!$H$10="",$E1868=ABSENSI!$H$10),OR(ABSENSI!$H$11="",$F1868=ABSENSI!$H$11),OR(ABSENSI!$H$12="",$K1868=ABSENSI!$H$12)),MAX($Y$3:Y1867)+1,""))</f>
        <v/>
      </c>
      <c r="Z1868" s="40" t="str">
        <f aca="false">IF($B1868="","",IF(AND(OR(KARTU!$K$6="",$E1868=KARTU!$K$6),OR(KARTU!$K$7="",$F1868=KARTU!$K$7),OR(KARTU!$K$8="",$K1868=KARTU!$K$8)),MAX($Z$3:Z1867)+1,""))</f>
        <v/>
      </c>
    </row>
    <row r="1869" customFormat="false" ht="15" hidden="false" customHeight="false" outlineLevel="0" collapsed="false">
      <c r="A1869" s="36" t="str">
        <f aca="false">IF($B1869="","",COUNTA($B$4:$B1869))</f>
        <v/>
      </c>
      <c r="B1869" s="37"/>
      <c r="C1869" s="38"/>
      <c r="D1869" s="39"/>
      <c r="E1869" s="37"/>
      <c r="F1869" s="39"/>
      <c r="G1869" s="40" t="str">
        <f aca="false">IF(OR($E1869="",$F1869=""),"",$E1869&amp;" - RT "&amp;$F1869)</f>
        <v/>
      </c>
      <c r="H1869" s="37"/>
      <c r="I1869" s="38"/>
      <c r="J1869" s="37"/>
      <c r="K1869" s="39"/>
      <c r="L1869" s="41"/>
      <c r="M1869" s="36" t="str">
        <f aca="true">IF(OR($B1869="",$L1869=""),"",DATEDIF($L1869,TODAY(),"Y"))</f>
        <v/>
      </c>
      <c r="N1869" s="40" t="str">
        <f aca="false">IF($M1869="","",INDEX(usia_label,MATCH($M1869,usia_min,1)))</f>
        <v/>
      </c>
      <c r="O1869" s="37"/>
      <c r="P1869" s="41"/>
      <c r="Q1869" s="37"/>
      <c r="R1869" s="37"/>
      <c r="S1869" s="40" t="str">
        <f aca="false">IF($G1869="","",$G1869&amp;"#"&amp;COUNTIF($G$4:$G1869,$G1869))</f>
        <v/>
      </c>
      <c r="T1869" s="40" t="str">
        <f aca="false">IF($B1869="","",IF($C1869="","NIK kosong",IF(LEN($C1869)&lt;&gt;16,"NIK bukan 16 digit",IF(COUNTIF($C$4:$C$2003,$C1869&amp;"*")&gt;1,"NIK ganda",IF($E1869="","Kadus kosong",IF($F1869="","RT kosong",IF($H1869="","Jabatan kosong",IF($I1869="","No. HP kosong",IF($J1869="","Alamat kosong",IF(AND($M1869&lt;&gt;"",$M1869&lt;17),"Usia di bawah 17",""))))))))))</f>
        <v/>
      </c>
      <c r="U1869" s="40" t="str">
        <f aca="false">IF($B1869="","",IF(AND(OR(CARI!$C$5="",ISNUMBER(SEARCH(CARI!$C$5,$B1869&amp;" "&amp;$C1869&amp;" "&amp;$I1869&amp;" "&amp;$J1869&amp;" "&amp;$Q1869))),OR(CARI!$C$6="",$E1869=CARI!$C$6),OR(CARI!$C$7="",$F1869=CARI!$C$7),OR(CARI!$C$8="",$O1869=CARI!$C$8)),MAX($U$3:U1868)+1,""))</f>
        <v/>
      </c>
      <c r="V1869" s="40" t="str">
        <f aca="false">IF($T1869="","",MAX($V$3:V1868)+1)</f>
        <v/>
      </c>
      <c r="W1869" s="40" t="str">
        <f aca="false">IF($E1869="","",$E1869&amp;"#"&amp;COUNTIF($E$4:$E1869,$E1869))</f>
        <v/>
      </c>
      <c r="X1869" s="40" t="str">
        <f aca="false">IF($B1869="","",IF(AND(OR(CETAK!$J$10="",$E1869=CETAK!$J$10),OR(CETAK!$J$11="",$F1869=CETAK!$J$11),OR(CETAK!$J$12="",$K1869=CETAK!$J$12),OR(CETAK!$J$13="",$H1869=CETAK!$J$13),OR(CETAK!$J$14="",$O1869=CETAK!$J$14)),MAX($X$3:X1868)+1,""))</f>
        <v/>
      </c>
      <c r="Y1869" s="40" t="str">
        <f aca="false">IF($B1869="","",IF(AND(OR(ABSENSI!$H$10="",$E1869=ABSENSI!$H$10),OR(ABSENSI!$H$11="",$F1869=ABSENSI!$H$11),OR(ABSENSI!$H$12="",$K1869=ABSENSI!$H$12)),MAX($Y$3:Y1868)+1,""))</f>
        <v/>
      </c>
      <c r="Z1869" s="40" t="str">
        <f aca="false">IF($B1869="","",IF(AND(OR(KARTU!$K$6="",$E1869=KARTU!$K$6),OR(KARTU!$K$7="",$F1869=KARTU!$K$7),OR(KARTU!$K$8="",$K1869=KARTU!$K$8)),MAX($Z$3:Z1868)+1,""))</f>
        <v/>
      </c>
    </row>
    <row r="1870" customFormat="false" ht="15" hidden="false" customHeight="false" outlineLevel="0" collapsed="false">
      <c r="A1870" s="36" t="str">
        <f aca="false">IF($B1870="","",COUNTA($B$4:$B1870))</f>
        <v/>
      </c>
      <c r="B1870" s="37"/>
      <c r="C1870" s="38"/>
      <c r="D1870" s="39"/>
      <c r="E1870" s="37"/>
      <c r="F1870" s="39"/>
      <c r="G1870" s="40" t="str">
        <f aca="false">IF(OR($E1870="",$F1870=""),"",$E1870&amp;" - RT "&amp;$F1870)</f>
        <v/>
      </c>
      <c r="H1870" s="37"/>
      <c r="I1870" s="38"/>
      <c r="J1870" s="37"/>
      <c r="K1870" s="39"/>
      <c r="L1870" s="41"/>
      <c r="M1870" s="36" t="str">
        <f aca="true">IF(OR($B1870="",$L1870=""),"",DATEDIF($L1870,TODAY(),"Y"))</f>
        <v/>
      </c>
      <c r="N1870" s="40" t="str">
        <f aca="false">IF($M1870="","",INDEX(usia_label,MATCH($M1870,usia_min,1)))</f>
        <v/>
      </c>
      <c r="O1870" s="37"/>
      <c r="P1870" s="41"/>
      <c r="Q1870" s="37"/>
      <c r="R1870" s="37"/>
      <c r="S1870" s="40" t="str">
        <f aca="false">IF($G1870="","",$G1870&amp;"#"&amp;COUNTIF($G$4:$G1870,$G1870))</f>
        <v/>
      </c>
      <c r="T1870" s="40" t="str">
        <f aca="false">IF($B1870="","",IF($C1870="","NIK kosong",IF(LEN($C1870)&lt;&gt;16,"NIK bukan 16 digit",IF(COUNTIF($C$4:$C$2003,$C1870&amp;"*")&gt;1,"NIK ganda",IF($E1870="","Kadus kosong",IF($F1870="","RT kosong",IF($H1870="","Jabatan kosong",IF($I1870="","No. HP kosong",IF($J1870="","Alamat kosong",IF(AND($M1870&lt;&gt;"",$M1870&lt;17),"Usia di bawah 17",""))))))))))</f>
        <v/>
      </c>
      <c r="U1870" s="40" t="str">
        <f aca="false">IF($B1870="","",IF(AND(OR(CARI!$C$5="",ISNUMBER(SEARCH(CARI!$C$5,$B1870&amp;" "&amp;$C1870&amp;" "&amp;$I1870&amp;" "&amp;$J1870&amp;" "&amp;$Q1870))),OR(CARI!$C$6="",$E1870=CARI!$C$6),OR(CARI!$C$7="",$F1870=CARI!$C$7),OR(CARI!$C$8="",$O1870=CARI!$C$8)),MAX($U$3:U1869)+1,""))</f>
        <v/>
      </c>
      <c r="V1870" s="40" t="str">
        <f aca="false">IF($T1870="","",MAX($V$3:V1869)+1)</f>
        <v/>
      </c>
      <c r="W1870" s="40" t="str">
        <f aca="false">IF($E1870="","",$E1870&amp;"#"&amp;COUNTIF($E$4:$E1870,$E1870))</f>
        <v/>
      </c>
      <c r="X1870" s="40" t="str">
        <f aca="false">IF($B1870="","",IF(AND(OR(CETAK!$J$10="",$E1870=CETAK!$J$10),OR(CETAK!$J$11="",$F1870=CETAK!$J$11),OR(CETAK!$J$12="",$K1870=CETAK!$J$12),OR(CETAK!$J$13="",$H1870=CETAK!$J$13),OR(CETAK!$J$14="",$O1870=CETAK!$J$14)),MAX($X$3:X1869)+1,""))</f>
        <v/>
      </c>
      <c r="Y1870" s="40" t="str">
        <f aca="false">IF($B1870="","",IF(AND(OR(ABSENSI!$H$10="",$E1870=ABSENSI!$H$10),OR(ABSENSI!$H$11="",$F1870=ABSENSI!$H$11),OR(ABSENSI!$H$12="",$K1870=ABSENSI!$H$12)),MAX($Y$3:Y1869)+1,""))</f>
        <v/>
      </c>
      <c r="Z1870" s="40" t="str">
        <f aca="false">IF($B1870="","",IF(AND(OR(KARTU!$K$6="",$E1870=KARTU!$K$6),OR(KARTU!$K$7="",$F1870=KARTU!$K$7),OR(KARTU!$K$8="",$K1870=KARTU!$K$8)),MAX($Z$3:Z1869)+1,""))</f>
        <v/>
      </c>
    </row>
    <row r="1871" customFormat="false" ht="15" hidden="false" customHeight="false" outlineLevel="0" collapsed="false">
      <c r="A1871" s="36" t="str">
        <f aca="false">IF($B1871="","",COUNTA($B$4:$B1871))</f>
        <v/>
      </c>
      <c r="B1871" s="37"/>
      <c r="C1871" s="38"/>
      <c r="D1871" s="39"/>
      <c r="E1871" s="37"/>
      <c r="F1871" s="39"/>
      <c r="G1871" s="40" t="str">
        <f aca="false">IF(OR($E1871="",$F1871=""),"",$E1871&amp;" - RT "&amp;$F1871)</f>
        <v/>
      </c>
      <c r="H1871" s="37"/>
      <c r="I1871" s="38"/>
      <c r="J1871" s="37"/>
      <c r="K1871" s="39"/>
      <c r="L1871" s="41"/>
      <c r="M1871" s="36" t="str">
        <f aca="true">IF(OR($B1871="",$L1871=""),"",DATEDIF($L1871,TODAY(),"Y"))</f>
        <v/>
      </c>
      <c r="N1871" s="40" t="str">
        <f aca="false">IF($M1871="","",INDEX(usia_label,MATCH($M1871,usia_min,1)))</f>
        <v/>
      </c>
      <c r="O1871" s="37"/>
      <c r="P1871" s="41"/>
      <c r="Q1871" s="37"/>
      <c r="R1871" s="37"/>
      <c r="S1871" s="40" t="str">
        <f aca="false">IF($G1871="","",$G1871&amp;"#"&amp;COUNTIF($G$4:$G1871,$G1871))</f>
        <v/>
      </c>
      <c r="T1871" s="40" t="str">
        <f aca="false">IF($B1871="","",IF($C1871="","NIK kosong",IF(LEN($C1871)&lt;&gt;16,"NIK bukan 16 digit",IF(COUNTIF($C$4:$C$2003,$C1871&amp;"*")&gt;1,"NIK ganda",IF($E1871="","Kadus kosong",IF($F1871="","RT kosong",IF($H1871="","Jabatan kosong",IF($I1871="","No. HP kosong",IF($J1871="","Alamat kosong",IF(AND($M1871&lt;&gt;"",$M1871&lt;17),"Usia di bawah 17",""))))))))))</f>
        <v/>
      </c>
      <c r="U1871" s="40" t="str">
        <f aca="false">IF($B1871="","",IF(AND(OR(CARI!$C$5="",ISNUMBER(SEARCH(CARI!$C$5,$B1871&amp;" "&amp;$C1871&amp;" "&amp;$I1871&amp;" "&amp;$J1871&amp;" "&amp;$Q1871))),OR(CARI!$C$6="",$E1871=CARI!$C$6),OR(CARI!$C$7="",$F1871=CARI!$C$7),OR(CARI!$C$8="",$O1871=CARI!$C$8)),MAX($U$3:U1870)+1,""))</f>
        <v/>
      </c>
      <c r="V1871" s="40" t="str">
        <f aca="false">IF($T1871="","",MAX($V$3:V1870)+1)</f>
        <v/>
      </c>
      <c r="W1871" s="40" t="str">
        <f aca="false">IF($E1871="","",$E1871&amp;"#"&amp;COUNTIF($E$4:$E1871,$E1871))</f>
        <v/>
      </c>
      <c r="X1871" s="40" t="str">
        <f aca="false">IF($B1871="","",IF(AND(OR(CETAK!$J$10="",$E1871=CETAK!$J$10),OR(CETAK!$J$11="",$F1871=CETAK!$J$11),OR(CETAK!$J$12="",$K1871=CETAK!$J$12),OR(CETAK!$J$13="",$H1871=CETAK!$J$13),OR(CETAK!$J$14="",$O1871=CETAK!$J$14)),MAX($X$3:X1870)+1,""))</f>
        <v/>
      </c>
      <c r="Y1871" s="40" t="str">
        <f aca="false">IF($B1871="","",IF(AND(OR(ABSENSI!$H$10="",$E1871=ABSENSI!$H$10),OR(ABSENSI!$H$11="",$F1871=ABSENSI!$H$11),OR(ABSENSI!$H$12="",$K1871=ABSENSI!$H$12)),MAX($Y$3:Y1870)+1,""))</f>
        <v/>
      </c>
      <c r="Z1871" s="40" t="str">
        <f aca="false">IF($B1871="","",IF(AND(OR(KARTU!$K$6="",$E1871=KARTU!$K$6),OR(KARTU!$K$7="",$F1871=KARTU!$K$7),OR(KARTU!$K$8="",$K1871=KARTU!$K$8)),MAX($Z$3:Z1870)+1,""))</f>
        <v/>
      </c>
    </row>
    <row r="1872" customFormat="false" ht="15" hidden="false" customHeight="false" outlineLevel="0" collapsed="false">
      <c r="A1872" s="36" t="str">
        <f aca="false">IF($B1872="","",COUNTA($B$4:$B1872))</f>
        <v/>
      </c>
      <c r="B1872" s="37"/>
      <c r="C1872" s="38"/>
      <c r="D1872" s="39"/>
      <c r="E1872" s="37"/>
      <c r="F1872" s="39"/>
      <c r="G1872" s="40" t="str">
        <f aca="false">IF(OR($E1872="",$F1872=""),"",$E1872&amp;" - RT "&amp;$F1872)</f>
        <v/>
      </c>
      <c r="H1872" s="37"/>
      <c r="I1872" s="38"/>
      <c r="J1872" s="37"/>
      <c r="K1872" s="39"/>
      <c r="L1872" s="41"/>
      <c r="M1872" s="36" t="str">
        <f aca="true">IF(OR($B1872="",$L1872=""),"",DATEDIF($L1872,TODAY(),"Y"))</f>
        <v/>
      </c>
      <c r="N1872" s="40" t="str">
        <f aca="false">IF($M1872="","",INDEX(usia_label,MATCH($M1872,usia_min,1)))</f>
        <v/>
      </c>
      <c r="O1872" s="37"/>
      <c r="P1872" s="41"/>
      <c r="Q1872" s="37"/>
      <c r="R1872" s="37"/>
      <c r="S1872" s="40" t="str">
        <f aca="false">IF($G1872="","",$G1872&amp;"#"&amp;COUNTIF($G$4:$G1872,$G1872))</f>
        <v/>
      </c>
      <c r="T1872" s="40" t="str">
        <f aca="false">IF($B1872="","",IF($C1872="","NIK kosong",IF(LEN($C1872)&lt;&gt;16,"NIK bukan 16 digit",IF(COUNTIF($C$4:$C$2003,$C1872&amp;"*")&gt;1,"NIK ganda",IF($E1872="","Kadus kosong",IF($F1872="","RT kosong",IF($H1872="","Jabatan kosong",IF($I1872="","No. HP kosong",IF($J1872="","Alamat kosong",IF(AND($M1872&lt;&gt;"",$M1872&lt;17),"Usia di bawah 17",""))))))))))</f>
        <v/>
      </c>
      <c r="U1872" s="40" t="str">
        <f aca="false">IF($B1872="","",IF(AND(OR(CARI!$C$5="",ISNUMBER(SEARCH(CARI!$C$5,$B1872&amp;" "&amp;$C1872&amp;" "&amp;$I1872&amp;" "&amp;$J1872&amp;" "&amp;$Q1872))),OR(CARI!$C$6="",$E1872=CARI!$C$6),OR(CARI!$C$7="",$F1872=CARI!$C$7),OR(CARI!$C$8="",$O1872=CARI!$C$8)),MAX($U$3:U1871)+1,""))</f>
        <v/>
      </c>
      <c r="V1872" s="40" t="str">
        <f aca="false">IF($T1872="","",MAX($V$3:V1871)+1)</f>
        <v/>
      </c>
      <c r="W1872" s="40" t="str">
        <f aca="false">IF($E1872="","",$E1872&amp;"#"&amp;COUNTIF($E$4:$E1872,$E1872))</f>
        <v/>
      </c>
      <c r="X1872" s="40" t="str">
        <f aca="false">IF($B1872="","",IF(AND(OR(CETAK!$J$10="",$E1872=CETAK!$J$10),OR(CETAK!$J$11="",$F1872=CETAK!$J$11),OR(CETAK!$J$12="",$K1872=CETAK!$J$12),OR(CETAK!$J$13="",$H1872=CETAK!$J$13),OR(CETAK!$J$14="",$O1872=CETAK!$J$14)),MAX($X$3:X1871)+1,""))</f>
        <v/>
      </c>
      <c r="Y1872" s="40" t="str">
        <f aca="false">IF($B1872="","",IF(AND(OR(ABSENSI!$H$10="",$E1872=ABSENSI!$H$10),OR(ABSENSI!$H$11="",$F1872=ABSENSI!$H$11),OR(ABSENSI!$H$12="",$K1872=ABSENSI!$H$12)),MAX($Y$3:Y1871)+1,""))</f>
        <v/>
      </c>
      <c r="Z1872" s="40" t="str">
        <f aca="false">IF($B1872="","",IF(AND(OR(KARTU!$K$6="",$E1872=KARTU!$K$6),OR(KARTU!$K$7="",$F1872=KARTU!$K$7),OR(KARTU!$K$8="",$K1872=KARTU!$K$8)),MAX($Z$3:Z1871)+1,""))</f>
        <v/>
      </c>
    </row>
    <row r="1873" customFormat="false" ht="15" hidden="false" customHeight="false" outlineLevel="0" collapsed="false">
      <c r="A1873" s="36" t="str">
        <f aca="false">IF($B1873="","",COUNTA($B$4:$B1873))</f>
        <v/>
      </c>
      <c r="B1873" s="37"/>
      <c r="C1873" s="38"/>
      <c r="D1873" s="39"/>
      <c r="E1873" s="37"/>
      <c r="F1873" s="39"/>
      <c r="G1873" s="40" t="str">
        <f aca="false">IF(OR($E1873="",$F1873=""),"",$E1873&amp;" - RT "&amp;$F1873)</f>
        <v/>
      </c>
      <c r="H1873" s="37"/>
      <c r="I1873" s="38"/>
      <c r="J1873" s="37"/>
      <c r="K1873" s="39"/>
      <c r="L1873" s="41"/>
      <c r="M1873" s="36" t="str">
        <f aca="true">IF(OR($B1873="",$L1873=""),"",DATEDIF($L1873,TODAY(),"Y"))</f>
        <v/>
      </c>
      <c r="N1873" s="40" t="str">
        <f aca="false">IF($M1873="","",INDEX(usia_label,MATCH($M1873,usia_min,1)))</f>
        <v/>
      </c>
      <c r="O1873" s="37"/>
      <c r="P1873" s="41"/>
      <c r="Q1873" s="37"/>
      <c r="R1873" s="37"/>
      <c r="S1873" s="40" t="str">
        <f aca="false">IF($G1873="","",$G1873&amp;"#"&amp;COUNTIF($G$4:$G1873,$G1873))</f>
        <v/>
      </c>
      <c r="T1873" s="40" t="str">
        <f aca="false">IF($B1873="","",IF($C1873="","NIK kosong",IF(LEN($C1873)&lt;&gt;16,"NIK bukan 16 digit",IF(COUNTIF($C$4:$C$2003,$C1873&amp;"*")&gt;1,"NIK ganda",IF($E1873="","Kadus kosong",IF($F1873="","RT kosong",IF($H1873="","Jabatan kosong",IF($I1873="","No. HP kosong",IF($J1873="","Alamat kosong",IF(AND($M1873&lt;&gt;"",$M1873&lt;17),"Usia di bawah 17",""))))))))))</f>
        <v/>
      </c>
      <c r="U1873" s="40" t="str">
        <f aca="false">IF($B1873="","",IF(AND(OR(CARI!$C$5="",ISNUMBER(SEARCH(CARI!$C$5,$B1873&amp;" "&amp;$C1873&amp;" "&amp;$I1873&amp;" "&amp;$J1873&amp;" "&amp;$Q1873))),OR(CARI!$C$6="",$E1873=CARI!$C$6),OR(CARI!$C$7="",$F1873=CARI!$C$7),OR(CARI!$C$8="",$O1873=CARI!$C$8)),MAX($U$3:U1872)+1,""))</f>
        <v/>
      </c>
      <c r="V1873" s="40" t="str">
        <f aca="false">IF($T1873="","",MAX($V$3:V1872)+1)</f>
        <v/>
      </c>
      <c r="W1873" s="40" t="str">
        <f aca="false">IF($E1873="","",$E1873&amp;"#"&amp;COUNTIF($E$4:$E1873,$E1873))</f>
        <v/>
      </c>
      <c r="X1873" s="40" t="str">
        <f aca="false">IF($B1873="","",IF(AND(OR(CETAK!$J$10="",$E1873=CETAK!$J$10),OR(CETAK!$J$11="",$F1873=CETAK!$J$11),OR(CETAK!$J$12="",$K1873=CETAK!$J$12),OR(CETAK!$J$13="",$H1873=CETAK!$J$13),OR(CETAK!$J$14="",$O1873=CETAK!$J$14)),MAX($X$3:X1872)+1,""))</f>
        <v/>
      </c>
      <c r="Y1873" s="40" t="str">
        <f aca="false">IF($B1873="","",IF(AND(OR(ABSENSI!$H$10="",$E1873=ABSENSI!$H$10),OR(ABSENSI!$H$11="",$F1873=ABSENSI!$H$11),OR(ABSENSI!$H$12="",$K1873=ABSENSI!$H$12)),MAX($Y$3:Y1872)+1,""))</f>
        <v/>
      </c>
      <c r="Z1873" s="40" t="str">
        <f aca="false">IF($B1873="","",IF(AND(OR(KARTU!$K$6="",$E1873=KARTU!$K$6),OR(KARTU!$K$7="",$F1873=KARTU!$K$7),OR(KARTU!$K$8="",$K1873=KARTU!$K$8)),MAX($Z$3:Z1872)+1,""))</f>
        <v/>
      </c>
    </row>
    <row r="1874" customFormat="false" ht="15" hidden="false" customHeight="false" outlineLevel="0" collapsed="false">
      <c r="A1874" s="36" t="str">
        <f aca="false">IF($B1874="","",COUNTA($B$4:$B1874))</f>
        <v/>
      </c>
      <c r="B1874" s="37"/>
      <c r="C1874" s="38"/>
      <c r="D1874" s="39"/>
      <c r="E1874" s="37"/>
      <c r="F1874" s="39"/>
      <c r="G1874" s="40" t="str">
        <f aca="false">IF(OR($E1874="",$F1874=""),"",$E1874&amp;" - RT "&amp;$F1874)</f>
        <v/>
      </c>
      <c r="H1874" s="37"/>
      <c r="I1874" s="38"/>
      <c r="J1874" s="37"/>
      <c r="K1874" s="39"/>
      <c r="L1874" s="41"/>
      <c r="M1874" s="36" t="str">
        <f aca="true">IF(OR($B1874="",$L1874=""),"",DATEDIF($L1874,TODAY(),"Y"))</f>
        <v/>
      </c>
      <c r="N1874" s="40" t="str">
        <f aca="false">IF($M1874="","",INDEX(usia_label,MATCH($M1874,usia_min,1)))</f>
        <v/>
      </c>
      <c r="O1874" s="37"/>
      <c r="P1874" s="41"/>
      <c r="Q1874" s="37"/>
      <c r="R1874" s="37"/>
      <c r="S1874" s="40" t="str">
        <f aca="false">IF($G1874="","",$G1874&amp;"#"&amp;COUNTIF($G$4:$G1874,$G1874))</f>
        <v/>
      </c>
      <c r="T1874" s="40" t="str">
        <f aca="false">IF($B1874="","",IF($C1874="","NIK kosong",IF(LEN($C1874)&lt;&gt;16,"NIK bukan 16 digit",IF(COUNTIF($C$4:$C$2003,$C1874&amp;"*")&gt;1,"NIK ganda",IF($E1874="","Kadus kosong",IF($F1874="","RT kosong",IF($H1874="","Jabatan kosong",IF($I1874="","No. HP kosong",IF($J1874="","Alamat kosong",IF(AND($M1874&lt;&gt;"",$M1874&lt;17),"Usia di bawah 17",""))))))))))</f>
        <v/>
      </c>
      <c r="U1874" s="40" t="str">
        <f aca="false">IF($B1874="","",IF(AND(OR(CARI!$C$5="",ISNUMBER(SEARCH(CARI!$C$5,$B1874&amp;" "&amp;$C1874&amp;" "&amp;$I1874&amp;" "&amp;$J1874&amp;" "&amp;$Q1874))),OR(CARI!$C$6="",$E1874=CARI!$C$6),OR(CARI!$C$7="",$F1874=CARI!$C$7),OR(CARI!$C$8="",$O1874=CARI!$C$8)),MAX($U$3:U1873)+1,""))</f>
        <v/>
      </c>
      <c r="V1874" s="40" t="str">
        <f aca="false">IF($T1874="","",MAX($V$3:V1873)+1)</f>
        <v/>
      </c>
      <c r="W1874" s="40" t="str">
        <f aca="false">IF($E1874="","",$E1874&amp;"#"&amp;COUNTIF($E$4:$E1874,$E1874))</f>
        <v/>
      </c>
      <c r="X1874" s="40" t="str">
        <f aca="false">IF($B1874="","",IF(AND(OR(CETAK!$J$10="",$E1874=CETAK!$J$10),OR(CETAK!$J$11="",$F1874=CETAK!$J$11),OR(CETAK!$J$12="",$K1874=CETAK!$J$12),OR(CETAK!$J$13="",$H1874=CETAK!$J$13),OR(CETAK!$J$14="",$O1874=CETAK!$J$14)),MAX($X$3:X1873)+1,""))</f>
        <v/>
      </c>
      <c r="Y1874" s="40" t="str">
        <f aca="false">IF($B1874="","",IF(AND(OR(ABSENSI!$H$10="",$E1874=ABSENSI!$H$10),OR(ABSENSI!$H$11="",$F1874=ABSENSI!$H$11),OR(ABSENSI!$H$12="",$K1874=ABSENSI!$H$12)),MAX($Y$3:Y1873)+1,""))</f>
        <v/>
      </c>
      <c r="Z1874" s="40" t="str">
        <f aca="false">IF($B1874="","",IF(AND(OR(KARTU!$K$6="",$E1874=KARTU!$K$6),OR(KARTU!$K$7="",$F1874=KARTU!$K$7),OR(KARTU!$K$8="",$K1874=KARTU!$K$8)),MAX($Z$3:Z1873)+1,""))</f>
        <v/>
      </c>
    </row>
    <row r="1875" customFormat="false" ht="15" hidden="false" customHeight="false" outlineLevel="0" collapsed="false">
      <c r="A1875" s="36" t="str">
        <f aca="false">IF($B1875="","",COUNTA($B$4:$B1875))</f>
        <v/>
      </c>
      <c r="B1875" s="37"/>
      <c r="C1875" s="38"/>
      <c r="D1875" s="39"/>
      <c r="E1875" s="37"/>
      <c r="F1875" s="39"/>
      <c r="G1875" s="40" t="str">
        <f aca="false">IF(OR($E1875="",$F1875=""),"",$E1875&amp;" - RT "&amp;$F1875)</f>
        <v/>
      </c>
      <c r="H1875" s="37"/>
      <c r="I1875" s="38"/>
      <c r="J1875" s="37"/>
      <c r="K1875" s="39"/>
      <c r="L1875" s="41"/>
      <c r="M1875" s="36" t="str">
        <f aca="true">IF(OR($B1875="",$L1875=""),"",DATEDIF($L1875,TODAY(),"Y"))</f>
        <v/>
      </c>
      <c r="N1875" s="40" t="str">
        <f aca="false">IF($M1875="","",INDEX(usia_label,MATCH($M1875,usia_min,1)))</f>
        <v/>
      </c>
      <c r="O1875" s="37"/>
      <c r="P1875" s="41"/>
      <c r="Q1875" s="37"/>
      <c r="R1875" s="37"/>
      <c r="S1875" s="40" t="str">
        <f aca="false">IF($G1875="","",$G1875&amp;"#"&amp;COUNTIF($G$4:$G1875,$G1875))</f>
        <v/>
      </c>
      <c r="T1875" s="40" t="str">
        <f aca="false">IF($B1875="","",IF($C1875="","NIK kosong",IF(LEN($C1875)&lt;&gt;16,"NIK bukan 16 digit",IF(COUNTIF($C$4:$C$2003,$C1875&amp;"*")&gt;1,"NIK ganda",IF($E1875="","Kadus kosong",IF($F1875="","RT kosong",IF($H1875="","Jabatan kosong",IF($I1875="","No. HP kosong",IF($J1875="","Alamat kosong",IF(AND($M1875&lt;&gt;"",$M1875&lt;17),"Usia di bawah 17",""))))))))))</f>
        <v/>
      </c>
      <c r="U1875" s="40" t="str">
        <f aca="false">IF($B1875="","",IF(AND(OR(CARI!$C$5="",ISNUMBER(SEARCH(CARI!$C$5,$B1875&amp;" "&amp;$C1875&amp;" "&amp;$I1875&amp;" "&amp;$J1875&amp;" "&amp;$Q1875))),OR(CARI!$C$6="",$E1875=CARI!$C$6),OR(CARI!$C$7="",$F1875=CARI!$C$7),OR(CARI!$C$8="",$O1875=CARI!$C$8)),MAX($U$3:U1874)+1,""))</f>
        <v/>
      </c>
      <c r="V1875" s="40" t="str">
        <f aca="false">IF($T1875="","",MAX($V$3:V1874)+1)</f>
        <v/>
      </c>
      <c r="W1875" s="40" t="str">
        <f aca="false">IF($E1875="","",$E1875&amp;"#"&amp;COUNTIF($E$4:$E1875,$E1875))</f>
        <v/>
      </c>
      <c r="X1875" s="40" t="str">
        <f aca="false">IF($B1875="","",IF(AND(OR(CETAK!$J$10="",$E1875=CETAK!$J$10),OR(CETAK!$J$11="",$F1875=CETAK!$J$11),OR(CETAK!$J$12="",$K1875=CETAK!$J$12),OR(CETAK!$J$13="",$H1875=CETAK!$J$13),OR(CETAK!$J$14="",$O1875=CETAK!$J$14)),MAX($X$3:X1874)+1,""))</f>
        <v/>
      </c>
      <c r="Y1875" s="40" t="str">
        <f aca="false">IF($B1875="","",IF(AND(OR(ABSENSI!$H$10="",$E1875=ABSENSI!$H$10),OR(ABSENSI!$H$11="",$F1875=ABSENSI!$H$11),OR(ABSENSI!$H$12="",$K1875=ABSENSI!$H$12)),MAX($Y$3:Y1874)+1,""))</f>
        <v/>
      </c>
      <c r="Z1875" s="40" t="str">
        <f aca="false">IF($B1875="","",IF(AND(OR(KARTU!$K$6="",$E1875=KARTU!$K$6),OR(KARTU!$K$7="",$F1875=KARTU!$K$7),OR(KARTU!$K$8="",$K1875=KARTU!$K$8)),MAX($Z$3:Z1874)+1,""))</f>
        <v/>
      </c>
    </row>
    <row r="1876" customFormat="false" ht="15" hidden="false" customHeight="false" outlineLevel="0" collapsed="false">
      <c r="A1876" s="36" t="str">
        <f aca="false">IF($B1876="","",COUNTA($B$4:$B1876))</f>
        <v/>
      </c>
      <c r="B1876" s="37"/>
      <c r="C1876" s="38"/>
      <c r="D1876" s="39"/>
      <c r="E1876" s="37"/>
      <c r="F1876" s="39"/>
      <c r="G1876" s="40" t="str">
        <f aca="false">IF(OR($E1876="",$F1876=""),"",$E1876&amp;" - RT "&amp;$F1876)</f>
        <v/>
      </c>
      <c r="H1876" s="37"/>
      <c r="I1876" s="38"/>
      <c r="J1876" s="37"/>
      <c r="K1876" s="39"/>
      <c r="L1876" s="41"/>
      <c r="M1876" s="36" t="str">
        <f aca="true">IF(OR($B1876="",$L1876=""),"",DATEDIF($L1876,TODAY(),"Y"))</f>
        <v/>
      </c>
      <c r="N1876" s="40" t="str">
        <f aca="false">IF($M1876="","",INDEX(usia_label,MATCH($M1876,usia_min,1)))</f>
        <v/>
      </c>
      <c r="O1876" s="37"/>
      <c r="P1876" s="41"/>
      <c r="Q1876" s="37"/>
      <c r="R1876" s="37"/>
      <c r="S1876" s="40" t="str">
        <f aca="false">IF($G1876="","",$G1876&amp;"#"&amp;COUNTIF($G$4:$G1876,$G1876))</f>
        <v/>
      </c>
      <c r="T1876" s="40" t="str">
        <f aca="false">IF($B1876="","",IF($C1876="","NIK kosong",IF(LEN($C1876)&lt;&gt;16,"NIK bukan 16 digit",IF(COUNTIF($C$4:$C$2003,$C1876&amp;"*")&gt;1,"NIK ganda",IF($E1876="","Kadus kosong",IF($F1876="","RT kosong",IF($H1876="","Jabatan kosong",IF($I1876="","No. HP kosong",IF($J1876="","Alamat kosong",IF(AND($M1876&lt;&gt;"",$M1876&lt;17),"Usia di bawah 17",""))))))))))</f>
        <v/>
      </c>
      <c r="U1876" s="40" t="str">
        <f aca="false">IF($B1876="","",IF(AND(OR(CARI!$C$5="",ISNUMBER(SEARCH(CARI!$C$5,$B1876&amp;" "&amp;$C1876&amp;" "&amp;$I1876&amp;" "&amp;$J1876&amp;" "&amp;$Q1876))),OR(CARI!$C$6="",$E1876=CARI!$C$6),OR(CARI!$C$7="",$F1876=CARI!$C$7),OR(CARI!$C$8="",$O1876=CARI!$C$8)),MAX($U$3:U1875)+1,""))</f>
        <v/>
      </c>
      <c r="V1876" s="40" t="str">
        <f aca="false">IF($T1876="","",MAX($V$3:V1875)+1)</f>
        <v/>
      </c>
      <c r="W1876" s="40" t="str">
        <f aca="false">IF($E1876="","",$E1876&amp;"#"&amp;COUNTIF($E$4:$E1876,$E1876))</f>
        <v/>
      </c>
      <c r="X1876" s="40" t="str">
        <f aca="false">IF($B1876="","",IF(AND(OR(CETAK!$J$10="",$E1876=CETAK!$J$10),OR(CETAK!$J$11="",$F1876=CETAK!$J$11),OR(CETAK!$J$12="",$K1876=CETAK!$J$12),OR(CETAK!$J$13="",$H1876=CETAK!$J$13),OR(CETAK!$J$14="",$O1876=CETAK!$J$14)),MAX($X$3:X1875)+1,""))</f>
        <v/>
      </c>
      <c r="Y1876" s="40" t="str">
        <f aca="false">IF($B1876="","",IF(AND(OR(ABSENSI!$H$10="",$E1876=ABSENSI!$H$10),OR(ABSENSI!$H$11="",$F1876=ABSENSI!$H$11),OR(ABSENSI!$H$12="",$K1876=ABSENSI!$H$12)),MAX($Y$3:Y1875)+1,""))</f>
        <v/>
      </c>
      <c r="Z1876" s="40" t="str">
        <f aca="false">IF($B1876="","",IF(AND(OR(KARTU!$K$6="",$E1876=KARTU!$K$6),OR(KARTU!$K$7="",$F1876=KARTU!$K$7),OR(KARTU!$K$8="",$K1876=KARTU!$K$8)),MAX($Z$3:Z1875)+1,""))</f>
        <v/>
      </c>
    </row>
    <row r="1877" customFormat="false" ht="15" hidden="false" customHeight="false" outlineLevel="0" collapsed="false">
      <c r="A1877" s="36" t="str">
        <f aca="false">IF($B1877="","",COUNTA($B$4:$B1877))</f>
        <v/>
      </c>
      <c r="B1877" s="37"/>
      <c r="C1877" s="38"/>
      <c r="D1877" s="39"/>
      <c r="E1877" s="37"/>
      <c r="F1877" s="39"/>
      <c r="G1877" s="40" t="str">
        <f aca="false">IF(OR($E1877="",$F1877=""),"",$E1877&amp;" - RT "&amp;$F1877)</f>
        <v/>
      </c>
      <c r="H1877" s="37"/>
      <c r="I1877" s="38"/>
      <c r="J1877" s="37"/>
      <c r="K1877" s="39"/>
      <c r="L1877" s="41"/>
      <c r="M1877" s="36" t="str">
        <f aca="true">IF(OR($B1877="",$L1877=""),"",DATEDIF($L1877,TODAY(),"Y"))</f>
        <v/>
      </c>
      <c r="N1877" s="40" t="str">
        <f aca="false">IF($M1877="","",INDEX(usia_label,MATCH($M1877,usia_min,1)))</f>
        <v/>
      </c>
      <c r="O1877" s="37"/>
      <c r="P1877" s="41"/>
      <c r="Q1877" s="37"/>
      <c r="R1877" s="37"/>
      <c r="S1877" s="40" t="str">
        <f aca="false">IF($G1877="","",$G1877&amp;"#"&amp;COUNTIF($G$4:$G1877,$G1877))</f>
        <v/>
      </c>
      <c r="T1877" s="40" t="str">
        <f aca="false">IF($B1877="","",IF($C1877="","NIK kosong",IF(LEN($C1877)&lt;&gt;16,"NIK bukan 16 digit",IF(COUNTIF($C$4:$C$2003,$C1877&amp;"*")&gt;1,"NIK ganda",IF($E1877="","Kadus kosong",IF($F1877="","RT kosong",IF($H1877="","Jabatan kosong",IF($I1877="","No. HP kosong",IF($J1877="","Alamat kosong",IF(AND($M1877&lt;&gt;"",$M1877&lt;17),"Usia di bawah 17",""))))))))))</f>
        <v/>
      </c>
      <c r="U1877" s="40" t="str">
        <f aca="false">IF($B1877="","",IF(AND(OR(CARI!$C$5="",ISNUMBER(SEARCH(CARI!$C$5,$B1877&amp;" "&amp;$C1877&amp;" "&amp;$I1877&amp;" "&amp;$J1877&amp;" "&amp;$Q1877))),OR(CARI!$C$6="",$E1877=CARI!$C$6),OR(CARI!$C$7="",$F1877=CARI!$C$7),OR(CARI!$C$8="",$O1877=CARI!$C$8)),MAX($U$3:U1876)+1,""))</f>
        <v/>
      </c>
      <c r="V1877" s="40" t="str">
        <f aca="false">IF($T1877="","",MAX($V$3:V1876)+1)</f>
        <v/>
      </c>
      <c r="W1877" s="40" t="str">
        <f aca="false">IF($E1877="","",$E1877&amp;"#"&amp;COUNTIF($E$4:$E1877,$E1877))</f>
        <v/>
      </c>
      <c r="X1877" s="40" t="str">
        <f aca="false">IF($B1877="","",IF(AND(OR(CETAK!$J$10="",$E1877=CETAK!$J$10),OR(CETAK!$J$11="",$F1877=CETAK!$J$11),OR(CETAK!$J$12="",$K1877=CETAK!$J$12),OR(CETAK!$J$13="",$H1877=CETAK!$J$13),OR(CETAK!$J$14="",$O1877=CETAK!$J$14)),MAX($X$3:X1876)+1,""))</f>
        <v/>
      </c>
      <c r="Y1877" s="40" t="str">
        <f aca="false">IF($B1877="","",IF(AND(OR(ABSENSI!$H$10="",$E1877=ABSENSI!$H$10),OR(ABSENSI!$H$11="",$F1877=ABSENSI!$H$11),OR(ABSENSI!$H$12="",$K1877=ABSENSI!$H$12)),MAX($Y$3:Y1876)+1,""))</f>
        <v/>
      </c>
      <c r="Z1877" s="40" t="str">
        <f aca="false">IF($B1877="","",IF(AND(OR(KARTU!$K$6="",$E1877=KARTU!$K$6),OR(KARTU!$K$7="",$F1877=KARTU!$K$7),OR(KARTU!$K$8="",$K1877=KARTU!$K$8)),MAX($Z$3:Z1876)+1,""))</f>
        <v/>
      </c>
    </row>
    <row r="1878" customFormat="false" ht="15" hidden="false" customHeight="false" outlineLevel="0" collapsed="false">
      <c r="A1878" s="36" t="str">
        <f aca="false">IF($B1878="","",COUNTA($B$4:$B1878))</f>
        <v/>
      </c>
      <c r="B1878" s="37"/>
      <c r="C1878" s="38"/>
      <c r="D1878" s="39"/>
      <c r="E1878" s="37"/>
      <c r="F1878" s="39"/>
      <c r="G1878" s="40" t="str">
        <f aca="false">IF(OR($E1878="",$F1878=""),"",$E1878&amp;" - RT "&amp;$F1878)</f>
        <v/>
      </c>
      <c r="H1878" s="37"/>
      <c r="I1878" s="38"/>
      <c r="J1878" s="37"/>
      <c r="K1878" s="39"/>
      <c r="L1878" s="41"/>
      <c r="M1878" s="36" t="str">
        <f aca="true">IF(OR($B1878="",$L1878=""),"",DATEDIF($L1878,TODAY(),"Y"))</f>
        <v/>
      </c>
      <c r="N1878" s="40" t="str">
        <f aca="false">IF($M1878="","",INDEX(usia_label,MATCH($M1878,usia_min,1)))</f>
        <v/>
      </c>
      <c r="O1878" s="37"/>
      <c r="P1878" s="41"/>
      <c r="Q1878" s="37"/>
      <c r="R1878" s="37"/>
      <c r="S1878" s="40" t="str">
        <f aca="false">IF($G1878="","",$G1878&amp;"#"&amp;COUNTIF($G$4:$G1878,$G1878))</f>
        <v/>
      </c>
      <c r="T1878" s="40" t="str">
        <f aca="false">IF($B1878="","",IF($C1878="","NIK kosong",IF(LEN($C1878)&lt;&gt;16,"NIK bukan 16 digit",IF(COUNTIF($C$4:$C$2003,$C1878&amp;"*")&gt;1,"NIK ganda",IF($E1878="","Kadus kosong",IF($F1878="","RT kosong",IF($H1878="","Jabatan kosong",IF($I1878="","No. HP kosong",IF($J1878="","Alamat kosong",IF(AND($M1878&lt;&gt;"",$M1878&lt;17),"Usia di bawah 17",""))))))))))</f>
        <v/>
      </c>
      <c r="U1878" s="40" t="str">
        <f aca="false">IF($B1878="","",IF(AND(OR(CARI!$C$5="",ISNUMBER(SEARCH(CARI!$C$5,$B1878&amp;" "&amp;$C1878&amp;" "&amp;$I1878&amp;" "&amp;$J1878&amp;" "&amp;$Q1878))),OR(CARI!$C$6="",$E1878=CARI!$C$6),OR(CARI!$C$7="",$F1878=CARI!$C$7),OR(CARI!$C$8="",$O1878=CARI!$C$8)),MAX($U$3:U1877)+1,""))</f>
        <v/>
      </c>
      <c r="V1878" s="40" t="str">
        <f aca="false">IF($T1878="","",MAX($V$3:V1877)+1)</f>
        <v/>
      </c>
      <c r="W1878" s="40" t="str">
        <f aca="false">IF($E1878="","",$E1878&amp;"#"&amp;COUNTIF($E$4:$E1878,$E1878))</f>
        <v/>
      </c>
      <c r="X1878" s="40" t="str">
        <f aca="false">IF($B1878="","",IF(AND(OR(CETAK!$J$10="",$E1878=CETAK!$J$10),OR(CETAK!$J$11="",$F1878=CETAK!$J$11),OR(CETAK!$J$12="",$K1878=CETAK!$J$12),OR(CETAK!$J$13="",$H1878=CETAK!$J$13),OR(CETAK!$J$14="",$O1878=CETAK!$J$14)),MAX($X$3:X1877)+1,""))</f>
        <v/>
      </c>
      <c r="Y1878" s="40" t="str">
        <f aca="false">IF($B1878="","",IF(AND(OR(ABSENSI!$H$10="",$E1878=ABSENSI!$H$10),OR(ABSENSI!$H$11="",$F1878=ABSENSI!$H$11),OR(ABSENSI!$H$12="",$K1878=ABSENSI!$H$12)),MAX($Y$3:Y1877)+1,""))</f>
        <v/>
      </c>
      <c r="Z1878" s="40" t="str">
        <f aca="false">IF($B1878="","",IF(AND(OR(KARTU!$K$6="",$E1878=KARTU!$K$6),OR(KARTU!$K$7="",$F1878=KARTU!$K$7),OR(KARTU!$K$8="",$K1878=KARTU!$K$8)),MAX($Z$3:Z1877)+1,""))</f>
        <v/>
      </c>
    </row>
    <row r="1879" customFormat="false" ht="15" hidden="false" customHeight="false" outlineLevel="0" collapsed="false">
      <c r="A1879" s="36" t="str">
        <f aca="false">IF($B1879="","",COUNTA($B$4:$B1879))</f>
        <v/>
      </c>
      <c r="B1879" s="37"/>
      <c r="C1879" s="38"/>
      <c r="D1879" s="39"/>
      <c r="E1879" s="37"/>
      <c r="F1879" s="39"/>
      <c r="G1879" s="40" t="str">
        <f aca="false">IF(OR($E1879="",$F1879=""),"",$E1879&amp;" - RT "&amp;$F1879)</f>
        <v/>
      </c>
      <c r="H1879" s="37"/>
      <c r="I1879" s="38"/>
      <c r="J1879" s="37"/>
      <c r="K1879" s="39"/>
      <c r="L1879" s="41"/>
      <c r="M1879" s="36" t="str">
        <f aca="true">IF(OR($B1879="",$L1879=""),"",DATEDIF($L1879,TODAY(),"Y"))</f>
        <v/>
      </c>
      <c r="N1879" s="40" t="str">
        <f aca="false">IF($M1879="","",INDEX(usia_label,MATCH($M1879,usia_min,1)))</f>
        <v/>
      </c>
      <c r="O1879" s="37"/>
      <c r="P1879" s="41"/>
      <c r="Q1879" s="37"/>
      <c r="R1879" s="37"/>
      <c r="S1879" s="40" t="str">
        <f aca="false">IF($G1879="","",$G1879&amp;"#"&amp;COUNTIF($G$4:$G1879,$G1879))</f>
        <v/>
      </c>
      <c r="T1879" s="40" t="str">
        <f aca="false">IF($B1879="","",IF($C1879="","NIK kosong",IF(LEN($C1879)&lt;&gt;16,"NIK bukan 16 digit",IF(COUNTIF($C$4:$C$2003,$C1879&amp;"*")&gt;1,"NIK ganda",IF($E1879="","Kadus kosong",IF($F1879="","RT kosong",IF($H1879="","Jabatan kosong",IF($I1879="","No. HP kosong",IF($J1879="","Alamat kosong",IF(AND($M1879&lt;&gt;"",$M1879&lt;17),"Usia di bawah 17",""))))))))))</f>
        <v/>
      </c>
      <c r="U1879" s="40" t="str">
        <f aca="false">IF($B1879="","",IF(AND(OR(CARI!$C$5="",ISNUMBER(SEARCH(CARI!$C$5,$B1879&amp;" "&amp;$C1879&amp;" "&amp;$I1879&amp;" "&amp;$J1879&amp;" "&amp;$Q1879))),OR(CARI!$C$6="",$E1879=CARI!$C$6),OR(CARI!$C$7="",$F1879=CARI!$C$7),OR(CARI!$C$8="",$O1879=CARI!$C$8)),MAX($U$3:U1878)+1,""))</f>
        <v/>
      </c>
      <c r="V1879" s="40" t="str">
        <f aca="false">IF($T1879="","",MAX($V$3:V1878)+1)</f>
        <v/>
      </c>
      <c r="W1879" s="40" t="str">
        <f aca="false">IF($E1879="","",$E1879&amp;"#"&amp;COUNTIF($E$4:$E1879,$E1879))</f>
        <v/>
      </c>
      <c r="X1879" s="40" t="str">
        <f aca="false">IF($B1879="","",IF(AND(OR(CETAK!$J$10="",$E1879=CETAK!$J$10),OR(CETAK!$J$11="",$F1879=CETAK!$J$11),OR(CETAK!$J$12="",$K1879=CETAK!$J$12),OR(CETAK!$J$13="",$H1879=CETAK!$J$13),OR(CETAK!$J$14="",$O1879=CETAK!$J$14)),MAX($X$3:X1878)+1,""))</f>
        <v/>
      </c>
      <c r="Y1879" s="40" t="str">
        <f aca="false">IF($B1879="","",IF(AND(OR(ABSENSI!$H$10="",$E1879=ABSENSI!$H$10),OR(ABSENSI!$H$11="",$F1879=ABSENSI!$H$11),OR(ABSENSI!$H$12="",$K1879=ABSENSI!$H$12)),MAX($Y$3:Y1878)+1,""))</f>
        <v/>
      </c>
      <c r="Z1879" s="40" t="str">
        <f aca="false">IF($B1879="","",IF(AND(OR(KARTU!$K$6="",$E1879=KARTU!$K$6),OR(KARTU!$K$7="",$F1879=KARTU!$K$7),OR(KARTU!$K$8="",$K1879=KARTU!$K$8)),MAX($Z$3:Z1878)+1,""))</f>
        <v/>
      </c>
    </row>
    <row r="1880" customFormat="false" ht="15" hidden="false" customHeight="false" outlineLevel="0" collapsed="false">
      <c r="A1880" s="36" t="str">
        <f aca="false">IF($B1880="","",COUNTA($B$4:$B1880))</f>
        <v/>
      </c>
      <c r="B1880" s="37"/>
      <c r="C1880" s="38"/>
      <c r="D1880" s="39"/>
      <c r="E1880" s="37"/>
      <c r="F1880" s="39"/>
      <c r="G1880" s="40" t="str">
        <f aca="false">IF(OR($E1880="",$F1880=""),"",$E1880&amp;" - RT "&amp;$F1880)</f>
        <v/>
      </c>
      <c r="H1880" s="37"/>
      <c r="I1880" s="38"/>
      <c r="J1880" s="37"/>
      <c r="K1880" s="39"/>
      <c r="L1880" s="41"/>
      <c r="M1880" s="36" t="str">
        <f aca="true">IF(OR($B1880="",$L1880=""),"",DATEDIF($L1880,TODAY(),"Y"))</f>
        <v/>
      </c>
      <c r="N1880" s="40" t="str">
        <f aca="false">IF($M1880="","",INDEX(usia_label,MATCH($M1880,usia_min,1)))</f>
        <v/>
      </c>
      <c r="O1880" s="37"/>
      <c r="P1880" s="41"/>
      <c r="Q1880" s="37"/>
      <c r="R1880" s="37"/>
      <c r="S1880" s="40" t="str">
        <f aca="false">IF($G1880="","",$G1880&amp;"#"&amp;COUNTIF($G$4:$G1880,$G1880))</f>
        <v/>
      </c>
      <c r="T1880" s="40" t="str">
        <f aca="false">IF($B1880="","",IF($C1880="","NIK kosong",IF(LEN($C1880)&lt;&gt;16,"NIK bukan 16 digit",IF(COUNTIF($C$4:$C$2003,$C1880&amp;"*")&gt;1,"NIK ganda",IF($E1880="","Kadus kosong",IF($F1880="","RT kosong",IF($H1880="","Jabatan kosong",IF($I1880="","No. HP kosong",IF($J1880="","Alamat kosong",IF(AND($M1880&lt;&gt;"",$M1880&lt;17),"Usia di bawah 17",""))))))))))</f>
        <v/>
      </c>
      <c r="U1880" s="40" t="str">
        <f aca="false">IF($B1880="","",IF(AND(OR(CARI!$C$5="",ISNUMBER(SEARCH(CARI!$C$5,$B1880&amp;" "&amp;$C1880&amp;" "&amp;$I1880&amp;" "&amp;$J1880&amp;" "&amp;$Q1880))),OR(CARI!$C$6="",$E1880=CARI!$C$6),OR(CARI!$C$7="",$F1880=CARI!$C$7),OR(CARI!$C$8="",$O1880=CARI!$C$8)),MAX($U$3:U1879)+1,""))</f>
        <v/>
      </c>
      <c r="V1880" s="40" t="str">
        <f aca="false">IF($T1880="","",MAX($V$3:V1879)+1)</f>
        <v/>
      </c>
      <c r="W1880" s="40" t="str">
        <f aca="false">IF($E1880="","",$E1880&amp;"#"&amp;COUNTIF($E$4:$E1880,$E1880))</f>
        <v/>
      </c>
      <c r="X1880" s="40" t="str">
        <f aca="false">IF($B1880="","",IF(AND(OR(CETAK!$J$10="",$E1880=CETAK!$J$10),OR(CETAK!$J$11="",$F1880=CETAK!$J$11),OR(CETAK!$J$12="",$K1880=CETAK!$J$12),OR(CETAK!$J$13="",$H1880=CETAK!$J$13),OR(CETAK!$J$14="",$O1880=CETAK!$J$14)),MAX($X$3:X1879)+1,""))</f>
        <v/>
      </c>
      <c r="Y1880" s="40" t="str">
        <f aca="false">IF($B1880="","",IF(AND(OR(ABSENSI!$H$10="",$E1880=ABSENSI!$H$10),OR(ABSENSI!$H$11="",$F1880=ABSENSI!$H$11),OR(ABSENSI!$H$12="",$K1880=ABSENSI!$H$12)),MAX($Y$3:Y1879)+1,""))</f>
        <v/>
      </c>
      <c r="Z1880" s="40" t="str">
        <f aca="false">IF($B1880="","",IF(AND(OR(KARTU!$K$6="",$E1880=KARTU!$K$6),OR(KARTU!$K$7="",$F1880=KARTU!$K$7),OR(KARTU!$K$8="",$K1880=KARTU!$K$8)),MAX($Z$3:Z1879)+1,""))</f>
        <v/>
      </c>
    </row>
    <row r="1881" customFormat="false" ht="15" hidden="false" customHeight="false" outlineLevel="0" collapsed="false">
      <c r="A1881" s="36" t="str">
        <f aca="false">IF($B1881="","",COUNTA($B$4:$B1881))</f>
        <v/>
      </c>
      <c r="B1881" s="37"/>
      <c r="C1881" s="38"/>
      <c r="D1881" s="39"/>
      <c r="E1881" s="37"/>
      <c r="F1881" s="39"/>
      <c r="G1881" s="40" t="str">
        <f aca="false">IF(OR($E1881="",$F1881=""),"",$E1881&amp;" - RT "&amp;$F1881)</f>
        <v/>
      </c>
      <c r="H1881" s="37"/>
      <c r="I1881" s="38"/>
      <c r="J1881" s="37"/>
      <c r="K1881" s="39"/>
      <c r="L1881" s="41"/>
      <c r="M1881" s="36" t="str">
        <f aca="true">IF(OR($B1881="",$L1881=""),"",DATEDIF($L1881,TODAY(),"Y"))</f>
        <v/>
      </c>
      <c r="N1881" s="40" t="str">
        <f aca="false">IF($M1881="","",INDEX(usia_label,MATCH($M1881,usia_min,1)))</f>
        <v/>
      </c>
      <c r="O1881" s="37"/>
      <c r="P1881" s="41"/>
      <c r="Q1881" s="37"/>
      <c r="R1881" s="37"/>
      <c r="S1881" s="40" t="str">
        <f aca="false">IF($G1881="","",$G1881&amp;"#"&amp;COUNTIF($G$4:$G1881,$G1881))</f>
        <v/>
      </c>
      <c r="T1881" s="40" t="str">
        <f aca="false">IF($B1881="","",IF($C1881="","NIK kosong",IF(LEN($C1881)&lt;&gt;16,"NIK bukan 16 digit",IF(COUNTIF($C$4:$C$2003,$C1881&amp;"*")&gt;1,"NIK ganda",IF($E1881="","Kadus kosong",IF($F1881="","RT kosong",IF($H1881="","Jabatan kosong",IF($I1881="","No. HP kosong",IF($J1881="","Alamat kosong",IF(AND($M1881&lt;&gt;"",$M1881&lt;17),"Usia di bawah 17",""))))))))))</f>
        <v/>
      </c>
      <c r="U1881" s="40" t="str">
        <f aca="false">IF($B1881="","",IF(AND(OR(CARI!$C$5="",ISNUMBER(SEARCH(CARI!$C$5,$B1881&amp;" "&amp;$C1881&amp;" "&amp;$I1881&amp;" "&amp;$J1881&amp;" "&amp;$Q1881))),OR(CARI!$C$6="",$E1881=CARI!$C$6),OR(CARI!$C$7="",$F1881=CARI!$C$7),OR(CARI!$C$8="",$O1881=CARI!$C$8)),MAX($U$3:U1880)+1,""))</f>
        <v/>
      </c>
      <c r="V1881" s="40" t="str">
        <f aca="false">IF($T1881="","",MAX($V$3:V1880)+1)</f>
        <v/>
      </c>
      <c r="W1881" s="40" t="str">
        <f aca="false">IF($E1881="","",$E1881&amp;"#"&amp;COUNTIF($E$4:$E1881,$E1881))</f>
        <v/>
      </c>
      <c r="X1881" s="40" t="str">
        <f aca="false">IF($B1881="","",IF(AND(OR(CETAK!$J$10="",$E1881=CETAK!$J$10),OR(CETAK!$J$11="",$F1881=CETAK!$J$11),OR(CETAK!$J$12="",$K1881=CETAK!$J$12),OR(CETAK!$J$13="",$H1881=CETAK!$J$13),OR(CETAK!$J$14="",$O1881=CETAK!$J$14)),MAX($X$3:X1880)+1,""))</f>
        <v/>
      </c>
      <c r="Y1881" s="40" t="str">
        <f aca="false">IF($B1881="","",IF(AND(OR(ABSENSI!$H$10="",$E1881=ABSENSI!$H$10),OR(ABSENSI!$H$11="",$F1881=ABSENSI!$H$11),OR(ABSENSI!$H$12="",$K1881=ABSENSI!$H$12)),MAX($Y$3:Y1880)+1,""))</f>
        <v/>
      </c>
      <c r="Z1881" s="40" t="str">
        <f aca="false">IF($B1881="","",IF(AND(OR(KARTU!$K$6="",$E1881=KARTU!$K$6),OR(KARTU!$K$7="",$F1881=KARTU!$K$7),OR(KARTU!$K$8="",$K1881=KARTU!$K$8)),MAX($Z$3:Z1880)+1,""))</f>
        <v/>
      </c>
    </row>
    <row r="1882" customFormat="false" ht="15" hidden="false" customHeight="false" outlineLevel="0" collapsed="false">
      <c r="A1882" s="36" t="str">
        <f aca="false">IF($B1882="","",COUNTA($B$4:$B1882))</f>
        <v/>
      </c>
      <c r="B1882" s="37"/>
      <c r="C1882" s="38"/>
      <c r="D1882" s="39"/>
      <c r="E1882" s="37"/>
      <c r="F1882" s="39"/>
      <c r="G1882" s="40" t="str">
        <f aca="false">IF(OR($E1882="",$F1882=""),"",$E1882&amp;" - RT "&amp;$F1882)</f>
        <v/>
      </c>
      <c r="H1882" s="37"/>
      <c r="I1882" s="38"/>
      <c r="J1882" s="37"/>
      <c r="K1882" s="39"/>
      <c r="L1882" s="41"/>
      <c r="M1882" s="36" t="str">
        <f aca="true">IF(OR($B1882="",$L1882=""),"",DATEDIF($L1882,TODAY(),"Y"))</f>
        <v/>
      </c>
      <c r="N1882" s="40" t="str">
        <f aca="false">IF($M1882="","",INDEX(usia_label,MATCH($M1882,usia_min,1)))</f>
        <v/>
      </c>
      <c r="O1882" s="37"/>
      <c r="P1882" s="41"/>
      <c r="Q1882" s="37"/>
      <c r="R1882" s="37"/>
      <c r="S1882" s="40" t="str">
        <f aca="false">IF($G1882="","",$G1882&amp;"#"&amp;COUNTIF($G$4:$G1882,$G1882))</f>
        <v/>
      </c>
      <c r="T1882" s="40" t="str">
        <f aca="false">IF($B1882="","",IF($C1882="","NIK kosong",IF(LEN($C1882)&lt;&gt;16,"NIK bukan 16 digit",IF(COUNTIF($C$4:$C$2003,$C1882&amp;"*")&gt;1,"NIK ganda",IF($E1882="","Kadus kosong",IF($F1882="","RT kosong",IF($H1882="","Jabatan kosong",IF($I1882="","No. HP kosong",IF($J1882="","Alamat kosong",IF(AND($M1882&lt;&gt;"",$M1882&lt;17),"Usia di bawah 17",""))))))))))</f>
        <v/>
      </c>
      <c r="U1882" s="40" t="str">
        <f aca="false">IF($B1882="","",IF(AND(OR(CARI!$C$5="",ISNUMBER(SEARCH(CARI!$C$5,$B1882&amp;" "&amp;$C1882&amp;" "&amp;$I1882&amp;" "&amp;$J1882&amp;" "&amp;$Q1882))),OR(CARI!$C$6="",$E1882=CARI!$C$6),OR(CARI!$C$7="",$F1882=CARI!$C$7),OR(CARI!$C$8="",$O1882=CARI!$C$8)),MAX($U$3:U1881)+1,""))</f>
        <v/>
      </c>
      <c r="V1882" s="40" t="str">
        <f aca="false">IF($T1882="","",MAX($V$3:V1881)+1)</f>
        <v/>
      </c>
      <c r="W1882" s="40" t="str">
        <f aca="false">IF($E1882="","",$E1882&amp;"#"&amp;COUNTIF($E$4:$E1882,$E1882))</f>
        <v/>
      </c>
      <c r="X1882" s="40" t="str">
        <f aca="false">IF($B1882="","",IF(AND(OR(CETAK!$J$10="",$E1882=CETAK!$J$10),OR(CETAK!$J$11="",$F1882=CETAK!$J$11),OR(CETAK!$J$12="",$K1882=CETAK!$J$12),OR(CETAK!$J$13="",$H1882=CETAK!$J$13),OR(CETAK!$J$14="",$O1882=CETAK!$J$14)),MAX($X$3:X1881)+1,""))</f>
        <v/>
      </c>
      <c r="Y1882" s="40" t="str">
        <f aca="false">IF($B1882="","",IF(AND(OR(ABSENSI!$H$10="",$E1882=ABSENSI!$H$10),OR(ABSENSI!$H$11="",$F1882=ABSENSI!$H$11),OR(ABSENSI!$H$12="",$K1882=ABSENSI!$H$12)),MAX($Y$3:Y1881)+1,""))</f>
        <v/>
      </c>
      <c r="Z1882" s="40" t="str">
        <f aca="false">IF($B1882="","",IF(AND(OR(KARTU!$K$6="",$E1882=KARTU!$K$6),OR(KARTU!$K$7="",$F1882=KARTU!$K$7),OR(KARTU!$K$8="",$K1882=KARTU!$K$8)),MAX($Z$3:Z1881)+1,""))</f>
        <v/>
      </c>
    </row>
    <row r="1883" customFormat="false" ht="15" hidden="false" customHeight="false" outlineLevel="0" collapsed="false">
      <c r="A1883" s="36" t="str">
        <f aca="false">IF($B1883="","",COUNTA($B$4:$B1883))</f>
        <v/>
      </c>
      <c r="B1883" s="37"/>
      <c r="C1883" s="38"/>
      <c r="D1883" s="39"/>
      <c r="E1883" s="37"/>
      <c r="F1883" s="39"/>
      <c r="G1883" s="40" t="str">
        <f aca="false">IF(OR($E1883="",$F1883=""),"",$E1883&amp;" - RT "&amp;$F1883)</f>
        <v/>
      </c>
      <c r="H1883" s="37"/>
      <c r="I1883" s="38"/>
      <c r="J1883" s="37"/>
      <c r="K1883" s="39"/>
      <c r="L1883" s="41"/>
      <c r="M1883" s="36" t="str">
        <f aca="true">IF(OR($B1883="",$L1883=""),"",DATEDIF($L1883,TODAY(),"Y"))</f>
        <v/>
      </c>
      <c r="N1883" s="40" t="str">
        <f aca="false">IF($M1883="","",INDEX(usia_label,MATCH($M1883,usia_min,1)))</f>
        <v/>
      </c>
      <c r="O1883" s="37"/>
      <c r="P1883" s="41"/>
      <c r="Q1883" s="37"/>
      <c r="R1883" s="37"/>
      <c r="S1883" s="40" t="str">
        <f aca="false">IF($G1883="","",$G1883&amp;"#"&amp;COUNTIF($G$4:$G1883,$G1883))</f>
        <v/>
      </c>
      <c r="T1883" s="40" t="str">
        <f aca="false">IF($B1883="","",IF($C1883="","NIK kosong",IF(LEN($C1883)&lt;&gt;16,"NIK bukan 16 digit",IF(COUNTIF($C$4:$C$2003,$C1883&amp;"*")&gt;1,"NIK ganda",IF($E1883="","Kadus kosong",IF($F1883="","RT kosong",IF($H1883="","Jabatan kosong",IF($I1883="","No. HP kosong",IF($J1883="","Alamat kosong",IF(AND($M1883&lt;&gt;"",$M1883&lt;17),"Usia di bawah 17",""))))))))))</f>
        <v/>
      </c>
      <c r="U1883" s="40" t="str">
        <f aca="false">IF($B1883="","",IF(AND(OR(CARI!$C$5="",ISNUMBER(SEARCH(CARI!$C$5,$B1883&amp;" "&amp;$C1883&amp;" "&amp;$I1883&amp;" "&amp;$J1883&amp;" "&amp;$Q1883))),OR(CARI!$C$6="",$E1883=CARI!$C$6),OR(CARI!$C$7="",$F1883=CARI!$C$7),OR(CARI!$C$8="",$O1883=CARI!$C$8)),MAX($U$3:U1882)+1,""))</f>
        <v/>
      </c>
      <c r="V1883" s="40" t="str">
        <f aca="false">IF($T1883="","",MAX($V$3:V1882)+1)</f>
        <v/>
      </c>
      <c r="W1883" s="40" t="str">
        <f aca="false">IF($E1883="","",$E1883&amp;"#"&amp;COUNTIF($E$4:$E1883,$E1883))</f>
        <v/>
      </c>
      <c r="X1883" s="40" t="str">
        <f aca="false">IF($B1883="","",IF(AND(OR(CETAK!$J$10="",$E1883=CETAK!$J$10),OR(CETAK!$J$11="",$F1883=CETAK!$J$11),OR(CETAK!$J$12="",$K1883=CETAK!$J$12),OR(CETAK!$J$13="",$H1883=CETAK!$J$13),OR(CETAK!$J$14="",$O1883=CETAK!$J$14)),MAX($X$3:X1882)+1,""))</f>
        <v/>
      </c>
      <c r="Y1883" s="40" t="str">
        <f aca="false">IF($B1883="","",IF(AND(OR(ABSENSI!$H$10="",$E1883=ABSENSI!$H$10),OR(ABSENSI!$H$11="",$F1883=ABSENSI!$H$11),OR(ABSENSI!$H$12="",$K1883=ABSENSI!$H$12)),MAX($Y$3:Y1882)+1,""))</f>
        <v/>
      </c>
      <c r="Z1883" s="40" t="str">
        <f aca="false">IF($B1883="","",IF(AND(OR(KARTU!$K$6="",$E1883=KARTU!$K$6),OR(KARTU!$K$7="",$F1883=KARTU!$K$7),OR(KARTU!$K$8="",$K1883=KARTU!$K$8)),MAX($Z$3:Z1882)+1,""))</f>
        <v/>
      </c>
    </row>
    <row r="1884" customFormat="false" ht="15" hidden="false" customHeight="false" outlineLevel="0" collapsed="false">
      <c r="A1884" s="36" t="str">
        <f aca="false">IF($B1884="","",COUNTA($B$4:$B1884))</f>
        <v/>
      </c>
      <c r="B1884" s="37"/>
      <c r="C1884" s="38"/>
      <c r="D1884" s="39"/>
      <c r="E1884" s="37"/>
      <c r="F1884" s="39"/>
      <c r="G1884" s="40" t="str">
        <f aca="false">IF(OR($E1884="",$F1884=""),"",$E1884&amp;" - RT "&amp;$F1884)</f>
        <v/>
      </c>
      <c r="H1884" s="37"/>
      <c r="I1884" s="38"/>
      <c r="J1884" s="37"/>
      <c r="K1884" s="39"/>
      <c r="L1884" s="41"/>
      <c r="M1884" s="36" t="str">
        <f aca="true">IF(OR($B1884="",$L1884=""),"",DATEDIF($L1884,TODAY(),"Y"))</f>
        <v/>
      </c>
      <c r="N1884" s="40" t="str">
        <f aca="false">IF($M1884="","",INDEX(usia_label,MATCH($M1884,usia_min,1)))</f>
        <v/>
      </c>
      <c r="O1884" s="37"/>
      <c r="P1884" s="41"/>
      <c r="Q1884" s="37"/>
      <c r="R1884" s="37"/>
      <c r="S1884" s="40" t="str">
        <f aca="false">IF($G1884="","",$G1884&amp;"#"&amp;COUNTIF($G$4:$G1884,$G1884))</f>
        <v/>
      </c>
      <c r="T1884" s="40" t="str">
        <f aca="false">IF($B1884="","",IF($C1884="","NIK kosong",IF(LEN($C1884)&lt;&gt;16,"NIK bukan 16 digit",IF(COUNTIF($C$4:$C$2003,$C1884&amp;"*")&gt;1,"NIK ganda",IF($E1884="","Kadus kosong",IF($F1884="","RT kosong",IF($H1884="","Jabatan kosong",IF($I1884="","No. HP kosong",IF($J1884="","Alamat kosong",IF(AND($M1884&lt;&gt;"",$M1884&lt;17),"Usia di bawah 17",""))))))))))</f>
        <v/>
      </c>
      <c r="U1884" s="40" t="str">
        <f aca="false">IF($B1884="","",IF(AND(OR(CARI!$C$5="",ISNUMBER(SEARCH(CARI!$C$5,$B1884&amp;" "&amp;$C1884&amp;" "&amp;$I1884&amp;" "&amp;$J1884&amp;" "&amp;$Q1884))),OR(CARI!$C$6="",$E1884=CARI!$C$6),OR(CARI!$C$7="",$F1884=CARI!$C$7),OR(CARI!$C$8="",$O1884=CARI!$C$8)),MAX($U$3:U1883)+1,""))</f>
        <v/>
      </c>
      <c r="V1884" s="40" t="str">
        <f aca="false">IF($T1884="","",MAX($V$3:V1883)+1)</f>
        <v/>
      </c>
      <c r="W1884" s="40" t="str">
        <f aca="false">IF($E1884="","",$E1884&amp;"#"&amp;COUNTIF($E$4:$E1884,$E1884))</f>
        <v/>
      </c>
      <c r="X1884" s="40" t="str">
        <f aca="false">IF($B1884="","",IF(AND(OR(CETAK!$J$10="",$E1884=CETAK!$J$10),OR(CETAK!$J$11="",$F1884=CETAK!$J$11),OR(CETAK!$J$12="",$K1884=CETAK!$J$12),OR(CETAK!$J$13="",$H1884=CETAK!$J$13),OR(CETAK!$J$14="",$O1884=CETAK!$J$14)),MAX($X$3:X1883)+1,""))</f>
        <v/>
      </c>
      <c r="Y1884" s="40" t="str">
        <f aca="false">IF($B1884="","",IF(AND(OR(ABSENSI!$H$10="",$E1884=ABSENSI!$H$10),OR(ABSENSI!$H$11="",$F1884=ABSENSI!$H$11),OR(ABSENSI!$H$12="",$K1884=ABSENSI!$H$12)),MAX($Y$3:Y1883)+1,""))</f>
        <v/>
      </c>
      <c r="Z1884" s="40" t="str">
        <f aca="false">IF($B1884="","",IF(AND(OR(KARTU!$K$6="",$E1884=KARTU!$K$6),OR(KARTU!$K$7="",$F1884=KARTU!$K$7),OR(KARTU!$K$8="",$K1884=KARTU!$K$8)),MAX($Z$3:Z1883)+1,""))</f>
        <v/>
      </c>
    </row>
    <row r="1885" customFormat="false" ht="15" hidden="false" customHeight="false" outlineLevel="0" collapsed="false">
      <c r="A1885" s="36" t="str">
        <f aca="false">IF($B1885="","",COUNTA($B$4:$B1885))</f>
        <v/>
      </c>
      <c r="B1885" s="37"/>
      <c r="C1885" s="38"/>
      <c r="D1885" s="39"/>
      <c r="E1885" s="37"/>
      <c r="F1885" s="39"/>
      <c r="G1885" s="40" t="str">
        <f aca="false">IF(OR($E1885="",$F1885=""),"",$E1885&amp;" - RT "&amp;$F1885)</f>
        <v/>
      </c>
      <c r="H1885" s="37"/>
      <c r="I1885" s="38"/>
      <c r="J1885" s="37"/>
      <c r="K1885" s="39"/>
      <c r="L1885" s="41"/>
      <c r="M1885" s="36" t="str">
        <f aca="true">IF(OR($B1885="",$L1885=""),"",DATEDIF($L1885,TODAY(),"Y"))</f>
        <v/>
      </c>
      <c r="N1885" s="40" t="str">
        <f aca="false">IF($M1885="","",INDEX(usia_label,MATCH($M1885,usia_min,1)))</f>
        <v/>
      </c>
      <c r="O1885" s="37"/>
      <c r="P1885" s="41"/>
      <c r="Q1885" s="37"/>
      <c r="R1885" s="37"/>
      <c r="S1885" s="40" t="str">
        <f aca="false">IF($G1885="","",$G1885&amp;"#"&amp;COUNTIF($G$4:$G1885,$G1885))</f>
        <v/>
      </c>
      <c r="T1885" s="40" t="str">
        <f aca="false">IF($B1885="","",IF($C1885="","NIK kosong",IF(LEN($C1885)&lt;&gt;16,"NIK bukan 16 digit",IF(COUNTIF($C$4:$C$2003,$C1885&amp;"*")&gt;1,"NIK ganda",IF($E1885="","Kadus kosong",IF($F1885="","RT kosong",IF($H1885="","Jabatan kosong",IF($I1885="","No. HP kosong",IF($J1885="","Alamat kosong",IF(AND($M1885&lt;&gt;"",$M1885&lt;17),"Usia di bawah 17",""))))))))))</f>
        <v/>
      </c>
      <c r="U1885" s="40" t="str">
        <f aca="false">IF($B1885="","",IF(AND(OR(CARI!$C$5="",ISNUMBER(SEARCH(CARI!$C$5,$B1885&amp;" "&amp;$C1885&amp;" "&amp;$I1885&amp;" "&amp;$J1885&amp;" "&amp;$Q1885))),OR(CARI!$C$6="",$E1885=CARI!$C$6),OR(CARI!$C$7="",$F1885=CARI!$C$7),OR(CARI!$C$8="",$O1885=CARI!$C$8)),MAX($U$3:U1884)+1,""))</f>
        <v/>
      </c>
      <c r="V1885" s="40" t="str">
        <f aca="false">IF($T1885="","",MAX($V$3:V1884)+1)</f>
        <v/>
      </c>
      <c r="W1885" s="40" t="str">
        <f aca="false">IF($E1885="","",$E1885&amp;"#"&amp;COUNTIF($E$4:$E1885,$E1885))</f>
        <v/>
      </c>
      <c r="X1885" s="40" t="str">
        <f aca="false">IF($B1885="","",IF(AND(OR(CETAK!$J$10="",$E1885=CETAK!$J$10),OR(CETAK!$J$11="",$F1885=CETAK!$J$11),OR(CETAK!$J$12="",$K1885=CETAK!$J$12),OR(CETAK!$J$13="",$H1885=CETAK!$J$13),OR(CETAK!$J$14="",$O1885=CETAK!$J$14)),MAX($X$3:X1884)+1,""))</f>
        <v/>
      </c>
      <c r="Y1885" s="40" t="str">
        <f aca="false">IF($B1885="","",IF(AND(OR(ABSENSI!$H$10="",$E1885=ABSENSI!$H$10),OR(ABSENSI!$H$11="",$F1885=ABSENSI!$H$11),OR(ABSENSI!$H$12="",$K1885=ABSENSI!$H$12)),MAX($Y$3:Y1884)+1,""))</f>
        <v/>
      </c>
      <c r="Z1885" s="40" t="str">
        <f aca="false">IF($B1885="","",IF(AND(OR(KARTU!$K$6="",$E1885=KARTU!$K$6),OR(KARTU!$K$7="",$F1885=KARTU!$K$7),OR(KARTU!$K$8="",$K1885=KARTU!$K$8)),MAX($Z$3:Z1884)+1,""))</f>
        <v/>
      </c>
    </row>
    <row r="1886" customFormat="false" ht="15" hidden="false" customHeight="false" outlineLevel="0" collapsed="false">
      <c r="A1886" s="36" t="str">
        <f aca="false">IF($B1886="","",COUNTA($B$4:$B1886))</f>
        <v/>
      </c>
      <c r="B1886" s="37"/>
      <c r="C1886" s="38"/>
      <c r="D1886" s="39"/>
      <c r="E1886" s="37"/>
      <c r="F1886" s="39"/>
      <c r="G1886" s="40" t="str">
        <f aca="false">IF(OR($E1886="",$F1886=""),"",$E1886&amp;" - RT "&amp;$F1886)</f>
        <v/>
      </c>
      <c r="H1886" s="37"/>
      <c r="I1886" s="38"/>
      <c r="J1886" s="37"/>
      <c r="K1886" s="39"/>
      <c r="L1886" s="41"/>
      <c r="M1886" s="36" t="str">
        <f aca="true">IF(OR($B1886="",$L1886=""),"",DATEDIF($L1886,TODAY(),"Y"))</f>
        <v/>
      </c>
      <c r="N1886" s="40" t="str">
        <f aca="false">IF($M1886="","",INDEX(usia_label,MATCH($M1886,usia_min,1)))</f>
        <v/>
      </c>
      <c r="O1886" s="37"/>
      <c r="P1886" s="41"/>
      <c r="Q1886" s="37"/>
      <c r="R1886" s="37"/>
      <c r="S1886" s="40" t="str">
        <f aca="false">IF($G1886="","",$G1886&amp;"#"&amp;COUNTIF($G$4:$G1886,$G1886))</f>
        <v/>
      </c>
      <c r="T1886" s="40" t="str">
        <f aca="false">IF($B1886="","",IF($C1886="","NIK kosong",IF(LEN($C1886)&lt;&gt;16,"NIK bukan 16 digit",IF(COUNTIF($C$4:$C$2003,$C1886&amp;"*")&gt;1,"NIK ganda",IF($E1886="","Kadus kosong",IF($F1886="","RT kosong",IF($H1886="","Jabatan kosong",IF($I1886="","No. HP kosong",IF($J1886="","Alamat kosong",IF(AND($M1886&lt;&gt;"",$M1886&lt;17),"Usia di bawah 17",""))))))))))</f>
        <v/>
      </c>
      <c r="U1886" s="40" t="str">
        <f aca="false">IF($B1886="","",IF(AND(OR(CARI!$C$5="",ISNUMBER(SEARCH(CARI!$C$5,$B1886&amp;" "&amp;$C1886&amp;" "&amp;$I1886&amp;" "&amp;$J1886&amp;" "&amp;$Q1886))),OR(CARI!$C$6="",$E1886=CARI!$C$6),OR(CARI!$C$7="",$F1886=CARI!$C$7),OR(CARI!$C$8="",$O1886=CARI!$C$8)),MAX($U$3:U1885)+1,""))</f>
        <v/>
      </c>
      <c r="V1886" s="40" t="str">
        <f aca="false">IF($T1886="","",MAX($V$3:V1885)+1)</f>
        <v/>
      </c>
      <c r="W1886" s="40" t="str">
        <f aca="false">IF($E1886="","",$E1886&amp;"#"&amp;COUNTIF($E$4:$E1886,$E1886))</f>
        <v/>
      </c>
      <c r="X1886" s="40" t="str">
        <f aca="false">IF($B1886="","",IF(AND(OR(CETAK!$J$10="",$E1886=CETAK!$J$10),OR(CETAK!$J$11="",$F1886=CETAK!$J$11),OR(CETAK!$J$12="",$K1886=CETAK!$J$12),OR(CETAK!$J$13="",$H1886=CETAK!$J$13),OR(CETAK!$J$14="",$O1886=CETAK!$J$14)),MAX($X$3:X1885)+1,""))</f>
        <v/>
      </c>
      <c r="Y1886" s="40" t="str">
        <f aca="false">IF($B1886="","",IF(AND(OR(ABSENSI!$H$10="",$E1886=ABSENSI!$H$10),OR(ABSENSI!$H$11="",$F1886=ABSENSI!$H$11),OR(ABSENSI!$H$12="",$K1886=ABSENSI!$H$12)),MAX($Y$3:Y1885)+1,""))</f>
        <v/>
      </c>
      <c r="Z1886" s="40" t="str">
        <f aca="false">IF($B1886="","",IF(AND(OR(KARTU!$K$6="",$E1886=KARTU!$K$6),OR(KARTU!$K$7="",$F1886=KARTU!$K$7),OR(KARTU!$K$8="",$K1886=KARTU!$K$8)),MAX($Z$3:Z1885)+1,""))</f>
        <v/>
      </c>
    </row>
    <row r="1887" customFormat="false" ht="15" hidden="false" customHeight="false" outlineLevel="0" collapsed="false">
      <c r="A1887" s="36" t="str">
        <f aca="false">IF($B1887="","",COUNTA($B$4:$B1887))</f>
        <v/>
      </c>
      <c r="B1887" s="37"/>
      <c r="C1887" s="38"/>
      <c r="D1887" s="39"/>
      <c r="E1887" s="37"/>
      <c r="F1887" s="39"/>
      <c r="G1887" s="40" t="str">
        <f aca="false">IF(OR($E1887="",$F1887=""),"",$E1887&amp;" - RT "&amp;$F1887)</f>
        <v/>
      </c>
      <c r="H1887" s="37"/>
      <c r="I1887" s="38"/>
      <c r="J1887" s="37"/>
      <c r="K1887" s="39"/>
      <c r="L1887" s="41"/>
      <c r="M1887" s="36" t="str">
        <f aca="true">IF(OR($B1887="",$L1887=""),"",DATEDIF($L1887,TODAY(),"Y"))</f>
        <v/>
      </c>
      <c r="N1887" s="40" t="str">
        <f aca="false">IF($M1887="","",INDEX(usia_label,MATCH($M1887,usia_min,1)))</f>
        <v/>
      </c>
      <c r="O1887" s="37"/>
      <c r="P1887" s="41"/>
      <c r="Q1887" s="37"/>
      <c r="R1887" s="37"/>
      <c r="S1887" s="40" t="str">
        <f aca="false">IF($G1887="","",$G1887&amp;"#"&amp;COUNTIF($G$4:$G1887,$G1887))</f>
        <v/>
      </c>
      <c r="T1887" s="40" t="str">
        <f aca="false">IF($B1887="","",IF($C1887="","NIK kosong",IF(LEN($C1887)&lt;&gt;16,"NIK bukan 16 digit",IF(COUNTIF($C$4:$C$2003,$C1887&amp;"*")&gt;1,"NIK ganda",IF($E1887="","Kadus kosong",IF($F1887="","RT kosong",IF($H1887="","Jabatan kosong",IF($I1887="","No. HP kosong",IF($J1887="","Alamat kosong",IF(AND($M1887&lt;&gt;"",$M1887&lt;17),"Usia di bawah 17",""))))))))))</f>
        <v/>
      </c>
      <c r="U1887" s="40" t="str">
        <f aca="false">IF($B1887="","",IF(AND(OR(CARI!$C$5="",ISNUMBER(SEARCH(CARI!$C$5,$B1887&amp;" "&amp;$C1887&amp;" "&amp;$I1887&amp;" "&amp;$J1887&amp;" "&amp;$Q1887))),OR(CARI!$C$6="",$E1887=CARI!$C$6),OR(CARI!$C$7="",$F1887=CARI!$C$7),OR(CARI!$C$8="",$O1887=CARI!$C$8)),MAX($U$3:U1886)+1,""))</f>
        <v/>
      </c>
      <c r="V1887" s="40" t="str">
        <f aca="false">IF($T1887="","",MAX($V$3:V1886)+1)</f>
        <v/>
      </c>
      <c r="W1887" s="40" t="str">
        <f aca="false">IF($E1887="","",$E1887&amp;"#"&amp;COUNTIF($E$4:$E1887,$E1887))</f>
        <v/>
      </c>
      <c r="X1887" s="40" t="str">
        <f aca="false">IF($B1887="","",IF(AND(OR(CETAK!$J$10="",$E1887=CETAK!$J$10),OR(CETAK!$J$11="",$F1887=CETAK!$J$11),OR(CETAK!$J$12="",$K1887=CETAK!$J$12),OR(CETAK!$J$13="",$H1887=CETAK!$J$13),OR(CETAK!$J$14="",$O1887=CETAK!$J$14)),MAX($X$3:X1886)+1,""))</f>
        <v/>
      </c>
      <c r="Y1887" s="40" t="str">
        <f aca="false">IF($B1887="","",IF(AND(OR(ABSENSI!$H$10="",$E1887=ABSENSI!$H$10),OR(ABSENSI!$H$11="",$F1887=ABSENSI!$H$11),OR(ABSENSI!$H$12="",$K1887=ABSENSI!$H$12)),MAX($Y$3:Y1886)+1,""))</f>
        <v/>
      </c>
      <c r="Z1887" s="40" t="str">
        <f aca="false">IF($B1887="","",IF(AND(OR(KARTU!$K$6="",$E1887=KARTU!$K$6),OR(KARTU!$K$7="",$F1887=KARTU!$K$7),OR(KARTU!$K$8="",$K1887=KARTU!$K$8)),MAX($Z$3:Z1886)+1,""))</f>
        <v/>
      </c>
    </row>
    <row r="1888" customFormat="false" ht="15" hidden="false" customHeight="false" outlineLevel="0" collapsed="false">
      <c r="A1888" s="36" t="str">
        <f aca="false">IF($B1888="","",COUNTA($B$4:$B1888))</f>
        <v/>
      </c>
      <c r="B1888" s="37"/>
      <c r="C1888" s="38"/>
      <c r="D1888" s="39"/>
      <c r="E1888" s="37"/>
      <c r="F1888" s="39"/>
      <c r="G1888" s="40" t="str">
        <f aca="false">IF(OR($E1888="",$F1888=""),"",$E1888&amp;" - RT "&amp;$F1888)</f>
        <v/>
      </c>
      <c r="H1888" s="37"/>
      <c r="I1888" s="38"/>
      <c r="J1888" s="37"/>
      <c r="K1888" s="39"/>
      <c r="L1888" s="41"/>
      <c r="M1888" s="36" t="str">
        <f aca="true">IF(OR($B1888="",$L1888=""),"",DATEDIF($L1888,TODAY(),"Y"))</f>
        <v/>
      </c>
      <c r="N1888" s="40" t="str">
        <f aca="false">IF($M1888="","",INDEX(usia_label,MATCH($M1888,usia_min,1)))</f>
        <v/>
      </c>
      <c r="O1888" s="37"/>
      <c r="P1888" s="41"/>
      <c r="Q1888" s="37"/>
      <c r="R1888" s="37"/>
      <c r="S1888" s="40" t="str">
        <f aca="false">IF($G1888="","",$G1888&amp;"#"&amp;COUNTIF($G$4:$G1888,$G1888))</f>
        <v/>
      </c>
      <c r="T1888" s="40" t="str">
        <f aca="false">IF($B1888="","",IF($C1888="","NIK kosong",IF(LEN($C1888)&lt;&gt;16,"NIK bukan 16 digit",IF(COUNTIF($C$4:$C$2003,$C1888&amp;"*")&gt;1,"NIK ganda",IF($E1888="","Kadus kosong",IF($F1888="","RT kosong",IF($H1888="","Jabatan kosong",IF($I1888="","No. HP kosong",IF($J1888="","Alamat kosong",IF(AND($M1888&lt;&gt;"",$M1888&lt;17),"Usia di bawah 17",""))))))))))</f>
        <v/>
      </c>
      <c r="U1888" s="40" t="str">
        <f aca="false">IF($B1888="","",IF(AND(OR(CARI!$C$5="",ISNUMBER(SEARCH(CARI!$C$5,$B1888&amp;" "&amp;$C1888&amp;" "&amp;$I1888&amp;" "&amp;$J1888&amp;" "&amp;$Q1888))),OR(CARI!$C$6="",$E1888=CARI!$C$6),OR(CARI!$C$7="",$F1888=CARI!$C$7),OR(CARI!$C$8="",$O1888=CARI!$C$8)),MAX($U$3:U1887)+1,""))</f>
        <v/>
      </c>
      <c r="V1888" s="40" t="str">
        <f aca="false">IF($T1888="","",MAX($V$3:V1887)+1)</f>
        <v/>
      </c>
      <c r="W1888" s="40" t="str">
        <f aca="false">IF($E1888="","",$E1888&amp;"#"&amp;COUNTIF($E$4:$E1888,$E1888))</f>
        <v/>
      </c>
      <c r="X1888" s="40" t="str">
        <f aca="false">IF($B1888="","",IF(AND(OR(CETAK!$J$10="",$E1888=CETAK!$J$10),OR(CETAK!$J$11="",$F1888=CETAK!$J$11),OR(CETAK!$J$12="",$K1888=CETAK!$J$12),OR(CETAK!$J$13="",$H1888=CETAK!$J$13),OR(CETAK!$J$14="",$O1888=CETAK!$J$14)),MAX($X$3:X1887)+1,""))</f>
        <v/>
      </c>
      <c r="Y1888" s="40" t="str">
        <f aca="false">IF($B1888="","",IF(AND(OR(ABSENSI!$H$10="",$E1888=ABSENSI!$H$10),OR(ABSENSI!$H$11="",$F1888=ABSENSI!$H$11),OR(ABSENSI!$H$12="",$K1888=ABSENSI!$H$12)),MAX($Y$3:Y1887)+1,""))</f>
        <v/>
      </c>
      <c r="Z1888" s="40" t="str">
        <f aca="false">IF($B1888="","",IF(AND(OR(KARTU!$K$6="",$E1888=KARTU!$K$6),OR(KARTU!$K$7="",$F1888=KARTU!$K$7),OR(KARTU!$K$8="",$K1888=KARTU!$K$8)),MAX($Z$3:Z1887)+1,""))</f>
        <v/>
      </c>
    </row>
    <row r="1889" customFormat="false" ht="15" hidden="false" customHeight="false" outlineLevel="0" collapsed="false">
      <c r="A1889" s="36" t="str">
        <f aca="false">IF($B1889="","",COUNTA($B$4:$B1889))</f>
        <v/>
      </c>
      <c r="B1889" s="37"/>
      <c r="C1889" s="38"/>
      <c r="D1889" s="39"/>
      <c r="E1889" s="37"/>
      <c r="F1889" s="39"/>
      <c r="G1889" s="40" t="str">
        <f aca="false">IF(OR($E1889="",$F1889=""),"",$E1889&amp;" - RT "&amp;$F1889)</f>
        <v/>
      </c>
      <c r="H1889" s="37"/>
      <c r="I1889" s="38"/>
      <c r="J1889" s="37"/>
      <c r="K1889" s="39"/>
      <c r="L1889" s="41"/>
      <c r="M1889" s="36" t="str">
        <f aca="true">IF(OR($B1889="",$L1889=""),"",DATEDIF($L1889,TODAY(),"Y"))</f>
        <v/>
      </c>
      <c r="N1889" s="40" t="str">
        <f aca="false">IF($M1889="","",INDEX(usia_label,MATCH($M1889,usia_min,1)))</f>
        <v/>
      </c>
      <c r="O1889" s="37"/>
      <c r="P1889" s="41"/>
      <c r="Q1889" s="37"/>
      <c r="R1889" s="37"/>
      <c r="S1889" s="40" t="str">
        <f aca="false">IF($G1889="","",$G1889&amp;"#"&amp;COUNTIF($G$4:$G1889,$G1889))</f>
        <v/>
      </c>
      <c r="T1889" s="40" t="str">
        <f aca="false">IF($B1889="","",IF($C1889="","NIK kosong",IF(LEN($C1889)&lt;&gt;16,"NIK bukan 16 digit",IF(COUNTIF($C$4:$C$2003,$C1889&amp;"*")&gt;1,"NIK ganda",IF($E1889="","Kadus kosong",IF($F1889="","RT kosong",IF($H1889="","Jabatan kosong",IF($I1889="","No. HP kosong",IF($J1889="","Alamat kosong",IF(AND($M1889&lt;&gt;"",$M1889&lt;17),"Usia di bawah 17",""))))))))))</f>
        <v/>
      </c>
      <c r="U1889" s="40" t="str">
        <f aca="false">IF($B1889="","",IF(AND(OR(CARI!$C$5="",ISNUMBER(SEARCH(CARI!$C$5,$B1889&amp;" "&amp;$C1889&amp;" "&amp;$I1889&amp;" "&amp;$J1889&amp;" "&amp;$Q1889))),OR(CARI!$C$6="",$E1889=CARI!$C$6),OR(CARI!$C$7="",$F1889=CARI!$C$7),OR(CARI!$C$8="",$O1889=CARI!$C$8)),MAX($U$3:U1888)+1,""))</f>
        <v/>
      </c>
      <c r="V1889" s="40" t="str">
        <f aca="false">IF($T1889="","",MAX($V$3:V1888)+1)</f>
        <v/>
      </c>
      <c r="W1889" s="40" t="str">
        <f aca="false">IF($E1889="","",$E1889&amp;"#"&amp;COUNTIF($E$4:$E1889,$E1889))</f>
        <v/>
      </c>
      <c r="X1889" s="40" t="str">
        <f aca="false">IF($B1889="","",IF(AND(OR(CETAK!$J$10="",$E1889=CETAK!$J$10),OR(CETAK!$J$11="",$F1889=CETAK!$J$11),OR(CETAK!$J$12="",$K1889=CETAK!$J$12),OR(CETAK!$J$13="",$H1889=CETAK!$J$13),OR(CETAK!$J$14="",$O1889=CETAK!$J$14)),MAX($X$3:X1888)+1,""))</f>
        <v/>
      </c>
      <c r="Y1889" s="40" t="str">
        <f aca="false">IF($B1889="","",IF(AND(OR(ABSENSI!$H$10="",$E1889=ABSENSI!$H$10),OR(ABSENSI!$H$11="",$F1889=ABSENSI!$H$11),OR(ABSENSI!$H$12="",$K1889=ABSENSI!$H$12)),MAX($Y$3:Y1888)+1,""))</f>
        <v/>
      </c>
      <c r="Z1889" s="40" t="str">
        <f aca="false">IF($B1889="","",IF(AND(OR(KARTU!$K$6="",$E1889=KARTU!$K$6),OR(KARTU!$K$7="",$F1889=KARTU!$K$7),OR(KARTU!$K$8="",$K1889=KARTU!$K$8)),MAX($Z$3:Z1888)+1,""))</f>
        <v/>
      </c>
    </row>
    <row r="1890" customFormat="false" ht="15" hidden="false" customHeight="false" outlineLevel="0" collapsed="false">
      <c r="A1890" s="36" t="str">
        <f aca="false">IF($B1890="","",COUNTA($B$4:$B1890))</f>
        <v/>
      </c>
      <c r="B1890" s="37"/>
      <c r="C1890" s="38"/>
      <c r="D1890" s="39"/>
      <c r="E1890" s="37"/>
      <c r="F1890" s="39"/>
      <c r="G1890" s="40" t="str">
        <f aca="false">IF(OR($E1890="",$F1890=""),"",$E1890&amp;" - RT "&amp;$F1890)</f>
        <v/>
      </c>
      <c r="H1890" s="37"/>
      <c r="I1890" s="38"/>
      <c r="J1890" s="37"/>
      <c r="K1890" s="39"/>
      <c r="L1890" s="41"/>
      <c r="M1890" s="36" t="str">
        <f aca="true">IF(OR($B1890="",$L1890=""),"",DATEDIF($L1890,TODAY(),"Y"))</f>
        <v/>
      </c>
      <c r="N1890" s="40" t="str">
        <f aca="false">IF($M1890="","",INDEX(usia_label,MATCH($M1890,usia_min,1)))</f>
        <v/>
      </c>
      <c r="O1890" s="37"/>
      <c r="P1890" s="41"/>
      <c r="Q1890" s="37"/>
      <c r="R1890" s="37"/>
      <c r="S1890" s="40" t="str">
        <f aca="false">IF($G1890="","",$G1890&amp;"#"&amp;COUNTIF($G$4:$G1890,$G1890))</f>
        <v/>
      </c>
      <c r="T1890" s="40" t="str">
        <f aca="false">IF($B1890="","",IF($C1890="","NIK kosong",IF(LEN($C1890)&lt;&gt;16,"NIK bukan 16 digit",IF(COUNTIF($C$4:$C$2003,$C1890&amp;"*")&gt;1,"NIK ganda",IF($E1890="","Kadus kosong",IF($F1890="","RT kosong",IF($H1890="","Jabatan kosong",IF($I1890="","No. HP kosong",IF($J1890="","Alamat kosong",IF(AND($M1890&lt;&gt;"",$M1890&lt;17),"Usia di bawah 17",""))))))))))</f>
        <v/>
      </c>
      <c r="U1890" s="40" t="str">
        <f aca="false">IF($B1890="","",IF(AND(OR(CARI!$C$5="",ISNUMBER(SEARCH(CARI!$C$5,$B1890&amp;" "&amp;$C1890&amp;" "&amp;$I1890&amp;" "&amp;$J1890&amp;" "&amp;$Q1890))),OR(CARI!$C$6="",$E1890=CARI!$C$6),OR(CARI!$C$7="",$F1890=CARI!$C$7),OR(CARI!$C$8="",$O1890=CARI!$C$8)),MAX($U$3:U1889)+1,""))</f>
        <v/>
      </c>
      <c r="V1890" s="40" t="str">
        <f aca="false">IF($T1890="","",MAX($V$3:V1889)+1)</f>
        <v/>
      </c>
      <c r="W1890" s="40" t="str">
        <f aca="false">IF($E1890="","",$E1890&amp;"#"&amp;COUNTIF($E$4:$E1890,$E1890))</f>
        <v/>
      </c>
      <c r="X1890" s="40" t="str">
        <f aca="false">IF($B1890="","",IF(AND(OR(CETAK!$J$10="",$E1890=CETAK!$J$10),OR(CETAK!$J$11="",$F1890=CETAK!$J$11),OR(CETAK!$J$12="",$K1890=CETAK!$J$12),OR(CETAK!$J$13="",$H1890=CETAK!$J$13),OR(CETAK!$J$14="",$O1890=CETAK!$J$14)),MAX($X$3:X1889)+1,""))</f>
        <v/>
      </c>
      <c r="Y1890" s="40" t="str">
        <f aca="false">IF($B1890="","",IF(AND(OR(ABSENSI!$H$10="",$E1890=ABSENSI!$H$10),OR(ABSENSI!$H$11="",$F1890=ABSENSI!$H$11),OR(ABSENSI!$H$12="",$K1890=ABSENSI!$H$12)),MAX($Y$3:Y1889)+1,""))</f>
        <v/>
      </c>
      <c r="Z1890" s="40" t="str">
        <f aca="false">IF($B1890="","",IF(AND(OR(KARTU!$K$6="",$E1890=KARTU!$K$6),OR(KARTU!$K$7="",$F1890=KARTU!$K$7),OR(KARTU!$K$8="",$K1890=KARTU!$K$8)),MAX($Z$3:Z1889)+1,""))</f>
        <v/>
      </c>
    </row>
    <row r="1891" customFormat="false" ht="15" hidden="false" customHeight="false" outlineLevel="0" collapsed="false">
      <c r="A1891" s="36" t="str">
        <f aca="false">IF($B1891="","",COUNTA($B$4:$B1891))</f>
        <v/>
      </c>
      <c r="B1891" s="37"/>
      <c r="C1891" s="38"/>
      <c r="D1891" s="39"/>
      <c r="E1891" s="37"/>
      <c r="F1891" s="39"/>
      <c r="G1891" s="40" t="str">
        <f aca="false">IF(OR($E1891="",$F1891=""),"",$E1891&amp;" - RT "&amp;$F1891)</f>
        <v/>
      </c>
      <c r="H1891" s="37"/>
      <c r="I1891" s="38"/>
      <c r="J1891" s="37"/>
      <c r="K1891" s="39"/>
      <c r="L1891" s="41"/>
      <c r="M1891" s="36" t="str">
        <f aca="true">IF(OR($B1891="",$L1891=""),"",DATEDIF($L1891,TODAY(),"Y"))</f>
        <v/>
      </c>
      <c r="N1891" s="40" t="str">
        <f aca="false">IF($M1891="","",INDEX(usia_label,MATCH($M1891,usia_min,1)))</f>
        <v/>
      </c>
      <c r="O1891" s="37"/>
      <c r="P1891" s="41"/>
      <c r="Q1891" s="37"/>
      <c r="R1891" s="37"/>
      <c r="S1891" s="40" t="str">
        <f aca="false">IF($G1891="","",$G1891&amp;"#"&amp;COUNTIF($G$4:$G1891,$G1891))</f>
        <v/>
      </c>
      <c r="T1891" s="40" t="str">
        <f aca="false">IF($B1891="","",IF($C1891="","NIK kosong",IF(LEN($C1891)&lt;&gt;16,"NIK bukan 16 digit",IF(COUNTIF($C$4:$C$2003,$C1891&amp;"*")&gt;1,"NIK ganda",IF($E1891="","Kadus kosong",IF($F1891="","RT kosong",IF($H1891="","Jabatan kosong",IF($I1891="","No. HP kosong",IF($J1891="","Alamat kosong",IF(AND($M1891&lt;&gt;"",$M1891&lt;17),"Usia di bawah 17",""))))))))))</f>
        <v/>
      </c>
      <c r="U1891" s="40" t="str">
        <f aca="false">IF($B1891="","",IF(AND(OR(CARI!$C$5="",ISNUMBER(SEARCH(CARI!$C$5,$B1891&amp;" "&amp;$C1891&amp;" "&amp;$I1891&amp;" "&amp;$J1891&amp;" "&amp;$Q1891))),OR(CARI!$C$6="",$E1891=CARI!$C$6),OR(CARI!$C$7="",$F1891=CARI!$C$7),OR(CARI!$C$8="",$O1891=CARI!$C$8)),MAX($U$3:U1890)+1,""))</f>
        <v/>
      </c>
      <c r="V1891" s="40" t="str">
        <f aca="false">IF($T1891="","",MAX($V$3:V1890)+1)</f>
        <v/>
      </c>
      <c r="W1891" s="40" t="str">
        <f aca="false">IF($E1891="","",$E1891&amp;"#"&amp;COUNTIF($E$4:$E1891,$E1891))</f>
        <v/>
      </c>
      <c r="X1891" s="40" t="str">
        <f aca="false">IF($B1891="","",IF(AND(OR(CETAK!$J$10="",$E1891=CETAK!$J$10),OR(CETAK!$J$11="",$F1891=CETAK!$J$11),OR(CETAK!$J$12="",$K1891=CETAK!$J$12),OR(CETAK!$J$13="",$H1891=CETAK!$J$13),OR(CETAK!$J$14="",$O1891=CETAK!$J$14)),MAX($X$3:X1890)+1,""))</f>
        <v/>
      </c>
      <c r="Y1891" s="40" t="str">
        <f aca="false">IF($B1891="","",IF(AND(OR(ABSENSI!$H$10="",$E1891=ABSENSI!$H$10),OR(ABSENSI!$H$11="",$F1891=ABSENSI!$H$11),OR(ABSENSI!$H$12="",$K1891=ABSENSI!$H$12)),MAX($Y$3:Y1890)+1,""))</f>
        <v/>
      </c>
      <c r="Z1891" s="40" t="str">
        <f aca="false">IF($B1891="","",IF(AND(OR(KARTU!$K$6="",$E1891=KARTU!$K$6),OR(KARTU!$K$7="",$F1891=KARTU!$K$7),OR(KARTU!$K$8="",$K1891=KARTU!$K$8)),MAX($Z$3:Z1890)+1,""))</f>
        <v/>
      </c>
    </row>
    <row r="1892" customFormat="false" ht="15" hidden="false" customHeight="false" outlineLevel="0" collapsed="false">
      <c r="A1892" s="36" t="str">
        <f aca="false">IF($B1892="","",COUNTA($B$4:$B1892))</f>
        <v/>
      </c>
      <c r="B1892" s="37"/>
      <c r="C1892" s="38"/>
      <c r="D1892" s="39"/>
      <c r="E1892" s="37"/>
      <c r="F1892" s="39"/>
      <c r="G1892" s="40" t="str">
        <f aca="false">IF(OR($E1892="",$F1892=""),"",$E1892&amp;" - RT "&amp;$F1892)</f>
        <v/>
      </c>
      <c r="H1892" s="37"/>
      <c r="I1892" s="38"/>
      <c r="J1892" s="37"/>
      <c r="K1892" s="39"/>
      <c r="L1892" s="41"/>
      <c r="M1892" s="36" t="str">
        <f aca="true">IF(OR($B1892="",$L1892=""),"",DATEDIF($L1892,TODAY(),"Y"))</f>
        <v/>
      </c>
      <c r="N1892" s="40" t="str">
        <f aca="false">IF($M1892="","",INDEX(usia_label,MATCH($M1892,usia_min,1)))</f>
        <v/>
      </c>
      <c r="O1892" s="37"/>
      <c r="P1892" s="41"/>
      <c r="Q1892" s="37"/>
      <c r="R1892" s="37"/>
      <c r="S1892" s="40" t="str">
        <f aca="false">IF($G1892="","",$G1892&amp;"#"&amp;COUNTIF($G$4:$G1892,$G1892))</f>
        <v/>
      </c>
      <c r="T1892" s="40" t="str">
        <f aca="false">IF($B1892="","",IF($C1892="","NIK kosong",IF(LEN($C1892)&lt;&gt;16,"NIK bukan 16 digit",IF(COUNTIF($C$4:$C$2003,$C1892&amp;"*")&gt;1,"NIK ganda",IF($E1892="","Kadus kosong",IF($F1892="","RT kosong",IF($H1892="","Jabatan kosong",IF($I1892="","No. HP kosong",IF($J1892="","Alamat kosong",IF(AND($M1892&lt;&gt;"",$M1892&lt;17),"Usia di bawah 17",""))))))))))</f>
        <v/>
      </c>
      <c r="U1892" s="40" t="str">
        <f aca="false">IF($B1892="","",IF(AND(OR(CARI!$C$5="",ISNUMBER(SEARCH(CARI!$C$5,$B1892&amp;" "&amp;$C1892&amp;" "&amp;$I1892&amp;" "&amp;$J1892&amp;" "&amp;$Q1892))),OR(CARI!$C$6="",$E1892=CARI!$C$6),OR(CARI!$C$7="",$F1892=CARI!$C$7),OR(CARI!$C$8="",$O1892=CARI!$C$8)),MAX($U$3:U1891)+1,""))</f>
        <v/>
      </c>
      <c r="V1892" s="40" t="str">
        <f aca="false">IF($T1892="","",MAX($V$3:V1891)+1)</f>
        <v/>
      </c>
      <c r="W1892" s="40" t="str">
        <f aca="false">IF($E1892="","",$E1892&amp;"#"&amp;COUNTIF($E$4:$E1892,$E1892))</f>
        <v/>
      </c>
      <c r="X1892" s="40" t="str">
        <f aca="false">IF($B1892="","",IF(AND(OR(CETAK!$J$10="",$E1892=CETAK!$J$10),OR(CETAK!$J$11="",$F1892=CETAK!$J$11),OR(CETAK!$J$12="",$K1892=CETAK!$J$12),OR(CETAK!$J$13="",$H1892=CETAK!$J$13),OR(CETAK!$J$14="",$O1892=CETAK!$J$14)),MAX($X$3:X1891)+1,""))</f>
        <v/>
      </c>
      <c r="Y1892" s="40" t="str">
        <f aca="false">IF($B1892="","",IF(AND(OR(ABSENSI!$H$10="",$E1892=ABSENSI!$H$10),OR(ABSENSI!$H$11="",$F1892=ABSENSI!$H$11),OR(ABSENSI!$H$12="",$K1892=ABSENSI!$H$12)),MAX($Y$3:Y1891)+1,""))</f>
        <v/>
      </c>
      <c r="Z1892" s="40" t="str">
        <f aca="false">IF($B1892="","",IF(AND(OR(KARTU!$K$6="",$E1892=KARTU!$K$6),OR(KARTU!$K$7="",$F1892=KARTU!$K$7),OR(KARTU!$K$8="",$K1892=KARTU!$K$8)),MAX($Z$3:Z1891)+1,""))</f>
        <v/>
      </c>
    </row>
    <row r="1893" customFormat="false" ht="15" hidden="false" customHeight="false" outlineLevel="0" collapsed="false">
      <c r="A1893" s="36" t="str">
        <f aca="false">IF($B1893="","",COUNTA($B$4:$B1893))</f>
        <v/>
      </c>
      <c r="B1893" s="37"/>
      <c r="C1893" s="38"/>
      <c r="D1893" s="39"/>
      <c r="E1893" s="37"/>
      <c r="F1893" s="39"/>
      <c r="G1893" s="40" t="str">
        <f aca="false">IF(OR($E1893="",$F1893=""),"",$E1893&amp;" - RT "&amp;$F1893)</f>
        <v/>
      </c>
      <c r="H1893" s="37"/>
      <c r="I1893" s="38"/>
      <c r="J1893" s="37"/>
      <c r="K1893" s="39"/>
      <c r="L1893" s="41"/>
      <c r="M1893" s="36" t="str">
        <f aca="true">IF(OR($B1893="",$L1893=""),"",DATEDIF($L1893,TODAY(),"Y"))</f>
        <v/>
      </c>
      <c r="N1893" s="40" t="str">
        <f aca="false">IF($M1893="","",INDEX(usia_label,MATCH($M1893,usia_min,1)))</f>
        <v/>
      </c>
      <c r="O1893" s="37"/>
      <c r="P1893" s="41"/>
      <c r="Q1893" s="37"/>
      <c r="R1893" s="37"/>
      <c r="S1893" s="40" t="str">
        <f aca="false">IF($G1893="","",$G1893&amp;"#"&amp;COUNTIF($G$4:$G1893,$G1893))</f>
        <v/>
      </c>
      <c r="T1893" s="40" t="str">
        <f aca="false">IF($B1893="","",IF($C1893="","NIK kosong",IF(LEN($C1893)&lt;&gt;16,"NIK bukan 16 digit",IF(COUNTIF($C$4:$C$2003,$C1893&amp;"*")&gt;1,"NIK ganda",IF($E1893="","Kadus kosong",IF($F1893="","RT kosong",IF($H1893="","Jabatan kosong",IF($I1893="","No. HP kosong",IF($J1893="","Alamat kosong",IF(AND($M1893&lt;&gt;"",$M1893&lt;17),"Usia di bawah 17",""))))))))))</f>
        <v/>
      </c>
      <c r="U1893" s="40" t="str">
        <f aca="false">IF($B1893="","",IF(AND(OR(CARI!$C$5="",ISNUMBER(SEARCH(CARI!$C$5,$B1893&amp;" "&amp;$C1893&amp;" "&amp;$I1893&amp;" "&amp;$J1893&amp;" "&amp;$Q1893))),OR(CARI!$C$6="",$E1893=CARI!$C$6),OR(CARI!$C$7="",$F1893=CARI!$C$7),OR(CARI!$C$8="",$O1893=CARI!$C$8)),MAX($U$3:U1892)+1,""))</f>
        <v/>
      </c>
      <c r="V1893" s="40" t="str">
        <f aca="false">IF($T1893="","",MAX($V$3:V1892)+1)</f>
        <v/>
      </c>
      <c r="W1893" s="40" t="str">
        <f aca="false">IF($E1893="","",$E1893&amp;"#"&amp;COUNTIF($E$4:$E1893,$E1893))</f>
        <v/>
      </c>
      <c r="X1893" s="40" t="str">
        <f aca="false">IF($B1893="","",IF(AND(OR(CETAK!$J$10="",$E1893=CETAK!$J$10),OR(CETAK!$J$11="",$F1893=CETAK!$J$11),OR(CETAK!$J$12="",$K1893=CETAK!$J$12),OR(CETAK!$J$13="",$H1893=CETAK!$J$13),OR(CETAK!$J$14="",$O1893=CETAK!$J$14)),MAX($X$3:X1892)+1,""))</f>
        <v/>
      </c>
      <c r="Y1893" s="40" t="str">
        <f aca="false">IF($B1893="","",IF(AND(OR(ABSENSI!$H$10="",$E1893=ABSENSI!$H$10),OR(ABSENSI!$H$11="",$F1893=ABSENSI!$H$11),OR(ABSENSI!$H$12="",$K1893=ABSENSI!$H$12)),MAX($Y$3:Y1892)+1,""))</f>
        <v/>
      </c>
      <c r="Z1893" s="40" t="str">
        <f aca="false">IF($B1893="","",IF(AND(OR(KARTU!$K$6="",$E1893=KARTU!$K$6),OR(KARTU!$K$7="",$F1893=KARTU!$K$7),OR(KARTU!$K$8="",$K1893=KARTU!$K$8)),MAX($Z$3:Z1892)+1,""))</f>
        <v/>
      </c>
    </row>
    <row r="1894" customFormat="false" ht="15" hidden="false" customHeight="false" outlineLevel="0" collapsed="false">
      <c r="A1894" s="36" t="str">
        <f aca="false">IF($B1894="","",COUNTA($B$4:$B1894))</f>
        <v/>
      </c>
      <c r="B1894" s="37"/>
      <c r="C1894" s="38"/>
      <c r="D1894" s="39"/>
      <c r="E1894" s="37"/>
      <c r="F1894" s="39"/>
      <c r="G1894" s="40" t="str">
        <f aca="false">IF(OR($E1894="",$F1894=""),"",$E1894&amp;" - RT "&amp;$F1894)</f>
        <v/>
      </c>
      <c r="H1894" s="37"/>
      <c r="I1894" s="38"/>
      <c r="J1894" s="37"/>
      <c r="K1894" s="39"/>
      <c r="L1894" s="41"/>
      <c r="M1894" s="36" t="str">
        <f aca="true">IF(OR($B1894="",$L1894=""),"",DATEDIF($L1894,TODAY(),"Y"))</f>
        <v/>
      </c>
      <c r="N1894" s="40" t="str">
        <f aca="false">IF($M1894="","",INDEX(usia_label,MATCH($M1894,usia_min,1)))</f>
        <v/>
      </c>
      <c r="O1894" s="37"/>
      <c r="P1894" s="41"/>
      <c r="Q1894" s="37"/>
      <c r="R1894" s="37"/>
      <c r="S1894" s="40" t="str">
        <f aca="false">IF($G1894="","",$G1894&amp;"#"&amp;COUNTIF($G$4:$G1894,$G1894))</f>
        <v/>
      </c>
      <c r="T1894" s="40" t="str">
        <f aca="false">IF($B1894="","",IF($C1894="","NIK kosong",IF(LEN($C1894)&lt;&gt;16,"NIK bukan 16 digit",IF(COUNTIF($C$4:$C$2003,$C1894&amp;"*")&gt;1,"NIK ganda",IF($E1894="","Kadus kosong",IF($F1894="","RT kosong",IF($H1894="","Jabatan kosong",IF($I1894="","No. HP kosong",IF($J1894="","Alamat kosong",IF(AND($M1894&lt;&gt;"",$M1894&lt;17),"Usia di bawah 17",""))))))))))</f>
        <v/>
      </c>
      <c r="U1894" s="40" t="str">
        <f aca="false">IF($B1894="","",IF(AND(OR(CARI!$C$5="",ISNUMBER(SEARCH(CARI!$C$5,$B1894&amp;" "&amp;$C1894&amp;" "&amp;$I1894&amp;" "&amp;$J1894&amp;" "&amp;$Q1894))),OR(CARI!$C$6="",$E1894=CARI!$C$6),OR(CARI!$C$7="",$F1894=CARI!$C$7),OR(CARI!$C$8="",$O1894=CARI!$C$8)),MAX($U$3:U1893)+1,""))</f>
        <v/>
      </c>
      <c r="V1894" s="40" t="str">
        <f aca="false">IF($T1894="","",MAX($V$3:V1893)+1)</f>
        <v/>
      </c>
      <c r="W1894" s="40" t="str">
        <f aca="false">IF($E1894="","",$E1894&amp;"#"&amp;COUNTIF($E$4:$E1894,$E1894))</f>
        <v/>
      </c>
      <c r="X1894" s="40" t="str">
        <f aca="false">IF($B1894="","",IF(AND(OR(CETAK!$J$10="",$E1894=CETAK!$J$10),OR(CETAK!$J$11="",$F1894=CETAK!$J$11),OR(CETAK!$J$12="",$K1894=CETAK!$J$12),OR(CETAK!$J$13="",$H1894=CETAK!$J$13),OR(CETAK!$J$14="",$O1894=CETAK!$J$14)),MAX($X$3:X1893)+1,""))</f>
        <v/>
      </c>
      <c r="Y1894" s="40" t="str">
        <f aca="false">IF($B1894="","",IF(AND(OR(ABSENSI!$H$10="",$E1894=ABSENSI!$H$10),OR(ABSENSI!$H$11="",$F1894=ABSENSI!$H$11),OR(ABSENSI!$H$12="",$K1894=ABSENSI!$H$12)),MAX($Y$3:Y1893)+1,""))</f>
        <v/>
      </c>
      <c r="Z1894" s="40" t="str">
        <f aca="false">IF($B1894="","",IF(AND(OR(KARTU!$K$6="",$E1894=KARTU!$K$6),OR(KARTU!$K$7="",$F1894=KARTU!$K$7),OR(KARTU!$K$8="",$K1894=KARTU!$K$8)),MAX($Z$3:Z1893)+1,""))</f>
        <v/>
      </c>
    </row>
    <row r="1895" customFormat="false" ht="15" hidden="false" customHeight="false" outlineLevel="0" collapsed="false">
      <c r="A1895" s="36" t="str">
        <f aca="false">IF($B1895="","",COUNTA($B$4:$B1895))</f>
        <v/>
      </c>
      <c r="B1895" s="37"/>
      <c r="C1895" s="38"/>
      <c r="D1895" s="39"/>
      <c r="E1895" s="37"/>
      <c r="F1895" s="39"/>
      <c r="G1895" s="40" t="str">
        <f aca="false">IF(OR($E1895="",$F1895=""),"",$E1895&amp;" - RT "&amp;$F1895)</f>
        <v/>
      </c>
      <c r="H1895" s="37"/>
      <c r="I1895" s="38"/>
      <c r="J1895" s="37"/>
      <c r="K1895" s="39"/>
      <c r="L1895" s="41"/>
      <c r="M1895" s="36" t="str">
        <f aca="true">IF(OR($B1895="",$L1895=""),"",DATEDIF($L1895,TODAY(),"Y"))</f>
        <v/>
      </c>
      <c r="N1895" s="40" t="str">
        <f aca="false">IF($M1895="","",INDEX(usia_label,MATCH($M1895,usia_min,1)))</f>
        <v/>
      </c>
      <c r="O1895" s="37"/>
      <c r="P1895" s="41"/>
      <c r="Q1895" s="37"/>
      <c r="R1895" s="37"/>
      <c r="S1895" s="40" t="str">
        <f aca="false">IF($G1895="","",$G1895&amp;"#"&amp;COUNTIF($G$4:$G1895,$G1895))</f>
        <v/>
      </c>
      <c r="T1895" s="40" t="str">
        <f aca="false">IF($B1895="","",IF($C1895="","NIK kosong",IF(LEN($C1895)&lt;&gt;16,"NIK bukan 16 digit",IF(COUNTIF($C$4:$C$2003,$C1895&amp;"*")&gt;1,"NIK ganda",IF($E1895="","Kadus kosong",IF($F1895="","RT kosong",IF($H1895="","Jabatan kosong",IF($I1895="","No. HP kosong",IF($J1895="","Alamat kosong",IF(AND($M1895&lt;&gt;"",$M1895&lt;17),"Usia di bawah 17",""))))))))))</f>
        <v/>
      </c>
      <c r="U1895" s="40" t="str">
        <f aca="false">IF($B1895="","",IF(AND(OR(CARI!$C$5="",ISNUMBER(SEARCH(CARI!$C$5,$B1895&amp;" "&amp;$C1895&amp;" "&amp;$I1895&amp;" "&amp;$J1895&amp;" "&amp;$Q1895))),OR(CARI!$C$6="",$E1895=CARI!$C$6),OR(CARI!$C$7="",$F1895=CARI!$C$7),OR(CARI!$C$8="",$O1895=CARI!$C$8)),MAX($U$3:U1894)+1,""))</f>
        <v/>
      </c>
      <c r="V1895" s="40" t="str">
        <f aca="false">IF($T1895="","",MAX($V$3:V1894)+1)</f>
        <v/>
      </c>
      <c r="W1895" s="40" t="str">
        <f aca="false">IF($E1895="","",$E1895&amp;"#"&amp;COUNTIF($E$4:$E1895,$E1895))</f>
        <v/>
      </c>
      <c r="X1895" s="40" t="str">
        <f aca="false">IF($B1895="","",IF(AND(OR(CETAK!$J$10="",$E1895=CETAK!$J$10),OR(CETAK!$J$11="",$F1895=CETAK!$J$11),OR(CETAK!$J$12="",$K1895=CETAK!$J$12),OR(CETAK!$J$13="",$H1895=CETAK!$J$13),OR(CETAK!$J$14="",$O1895=CETAK!$J$14)),MAX($X$3:X1894)+1,""))</f>
        <v/>
      </c>
      <c r="Y1895" s="40" t="str">
        <f aca="false">IF($B1895="","",IF(AND(OR(ABSENSI!$H$10="",$E1895=ABSENSI!$H$10),OR(ABSENSI!$H$11="",$F1895=ABSENSI!$H$11),OR(ABSENSI!$H$12="",$K1895=ABSENSI!$H$12)),MAX($Y$3:Y1894)+1,""))</f>
        <v/>
      </c>
      <c r="Z1895" s="40" t="str">
        <f aca="false">IF($B1895="","",IF(AND(OR(KARTU!$K$6="",$E1895=KARTU!$K$6),OR(KARTU!$K$7="",$F1895=KARTU!$K$7),OR(KARTU!$K$8="",$K1895=KARTU!$K$8)),MAX($Z$3:Z1894)+1,""))</f>
        <v/>
      </c>
    </row>
    <row r="1896" customFormat="false" ht="15" hidden="false" customHeight="false" outlineLevel="0" collapsed="false">
      <c r="A1896" s="36" t="str">
        <f aca="false">IF($B1896="","",COUNTA($B$4:$B1896))</f>
        <v/>
      </c>
      <c r="B1896" s="37"/>
      <c r="C1896" s="38"/>
      <c r="D1896" s="39"/>
      <c r="E1896" s="37"/>
      <c r="F1896" s="39"/>
      <c r="G1896" s="40" t="str">
        <f aca="false">IF(OR($E1896="",$F1896=""),"",$E1896&amp;" - RT "&amp;$F1896)</f>
        <v/>
      </c>
      <c r="H1896" s="37"/>
      <c r="I1896" s="38"/>
      <c r="J1896" s="37"/>
      <c r="K1896" s="39"/>
      <c r="L1896" s="41"/>
      <c r="M1896" s="36" t="str">
        <f aca="true">IF(OR($B1896="",$L1896=""),"",DATEDIF($L1896,TODAY(),"Y"))</f>
        <v/>
      </c>
      <c r="N1896" s="40" t="str">
        <f aca="false">IF($M1896="","",INDEX(usia_label,MATCH($M1896,usia_min,1)))</f>
        <v/>
      </c>
      <c r="O1896" s="37"/>
      <c r="P1896" s="41"/>
      <c r="Q1896" s="37"/>
      <c r="R1896" s="37"/>
      <c r="S1896" s="40" t="str">
        <f aca="false">IF($G1896="","",$G1896&amp;"#"&amp;COUNTIF($G$4:$G1896,$G1896))</f>
        <v/>
      </c>
      <c r="T1896" s="40" t="str">
        <f aca="false">IF($B1896="","",IF($C1896="","NIK kosong",IF(LEN($C1896)&lt;&gt;16,"NIK bukan 16 digit",IF(COUNTIF($C$4:$C$2003,$C1896&amp;"*")&gt;1,"NIK ganda",IF($E1896="","Kadus kosong",IF($F1896="","RT kosong",IF($H1896="","Jabatan kosong",IF($I1896="","No. HP kosong",IF($J1896="","Alamat kosong",IF(AND($M1896&lt;&gt;"",$M1896&lt;17),"Usia di bawah 17",""))))))))))</f>
        <v/>
      </c>
      <c r="U1896" s="40" t="str">
        <f aca="false">IF($B1896="","",IF(AND(OR(CARI!$C$5="",ISNUMBER(SEARCH(CARI!$C$5,$B1896&amp;" "&amp;$C1896&amp;" "&amp;$I1896&amp;" "&amp;$J1896&amp;" "&amp;$Q1896))),OR(CARI!$C$6="",$E1896=CARI!$C$6),OR(CARI!$C$7="",$F1896=CARI!$C$7),OR(CARI!$C$8="",$O1896=CARI!$C$8)),MAX($U$3:U1895)+1,""))</f>
        <v/>
      </c>
      <c r="V1896" s="40" t="str">
        <f aca="false">IF($T1896="","",MAX($V$3:V1895)+1)</f>
        <v/>
      </c>
      <c r="W1896" s="40" t="str">
        <f aca="false">IF($E1896="","",$E1896&amp;"#"&amp;COUNTIF($E$4:$E1896,$E1896))</f>
        <v/>
      </c>
      <c r="X1896" s="40" t="str">
        <f aca="false">IF($B1896="","",IF(AND(OR(CETAK!$J$10="",$E1896=CETAK!$J$10),OR(CETAK!$J$11="",$F1896=CETAK!$J$11),OR(CETAK!$J$12="",$K1896=CETAK!$J$12),OR(CETAK!$J$13="",$H1896=CETAK!$J$13),OR(CETAK!$J$14="",$O1896=CETAK!$J$14)),MAX($X$3:X1895)+1,""))</f>
        <v/>
      </c>
      <c r="Y1896" s="40" t="str">
        <f aca="false">IF($B1896="","",IF(AND(OR(ABSENSI!$H$10="",$E1896=ABSENSI!$H$10),OR(ABSENSI!$H$11="",$F1896=ABSENSI!$H$11),OR(ABSENSI!$H$12="",$K1896=ABSENSI!$H$12)),MAX($Y$3:Y1895)+1,""))</f>
        <v/>
      </c>
      <c r="Z1896" s="40" t="str">
        <f aca="false">IF($B1896="","",IF(AND(OR(KARTU!$K$6="",$E1896=KARTU!$K$6),OR(KARTU!$K$7="",$F1896=KARTU!$K$7),OR(KARTU!$K$8="",$K1896=KARTU!$K$8)),MAX($Z$3:Z1895)+1,""))</f>
        <v/>
      </c>
    </row>
    <row r="1897" customFormat="false" ht="15" hidden="false" customHeight="false" outlineLevel="0" collapsed="false">
      <c r="A1897" s="36" t="str">
        <f aca="false">IF($B1897="","",COUNTA($B$4:$B1897))</f>
        <v/>
      </c>
      <c r="B1897" s="37"/>
      <c r="C1897" s="38"/>
      <c r="D1897" s="39"/>
      <c r="E1897" s="37"/>
      <c r="F1897" s="39"/>
      <c r="G1897" s="40" t="str">
        <f aca="false">IF(OR($E1897="",$F1897=""),"",$E1897&amp;" - RT "&amp;$F1897)</f>
        <v/>
      </c>
      <c r="H1897" s="37"/>
      <c r="I1897" s="38"/>
      <c r="J1897" s="37"/>
      <c r="K1897" s="39"/>
      <c r="L1897" s="41"/>
      <c r="M1897" s="36" t="str">
        <f aca="true">IF(OR($B1897="",$L1897=""),"",DATEDIF($L1897,TODAY(),"Y"))</f>
        <v/>
      </c>
      <c r="N1897" s="40" t="str">
        <f aca="false">IF($M1897="","",INDEX(usia_label,MATCH($M1897,usia_min,1)))</f>
        <v/>
      </c>
      <c r="O1897" s="37"/>
      <c r="P1897" s="41"/>
      <c r="Q1897" s="37"/>
      <c r="R1897" s="37"/>
      <c r="S1897" s="40" t="str">
        <f aca="false">IF($G1897="","",$G1897&amp;"#"&amp;COUNTIF($G$4:$G1897,$G1897))</f>
        <v/>
      </c>
      <c r="T1897" s="40" t="str">
        <f aca="false">IF($B1897="","",IF($C1897="","NIK kosong",IF(LEN($C1897)&lt;&gt;16,"NIK bukan 16 digit",IF(COUNTIF($C$4:$C$2003,$C1897&amp;"*")&gt;1,"NIK ganda",IF($E1897="","Kadus kosong",IF($F1897="","RT kosong",IF($H1897="","Jabatan kosong",IF($I1897="","No. HP kosong",IF($J1897="","Alamat kosong",IF(AND($M1897&lt;&gt;"",$M1897&lt;17),"Usia di bawah 17",""))))))))))</f>
        <v/>
      </c>
      <c r="U1897" s="40" t="str">
        <f aca="false">IF($B1897="","",IF(AND(OR(CARI!$C$5="",ISNUMBER(SEARCH(CARI!$C$5,$B1897&amp;" "&amp;$C1897&amp;" "&amp;$I1897&amp;" "&amp;$J1897&amp;" "&amp;$Q1897))),OR(CARI!$C$6="",$E1897=CARI!$C$6),OR(CARI!$C$7="",$F1897=CARI!$C$7),OR(CARI!$C$8="",$O1897=CARI!$C$8)),MAX($U$3:U1896)+1,""))</f>
        <v/>
      </c>
      <c r="V1897" s="40" t="str">
        <f aca="false">IF($T1897="","",MAX($V$3:V1896)+1)</f>
        <v/>
      </c>
      <c r="W1897" s="40" t="str">
        <f aca="false">IF($E1897="","",$E1897&amp;"#"&amp;COUNTIF($E$4:$E1897,$E1897))</f>
        <v/>
      </c>
      <c r="X1897" s="40" t="str">
        <f aca="false">IF($B1897="","",IF(AND(OR(CETAK!$J$10="",$E1897=CETAK!$J$10),OR(CETAK!$J$11="",$F1897=CETAK!$J$11),OR(CETAK!$J$12="",$K1897=CETAK!$J$12),OR(CETAK!$J$13="",$H1897=CETAK!$J$13),OR(CETAK!$J$14="",$O1897=CETAK!$J$14)),MAX($X$3:X1896)+1,""))</f>
        <v/>
      </c>
      <c r="Y1897" s="40" t="str">
        <f aca="false">IF($B1897="","",IF(AND(OR(ABSENSI!$H$10="",$E1897=ABSENSI!$H$10),OR(ABSENSI!$H$11="",$F1897=ABSENSI!$H$11),OR(ABSENSI!$H$12="",$K1897=ABSENSI!$H$12)),MAX($Y$3:Y1896)+1,""))</f>
        <v/>
      </c>
      <c r="Z1897" s="40" t="str">
        <f aca="false">IF($B1897="","",IF(AND(OR(KARTU!$K$6="",$E1897=KARTU!$K$6),OR(KARTU!$K$7="",$F1897=KARTU!$K$7),OR(KARTU!$K$8="",$K1897=KARTU!$K$8)),MAX($Z$3:Z1896)+1,""))</f>
        <v/>
      </c>
    </row>
    <row r="1898" customFormat="false" ht="15" hidden="false" customHeight="false" outlineLevel="0" collapsed="false">
      <c r="A1898" s="36" t="str">
        <f aca="false">IF($B1898="","",COUNTA($B$4:$B1898))</f>
        <v/>
      </c>
      <c r="B1898" s="37"/>
      <c r="C1898" s="38"/>
      <c r="D1898" s="39"/>
      <c r="E1898" s="37"/>
      <c r="F1898" s="39"/>
      <c r="G1898" s="40" t="str">
        <f aca="false">IF(OR($E1898="",$F1898=""),"",$E1898&amp;" - RT "&amp;$F1898)</f>
        <v/>
      </c>
      <c r="H1898" s="37"/>
      <c r="I1898" s="38"/>
      <c r="J1898" s="37"/>
      <c r="K1898" s="39"/>
      <c r="L1898" s="41"/>
      <c r="M1898" s="36" t="str">
        <f aca="true">IF(OR($B1898="",$L1898=""),"",DATEDIF($L1898,TODAY(),"Y"))</f>
        <v/>
      </c>
      <c r="N1898" s="40" t="str">
        <f aca="false">IF($M1898="","",INDEX(usia_label,MATCH($M1898,usia_min,1)))</f>
        <v/>
      </c>
      <c r="O1898" s="37"/>
      <c r="P1898" s="41"/>
      <c r="Q1898" s="37"/>
      <c r="R1898" s="37"/>
      <c r="S1898" s="40" t="str">
        <f aca="false">IF($G1898="","",$G1898&amp;"#"&amp;COUNTIF($G$4:$G1898,$G1898))</f>
        <v/>
      </c>
      <c r="T1898" s="40" t="str">
        <f aca="false">IF($B1898="","",IF($C1898="","NIK kosong",IF(LEN($C1898)&lt;&gt;16,"NIK bukan 16 digit",IF(COUNTIF($C$4:$C$2003,$C1898&amp;"*")&gt;1,"NIK ganda",IF($E1898="","Kadus kosong",IF($F1898="","RT kosong",IF($H1898="","Jabatan kosong",IF($I1898="","No. HP kosong",IF($J1898="","Alamat kosong",IF(AND($M1898&lt;&gt;"",$M1898&lt;17),"Usia di bawah 17",""))))))))))</f>
        <v/>
      </c>
      <c r="U1898" s="40" t="str">
        <f aca="false">IF($B1898="","",IF(AND(OR(CARI!$C$5="",ISNUMBER(SEARCH(CARI!$C$5,$B1898&amp;" "&amp;$C1898&amp;" "&amp;$I1898&amp;" "&amp;$J1898&amp;" "&amp;$Q1898))),OR(CARI!$C$6="",$E1898=CARI!$C$6),OR(CARI!$C$7="",$F1898=CARI!$C$7),OR(CARI!$C$8="",$O1898=CARI!$C$8)),MAX($U$3:U1897)+1,""))</f>
        <v/>
      </c>
      <c r="V1898" s="40" t="str">
        <f aca="false">IF($T1898="","",MAX($V$3:V1897)+1)</f>
        <v/>
      </c>
      <c r="W1898" s="40" t="str">
        <f aca="false">IF($E1898="","",$E1898&amp;"#"&amp;COUNTIF($E$4:$E1898,$E1898))</f>
        <v/>
      </c>
      <c r="X1898" s="40" t="str">
        <f aca="false">IF($B1898="","",IF(AND(OR(CETAK!$J$10="",$E1898=CETAK!$J$10),OR(CETAK!$J$11="",$F1898=CETAK!$J$11),OR(CETAK!$J$12="",$K1898=CETAK!$J$12),OR(CETAK!$J$13="",$H1898=CETAK!$J$13),OR(CETAK!$J$14="",$O1898=CETAK!$J$14)),MAX($X$3:X1897)+1,""))</f>
        <v/>
      </c>
      <c r="Y1898" s="40" t="str">
        <f aca="false">IF($B1898="","",IF(AND(OR(ABSENSI!$H$10="",$E1898=ABSENSI!$H$10),OR(ABSENSI!$H$11="",$F1898=ABSENSI!$H$11),OR(ABSENSI!$H$12="",$K1898=ABSENSI!$H$12)),MAX($Y$3:Y1897)+1,""))</f>
        <v/>
      </c>
      <c r="Z1898" s="40" t="str">
        <f aca="false">IF($B1898="","",IF(AND(OR(KARTU!$K$6="",$E1898=KARTU!$K$6),OR(KARTU!$K$7="",$F1898=KARTU!$K$7),OR(KARTU!$K$8="",$K1898=KARTU!$K$8)),MAX($Z$3:Z1897)+1,""))</f>
        <v/>
      </c>
    </row>
    <row r="1899" customFormat="false" ht="15" hidden="false" customHeight="false" outlineLevel="0" collapsed="false">
      <c r="A1899" s="36" t="str">
        <f aca="false">IF($B1899="","",COUNTA($B$4:$B1899))</f>
        <v/>
      </c>
      <c r="B1899" s="37"/>
      <c r="C1899" s="38"/>
      <c r="D1899" s="39"/>
      <c r="E1899" s="37"/>
      <c r="F1899" s="39"/>
      <c r="G1899" s="40" t="str">
        <f aca="false">IF(OR($E1899="",$F1899=""),"",$E1899&amp;" - RT "&amp;$F1899)</f>
        <v/>
      </c>
      <c r="H1899" s="37"/>
      <c r="I1899" s="38"/>
      <c r="J1899" s="37"/>
      <c r="K1899" s="39"/>
      <c r="L1899" s="41"/>
      <c r="M1899" s="36" t="str">
        <f aca="true">IF(OR($B1899="",$L1899=""),"",DATEDIF($L1899,TODAY(),"Y"))</f>
        <v/>
      </c>
      <c r="N1899" s="40" t="str">
        <f aca="false">IF($M1899="","",INDEX(usia_label,MATCH($M1899,usia_min,1)))</f>
        <v/>
      </c>
      <c r="O1899" s="37"/>
      <c r="P1899" s="41"/>
      <c r="Q1899" s="37"/>
      <c r="R1899" s="37"/>
      <c r="S1899" s="40" t="str">
        <f aca="false">IF($G1899="","",$G1899&amp;"#"&amp;COUNTIF($G$4:$G1899,$G1899))</f>
        <v/>
      </c>
      <c r="T1899" s="40" t="str">
        <f aca="false">IF($B1899="","",IF($C1899="","NIK kosong",IF(LEN($C1899)&lt;&gt;16,"NIK bukan 16 digit",IF(COUNTIF($C$4:$C$2003,$C1899&amp;"*")&gt;1,"NIK ganda",IF($E1899="","Kadus kosong",IF($F1899="","RT kosong",IF($H1899="","Jabatan kosong",IF($I1899="","No. HP kosong",IF($J1899="","Alamat kosong",IF(AND($M1899&lt;&gt;"",$M1899&lt;17),"Usia di bawah 17",""))))))))))</f>
        <v/>
      </c>
      <c r="U1899" s="40" t="str">
        <f aca="false">IF($B1899="","",IF(AND(OR(CARI!$C$5="",ISNUMBER(SEARCH(CARI!$C$5,$B1899&amp;" "&amp;$C1899&amp;" "&amp;$I1899&amp;" "&amp;$J1899&amp;" "&amp;$Q1899))),OR(CARI!$C$6="",$E1899=CARI!$C$6),OR(CARI!$C$7="",$F1899=CARI!$C$7),OR(CARI!$C$8="",$O1899=CARI!$C$8)),MAX($U$3:U1898)+1,""))</f>
        <v/>
      </c>
      <c r="V1899" s="40" t="str">
        <f aca="false">IF($T1899="","",MAX($V$3:V1898)+1)</f>
        <v/>
      </c>
      <c r="W1899" s="40" t="str">
        <f aca="false">IF($E1899="","",$E1899&amp;"#"&amp;COUNTIF($E$4:$E1899,$E1899))</f>
        <v/>
      </c>
      <c r="X1899" s="40" t="str">
        <f aca="false">IF($B1899="","",IF(AND(OR(CETAK!$J$10="",$E1899=CETAK!$J$10),OR(CETAK!$J$11="",$F1899=CETAK!$J$11),OR(CETAK!$J$12="",$K1899=CETAK!$J$12),OR(CETAK!$J$13="",$H1899=CETAK!$J$13),OR(CETAK!$J$14="",$O1899=CETAK!$J$14)),MAX($X$3:X1898)+1,""))</f>
        <v/>
      </c>
      <c r="Y1899" s="40" t="str">
        <f aca="false">IF($B1899="","",IF(AND(OR(ABSENSI!$H$10="",$E1899=ABSENSI!$H$10),OR(ABSENSI!$H$11="",$F1899=ABSENSI!$H$11),OR(ABSENSI!$H$12="",$K1899=ABSENSI!$H$12)),MAX($Y$3:Y1898)+1,""))</f>
        <v/>
      </c>
      <c r="Z1899" s="40" t="str">
        <f aca="false">IF($B1899="","",IF(AND(OR(KARTU!$K$6="",$E1899=KARTU!$K$6),OR(KARTU!$K$7="",$F1899=KARTU!$K$7),OR(KARTU!$K$8="",$K1899=KARTU!$K$8)),MAX($Z$3:Z1898)+1,""))</f>
        <v/>
      </c>
    </row>
    <row r="1900" customFormat="false" ht="15" hidden="false" customHeight="false" outlineLevel="0" collapsed="false">
      <c r="A1900" s="36" t="str">
        <f aca="false">IF($B1900="","",COUNTA($B$4:$B1900))</f>
        <v/>
      </c>
      <c r="B1900" s="37"/>
      <c r="C1900" s="38"/>
      <c r="D1900" s="39"/>
      <c r="E1900" s="37"/>
      <c r="F1900" s="39"/>
      <c r="G1900" s="40" t="str">
        <f aca="false">IF(OR($E1900="",$F1900=""),"",$E1900&amp;" - RT "&amp;$F1900)</f>
        <v/>
      </c>
      <c r="H1900" s="37"/>
      <c r="I1900" s="38"/>
      <c r="J1900" s="37"/>
      <c r="K1900" s="39"/>
      <c r="L1900" s="41"/>
      <c r="M1900" s="36" t="str">
        <f aca="true">IF(OR($B1900="",$L1900=""),"",DATEDIF($L1900,TODAY(),"Y"))</f>
        <v/>
      </c>
      <c r="N1900" s="40" t="str">
        <f aca="false">IF($M1900="","",INDEX(usia_label,MATCH($M1900,usia_min,1)))</f>
        <v/>
      </c>
      <c r="O1900" s="37"/>
      <c r="P1900" s="41"/>
      <c r="Q1900" s="37"/>
      <c r="R1900" s="37"/>
      <c r="S1900" s="40" t="str">
        <f aca="false">IF($G1900="","",$G1900&amp;"#"&amp;COUNTIF($G$4:$G1900,$G1900))</f>
        <v/>
      </c>
      <c r="T1900" s="40" t="str">
        <f aca="false">IF($B1900="","",IF($C1900="","NIK kosong",IF(LEN($C1900)&lt;&gt;16,"NIK bukan 16 digit",IF(COUNTIF($C$4:$C$2003,$C1900&amp;"*")&gt;1,"NIK ganda",IF($E1900="","Kadus kosong",IF($F1900="","RT kosong",IF($H1900="","Jabatan kosong",IF($I1900="","No. HP kosong",IF($J1900="","Alamat kosong",IF(AND($M1900&lt;&gt;"",$M1900&lt;17),"Usia di bawah 17",""))))))))))</f>
        <v/>
      </c>
      <c r="U1900" s="40" t="str">
        <f aca="false">IF($B1900="","",IF(AND(OR(CARI!$C$5="",ISNUMBER(SEARCH(CARI!$C$5,$B1900&amp;" "&amp;$C1900&amp;" "&amp;$I1900&amp;" "&amp;$J1900&amp;" "&amp;$Q1900))),OR(CARI!$C$6="",$E1900=CARI!$C$6),OR(CARI!$C$7="",$F1900=CARI!$C$7),OR(CARI!$C$8="",$O1900=CARI!$C$8)),MAX($U$3:U1899)+1,""))</f>
        <v/>
      </c>
      <c r="V1900" s="40" t="str">
        <f aca="false">IF($T1900="","",MAX($V$3:V1899)+1)</f>
        <v/>
      </c>
      <c r="W1900" s="40" t="str">
        <f aca="false">IF($E1900="","",$E1900&amp;"#"&amp;COUNTIF($E$4:$E1900,$E1900))</f>
        <v/>
      </c>
      <c r="X1900" s="40" t="str">
        <f aca="false">IF($B1900="","",IF(AND(OR(CETAK!$J$10="",$E1900=CETAK!$J$10),OR(CETAK!$J$11="",$F1900=CETAK!$J$11),OR(CETAK!$J$12="",$K1900=CETAK!$J$12),OR(CETAK!$J$13="",$H1900=CETAK!$J$13),OR(CETAK!$J$14="",$O1900=CETAK!$J$14)),MAX($X$3:X1899)+1,""))</f>
        <v/>
      </c>
      <c r="Y1900" s="40" t="str">
        <f aca="false">IF($B1900="","",IF(AND(OR(ABSENSI!$H$10="",$E1900=ABSENSI!$H$10),OR(ABSENSI!$H$11="",$F1900=ABSENSI!$H$11),OR(ABSENSI!$H$12="",$K1900=ABSENSI!$H$12)),MAX($Y$3:Y1899)+1,""))</f>
        <v/>
      </c>
      <c r="Z1900" s="40" t="str">
        <f aca="false">IF($B1900="","",IF(AND(OR(KARTU!$K$6="",$E1900=KARTU!$K$6),OR(KARTU!$K$7="",$F1900=KARTU!$K$7),OR(KARTU!$K$8="",$K1900=KARTU!$K$8)),MAX($Z$3:Z1899)+1,""))</f>
        <v/>
      </c>
    </row>
    <row r="1901" customFormat="false" ht="15" hidden="false" customHeight="false" outlineLevel="0" collapsed="false">
      <c r="A1901" s="36" t="str">
        <f aca="false">IF($B1901="","",COUNTA($B$4:$B1901))</f>
        <v/>
      </c>
      <c r="B1901" s="37"/>
      <c r="C1901" s="38"/>
      <c r="D1901" s="39"/>
      <c r="E1901" s="37"/>
      <c r="F1901" s="39"/>
      <c r="G1901" s="40" t="str">
        <f aca="false">IF(OR($E1901="",$F1901=""),"",$E1901&amp;" - RT "&amp;$F1901)</f>
        <v/>
      </c>
      <c r="H1901" s="37"/>
      <c r="I1901" s="38"/>
      <c r="J1901" s="37"/>
      <c r="K1901" s="39"/>
      <c r="L1901" s="41"/>
      <c r="M1901" s="36" t="str">
        <f aca="true">IF(OR($B1901="",$L1901=""),"",DATEDIF($L1901,TODAY(),"Y"))</f>
        <v/>
      </c>
      <c r="N1901" s="40" t="str">
        <f aca="false">IF($M1901="","",INDEX(usia_label,MATCH($M1901,usia_min,1)))</f>
        <v/>
      </c>
      <c r="O1901" s="37"/>
      <c r="P1901" s="41"/>
      <c r="Q1901" s="37"/>
      <c r="R1901" s="37"/>
      <c r="S1901" s="40" t="str">
        <f aca="false">IF($G1901="","",$G1901&amp;"#"&amp;COUNTIF($G$4:$G1901,$G1901))</f>
        <v/>
      </c>
      <c r="T1901" s="40" t="str">
        <f aca="false">IF($B1901="","",IF($C1901="","NIK kosong",IF(LEN($C1901)&lt;&gt;16,"NIK bukan 16 digit",IF(COUNTIF($C$4:$C$2003,$C1901&amp;"*")&gt;1,"NIK ganda",IF($E1901="","Kadus kosong",IF($F1901="","RT kosong",IF($H1901="","Jabatan kosong",IF($I1901="","No. HP kosong",IF($J1901="","Alamat kosong",IF(AND($M1901&lt;&gt;"",$M1901&lt;17),"Usia di bawah 17",""))))))))))</f>
        <v/>
      </c>
      <c r="U1901" s="40" t="str">
        <f aca="false">IF($B1901="","",IF(AND(OR(CARI!$C$5="",ISNUMBER(SEARCH(CARI!$C$5,$B1901&amp;" "&amp;$C1901&amp;" "&amp;$I1901&amp;" "&amp;$J1901&amp;" "&amp;$Q1901))),OR(CARI!$C$6="",$E1901=CARI!$C$6),OR(CARI!$C$7="",$F1901=CARI!$C$7),OR(CARI!$C$8="",$O1901=CARI!$C$8)),MAX($U$3:U1900)+1,""))</f>
        <v/>
      </c>
      <c r="V1901" s="40" t="str">
        <f aca="false">IF($T1901="","",MAX($V$3:V1900)+1)</f>
        <v/>
      </c>
      <c r="W1901" s="40" t="str">
        <f aca="false">IF($E1901="","",$E1901&amp;"#"&amp;COUNTIF($E$4:$E1901,$E1901))</f>
        <v/>
      </c>
      <c r="X1901" s="40" t="str">
        <f aca="false">IF($B1901="","",IF(AND(OR(CETAK!$J$10="",$E1901=CETAK!$J$10),OR(CETAK!$J$11="",$F1901=CETAK!$J$11),OR(CETAK!$J$12="",$K1901=CETAK!$J$12),OR(CETAK!$J$13="",$H1901=CETAK!$J$13),OR(CETAK!$J$14="",$O1901=CETAK!$J$14)),MAX($X$3:X1900)+1,""))</f>
        <v/>
      </c>
      <c r="Y1901" s="40" t="str">
        <f aca="false">IF($B1901="","",IF(AND(OR(ABSENSI!$H$10="",$E1901=ABSENSI!$H$10),OR(ABSENSI!$H$11="",$F1901=ABSENSI!$H$11),OR(ABSENSI!$H$12="",$K1901=ABSENSI!$H$12)),MAX($Y$3:Y1900)+1,""))</f>
        <v/>
      </c>
      <c r="Z1901" s="40" t="str">
        <f aca="false">IF($B1901="","",IF(AND(OR(KARTU!$K$6="",$E1901=KARTU!$K$6),OR(KARTU!$K$7="",$F1901=KARTU!$K$7),OR(KARTU!$K$8="",$K1901=KARTU!$K$8)),MAX($Z$3:Z1900)+1,""))</f>
        <v/>
      </c>
    </row>
    <row r="1902" customFormat="false" ht="15" hidden="false" customHeight="false" outlineLevel="0" collapsed="false">
      <c r="A1902" s="36" t="str">
        <f aca="false">IF($B1902="","",COUNTA($B$4:$B1902))</f>
        <v/>
      </c>
      <c r="B1902" s="37"/>
      <c r="C1902" s="38"/>
      <c r="D1902" s="39"/>
      <c r="E1902" s="37"/>
      <c r="F1902" s="39"/>
      <c r="G1902" s="40" t="str">
        <f aca="false">IF(OR($E1902="",$F1902=""),"",$E1902&amp;" - RT "&amp;$F1902)</f>
        <v/>
      </c>
      <c r="H1902" s="37"/>
      <c r="I1902" s="38"/>
      <c r="J1902" s="37"/>
      <c r="K1902" s="39"/>
      <c r="L1902" s="41"/>
      <c r="M1902" s="36" t="str">
        <f aca="true">IF(OR($B1902="",$L1902=""),"",DATEDIF($L1902,TODAY(),"Y"))</f>
        <v/>
      </c>
      <c r="N1902" s="40" t="str">
        <f aca="false">IF($M1902="","",INDEX(usia_label,MATCH($M1902,usia_min,1)))</f>
        <v/>
      </c>
      <c r="O1902" s="37"/>
      <c r="P1902" s="41"/>
      <c r="Q1902" s="37"/>
      <c r="R1902" s="37"/>
      <c r="S1902" s="40" t="str">
        <f aca="false">IF($G1902="","",$G1902&amp;"#"&amp;COUNTIF($G$4:$G1902,$G1902))</f>
        <v/>
      </c>
      <c r="T1902" s="40" t="str">
        <f aca="false">IF($B1902="","",IF($C1902="","NIK kosong",IF(LEN($C1902)&lt;&gt;16,"NIK bukan 16 digit",IF(COUNTIF($C$4:$C$2003,$C1902&amp;"*")&gt;1,"NIK ganda",IF($E1902="","Kadus kosong",IF($F1902="","RT kosong",IF($H1902="","Jabatan kosong",IF($I1902="","No. HP kosong",IF($J1902="","Alamat kosong",IF(AND($M1902&lt;&gt;"",$M1902&lt;17),"Usia di bawah 17",""))))))))))</f>
        <v/>
      </c>
      <c r="U1902" s="40" t="str">
        <f aca="false">IF($B1902="","",IF(AND(OR(CARI!$C$5="",ISNUMBER(SEARCH(CARI!$C$5,$B1902&amp;" "&amp;$C1902&amp;" "&amp;$I1902&amp;" "&amp;$J1902&amp;" "&amp;$Q1902))),OR(CARI!$C$6="",$E1902=CARI!$C$6),OR(CARI!$C$7="",$F1902=CARI!$C$7),OR(CARI!$C$8="",$O1902=CARI!$C$8)),MAX($U$3:U1901)+1,""))</f>
        <v/>
      </c>
      <c r="V1902" s="40" t="str">
        <f aca="false">IF($T1902="","",MAX($V$3:V1901)+1)</f>
        <v/>
      </c>
      <c r="W1902" s="40" t="str">
        <f aca="false">IF($E1902="","",$E1902&amp;"#"&amp;COUNTIF($E$4:$E1902,$E1902))</f>
        <v/>
      </c>
      <c r="X1902" s="40" t="str">
        <f aca="false">IF($B1902="","",IF(AND(OR(CETAK!$J$10="",$E1902=CETAK!$J$10),OR(CETAK!$J$11="",$F1902=CETAK!$J$11),OR(CETAK!$J$12="",$K1902=CETAK!$J$12),OR(CETAK!$J$13="",$H1902=CETAK!$J$13),OR(CETAK!$J$14="",$O1902=CETAK!$J$14)),MAX($X$3:X1901)+1,""))</f>
        <v/>
      </c>
      <c r="Y1902" s="40" t="str">
        <f aca="false">IF($B1902="","",IF(AND(OR(ABSENSI!$H$10="",$E1902=ABSENSI!$H$10),OR(ABSENSI!$H$11="",$F1902=ABSENSI!$H$11),OR(ABSENSI!$H$12="",$K1902=ABSENSI!$H$12)),MAX($Y$3:Y1901)+1,""))</f>
        <v/>
      </c>
      <c r="Z1902" s="40" t="str">
        <f aca="false">IF($B1902="","",IF(AND(OR(KARTU!$K$6="",$E1902=KARTU!$K$6),OR(KARTU!$K$7="",$F1902=KARTU!$K$7),OR(KARTU!$K$8="",$K1902=KARTU!$K$8)),MAX($Z$3:Z1901)+1,""))</f>
        <v/>
      </c>
    </row>
    <row r="1903" customFormat="false" ht="15" hidden="false" customHeight="false" outlineLevel="0" collapsed="false">
      <c r="A1903" s="36" t="str">
        <f aca="false">IF($B1903="","",COUNTA($B$4:$B1903))</f>
        <v/>
      </c>
      <c r="B1903" s="37"/>
      <c r="C1903" s="38"/>
      <c r="D1903" s="39"/>
      <c r="E1903" s="37"/>
      <c r="F1903" s="39"/>
      <c r="G1903" s="40" t="str">
        <f aca="false">IF(OR($E1903="",$F1903=""),"",$E1903&amp;" - RT "&amp;$F1903)</f>
        <v/>
      </c>
      <c r="H1903" s="37"/>
      <c r="I1903" s="38"/>
      <c r="J1903" s="37"/>
      <c r="K1903" s="39"/>
      <c r="L1903" s="41"/>
      <c r="M1903" s="36" t="str">
        <f aca="true">IF(OR($B1903="",$L1903=""),"",DATEDIF($L1903,TODAY(),"Y"))</f>
        <v/>
      </c>
      <c r="N1903" s="40" t="str">
        <f aca="false">IF($M1903="","",INDEX(usia_label,MATCH($M1903,usia_min,1)))</f>
        <v/>
      </c>
      <c r="O1903" s="37"/>
      <c r="P1903" s="41"/>
      <c r="Q1903" s="37"/>
      <c r="R1903" s="37"/>
      <c r="S1903" s="40" t="str">
        <f aca="false">IF($G1903="","",$G1903&amp;"#"&amp;COUNTIF($G$4:$G1903,$G1903))</f>
        <v/>
      </c>
      <c r="T1903" s="40" t="str">
        <f aca="false">IF($B1903="","",IF($C1903="","NIK kosong",IF(LEN($C1903)&lt;&gt;16,"NIK bukan 16 digit",IF(COUNTIF($C$4:$C$2003,$C1903&amp;"*")&gt;1,"NIK ganda",IF($E1903="","Kadus kosong",IF($F1903="","RT kosong",IF($H1903="","Jabatan kosong",IF($I1903="","No. HP kosong",IF($J1903="","Alamat kosong",IF(AND($M1903&lt;&gt;"",$M1903&lt;17),"Usia di bawah 17",""))))))))))</f>
        <v/>
      </c>
      <c r="U1903" s="40" t="str">
        <f aca="false">IF($B1903="","",IF(AND(OR(CARI!$C$5="",ISNUMBER(SEARCH(CARI!$C$5,$B1903&amp;" "&amp;$C1903&amp;" "&amp;$I1903&amp;" "&amp;$J1903&amp;" "&amp;$Q1903))),OR(CARI!$C$6="",$E1903=CARI!$C$6),OR(CARI!$C$7="",$F1903=CARI!$C$7),OR(CARI!$C$8="",$O1903=CARI!$C$8)),MAX($U$3:U1902)+1,""))</f>
        <v/>
      </c>
      <c r="V1903" s="40" t="str">
        <f aca="false">IF($T1903="","",MAX($V$3:V1902)+1)</f>
        <v/>
      </c>
      <c r="W1903" s="40" t="str">
        <f aca="false">IF($E1903="","",$E1903&amp;"#"&amp;COUNTIF($E$4:$E1903,$E1903))</f>
        <v/>
      </c>
      <c r="X1903" s="40" t="str">
        <f aca="false">IF($B1903="","",IF(AND(OR(CETAK!$J$10="",$E1903=CETAK!$J$10),OR(CETAK!$J$11="",$F1903=CETAK!$J$11),OR(CETAK!$J$12="",$K1903=CETAK!$J$12),OR(CETAK!$J$13="",$H1903=CETAK!$J$13),OR(CETAK!$J$14="",$O1903=CETAK!$J$14)),MAX($X$3:X1902)+1,""))</f>
        <v/>
      </c>
      <c r="Y1903" s="40" t="str">
        <f aca="false">IF($B1903="","",IF(AND(OR(ABSENSI!$H$10="",$E1903=ABSENSI!$H$10),OR(ABSENSI!$H$11="",$F1903=ABSENSI!$H$11),OR(ABSENSI!$H$12="",$K1903=ABSENSI!$H$12)),MAX($Y$3:Y1902)+1,""))</f>
        <v/>
      </c>
      <c r="Z1903" s="40" t="str">
        <f aca="false">IF($B1903="","",IF(AND(OR(KARTU!$K$6="",$E1903=KARTU!$K$6),OR(KARTU!$K$7="",$F1903=KARTU!$K$7),OR(KARTU!$K$8="",$K1903=KARTU!$K$8)),MAX($Z$3:Z1902)+1,""))</f>
        <v/>
      </c>
    </row>
    <row r="1904" customFormat="false" ht="15" hidden="false" customHeight="false" outlineLevel="0" collapsed="false">
      <c r="A1904" s="36" t="str">
        <f aca="false">IF($B1904="","",COUNTA($B$4:$B1904))</f>
        <v/>
      </c>
      <c r="B1904" s="37"/>
      <c r="C1904" s="38"/>
      <c r="D1904" s="39"/>
      <c r="E1904" s="37"/>
      <c r="F1904" s="39"/>
      <c r="G1904" s="40" t="str">
        <f aca="false">IF(OR($E1904="",$F1904=""),"",$E1904&amp;" - RT "&amp;$F1904)</f>
        <v/>
      </c>
      <c r="H1904" s="37"/>
      <c r="I1904" s="38"/>
      <c r="J1904" s="37"/>
      <c r="K1904" s="39"/>
      <c r="L1904" s="41"/>
      <c r="M1904" s="36" t="str">
        <f aca="true">IF(OR($B1904="",$L1904=""),"",DATEDIF($L1904,TODAY(),"Y"))</f>
        <v/>
      </c>
      <c r="N1904" s="40" t="str">
        <f aca="false">IF($M1904="","",INDEX(usia_label,MATCH($M1904,usia_min,1)))</f>
        <v/>
      </c>
      <c r="O1904" s="37"/>
      <c r="P1904" s="41"/>
      <c r="Q1904" s="37"/>
      <c r="R1904" s="37"/>
      <c r="S1904" s="40" t="str">
        <f aca="false">IF($G1904="","",$G1904&amp;"#"&amp;COUNTIF($G$4:$G1904,$G1904))</f>
        <v/>
      </c>
      <c r="T1904" s="40" t="str">
        <f aca="false">IF($B1904="","",IF($C1904="","NIK kosong",IF(LEN($C1904)&lt;&gt;16,"NIK bukan 16 digit",IF(COUNTIF($C$4:$C$2003,$C1904&amp;"*")&gt;1,"NIK ganda",IF($E1904="","Kadus kosong",IF($F1904="","RT kosong",IF($H1904="","Jabatan kosong",IF($I1904="","No. HP kosong",IF($J1904="","Alamat kosong",IF(AND($M1904&lt;&gt;"",$M1904&lt;17),"Usia di bawah 17",""))))))))))</f>
        <v/>
      </c>
      <c r="U1904" s="40" t="str">
        <f aca="false">IF($B1904="","",IF(AND(OR(CARI!$C$5="",ISNUMBER(SEARCH(CARI!$C$5,$B1904&amp;" "&amp;$C1904&amp;" "&amp;$I1904&amp;" "&amp;$J1904&amp;" "&amp;$Q1904))),OR(CARI!$C$6="",$E1904=CARI!$C$6),OR(CARI!$C$7="",$F1904=CARI!$C$7),OR(CARI!$C$8="",$O1904=CARI!$C$8)),MAX($U$3:U1903)+1,""))</f>
        <v/>
      </c>
      <c r="V1904" s="40" t="str">
        <f aca="false">IF($T1904="","",MAX($V$3:V1903)+1)</f>
        <v/>
      </c>
      <c r="W1904" s="40" t="str">
        <f aca="false">IF($E1904="","",$E1904&amp;"#"&amp;COUNTIF($E$4:$E1904,$E1904))</f>
        <v/>
      </c>
      <c r="X1904" s="40" t="str">
        <f aca="false">IF($B1904="","",IF(AND(OR(CETAK!$J$10="",$E1904=CETAK!$J$10),OR(CETAK!$J$11="",$F1904=CETAK!$J$11),OR(CETAK!$J$12="",$K1904=CETAK!$J$12),OR(CETAK!$J$13="",$H1904=CETAK!$J$13),OR(CETAK!$J$14="",$O1904=CETAK!$J$14)),MAX($X$3:X1903)+1,""))</f>
        <v/>
      </c>
      <c r="Y1904" s="40" t="str">
        <f aca="false">IF($B1904="","",IF(AND(OR(ABSENSI!$H$10="",$E1904=ABSENSI!$H$10),OR(ABSENSI!$H$11="",$F1904=ABSENSI!$H$11),OR(ABSENSI!$H$12="",$K1904=ABSENSI!$H$12)),MAX($Y$3:Y1903)+1,""))</f>
        <v/>
      </c>
      <c r="Z1904" s="40" t="str">
        <f aca="false">IF($B1904="","",IF(AND(OR(KARTU!$K$6="",$E1904=KARTU!$K$6),OR(KARTU!$K$7="",$F1904=KARTU!$K$7),OR(KARTU!$K$8="",$K1904=KARTU!$K$8)),MAX($Z$3:Z1903)+1,""))</f>
        <v/>
      </c>
    </row>
    <row r="1905" customFormat="false" ht="15" hidden="false" customHeight="false" outlineLevel="0" collapsed="false">
      <c r="A1905" s="36" t="str">
        <f aca="false">IF($B1905="","",COUNTA($B$4:$B1905))</f>
        <v/>
      </c>
      <c r="B1905" s="37"/>
      <c r="C1905" s="38"/>
      <c r="D1905" s="39"/>
      <c r="E1905" s="37"/>
      <c r="F1905" s="39"/>
      <c r="G1905" s="40" t="str">
        <f aca="false">IF(OR($E1905="",$F1905=""),"",$E1905&amp;" - RT "&amp;$F1905)</f>
        <v/>
      </c>
      <c r="H1905" s="37"/>
      <c r="I1905" s="38"/>
      <c r="J1905" s="37"/>
      <c r="K1905" s="39"/>
      <c r="L1905" s="41"/>
      <c r="M1905" s="36" t="str">
        <f aca="true">IF(OR($B1905="",$L1905=""),"",DATEDIF($L1905,TODAY(),"Y"))</f>
        <v/>
      </c>
      <c r="N1905" s="40" t="str">
        <f aca="false">IF($M1905="","",INDEX(usia_label,MATCH($M1905,usia_min,1)))</f>
        <v/>
      </c>
      <c r="O1905" s="37"/>
      <c r="P1905" s="41"/>
      <c r="Q1905" s="37"/>
      <c r="R1905" s="37"/>
      <c r="S1905" s="40" t="str">
        <f aca="false">IF($G1905="","",$G1905&amp;"#"&amp;COUNTIF($G$4:$G1905,$G1905))</f>
        <v/>
      </c>
      <c r="T1905" s="40" t="str">
        <f aca="false">IF($B1905="","",IF($C1905="","NIK kosong",IF(LEN($C1905)&lt;&gt;16,"NIK bukan 16 digit",IF(COUNTIF($C$4:$C$2003,$C1905&amp;"*")&gt;1,"NIK ganda",IF($E1905="","Kadus kosong",IF($F1905="","RT kosong",IF($H1905="","Jabatan kosong",IF($I1905="","No. HP kosong",IF($J1905="","Alamat kosong",IF(AND($M1905&lt;&gt;"",$M1905&lt;17),"Usia di bawah 17",""))))))))))</f>
        <v/>
      </c>
      <c r="U1905" s="40" t="str">
        <f aca="false">IF($B1905="","",IF(AND(OR(CARI!$C$5="",ISNUMBER(SEARCH(CARI!$C$5,$B1905&amp;" "&amp;$C1905&amp;" "&amp;$I1905&amp;" "&amp;$J1905&amp;" "&amp;$Q1905))),OR(CARI!$C$6="",$E1905=CARI!$C$6),OR(CARI!$C$7="",$F1905=CARI!$C$7),OR(CARI!$C$8="",$O1905=CARI!$C$8)),MAX($U$3:U1904)+1,""))</f>
        <v/>
      </c>
      <c r="V1905" s="40" t="str">
        <f aca="false">IF($T1905="","",MAX($V$3:V1904)+1)</f>
        <v/>
      </c>
      <c r="W1905" s="40" t="str">
        <f aca="false">IF($E1905="","",$E1905&amp;"#"&amp;COUNTIF($E$4:$E1905,$E1905))</f>
        <v/>
      </c>
      <c r="X1905" s="40" t="str">
        <f aca="false">IF($B1905="","",IF(AND(OR(CETAK!$J$10="",$E1905=CETAK!$J$10),OR(CETAK!$J$11="",$F1905=CETAK!$J$11),OR(CETAK!$J$12="",$K1905=CETAK!$J$12),OR(CETAK!$J$13="",$H1905=CETAK!$J$13),OR(CETAK!$J$14="",$O1905=CETAK!$J$14)),MAX($X$3:X1904)+1,""))</f>
        <v/>
      </c>
      <c r="Y1905" s="40" t="str">
        <f aca="false">IF($B1905="","",IF(AND(OR(ABSENSI!$H$10="",$E1905=ABSENSI!$H$10),OR(ABSENSI!$H$11="",$F1905=ABSENSI!$H$11),OR(ABSENSI!$H$12="",$K1905=ABSENSI!$H$12)),MAX($Y$3:Y1904)+1,""))</f>
        <v/>
      </c>
      <c r="Z1905" s="40" t="str">
        <f aca="false">IF($B1905="","",IF(AND(OR(KARTU!$K$6="",$E1905=KARTU!$K$6),OR(KARTU!$K$7="",$F1905=KARTU!$K$7),OR(KARTU!$K$8="",$K1905=KARTU!$K$8)),MAX($Z$3:Z1904)+1,""))</f>
        <v/>
      </c>
    </row>
    <row r="1906" customFormat="false" ht="15" hidden="false" customHeight="false" outlineLevel="0" collapsed="false">
      <c r="A1906" s="36" t="str">
        <f aca="false">IF($B1906="","",COUNTA($B$4:$B1906))</f>
        <v/>
      </c>
      <c r="B1906" s="37"/>
      <c r="C1906" s="38"/>
      <c r="D1906" s="39"/>
      <c r="E1906" s="37"/>
      <c r="F1906" s="39"/>
      <c r="G1906" s="40" t="str">
        <f aca="false">IF(OR($E1906="",$F1906=""),"",$E1906&amp;" - RT "&amp;$F1906)</f>
        <v/>
      </c>
      <c r="H1906" s="37"/>
      <c r="I1906" s="38"/>
      <c r="J1906" s="37"/>
      <c r="K1906" s="39"/>
      <c r="L1906" s="41"/>
      <c r="M1906" s="36" t="str">
        <f aca="true">IF(OR($B1906="",$L1906=""),"",DATEDIF($L1906,TODAY(),"Y"))</f>
        <v/>
      </c>
      <c r="N1906" s="40" t="str">
        <f aca="false">IF($M1906="","",INDEX(usia_label,MATCH($M1906,usia_min,1)))</f>
        <v/>
      </c>
      <c r="O1906" s="37"/>
      <c r="P1906" s="41"/>
      <c r="Q1906" s="37"/>
      <c r="R1906" s="37"/>
      <c r="S1906" s="40" t="str">
        <f aca="false">IF($G1906="","",$G1906&amp;"#"&amp;COUNTIF($G$4:$G1906,$G1906))</f>
        <v/>
      </c>
      <c r="T1906" s="40" t="str">
        <f aca="false">IF($B1906="","",IF($C1906="","NIK kosong",IF(LEN($C1906)&lt;&gt;16,"NIK bukan 16 digit",IF(COUNTIF($C$4:$C$2003,$C1906&amp;"*")&gt;1,"NIK ganda",IF($E1906="","Kadus kosong",IF($F1906="","RT kosong",IF($H1906="","Jabatan kosong",IF($I1906="","No. HP kosong",IF($J1906="","Alamat kosong",IF(AND($M1906&lt;&gt;"",$M1906&lt;17),"Usia di bawah 17",""))))))))))</f>
        <v/>
      </c>
      <c r="U1906" s="40" t="str">
        <f aca="false">IF($B1906="","",IF(AND(OR(CARI!$C$5="",ISNUMBER(SEARCH(CARI!$C$5,$B1906&amp;" "&amp;$C1906&amp;" "&amp;$I1906&amp;" "&amp;$J1906&amp;" "&amp;$Q1906))),OR(CARI!$C$6="",$E1906=CARI!$C$6),OR(CARI!$C$7="",$F1906=CARI!$C$7),OR(CARI!$C$8="",$O1906=CARI!$C$8)),MAX($U$3:U1905)+1,""))</f>
        <v/>
      </c>
      <c r="V1906" s="40" t="str">
        <f aca="false">IF($T1906="","",MAX($V$3:V1905)+1)</f>
        <v/>
      </c>
      <c r="W1906" s="40" t="str">
        <f aca="false">IF($E1906="","",$E1906&amp;"#"&amp;COUNTIF($E$4:$E1906,$E1906))</f>
        <v/>
      </c>
      <c r="X1906" s="40" t="str">
        <f aca="false">IF($B1906="","",IF(AND(OR(CETAK!$J$10="",$E1906=CETAK!$J$10),OR(CETAK!$J$11="",$F1906=CETAK!$J$11),OR(CETAK!$J$12="",$K1906=CETAK!$J$12),OR(CETAK!$J$13="",$H1906=CETAK!$J$13),OR(CETAK!$J$14="",$O1906=CETAK!$J$14)),MAX($X$3:X1905)+1,""))</f>
        <v/>
      </c>
      <c r="Y1906" s="40" t="str">
        <f aca="false">IF($B1906="","",IF(AND(OR(ABSENSI!$H$10="",$E1906=ABSENSI!$H$10),OR(ABSENSI!$H$11="",$F1906=ABSENSI!$H$11),OR(ABSENSI!$H$12="",$K1906=ABSENSI!$H$12)),MAX($Y$3:Y1905)+1,""))</f>
        <v/>
      </c>
      <c r="Z1906" s="40" t="str">
        <f aca="false">IF($B1906="","",IF(AND(OR(KARTU!$K$6="",$E1906=KARTU!$K$6),OR(KARTU!$K$7="",$F1906=KARTU!$K$7),OR(KARTU!$K$8="",$K1906=KARTU!$K$8)),MAX($Z$3:Z1905)+1,""))</f>
        <v/>
      </c>
    </row>
    <row r="1907" customFormat="false" ht="15" hidden="false" customHeight="false" outlineLevel="0" collapsed="false">
      <c r="A1907" s="36" t="str">
        <f aca="false">IF($B1907="","",COUNTA($B$4:$B1907))</f>
        <v/>
      </c>
      <c r="B1907" s="37"/>
      <c r="C1907" s="38"/>
      <c r="D1907" s="39"/>
      <c r="E1907" s="37"/>
      <c r="F1907" s="39"/>
      <c r="G1907" s="40" t="str">
        <f aca="false">IF(OR($E1907="",$F1907=""),"",$E1907&amp;" - RT "&amp;$F1907)</f>
        <v/>
      </c>
      <c r="H1907" s="37"/>
      <c r="I1907" s="38"/>
      <c r="J1907" s="37"/>
      <c r="K1907" s="39"/>
      <c r="L1907" s="41"/>
      <c r="M1907" s="36" t="str">
        <f aca="true">IF(OR($B1907="",$L1907=""),"",DATEDIF($L1907,TODAY(),"Y"))</f>
        <v/>
      </c>
      <c r="N1907" s="40" t="str">
        <f aca="false">IF($M1907="","",INDEX(usia_label,MATCH($M1907,usia_min,1)))</f>
        <v/>
      </c>
      <c r="O1907" s="37"/>
      <c r="P1907" s="41"/>
      <c r="Q1907" s="37"/>
      <c r="R1907" s="37"/>
      <c r="S1907" s="40" t="str">
        <f aca="false">IF($G1907="","",$G1907&amp;"#"&amp;COUNTIF($G$4:$G1907,$G1907))</f>
        <v/>
      </c>
      <c r="T1907" s="40" t="str">
        <f aca="false">IF($B1907="","",IF($C1907="","NIK kosong",IF(LEN($C1907)&lt;&gt;16,"NIK bukan 16 digit",IF(COUNTIF($C$4:$C$2003,$C1907&amp;"*")&gt;1,"NIK ganda",IF($E1907="","Kadus kosong",IF($F1907="","RT kosong",IF($H1907="","Jabatan kosong",IF($I1907="","No. HP kosong",IF($J1907="","Alamat kosong",IF(AND($M1907&lt;&gt;"",$M1907&lt;17),"Usia di bawah 17",""))))))))))</f>
        <v/>
      </c>
      <c r="U1907" s="40" t="str">
        <f aca="false">IF($B1907="","",IF(AND(OR(CARI!$C$5="",ISNUMBER(SEARCH(CARI!$C$5,$B1907&amp;" "&amp;$C1907&amp;" "&amp;$I1907&amp;" "&amp;$J1907&amp;" "&amp;$Q1907))),OR(CARI!$C$6="",$E1907=CARI!$C$6),OR(CARI!$C$7="",$F1907=CARI!$C$7),OR(CARI!$C$8="",$O1907=CARI!$C$8)),MAX($U$3:U1906)+1,""))</f>
        <v/>
      </c>
      <c r="V1907" s="40" t="str">
        <f aca="false">IF($T1907="","",MAX($V$3:V1906)+1)</f>
        <v/>
      </c>
      <c r="W1907" s="40" t="str">
        <f aca="false">IF($E1907="","",$E1907&amp;"#"&amp;COUNTIF($E$4:$E1907,$E1907))</f>
        <v/>
      </c>
      <c r="X1907" s="40" t="str">
        <f aca="false">IF($B1907="","",IF(AND(OR(CETAK!$J$10="",$E1907=CETAK!$J$10),OR(CETAK!$J$11="",$F1907=CETAK!$J$11),OR(CETAK!$J$12="",$K1907=CETAK!$J$12),OR(CETAK!$J$13="",$H1907=CETAK!$J$13),OR(CETAK!$J$14="",$O1907=CETAK!$J$14)),MAX($X$3:X1906)+1,""))</f>
        <v/>
      </c>
      <c r="Y1907" s="40" t="str">
        <f aca="false">IF($B1907="","",IF(AND(OR(ABSENSI!$H$10="",$E1907=ABSENSI!$H$10),OR(ABSENSI!$H$11="",$F1907=ABSENSI!$H$11),OR(ABSENSI!$H$12="",$K1907=ABSENSI!$H$12)),MAX($Y$3:Y1906)+1,""))</f>
        <v/>
      </c>
      <c r="Z1907" s="40" t="str">
        <f aca="false">IF($B1907="","",IF(AND(OR(KARTU!$K$6="",$E1907=KARTU!$K$6),OR(KARTU!$K$7="",$F1907=KARTU!$K$7),OR(KARTU!$K$8="",$K1907=KARTU!$K$8)),MAX($Z$3:Z1906)+1,""))</f>
        <v/>
      </c>
    </row>
    <row r="1908" customFormat="false" ht="15" hidden="false" customHeight="false" outlineLevel="0" collapsed="false">
      <c r="A1908" s="36" t="str">
        <f aca="false">IF($B1908="","",COUNTA($B$4:$B1908))</f>
        <v/>
      </c>
      <c r="B1908" s="37"/>
      <c r="C1908" s="38"/>
      <c r="D1908" s="39"/>
      <c r="E1908" s="37"/>
      <c r="F1908" s="39"/>
      <c r="G1908" s="40" t="str">
        <f aca="false">IF(OR($E1908="",$F1908=""),"",$E1908&amp;" - RT "&amp;$F1908)</f>
        <v/>
      </c>
      <c r="H1908" s="37"/>
      <c r="I1908" s="38"/>
      <c r="J1908" s="37"/>
      <c r="K1908" s="39"/>
      <c r="L1908" s="41"/>
      <c r="M1908" s="36" t="str">
        <f aca="true">IF(OR($B1908="",$L1908=""),"",DATEDIF($L1908,TODAY(),"Y"))</f>
        <v/>
      </c>
      <c r="N1908" s="40" t="str">
        <f aca="false">IF($M1908="","",INDEX(usia_label,MATCH($M1908,usia_min,1)))</f>
        <v/>
      </c>
      <c r="O1908" s="37"/>
      <c r="P1908" s="41"/>
      <c r="Q1908" s="37"/>
      <c r="R1908" s="37"/>
      <c r="S1908" s="40" t="str">
        <f aca="false">IF($G1908="","",$G1908&amp;"#"&amp;COUNTIF($G$4:$G1908,$G1908))</f>
        <v/>
      </c>
      <c r="T1908" s="40" t="str">
        <f aca="false">IF($B1908="","",IF($C1908="","NIK kosong",IF(LEN($C1908)&lt;&gt;16,"NIK bukan 16 digit",IF(COUNTIF($C$4:$C$2003,$C1908&amp;"*")&gt;1,"NIK ganda",IF($E1908="","Kadus kosong",IF($F1908="","RT kosong",IF($H1908="","Jabatan kosong",IF($I1908="","No. HP kosong",IF($J1908="","Alamat kosong",IF(AND($M1908&lt;&gt;"",$M1908&lt;17),"Usia di bawah 17",""))))))))))</f>
        <v/>
      </c>
      <c r="U1908" s="40" t="str">
        <f aca="false">IF($B1908="","",IF(AND(OR(CARI!$C$5="",ISNUMBER(SEARCH(CARI!$C$5,$B1908&amp;" "&amp;$C1908&amp;" "&amp;$I1908&amp;" "&amp;$J1908&amp;" "&amp;$Q1908))),OR(CARI!$C$6="",$E1908=CARI!$C$6),OR(CARI!$C$7="",$F1908=CARI!$C$7),OR(CARI!$C$8="",$O1908=CARI!$C$8)),MAX($U$3:U1907)+1,""))</f>
        <v/>
      </c>
      <c r="V1908" s="40" t="str">
        <f aca="false">IF($T1908="","",MAX($V$3:V1907)+1)</f>
        <v/>
      </c>
      <c r="W1908" s="40" t="str">
        <f aca="false">IF($E1908="","",$E1908&amp;"#"&amp;COUNTIF($E$4:$E1908,$E1908))</f>
        <v/>
      </c>
      <c r="X1908" s="40" t="str">
        <f aca="false">IF($B1908="","",IF(AND(OR(CETAK!$J$10="",$E1908=CETAK!$J$10),OR(CETAK!$J$11="",$F1908=CETAK!$J$11),OR(CETAK!$J$12="",$K1908=CETAK!$J$12),OR(CETAK!$J$13="",$H1908=CETAK!$J$13),OR(CETAK!$J$14="",$O1908=CETAK!$J$14)),MAX($X$3:X1907)+1,""))</f>
        <v/>
      </c>
      <c r="Y1908" s="40" t="str">
        <f aca="false">IF($B1908="","",IF(AND(OR(ABSENSI!$H$10="",$E1908=ABSENSI!$H$10),OR(ABSENSI!$H$11="",$F1908=ABSENSI!$H$11),OR(ABSENSI!$H$12="",$K1908=ABSENSI!$H$12)),MAX($Y$3:Y1907)+1,""))</f>
        <v/>
      </c>
      <c r="Z1908" s="40" t="str">
        <f aca="false">IF($B1908="","",IF(AND(OR(KARTU!$K$6="",$E1908=KARTU!$K$6),OR(KARTU!$K$7="",$F1908=KARTU!$K$7),OR(KARTU!$K$8="",$K1908=KARTU!$K$8)),MAX($Z$3:Z1907)+1,""))</f>
        <v/>
      </c>
    </row>
    <row r="1909" customFormat="false" ht="15" hidden="false" customHeight="false" outlineLevel="0" collapsed="false">
      <c r="A1909" s="36" t="str">
        <f aca="false">IF($B1909="","",COUNTA($B$4:$B1909))</f>
        <v/>
      </c>
      <c r="B1909" s="37"/>
      <c r="C1909" s="38"/>
      <c r="D1909" s="39"/>
      <c r="E1909" s="37"/>
      <c r="F1909" s="39"/>
      <c r="G1909" s="40" t="str">
        <f aca="false">IF(OR($E1909="",$F1909=""),"",$E1909&amp;" - RT "&amp;$F1909)</f>
        <v/>
      </c>
      <c r="H1909" s="37"/>
      <c r="I1909" s="38"/>
      <c r="J1909" s="37"/>
      <c r="K1909" s="39"/>
      <c r="L1909" s="41"/>
      <c r="M1909" s="36" t="str">
        <f aca="true">IF(OR($B1909="",$L1909=""),"",DATEDIF($L1909,TODAY(),"Y"))</f>
        <v/>
      </c>
      <c r="N1909" s="40" t="str">
        <f aca="false">IF($M1909="","",INDEX(usia_label,MATCH($M1909,usia_min,1)))</f>
        <v/>
      </c>
      <c r="O1909" s="37"/>
      <c r="P1909" s="41"/>
      <c r="Q1909" s="37"/>
      <c r="R1909" s="37"/>
      <c r="S1909" s="40" t="str">
        <f aca="false">IF($G1909="","",$G1909&amp;"#"&amp;COUNTIF($G$4:$G1909,$G1909))</f>
        <v/>
      </c>
      <c r="T1909" s="40" t="str">
        <f aca="false">IF($B1909="","",IF($C1909="","NIK kosong",IF(LEN($C1909)&lt;&gt;16,"NIK bukan 16 digit",IF(COUNTIF($C$4:$C$2003,$C1909&amp;"*")&gt;1,"NIK ganda",IF($E1909="","Kadus kosong",IF($F1909="","RT kosong",IF($H1909="","Jabatan kosong",IF($I1909="","No. HP kosong",IF($J1909="","Alamat kosong",IF(AND($M1909&lt;&gt;"",$M1909&lt;17),"Usia di bawah 17",""))))))))))</f>
        <v/>
      </c>
      <c r="U1909" s="40" t="str">
        <f aca="false">IF($B1909="","",IF(AND(OR(CARI!$C$5="",ISNUMBER(SEARCH(CARI!$C$5,$B1909&amp;" "&amp;$C1909&amp;" "&amp;$I1909&amp;" "&amp;$J1909&amp;" "&amp;$Q1909))),OR(CARI!$C$6="",$E1909=CARI!$C$6),OR(CARI!$C$7="",$F1909=CARI!$C$7),OR(CARI!$C$8="",$O1909=CARI!$C$8)),MAX($U$3:U1908)+1,""))</f>
        <v/>
      </c>
      <c r="V1909" s="40" t="str">
        <f aca="false">IF($T1909="","",MAX($V$3:V1908)+1)</f>
        <v/>
      </c>
      <c r="W1909" s="40" t="str">
        <f aca="false">IF($E1909="","",$E1909&amp;"#"&amp;COUNTIF($E$4:$E1909,$E1909))</f>
        <v/>
      </c>
      <c r="X1909" s="40" t="str">
        <f aca="false">IF($B1909="","",IF(AND(OR(CETAK!$J$10="",$E1909=CETAK!$J$10),OR(CETAK!$J$11="",$F1909=CETAK!$J$11),OR(CETAK!$J$12="",$K1909=CETAK!$J$12),OR(CETAK!$J$13="",$H1909=CETAK!$J$13),OR(CETAK!$J$14="",$O1909=CETAK!$J$14)),MAX($X$3:X1908)+1,""))</f>
        <v/>
      </c>
      <c r="Y1909" s="40" t="str">
        <f aca="false">IF($B1909="","",IF(AND(OR(ABSENSI!$H$10="",$E1909=ABSENSI!$H$10),OR(ABSENSI!$H$11="",$F1909=ABSENSI!$H$11),OR(ABSENSI!$H$12="",$K1909=ABSENSI!$H$12)),MAX($Y$3:Y1908)+1,""))</f>
        <v/>
      </c>
      <c r="Z1909" s="40" t="str">
        <f aca="false">IF($B1909="","",IF(AND(OR(KARTU!$K$6="",$E1909=KARTU!$K$6),OR(KARTU!$K$7="",$F1909=KARTU!$K$7),OR(KARTU!$K$8="",$K1909=KARTU!$K$8)),MAX($Z$3:Z1908)+1,""))</f>
        <v/>
      </c>
    </row>
    <row r="1910" customFormat="false" ht="15" hidden="false" customHeight="false" outlineLevel="0" collapsed="false">
      <c r="A1910" s="36" t="str">
        <f aca="false">IF($B1910="","",COUNTA($B$4:$B1910))</f>
        <v/>
      </c>
      <c r="B1910" s="37"/>
      <c r="C1910" s="38"/>
      <c r="D1910" s="39"/>
      <c r="E1910" s="37"/>
      <c r="F1910" s="39"/>
      <c r="G1910" s="40" t="str">
        <f aca="false">IF(OR($E1910="",$F1910=""),"",$E1910&amp;" - RT "&amp;$F1910)</f>
        <v/>
      </c>
      <c r="H1910" s="37"/>
      <c r="I1910" s="38"/>
      <c r="J1910" s="37"/>
      <c r="K1910" s="39"/>
      <c r="L1910" s="41"/>
      <c r="M1910" s="36" t="str">
        <f aca="true">IF(OR($B1910="",$L1910=""),"",DATEDIF($L1910,TODAY(),"Y"))</f>
        <v/>
      </c>
      <c r="N1910" s="40" t="str">
        <f aca="false">IF($M1910="","",INDEX(usia_label,MATCH($M1910,usia_min,1)))</f>
        <v/>
      </c>
      <c r="O1910" s="37"/>
      <c r="P1910" s="41"/>
      <c r="Q1910" s="37"/>
      <c r="R1910" s="37"/>
      <c r="S1910" s="40" t="str">
        <f aca="false">IF($G1910="","",$G1910&amp;"#"&amp;COUNTIF($G$4:$G1910,$G1910))</f>
        <v/>
      </c>
      <c r="T1910" s="40" t="str">
        <f aca="false">IF($B1910="","",IF($C1910="","NIK kosong",IF(LEN($C1910)&lt;&gt;16,"NIK bukan 16 digit",IF(COUNTIF($C$4:$C$2003,$C1910&amp;"*")&gt;1,"NIK ganda",IF($E1910="","Kadus kosong",IF($F1910="","RT kosong",IF($H1910="","Jabatan kosong",IF($I1910="","No. HP kosong",IF($J1910="","Alamat kosong",IF(AND($M1910&lt;&gt;"",$M1910&lt;17),"Usia di bawah 17",""))))))))))</f>
        <v/>
      </c>
      <c r="U1910" s="40" t="str">
        <f aca="false">IF($B1910="","",IF(AND(OR(CARI!$C$5="",ISNUMBER(SEARCH(CARI!$C$5,$B1910&amp;" "&amp;$C1910&amp;" "&amp;$I1910&amp;" "&amp;$J1910&amp;" "&amp;$Q1910))),OR(CARI!$C$6="",$E1910=CARI!$C$6),OR(CARI!$C$7="",$F1910=CARI!$C$7),OR(CARI!$C$8="",$O1910=CARI!$C$8)),MAX($U$3:U1909)+1,""))</f>
        <v/>
      </c>
      <c r="V1910" s="40" t="str">
        <f aca="false">IF($T1910="","",MAX($V$3:V1909)+1)</f>
        <v/>
      </c>
      <c r="W1910" s="40" t="str">
        <f aca="false">IF($E1910="","",$E1910&amp;"#"&amp;COUNTIF($E$4:$E1910,$E1910))</f>
        <v/>
      </c>
      <c r="X1910" s="40" t="str">
        <f aca="false">IF($B1910="","",IF(AND(OR(CETAK!$J$10="",$E1910=CETAK!$J$10),OR(CETAK!$J$11="",$F1910=CETAK!$J$11),OR(CETAK!$J$12="",$K1910=CETAK!$J$12),OR(CETAK!$J$13="",$H1910=CETAK!$J$13),OR(CETAK!$J$14="",$O1910=CETAK!$J$14)),MAX($X$3:X1909)+1,""))</f>
        <v/>
      </c>
      <c r="Y1910" s="40" t="str">
        <f aca="false">IF($B1910="","",IF(AND(OR(ABSENSI!$H$10="",$E1910=ABSENSI!$H$10),OR(ABSENSI!$H$11="",$F1910=ABSENSI!$H$11),OR(ABSENSI!$H$12="",$K1910=ABSENSI!$H$12)),MAX($Y$3:Y1909)+1,""))</f>
        <v/>
      </c>
      <c r="Z1910" s="40" t="str">
        <f aca="false">IF($B1910="","",IF(AND(OR(KARTU!$K$6="",$E1910=KARTU!$K$6),OR(KARTU!$K$7="",$F1910=KARTU!$K$7),OR(KARTU!$K$8="",$K1910=KARTU!$K$8)),MAX($Z$3:Z1909)+1,""))</f>
        <v/>
      </c>
    </row>
    <row r="1911" customFormat="false" ht="15" hidden="false" customHeight="false" outlineLevel="0" collapsed="false">
      <c r="A1911" s="36" t="str">
        <f aca="false">IF($B1911="","",COUNTA($B$4:$B1911))</f>
        <v/>
      </c>
      <c r="B1911" s="37"/>
      <c r="C1911" s="38"/>
      <c r="D1911" s="39"/>
      <c r="E1911" s="37"/>
      <c r="F1911" s="39"/>
      <c r="G1911" s="40" t="str">
        <f aca="false">IF(OR($E1911="",$F1911=""),"",$E1911&amp;" - RT "&amp;$F1911)</f>
        <v/>
      </c>
      <c r="H1911" s="37"/>
      <c r="I1911" s="38"/>
      <c r="J1911" s="37"/>
      <c r="K1911" s="39"/>
      <c r="L1911" s="41"/>
      <c r="M1911" s="36" t="str">
        <f aca="true">IF(OR($B1911="",$L1911=""),"",DATEDIF($L1911,TODAY(),"Y"))</f>
        <v/>
      </c>
      <c r="N1911" s="40" t="str">
        <f aca="false">IF($M1911="","",INDEX(usia_label,MATCH($M1911,usia_min,1)))</f>
        <v/>
      </c>
      <c r="O1911" s="37"/>
      <c r="P1911" s="41"/>
      <c r="Q1911" s="37"/>
      <c r="R1911" s="37"/>
      <c r="S1911" s="40" t="str">
        <f aca="false">IF($G1911="","",$G1911&amp;"#"&amp;COUNTIF($G$4:$G1911,$G1911))</f>
        <v/>
      </c>
      <c r="T1911" s="40" t="str">
        <f aca="false">IF($B1911="","",IF($C1911="","NIK kosong",IF(LEN($C1911)&lt;&gt;16,"NIK bukan 16 digit",IF(COUNTIF($C$4:$C$2003,$C1911&amp;"*")&gt;1,"NIK ganda",IF($E1911="","Kadus kosong",IF($F1911="","RT kosong",IF($H1911="","Jabatan kosong",IF($I1911="","No. HP kosong",IF($J1911="","Alamat kosong",IF(AND($M1911&lt;&gt;"",$M1911&lt;17),"Usia di bawah 17",""))))))))))</f>
        <v/>
      </c>
      <c r="U1911" s="40" t="str">
        <f aca="false">IF($B1911="","",IF(AND(OR(CARI!$C$5="",ISNUMBER(SEARCH(CARI!$C$5,$B1911&amp;" "&amp;$C1911&amp;" "&amp;$I1911&amp;" "&amp;$J1911&amp;" "&amp;$Q1911))),OR(CARI!$C$6="",$E1911=CARI!$C$6),OR(CARI!$C$7="",$F1911=CARI!$C$7),OR(CARI!$C$8="",$O1911=CARI!$C$8)),MAX($U$3:U1910)+1,""))</f>
        <v/>
      </c>
      <c r="V1911" s="40" t="str">
        <f aca="false">IF($T1911="","",MAX($V$3:V1910)+1)</f>
        <v/>
      </c>
      <c r="W1911" s="40" t="str">
        <f aca="false">IF($E1911="","",$E1911&amp;"#"&amp;COUNTIF($E$4:$E1911,$E1911))</f>
        <v/>
      </c>
      <c r="X1911" s="40" t="str">
        <f aca="false">IF($B1911="","",IF(AND(OR(CETAK!$J$10="",$E1911=CETAK!$J$10),OR(CETAK!$J$11="",$F1911=CETAK!$J$11),OR(CETAK!$J$12="",$K1911=CETAK!$J$12),OR(CETAK!$J$13="",$H1911=CETAK!$J$13),OR(CETAK!$J$14="",$O1911=CETAK!$J$14)),MAX($X$3:X1910)+1,""))</f>
        <v/>
      </c>
      <c r="Y1911" s="40" t="str">
        <f aca="false">IF($B1911="","",IF(AND(OR(ABSENSI!$H$10="",$E1911=ABSENSI!$H$10),OR(ABSENSI!$H$11="",$F1911=ABSENSI!$H$11),OR(ABSENSI!$H$12="",$K1911=ABSENSI!$H$12)),MAX($Y$3:Y1910)+1,""))</f>
        <v/>
      </c>
      <c r="Z1911" s="40" t="str">
        <f aca="false">IF($B1911="","",IF(AND(OR(KARTU!$K$6="",$E1911=KARTU!$K$6),OR(KARTU!$K$7="",$F1911=KARTU!$K$7),OR(KARTU!$K$8="",$K1911=KARTU!$K$8)),MAX($Z$3:Z1910)+1,""))</f>
        <v/>
      </c>
    </row>
    <row r="1912" customFormat="false" ht="15" hidden="false" customHeight="false" outlineLevel="0" collapsed="false">
      <c r="A1912" s="36" t="str">
        <f aca="false">IF($B1912="","",COUNTA($B$4:$B1912))</f>
        <v/>
      </c>
      <c r="B1912" s="37"/>
      <c r="C1912" s="38"/>
      <c r="D1912" s="39"/>
      <c r="E1912" s="37"/>
      <c r="F1912" s="39"/>
      <c r="G1912" s="40" t="str">
        <f aca="false">IF(OR($E1912="",$F1912=""),"",$E1912&amp;" - RT "&amp;$F1912)</f>
        <v/>
      </c>
      <c r="H1912" s="37"/>
      <c r="I1912" s="38"/>
      <c r="J1912" s="37"/>
      <c r="K1912" s="39"/>
      <c r="L1912" s="41"/>
      <c r="M1912" s="36" t="str">
        <f aca="true">IF(OR($B1912="",$L1912=""),"",DATEDIF($L1912,TODAY(),"Y"))</f>
        <v/>
      </c>
      <c r="N1912" s="40" t="str">
        <f aca="false">IF($M1912="","",INDEX(usia_label,MATCH($M1912,usia_min,1)))</f>
        <v/>
      </c>
      <c r="O1912" s="37"/>
      <c r="P1912" s="41"/>
      <c r="Q1912" s="37"/>
      <c r="R1912" s="37"/>
      <c r="S1912" s="40" t="str">
        <f aca="false">IF($G1912="","",$G1912&amp;"#"&amp;COUNTIF($G$4:$G1912,$G1912))</f>
        <v/>
      </c>
      <c r="T1912" s="40" t="str">
        <f aca="false">IF($B1912="","",IF($C1912="","NIK kosong",IF(LEN($C1912)&lt;&gt;16,"NIK bukan 16 digit",IF(COUNTIF($C$4:$C$2003,$C1912&amp;"*")&gt;1,"NIK ganda",IF($E1912="","Kadus kosong",IF($F1912="","RT kosong",IF($H1912="","Jabatan kosong",IF($I1912="","No. HP kosong",IF($J1912="","Alamat kosong",IF(AND($M1912&lt;&gt;"",$M1912&lt;17),"Usia di bawah 17",""))))))))))</f>
        <v/>
      </c>
      <c r="U1912" s="40" t="str">
        <f aca="false">IF($B1912="","",IF(AND(OR(CARI!$C$5="",ISNUMBER(SEARCH(CARI!$C$5,$B1912&amp;" "&amp;$C1912&amp;" "&amp;$I1912&amp;" "&amp;$J1912&amp;" "&amp;$Q1912))),OR(CARI!$C$6="",$E1912=CARI!$C$6),OR(CARI!$C$7="",$F1912=CARI!$C$7),OR(CARI!$C$8="",$O1912=CARI!$C$8)),MAX($U$3:U1911)+1,""))</f>
        <v/>
      </c>
      <c r="V1912" s="40" t="str">
        <f aca="false">IF($T1912="","",MAX($V$3:V1911)+1)</f>
        <v/>
      </c>
      <c r="W1912" s="40" t="str">
        <f aca="false">IF($E1912="","",$E1912&amp;"#"&amp;COUNTIF($E$4:$E1912,$E1912))</f>
        <v/>
      </c>
      <c r="X1912" s="40" t="str">
        <f aca="false">IF($B1912="","",IF(AND(OR(CETAK!$J$10="",$E1912=CETAK!$J$10),OR(CETAK!$J$11="",$F1912=CETAK!$J$11),OR(CETAK!$J$12="",$K1912=CETAK!$J$12),OR(CETAK!$J$13="",$H1912=CETAK!$J$13),OR(CETAK!$J$14="",$O1912=CETAK!$J$14)),MAX($X$3:X1911)+1,""))</f>
        <v/>
      </c>
      <c r="Y1912" s="40" t="str">
        <f aca="false">IF($B1912="","",IF(AND(OR(ABSENSI!$H$10="",$E1912=ABSENSI!$H$10),OR(ABSENSI!$H$11="",$F1912=ABSENSI!$H$11),OR(ABSENSI!$H$12="",$K1912=ABSENSI!$H$12)),MAX($Y$3:Y1911)+1,""))</f>
        <v/>
      </c>
      <c r="Z1912" s="40" t="str">
        <f aca="false">IF($B1912="","",IF(AND(OR(KARTU!$K$6="",$E1912=KARTU!$K$6),OR(KARTU!$K$7="",$F1912=KARTU!$K$7),OR(KARTU!$K$8="",$K1912=KARTU!$K$8)),MAX($Z$3:Z1911)+1,""))</f>
        <v/>
      </c>
    </row>
    <row r="1913" customFormat="false" ht="15" hidden="false" customHeight="false" outlineLevel="0" collapsed="false">
      <c r="A1913" s="36" t="str">
        <f aca="false">IF($B1913="","",COUNTA($B$4:$B1913))</f>
        <v/>
      </c>
      <c r="B1913" s="37"/>
      <c r="C1913" s="38"/>
      <c r="D1913" s="39"/>
      <c r="E1913" s="37"/>
      <c r="F1913" s="39"/>
      <c r="G1913" s="40" t="str">
        <f aca="false">IF(OR($E1913="",$F1913=""),"",$E1913&amp;" - RT "&amp;$F1913)</f>
        <v/>
      </c>
      <c r="H1913" s="37"/>
      <c r="I1913" s="38"/>
      <c r="J1913" s="37"/>
      <c r="K1913" s="39"/>
      <c r="L1913" s="41"/>
      <c r="M1913" s="36" t="str">
        <f aca="true">IF(OR($B1913="",$L1913=""),"",DATEDIF($L1913,TODAY(),"Y"))</f>
        <v/>
      </c>
      <c r="N1913" s="40" t="str">
        <f aca="false">IF($M1913="","",INDEX(usia_label,MATCH($M1913,usia_min,1)))</f>
        <v/>
      </c>
      <c r="O1913" s="37"/>
      <c r="P1913" s="41"/>
      <c r="Q1913" s="37"/>
      <c r="R1913" s="37"/>
      <c r="S1913" s="40" t="str">
        <f aca="false">IF($G1913="","",$G1913&amp;"#"&amp;COUNTIF($G$4:$G1913,$G1913))</f>
        <v/>
      </c>
      <c r="T1913" s="40" t="str">
        <f aca="false">IF($B1913="","",IF($C1913="","NIK kosong",IF(LEN($C1913)&lt;&gt;16,"NIK bukan 16 digit",IF(COUNTIF($C$4:$C$2003,$C1913&amp;"*")&gt;1,"NIK ganda",IF($E1913="","Kadus kosong",IF($F1913="","RT kosong",IF($H1913="","Jabatan kosong",IF($I1913="","No. HP kosong",IF($J1913="","Alamat kosong",IF(AND($M1913&lt;&gt;"",$M1913&lt;17),"Usia di bawah 17",""))))))))))</f>
        <v/>
      </c>
      <c r="U1913" s="40" t="str">
        <f aca="false">IF($B1913="","",IF(AND(OR(CARI!$C$5="",ISNUMBER(SEARCH(CARI!$C$5,$B1913&amp;" "&amp;$C1913&amp;" "&amp;$I1913&amp;" "&amp;$J1913&amp;" "&amp;$Q1913))),OR(CARI!$C$6="",$E1913=CARI!$C$6),OR(CARI!$C$7="",$F1913=CARI!$C$7),OR(CARI!$C$8="",$O1913=CARI!$C$8)),MAX($U$3:U1912)+1,""))</f>
        <v/>
      </c>
      <c r="V1913" s="40" t="str">
        <f aca="false">IF($T1913="","",MAX($V$3:V1912)+1)</f>
        <v/>
      </c>
      <c r="W1913" s="40" t="str">
        <f aca="false">IF($E1913="","",$E1913&amp;"#"&amp;COUNTIF($E$4:$E1913,$E1913))</f>
        <v/>
      </c>
      <c r="X1913" s="40" t="str">
        <f aca="false">IF($B1913="","",IF(AND(OR(CETAK!$J$10="",$E1913=CETAK!$J$10),OR(CETAK!$J$11="",$F1913=CETAK!$J$11),OR(CETAK!$J$12="",$K1913=CETAK!$J$12),OR(CETAK!$J$13="",$H1913=CETAK!$J$13),OR(CETAK!$J$14="",$O1913=CETAK!$J$14)),MAX($X$3:X1912)+1,""))</f>
        <v/>
      </c>
      <c r="Y1913" s="40" t="str">
        <f aca="false">IF($B1913="","",IF(AND(OR(ABSENSI!$H$10="",$E1913=ABSENSI!$H$10),OR(ABSENSI!$H$11="",$F1913=ABSENSI!$H$11),OR(ABSENSI!$H$12="",$K1913=ABSENSI!$H$12)),MAX($Y$3:Y1912)+1,""))</f>
        <v/>
      </c>
      <c r="Z1913" s="40" t="str">
        <f aca="false">IF($B1913="","",IF(AND(OR(KARTU!$K$6="",$E1913=KARTU!$K$6),OR(KARTU!$K$7="",$F1913=KARTU!$K$7),OR(KARTU!$K$8="",$K1913=KARTU!$K$8)),MAX($Z$3:Z1912)+1,""))</f>
        <v/>
      </c>
    </row>
    <row r="1914" customFormat="false" ht="15" hidden="false" customHeight="false" outlineLevel="0" collapsed="false">
      <c r="A1914" s="36" t="str">
        <f aca="false">IF($B1914="","",COUNTA($B$4:$B1914))</f>
        <v/>
      </c>
      <c r="B1914" s="37"/>
      <c r="C1914" s="38"/>
      <c r="D1914" s="39"/>
      <c r="E1914" s="37"/>
      <c r="F1914" s="39"/>
      <c r="G1914" s="40" t="str">
        <f aca="false">IF(OR($E1914="",$F1914=""),"",$E1914&amp;" - RT "&amp;$F1914)</f>
        <v/>
      </c>
      <c r="H1914" s="37"/>
      <c r="I1914" s="38"/>
      <c r="J1914" s="37"/>
      <c r="K1914" s="39"/>
      <c r="L1914" s="41"/>
      <c r="M1914" s="36" t="str">
        <f aca="true">IF(OR($B1914="",$L1914=""),"",DATEDIF($L1914,TODAY(),"Y"))</f>
        <v/>
      </c>
      <c r="N1914" s="40" t="str">
        <f aca="false">IF($M1914="","",INDEX(usia_label,MATCH($M1914,usia_min,1)))</f>
        <v/>
      </c>
      <c r="O1914" s="37"/>
      <c r="P1914" s="41"/>
      <c r="Q1914" s="37"/>
      <c r="R1914" s="37"/>
      <c r="S1914" s="40" t="str">
        <f aca="false">IF($G1914="","",$G1914&amp;"#"&amp;COUNTIF($G$4:$G1914,$G1914))</f>
        <v/>
      </c>
      <c r="T1914" s="40" t="str">
        <f aca="false">IF($B1914="","",IF($C1914="","NIK kosong",IF(LEN($C1914)&lt;&gt;16,"NIK bukan 16 digit",IF(COUNTIF($C$4:$C$2003,$C1914&amp;"*")&gt;1,"NIK ganda",IF($E1914="","Kadus kosong",IF($F1914="","RT kosong",IF($H1914="","Jabatan kosong",IF($I1914="","No. HP kosong",IF($J1914="","Alamat kosong",IF(AND($M1914&lt;&gt;"",$M1914&lt;17),"Usia di bawah 17",""))))))))))</f>
        <v/>
      </c>
      <c r="U1914" s="40" t="str">
        <f aca="false">IF($B1914="","",IF(AND(OR(CARI!$C$5="",ISNUMBER(SEARCH(CARI!$C$5,$B1914&amp;" "&amp;$C1914&amp;" "&amp;$I1914&amp;" "&amp;$J1914&amp;" "&amp;$Q1914))),OR(CARI!$C$6="",$E1914=CARI!$C$6),OR(CARI!$C$7="",$F1914=CARI!$C$7),OR(CARI!$C$8="",$O1914=CARI!$C$8)),MAX($U$3:U1913)+1,""))</f>
        <v/>
      </c>
      <c r="V1914" s="40" t="str">
        <f aca="false">IF($T1914="","",MAX($V$3:V1913)+1)</f>
        <v/>
      </c>
      <c r="W1914" s="40" t="str">
        <f aca="false">IF($E1914="","",$E1914&amp;"#"&amp;COUNTIF($E$4:$E1914,$E1914))</f>
        <v/>
      </c>
      <c r="X1914" s="40" t="str">
        <f aca="false">IF($B1914="","",IF(AND(OR(CETAK!$J$10="",$E1914=CETAK!$J$10),OR(CETAK!$J$11="",$F1914=CETAK!$J$11),OR(CETAK!$J$12="",$K1914=CETAK!$J$12),OR(CETAK!$J$13="",$H1914=CETAK!$J$13),OR(CETAK!$J$14="",$O1914=CETAK!$J$14)),MAX($X$3:X1913)+1,""))</f>
        <v/>
      </c>
      <c r="Y1914" s="40" t="str">
        <f aca="false">IF($B1914="","",IF(AND(OR(ABSENSI!$H$10="",$E1914=ABSENSI!$H$10),OR(ABSENSI!$H$11="",$F1914=ABSENSI!$H$11),OR(ABSENSI!$H$12="",$K1914=ABSENSI!$H$12)),MAX($Y$3:Y1913)+1,""))</f>
        <v/>
      </c>
      <c r="Z1914" s="40" t="str">
        <f aca="false">IF($B1914="","",IF(AND(OR(KARTU!$K$6="",$E1914=KARTU!$K$6),OR(KARTU!$K$7="",$F1914=KARTU!$K$7),OR(KARTU!$K$8="",$K1914=KARTU!$K$8)),MAX($Z$3:Z1913)+1,""))</f>
        <v/>
      </c>
    </row>
    <row r="1915" customFormat="false" ht="15" hidden="false" customHeight="false" outlineLevel="0" collapsed="false">
      <c r="A1915" s="36" t="str">
        <f aca="false">IF($B1915="","",COUNTA($B$4:$B1915))</f>
        <v/>
      </c>
      <c r="B1915" s="37"/>
      <c r="C1915" s="38"/>
      <c r="D1915" s="39"/>
      <c r="E1915" s="37"/>
      <c r="F1915" s="39"/>
      <c r="G1915" s="40" t="str">
        <f aca="false">IF(OR($E1915="",$F1915=""),"",$E1915&amp;" - RT "&amp;$F1915)</f>
        <v/>
      </c>
      <c r="H1915" s="37"/>
      <c r="I1915" s="38"/>
      <c r="J1915" s="37"/>
      <c r="K1915" s="39"/>
      <c r="L1915" s="41"/>
      <c r="M1915" s="36" t="str">
        <f aca="true">IF(OR($B1915="",$L1915=""),"",DATEDIF($L1915,TODAY(),"Y"))</f>
        <v/>
      </c>
      <c r="N1915" s="40" t="str">
        <f aca="false">IF($M1915="","",INDEX(usia_label,MATCH($M1915,usia_min,1)))</f>
        <v/>
      </c>
      <c r="O1915" s="37"/>
      <c r="P1915" s="41"/>
      <c r="Q1915" s="37"/>
      <c r="R1915" s="37"/>
      <c r="S1915" s="40" t="str">
        <f aca="false">IF($G1915="","",$G1915&amp;"#"&amp;COUNTIF($G$4:$G1915,$G1915))</f>
        <v/>
      </c>
      <c r="T1915" s="40" t="str">
        <f aca="false">IF($B1915="","",IF($C1915="","NIK kosong",IF(LEN($C1915)&lt;&gt;16,"NIK bukan 16 digit",IF(COUNTIF($C$4:$C$2003,$C1915&amp;"*")&gt;1,"NIK ganda",IF($E1915="","Kadus kosong",IF($F1915="","RT kosong",IF($H1915="","Jabatan kosong",IF($I1915="","No. HP kosong",IF($J1915="","Alamat kosong",IF(AND($M1915&lt;&gt;"",$M1915&lt;17),"Usia di bawah 17",""))))))))))</f>
        <v/>
      </c>
      <c r="U1915" s="40" t="str">
        <f aca="false">IF($B1915="","",IF(AND(OR(CARI!$C$5="",ISNUMBER(SEARCH(CARI!$C$5,$B1915&amp;" "&amp;$C1915&amp;" "&amp;$I1915&amp;" "&amp;$J1915&amp;" "&amp;$Q1915))),OR(CARI!$C$6="",$E1915=CARI!$C$6),OR(CARI!$C$7="",$F1915=CARI!$C$7),OR(CARI!$C$8="",$O1915=CARI!$C$8)),MAX($U$3:U1914)+1,""))</f>
        <v/>
      </c>
      <c r="V1915" s="40" t="str">
        <f aca="false">IF($T1915="","",MAX($V$3:V1914)+1)</f>
        <v/>
      </c>
      <c r="W1915" s="40" t="str">
        <f aca="false">IF($E1915="","",$E1915&amp;"#"&amp;COUNTIF($E$4:$E1915,$E1915))</f>
        <v/>
      </c>
      <c r="X1915" s="40" t="str">
        <f aca="false">IF($B1915="","",IF(AND(OR(CETAK!$J$10="",$E1915=CETAK!$J$10),OR(CETAK!$J$11="",$F1915=CETAK!$J$11),OR(CETAK!$J$12="",$K1915=CETAK!$J$12),OR(CETAK!$J$13="",$H1915=CETAK!$J$13),OR(CETAK!$J$14="",$O1915=CETAK!$J$14)),MAX($X$3:X1914)+1,""))</f>
        <v/>
      </c>
      <c r="Y1915" s="40" t="str">
        <f aca="false">IF($B1915="","",IF(AND(OR(ABSENSI!$H$10="",$E1915=ABSENSI!$H$10),OR(ABSENSI!$H$11="",$F1915=ABSENSI!$H$11),OR(ABSENSI!$H$12="",$K1915=ABSENSI!$H$12)),MAX($Y$3:Y1914)+1,""))</f>
        <v/>
      </c>
      <c r="Z1915" s="40" t="str">
        <f aca="false">IF($B1915="","",IF(AND(OR(KARTU!$K$6="",$E1915=KARTU!$K$6),OR(KARTU!$K$7="",$F1915=KARTU!$K$7),OR(KARTU!$K$8="",$K1915=KARTU!$K$8)),MAX($Z$3:Z1914)+1,""))</f>
        <v/>
      </c>
    </row>
    <row r="1916" customFormat="false" ht="15" hidden="false" customHeight="false" outlineLevel="0" collapsed="false">
      <c r="A1916" s="36" t="str">
        <f aca="false">IF($B1916="","",COUNTA($B$4:$B1916))</f>
        <v/>
      </c>
      <c r="B1916" s="37"/>
      <c r="C1916" s="38"/>
      <c r="D1916" s="39"/>
      <c r="E1916" s="37"/>
      <c r="F1916" s="39"/>
      <c r="G1916" s="40" t="str">
        <f aca="false">IF(OR($E1916="",$F1916=""),"",$E1916&amp;" - RT "&amp;$F1916)</f>
        <v/>
      </c>
      <c r="H1916" s="37"/>
      <c r="I1916" s="38"/>
      <c r="J1916" s="37"/>
      <c r="K1916" s="39"/>
      <c r="L1916" s="41"/>
      <c r="M1916" s="36" t="str">
        <f aca="true">IF(OR($B1916="",$L1916=""),"",DATEDIF($L1916,TODAY(),"Y"))</f>
        <v/>
      </c>
      <c r="N1916" s="40" t="str">
        <f aca="false">IF($M1916="","",INDEX(usia_label,MATCH($M1916,usia_min,1)))</f>
        <v/>
      </c>
      <c r="O1916" s="37"/>
      <c r="P1916" s="41"/>
      <c r="Q1916" s="37"/>
      <c r="R1916" s="37"/>
      <c r="S1916" s="40" t="str">
        <f aca="false">IF($G1916="","",$G1916&amp;"#"&amp;COUNTIF($G$4:$G1916,$G1916))</f>
        <v/>
      </c>
      <c r="T1916" s="40" t="str">
        <f aca="false">IF($B1916="","",IF($C1916="","NIK kosong",IF(LEN($C1916)&lt;&gt;16,"NIK bukan 16 digit",IF(COUNTIF($C$4:$C$2003,$C1916&amp;"*")&gt;1,"NIK ganda",IF($E1916="","Kadus kosong",IF($F1916="","RT kosong",IF($H1916="","Jabatan kosong",IF($I1916="","No. HP kosong",IF($J1916="","Alamat kosong",IF(AND($M1916&lt;&gt;"",$M1916&lt;17),"Usia di bawah 17",""))))))))))</f>
        <v/>
      </c>
      <c r="U1916" s="40" t="str">
        <f aca="false">IF($B1916="","",IF(AND(OR(CARI!$C$5="",ISNUMBER(SEARCH(CARI!$C$5,$B1916&amp;" "&amp;$C1916&amp;" "&amp;$I1916&amp;" "&amp;$J1916&amp;" "&amp;$Q1916))),OR(CARI!$C$6="",$E1916=CARI!$C$6),OR(CARI!$C$7="",$F1916=CARI!$C$7),OR(CARI!$C$8="",$O1916=CARI!$C$8)),MAX($U$3:U1915)+1,""))</f>
        <v/>
      </c>
      <c r="V1916" s="40" t="str">
        <f aca="false">IF($T1916="","",MAX($V$3:V1915)+1)</f>
        <v/>
      </c>
      <c r="W1916" s="40" t="str">
        <f aca="false">IF($E1916="","",$E1916&amp;"#"&amp;COUNTIF($E$4:$E1916,$E1916))</f>
        <v/>
      </c>
      <c r="X1916" s="40" t="str">
        <f aca="false">IF($B1916="","",IF(AND(OR(CETAK!$J$10="",$E1916=CETAK!$J$10),OR(CETAK!$J$11="",$F1916=CETAK!$J$11),OR(CETAK!$J$12="",$K1916=CETAK!$J$12),OR(CETAK!$J$13="",$H1916=CETAK!$J$13),OR(CETAK!$J$14="",$O1916=CETAK!$J$14)),MAX($X$3:X1915)+1,""))</f>
        <v/>
      </c>
      <c r="Y1916" s="40" t="str">
        <f aca="false">IF($B1916="","",IF(AND(OR(ABSENSI!$H$10="",$E1916=ABSENSI!$H$10),OR(ABSENSI!$H$11="",$F1916=ABSENSI!$H$11),OR(ABSENSI!$H$12="",$K1916=ABSENSI!$H$12)),MAX($Y$3:Y1915)+1,""))</f>
        <v/>
      </c>
      <c r="Z1916" s="40" t="str">
        <f aca="false">IF($B1916="","",IF(AND(OR(KARTU!$K$6="",$E1916=KARTU!$K$6),OR(KARTU!$K$7="",$F1916=KARTU!$K$7),OR(KARTU!$K$8="",$K1916=KARTU!$K$8)),MAX($Z$3:Z1915)+1,""))</f>
        <v/>
      </c>
    </row>
    <row r="1917" customFormat="false" ht="15" hidden="false" customHeight="false" outlineLevel="0" collapsed="false">
      <c r="A1917" s="36" t="str">
        <f aca="false">IF($B1917="","",COUNTA($B$4:$B1917))</f>
        <v/>
      </c>
      <c r="B1917" s="37"/>
      <c r="C1917" s="38"/>
      <c r="D1917" s="39"/>
      <c r="E1917" s="37"/>
      <c r="F1917" s="39"/>
      <c r="G1917" s="40" t="str">
        <f aca="false">IF(OR($E1917="",$F1917=""),"",$E1917&amp;" - RT "&amp;$F1917)</f>
        <v/>
      </c>
      <c r="H1917" s="37"/>
      <c r="I1917" s="38"/>
      <c r="J1917" s="37"/>
      <c r="K1917" s="39"/>
      <c r="L1917" s="41"/>
      <c r="M1917" s="36" t="str">
        <f aca="true">IF(OR($B1917="",$L1917=""),"",DATEDIF($L1917,TODAY(),"Y"))</f>
        <v/>
      </c>
      <c r="N1917" s="40" t="str">
        <f aca="false">IF($M1917="","",INDEX(usia_label,MATCH($M1917,usia_min,1)))</f>
        <v/>
      </c>
      <c r="O1917" s="37"/>
      <c r="P1917" s="41"/>
      <c r="Q1917" s="37"/>
      <c r="R1917" s="37"/>
      <c r="S1917" s="40" t="str">
        <f aca="false">IF($G1917="","",$G1917&amp;"#"&amp;COUNTIF($G$4:$G1917,$G1917))</f>
        <v/>
      </c>
      <c r="T1917" s="40" t="str">
        <f aca="false">IF($B1917="","",IF($C1917="","NIK kosong",IF(LEN($C1917)&lt;&gt;16,"NIK bukan 16 digit",IF(COUNTIF($C$4:$C$2003,$C1917&amp;"*")&gt;1,"NIK ganda",IF($E1917="","Kadus kosong",IF($F1917="","RT kosong",IF($H1917="","Jabatan kosong",IF($I1917="","No. HP kosong",IF($J1917="","Alamat kosong",IF(AND($M1917&lt;&gt;"",$M1917&lt;17),"Usia di bawah 17",""))))))))))</f>
        <v/>
      </c>
      <c r="U1917" s="40" t="str">
        <f aca="false">IF($B1917="","",IF(AND(OR(CARI!$C$5="",ISNUMBER(SEARCH(CARI!$C$5,$B1917&amp;" "&amp;$C1917&amp;" "&amp;$I1917&amp;" "&amp;$J1917&amp;" "&amp;$Q1917))),OR(CARI!$C$6="",$E1917=CARI!$C$6),OR(CARI!$C$7="",$F1917=CARI!$C$7),OR(CARI!$C$8="",$O1917=CARI!$C$8)),MAX($U$3:U1916)+1,""))</f>
        <v/>
      </c>
      <c r="V1917" s="40" t="str">
        <f aca="false">IF($T1917="","",MAX($V$3:V1916)+1)</f>
        <v/>
      </c>
      <c r="W1917" s="40" t="str">
        <f aca="false">IF($E1917="","",$E1917&amp;"#"&amp;COUNTIF($E$4:$E1917,$E1917))</f>
        <v/>
      </c>
      <c r="X1917" s="40" t="str">
        <f aca="false">IF($B1917="","",IF(AND(OR(CETAK!$J$10="",$E1917=CETAK!$J$10),OR(CETAK!$J$11="",$F1917=CETAK!$J$11),OR(CETAK!$J$12="",$K1917=CETAK!$J$12),OR(CETAK!$J$13="",$H1917=CETAK!$J$13),OR(CETAK!$J$14="",$O1917=CETAK!$J$14)),MAX($X$3:X1916)+1,""))</f>
        <v/>
      </c>
      <c r="Y1917" s="40" t="str">
        <f aca="false">IF($B1917="","",IF(AND(OR(ABSENSI!$H$10="",$E1917=ABSENSI!$H$10),OR(ABSENSI!$H$11="",$F1917=ABSENSI!$H$11),OR(ABSENSI!$H$12="",$K1917=ABSENSI!$H$12)),MAX($Y$3:Y1916)+1,""))</f>
        <v/>
      </c>
      <c r="Z1917" s="40" t="str">
        <f aca="false">IF($B1917="","",IF(AND(OR(KARTU!$K$6="",$E1917=KARTU!$K$6),OR(KARTU!$K$7="",$F1917=KARTU!$K$7),OR(KARTU!$K$8="",$K1917=KARTU!$K$8)),MAX($Z$3:Z1916)+1,""))</f>
        <v/>
      </c>
    </row>
    <row r="1918" customFormat="false" ht="15" hidden="false" customHeight="false" outlineLevel="0" collapsed="false">
      <c r="A1918" s="36" t="str">
        <f aca="false">IF($B1918="","",COUNTA($B$4:$B1918))</f>
        <v/>
      </c>
      <c r="B1918" s="37"/>
      <c r="C1918" s="38"/>
      <c r="D1918" s="39"/>
      <c r="E1918" s="37"/>
      <c r="F1918" s="39"/>
      <c r="G1918" s="40" t="str">
        <f aca="false">IF(OR($E1918="",$F1918=""),"",$E1918&amp;" - RT "&amp;$F1918)</f>
        <v/>
      </c>
      <c r="H1918" s="37"/>
      <c r="I1918" s="38"/>
      <c r="J1918" s="37"/>
      <c r="K1918" s="39"/>
      <c r="L1918" s="41"/>
      <c r="M1918" s="36" t="str">
        <f aca="true">IF(OR($B1918="",$L1918=""),"",DATEDIF($L1918,TODAY(),"Y"))</f>
        <v/>
      </c>
      <c r="N1918" s="40" t="str">
        <f aca="false">IF($M1918="","",INDEX(usia_label,MATCH($M1918,usia_min,1)))</f>
        <v/>
      </c>
      <c r="O1918" s="37"/>
      <c r="P1918" s="41"/>
      <c r="Q1918" s="37"/>
      <c r="R1918" s="37"/>
      <c r="S1918" s="40" t="str">
        <f aca="false">IF($G1918="","",$G1918&amp;"#"&amp;COUNTIF($G$4:$G1918,$G1918))</f>
        <v/>
      </c>
      <c r="T1918" s="40" t="str">
        <f aca="false">IF($B1918="","",IF($C1918="","NIK kosong",IF(LEN($C1918)&lt;&gt;16,"NIK bukan 16 digit",IF(COUNTIF($C$4:$C$2003,$C1918&amp;"*")&gt;1,"NIK ganda",IF($E1918="","Kadus kosong",IF($F1918="","RT kosong",IF($H1918="","Jabatan kosong",IF($I1918="","No. HP kosong",IF($J1918="","Alamat kosong",IF(AND($M1918&lt;&gt;"",$M1918&lt;17),"Usia di bawah 17",""))))))))))</f>
        <v/>
      </c>
      <c r="U1918" s="40" t="str">
        <f aca="false">IF($B1918="","",IF(AND(OR(CARI!$C$5="",ISNUMBER(SEARCH(CARI!$C$5,$B1918&amp;" "&amp;$C1918&amp;" "&amp;$I1918&amp;" "&amp;$J1918&amp;" "&amp;$Q1918))),OR(CARI!$C$6="",$E1918=CARI!$C$6),OR(CARI!$C$7="",$F1918=CARI!$C$7),OR(CARI!$C$8="",$O1918=CARI!$C$8)),MAX($U$3:U1917)+1,""))</f>
        <v/>
      </c>
      <c r="V1918" s="40" t="str">
        <f aca="false">IF($T1918="","",MAX($V$3:V1917)+1)</f>
        <v/>
      </c>
      <c r="W1918" s="40" t="str">
        <f aca="false">IF($E1918="","",$E1918&amp;"#"&amp;COUNTIF($E$4:$E1918,$E1918))</f>
        <v/>
      </c>
      <c r="X1918" s="40" t="str">
        <f aca="false">IF($B1918="","",IF(AND(OR(CETAK!$J$10="",$E1918=CETAK!$J$10),OR(CETAK!$J$11="",$F1918=CETAK!$J$11),OR(CETAK!$J$12="",$K1918=CETAK!$J$12),OR(CETAK!$J$13="",$H1918=CETAK!$J$13),OR(CETAK!$J$14="",$O1918=CETAK!$J$14)),MAX($X$3:X1917)+1,""))</f>
        <v/>
      </c>
      <c r="Y1918" s="40" t="str">
        <f aca="false">IF($B1918="","",IF(AND(OR(ABSENSI!$H$10="",$E1918=ABSENSI!$H$10),OR(ABSENSI!$H$11="",$F1918=ABSENSI!$H$11),OR(ABSENSI!$H$12="",$K1918=ABSENSI!$H$12)),MAX($Y$3:Y1917)+1,""))</f>
        <v/>
      </c>
      <c r="Z1918" s="40" t="str">
        <f aca="false">IF($B1918="","",IF(AND(OR(KARTU!$K$6="",$E1918=KARTU!$K$6),OR(KARTU!$K$7="",$F1918=KARTU!$K$7),OR(KARTU!$K$8="",$K1918=KARTU!$K$8)),MAX($Z$3:Z1917)+1,""))</f>
        <v/>
      </c>
    </row>
    <row r="1919" customFormat="false" ht="15" hidden="false" customHeight="false" outlineLevel="0" collapsed="false">
      <c r="A1919" s="36" t="str">
        <f aca="false">IF($B1919="","",COUNTA($B$4:$B1919))</f>
        <v/>
      </c>
      <c r="B1919" s="37"/>
      <c r="C1919" s="38"/>
      <c r="D1919" s="39"/>
      <c r="E1919" s="37"/>
      <c r="F1919" s="39"/>
      <c r="G1919" s="40" t="str">
        <f aca="false">IF(OR($E1919="",$F1919=""),"",$E1919&amp;" - RT "&amp;$F1919)</f>
        <v/>
      </c>
      <c r="H1919" s="37"/>
      <c r="I1919" s="38"/>
      <c r="J1919" s="37"/>
      <c r="K1919" s="39"/>
      <c r="L1919" s="41"/>
      <c r="M1919" s="36" t="str">
        <f aca="true">IF(OR($B1919="",$L1919=""),"",DATEDIF($L1919,TODAY(),"Y"))</f>
        <v/>
      </c>
      <c r="N1919" s="40" t="str">
        <f aca="false">IF($M1919="","",INDEX(usia_label,MATCH($M1919,usia_min,1)))</f>
        <v/>
      </c>
      <c r="O1919" s="37"/>
      <c r="P1919" s="41"/>
      <c r="Q1919" s="37"/>
      <c r="R1919" s="37"/>
      <c r="S1919" s="40" t="str">
        <f aca="false">IF($G1919="","",$G1919&amp;"#"&amp;COUNTIF($G$4:$G1919,$G1919))</f>
        <v/>
      </c>
      <c r="T1919" s="40" t="str">
        <f aca="false">IF($B1919="","",IF($C1919="","NIK kosong",IF(LEN($C1919)&lt;&gt;16,"NIK bukan 16 digit",IF(COUNTIF($C$4:$C$2003,$C1919&amp;"*")&gt;1,"NIK ganda",IF($E1919="","Kadus kosong",IF($F1919="","RT kosong",IF($H1919="","Jabatan kosong",IF($I1919="","No. HP kosong",IF($J1919="","Alamat kosong",IF(AND($M1919&lt;&gt;"",$M1919&lt;17),"Usia di bawah 17",""))))))))))</f>
        <v/>
      </c>
      <c r="U1919" s="40" t="str">
        <f aca="false">IF($B1919="","",IF(AND(OR(CARI!$C$5="",ISNUMBER(SEARCH(CARI!$C$5,$B1919&amp;" "&amp;$C1919&amp;" "&amp;$I1919&amp;" "&amp;$J1919&amp;" "&amp;$Q1919))),OR(CARI!$C$6="",$E1919=CARI!$C$6),OR(CARI!$C$7="",$F1919=CARI!$C$7),OR(CARI!$C$8="",$O1919=CARI!$C$8)),MAX($U$3:U1918)+1,""))</f>
        <v/>
      </c>
      <c r="V1919" s="40" t="str">
        <f aca="false">IF($T1919="","",MAX($V$3:V1918)+1)</f>
        <v/>
      </c>
      <c r="W1919" s="40" t="str">
        <f aca="false">IF($E1919="","",$E1919&amp;"#"&amp;COUNTIF($E$4:$E1919,$E1919))</f>
        <v/>
      </c>
      <c r="X1919" s="40" t="str">
        <f aca="false">IF($B1919="","",IF(AND(OR(CETAK!$J$10="",$E1919=CETAK!$J$10),OR(CETAK!$J$11="",$F1919=CETAK!$J$11),OR(CETAK!$J$12="",$K1919=CETAK!$J$12),OR(CETAK!$J$13="",$H1919=CETAK!$J$13),OR(CETAK!$J$14="",$O1919=CETAK!$J$14)),MAX($X$3:X1918)+1,""))</f>
        <v/>
      </c>
      <c r="Y1919" s="40" t="str">
        <f aca="false">IF($B1919="","",IF(AND(OR(ABSENSI!$H$10="",$E1919=ABSENSI!$H$10),OR(ABSENSI!$H$11="",$F1919=ABSENSI!$H$11),OR(ABSENSI!$H$12="",$K1919=ABSENSI!$H$12)),MAX($Y$3:Y1918)+1,""))</f>
        <v/>
      </c>
      <c r="Z1919" s="40" t="str">
        <f aca="false">IF($B1919="","",IF(AND(OR(KARTU!$K$6="",$E1919=KARTU!$K$6),OR(KARTU!$K$7="",$F1919=KARTU!$K$7),OR(KARTU!$K$8="",$K1919=KARTU!$K$8)),MAX($Z$3:Z1918)+1,""))</f>
        <v/>
      </c>
    </row>
    <row r="1920" customFormat="false" ht="15" hidden="false" customHeight="false" outlineLevel="0" collapsed="false">
      <c r="A1920" s="36" t="str">
        <f aca="false">IF($B1920="","",COUNTA($B$4:$B1920))</f>
        <v/>
      </c>
      <c r="B1920" s="37"/>
      <c r="C1920" s="38"/>
      <c r="D1920" s="39"/>
      <c r="E1920" s="37"/>
      <c r="F1920" s="39"/>
      <c r="G1920" s="40" t="str">
        <f aca="false">IF(OR($E1920="",$F1920=""),"",$E1920&amp;" - RT "&amp;$F1920)</f>
        <v/>
      </c>
      <c r="H1920" s="37"/>
      <c r="I1920" s="38"/>
      <c r="J1920" s="37"/>
      <c r="K1920" s="39"/>
      <c r="L1920" s="41"/>
      <c r="M1920" s="36" t="str">
        <f aca="true">IF(OR($B1920="",$L1920=""),"",DATEDIF($L1920,TODAY(),"Y"))</f>
        <v/>
      </c>
      <c r="N1920" s="40" t="str">
        <f aca="false">IF($M1920="","",INDEX(usia_label,MATCH($M1920,usia_min,1)))</f>
        <v/>
      </c>
      <c r="O1920" s="37"/>
      <c r="P1920" s="41"/>
      <c r="Q1920" s="37"/>
      <c r="R1920" s="37"/>
      <c r="S1920" s="40" t="str">
        <f aca="false">IF($G1920="","",$G1920&amp;"#"&amp;COUNTIF($G$4:$G1920,$G1920))</f>
        <v/>
      </c>
      <c r="T1920" s="40" t="str">
        <f aca="false">IF($B1920="","",IF($C1920="","NIK kosong",IF(LEN($C1920)&lt;&gt;16,"NIK bukan 16 digit",IF(COUNTIF($C$4:$C$2003,$C1920&amp;"*")&gt;1,"NIK ganda",IF($E1920="","Kadus kosong",IF($F1920="","RT kosong",IF($H1920="","Jabatan kosong",IF($I1920="","No. HP kosong",IF($J1920="","Alamat kosong",IF(AND($M1920&lt;&gt;"",$M1920&lt;17),"Usia di bawah 17",""))))))))))</f>
        <v/>
      </c>
      <c r="U1920" s="40" t="str">
        <f aca="false">IF($B1920="","",IF(AND(OR(CARI!$C$5="",ISNUMBER(SEARCH(CARI!$C$5,$B1920&amp;" "&amp;$C1920&amp;" "&amp;$I1920&amp;" "&amp;$J1920&amp;" "&amp;$Q1920))),OR(CARI!$C$6="",$E1920=CARI!$C$6),OR(CARI!$C$7="",$F1920=CARI!$C$7),OR(CARI!$C$8="",$O1920=CARI!$C$8)),MAX($U$3:U1919)+1,""))</f>
        <v/>
      </c>
      <c r="V1920" s="40" t="str">
        <f aca="false">IF($T1920="","",MAX($V$3:V1919)+1)</f>
        <v/>
      </c>
      <c r="W1920" s="40" t="str">
        <f aca="false">IF($E1920="","",$E1920&amp;"#"&amp;COUNTIF($E$4:$E1920,$E1920))</f>
        <v/>
      </c>
      <c r="X1920" s="40" t="str">
        <f aca="false">IF($B1920="","",IF(AND(OR(CETAK!$J$10="",$E1920=CETAK!$J$10),OR(CETAK!$J$11="",$F1920=CETAK!$J$11),OR(CETAK!$J$12="",$K1920=CETAK!$J$12),OR(CETAK!$J$13="",$H1920=CETAK!$J$13),OR(CETAK!$J$14="",$O1920=CETAK!$J$14)),MAX($X$3:X1919)+1,""))</f>
        <v/>
      </c>
      <c r="Y1920" s="40" t="str">
        <f aca="false">IF($B1920="","",IF(AND(OR(ABSENSI!$H$10="",$E1920=ABSENSI!$H$10),OR(ABSENSI!$H$11="",$F1920=ABSENSI!$H$11),OR(ABSENSI!$H$12="",$K1920=ABSENSI!$H$12)),MAX($Y$3:Y1919)+1,""))</f>
        <v/>
      </c>
      <c r="Z1920" s="40" t="str">
        <f aca="false">IF($B1920="","",IF(AND(OR(KARTU!$K$6="",$E1920=KARTU!$K$6),OR(KARTU!$K$7="",$F1920=KARTU!$K$7),OR(KARTU!$K$8="",$K1920=KARTU!$K$8)),MAX($Z$3:Z1919)+1,""))</f>
        <v/>
      </c>
    </row>
    <row r="1921" customFormat="false" ht="15" hidden="false" customHeight="false" outlineLevel="0" collapsed="false">
      <c r="A1921" s="36" t="str">
        <f aca="false">IF($B1921="","",COUNTA($B$4:$B1921))</f>
        <v/>
      </c>
      <c r="B1921" s="37"/>
      <c r="C1921" s="38"/>
      <c r="D1921" s="39"/>
      <c r="E1921" s="37"/>
      <c r="F1921" s="39"/>
      <c r="G1921" s="40" t="str">
        <f aca="false">IF(OR($E1921="",$F1921=""),"",$E1921&amp;" - RT "&amp;$F1921)</f>
        <v/>
      </c>
      <c r="H1921" s="37"/>
      <c r="I1921" s="38"/>
      <c r="J1921" s="37"/>
      <c r="K1921" s="39"/>
      <c r="L1921" s="41"/>
      <c r="M1921" s="36" t="str">
        <f aca="true">IF(OR($B1921="",$L1921=""),"",DATEDIF($L1921,TODAY(),"Y"))</f>
        <v/>
      </c>
      <c r="N1921" s="40" t="str">
        <f aca="false">IF($M1921="","",INDEX(usia_label,MATCH($M1921,usia_min,1)))</f>
        <v/>
      </c>
      <c r="O1921" s="37"/>
      <c r="P1921" s="41"/>
      <c r="Q1921" s="37"/>
      <c r="R1921" s="37"/>
      <c r="S1921" s="40" t="str">
        <f aca="false">IF($G1921="","",$G1921&amp;"#"&amp;COUNTIF($G$4:$G1921,$G1921))</f>
        <v/>
      </c>
      <c r="T1921" s="40" t="str">
        <f aca="false">IF($B1921="","",IF($C1921="","NIK kosong",IF(LEN($C1921)&lt;&gt;16,"NIK bukan 16 digit",IF(COUNTIF($C$4:$C$2003,$C1921&amp;"*")&gt;1,"NIK ganda",IF($E1921="","Kadus kosong",IF($F1921="","RT kosong",IF($H1921="","Jabatan kosong",IF($I1921="","No. HP kosong",IF($J1921="","Alamat kosong",IF(AND($M1921&lt;&gt;"",$M1921&lt;17),"Usia di bawah 17",""))))))))))</f>
        <v/>
      </c>
      <c r="U1921" s="40" t="str">
        <f aca="false">IF($B1921="","",IF(AND(OR(CARI!$C$5="",ISNUMBER(SEARCH(CARI!$C$5,$B1921&amp;" "&amp;$C1921&amp;" "&amp;$I1921&amp;" "&amp;$J1921&amp;" "&amp;$Q1921))),OR(CARI!$C$6="",$E1921=CARI!$C$6),OR(CARI!$C$7="",$F1921=CARI!$C$7),OR(CARI!$C$8="",$O1921=CARI!$C$8)),MAX($U$3:U1920)+1,""))</f>
        <v/>
      </c>
      <c r="V1921" s="40" t="str">
        <f aca="false">IF($T1921="","",MAX($V$3:V1920)+1)</f>
        <v/>
      </c>
      <c r="W1921" s="40" t="str">
        <f aca="false">IF($E1921="","",$E1921&amp;"#"&amp;COUNTIF($E$4:$E1921,$E1921))</f>
        <v/>
      </c>
      <c r="X1921" s="40" t="str">
        <f aca="false">IF($B1921="","",IF(AND(OR(CETAK!$J$10="",$E1921=CETAK!$J$10),OR(CETAK!$J$11="",$F1921=CETAK!$J$11),OR(CETAK!$J$12="",$K1921=CETAK!$J$12),OR(CETAK!$J$13="",$H1921=CETAK!$J$13),OR(CETAK!$J$14="",$O1921=CETAK!$J$14)),MAX($X$3:X1920)+1,""))</f>
        <v/>
      </c>
      <c r="Y1921" s="40" t="str">
        <f aca="false">IF($B1921="","",IF(AND(OR(ABSENSI!$H$10="",$E1921=ABSENSI!$H$10),OR(ABSENSI!$H$11="",$F1921=ABSENSI!$H$11),OR(ABSENSI!$H$12="",$K1921=ABSENSI!$H$12)),MAX($Y$3:Y1920)+1,""))</f>
        <v/>
      </c>
      <c r="Z1921" s="40" t="str">
        <f aca="false">IF($B1921="","",IF(AND(OR(KARTU!$K$6="",$E1921=KARTU!$K$6),OR(KARTU!$K$7="",$F1921=KARTU!$K$7),OR(KARTU!$K$8="",$K1921=KARTU!$K$8)),MAX($Z$3:Z1920)+1,""))</f>
        <v/>
      </c>
    </row>
    <row r="1922" customFormat="false" ht="15" hidden="false" customHeight="false" outlineLevel="0" collapsed="false">
      <c r="A1922" s="36" t="str">
        <f aca="false">IF($B1922="","",COUNTA($B$4:$B1922))</f>
        <v/>
      </c>
      <c r="B1922" s="37"/>
      <c r="C1922" s="38"/>
      <c r="D1922" s="39"/>
      <c r="E1922" s="37"/>
      <c r="F1922" s="39"/>
      <c r="G1922" s="40" t="str">
        <f aca="false">IF(OR($E1922="",$F1922=""),"",$E1922&amp;" - RT "&amp;$F1922)</f>
        <v/>
      </c>
      <c r="H1922" s="37"/>
      <c r="I1922" s="38"/>
      <c r="J1922" s="37"/>
      <c r="K1922" s="39"/>
      <c r="L1922" s="41"/>
      <c r="M1922" s="36" t="str">
        <f aca="true">IF(OR($B1922="",$L1922=""),"",DATEDIF($L1922,TODAY(),"Y"))</f>
        <v/>
      </c>
      <c r="N1922" s="40" t="str">
        <f aca="false">IF($M1922="","",INDEX(usia_label,MATCH($M1922,usia_min,1)))</f>
        <v/>
      </c>
      <c r="O1922" s="37"/>
      <c r="P1922" s="41"/>
      <c r="Q1922" s="37"/>
      <c r="R1922" s="37"/>
      <c r="S1922" s="40" t="str">
        <f aca="false">IF($G1922="","",$G1922&amp;"#"&amp;COUNTIF($G$4:$G1922,$G1922))</f>
        <v/>
      </c>
      <c r="T1922" s="40" t="str">
        <f aca="false">IF($B1922="","",IF($C1922="","NIK kosong",IF(LEN($C1922)&lt;&gt;16,"NIK bukan 16 digit",IF(COUNTIF($C$4:$C$2003,$C1922&amp;"*")&gt;1,"NIK ganda",IF($E1922="","Kadus kosong",IF($F1922="","RT kosong",IF($H1922="","Jabatan kosong",IF($I1922="","No. HP kosong",IF($J1922="","Alamat kosong",IF(AND($M1922&lt;&gt;"",$M1922&lt;17),"Usia di bawah 17",""))))))))))</f>
        <v/>
      </c>
      <c r="U1922" s="40" t="str">
        <f aca="false">IF($B1922="","",IF(AND(OR(CARI!$C$5="",ISNUMBER(SEARCH(CARI!$C$5,$B1922&amp;" "&amp;$C1922&amp;" "&amp;$I1922&amp;" "&amp;$J1922&amp;" "&amp;$Q1922))),OR(CARI!$C$6="",$E1922=CARI!$C$6),OR(CARI!$C$7="",$F1922=CARI!$C$7),OR(CARI!$C$8="",$O1922=CARI!$C$8)),MAX($U$3:U1921)+1,""))</f>
        <v/>
      </c>
      <c r="V1922" s="40" t="str">
        <f aca="false">IF($T1922="","",MAX($V$3:V1921)+1)</f>
        <v/>
      </c>
      <c r="W1922" s="40" t="str">
        <f aca="false">IF($E1922="","",$E1922&amp;"#"&amp;COUNTIF($E$4:$E1922,$E1922))</f>
        <v/>
      </c>
      <c r="X1922" s="40" t="str">
        <f aca="false">IF($B1922="","",IF(AND(OR(CETAK!$J$10="",$E1922=CETAK!$J$10),OR(CETAK!$J$11="",$F1922=CETAK!$J$11),OR(CETAK!$J$12="",$K1922=CETAK!$J$12),OR(CETAK!$J$13="",$H1922=CETAK!$J$13),OR(CETAK!$J$14="",$O1922=CETAK!$J$14)),MAX($X$3:X1921)+1,""))</f>
        <v/>
      </c>
      <c r="Y1922" s="40" t="str">
        <f aca="false">IF($B1922="","",IF(AND(OR(ABSENSI!$H$10="",$E1922=ABSENSI!$H$10),OR(ABSENSI!$H$11="",$F1922=ABSENSI!$H$11),OR(ABSENSI!$H$12="",$K1922=ABSENSI!$H$12)),MAX($Y$3:Y1921)+1,""))</f>
        <v/>
      </c>
      <c r="Z1922" s="40" t="str">
        <f aca="false">IF($B1922="","",IF(AND(OR(KARTU!$K$6="",$E1922=KARTU!$K$6),OR(KARTU!$K$7="",$F1922=KARTU!$K$7),OR(KARTU!$K$8="",$K1922=KARTU!$K$8)),MAX($Z$3:Z1921)+1,""))</f>
        <v/>
      </c>
    </row>
    <row r="1923" customFormat="false" ht="15" hidden="false" customHeight="false" outlineLevel="0" collapsed="false">
      <c r="A1923" s="36" t="str">
        <f aca="false">IF($B1923="","",COUNTA($B$4:$B1923))</f>
        <v/>
      </c>
      <c r="B1923" s="37"/>
      <c r="C1923" s="38"/>
      <c r="D1923" s="39"/>
      <c r="E1923" s="37"/>
      <c r="F1923" s="39"/>
      <c r="G1923" s="40" t="str">
        <f aca="false">IF(OR($E1923="",$F1923=""),"",$E1923&amp;" - RT "&amp;$F1923)</f>
        <v/>
      </c>
      <c r="H1923" s="37"/>
      <c r="I1923" s="38"/>
      <c r="J1923" s="37"/>
      <c r="K1923" s="39"/>
      <c r="L1923" s="41"/>
      <c r="M1923" s="36" t="str">
        <f aca="true">IF(OR($B1923="",$L1923=""),"",DATEDIF($L1923,TODAY(),"Y"))</f>
        <v/>
      </c>
      <c r="N1923" s="40" t="str">
        <f aca="false">IF($M1923="","",INDEX(usia_label,MATCH($M1923,usia_min,1)))</f>
        <v/>
      </c>
      <c r="O1923" s="37"/>
      <c r="P1923" s="41"/>
      <c r="Q1923" s="37"/>
      <c r="R1923" s="37"/>
      <c r="S1923" s="40" t="str">
        <f aca="false">IF($G1923="","",$G1923&amp;"#"&amp;COUNTIF($G$4:$G1923,$G1923))</f>
        <v/>
      </c>
      <c r="T1923" s="40" t="str">
        <f aca="false">IF($B1923="","",IF($C1923="","NIK kosong",IF(LEN($C1923)&lt;&gt;16,"NIK bukan 16 digit",IF(COUNTIF($C$4:$C$2003,$C1923&amp;"*")&gt;1,"NIK ganda",IF($E1923="","Kadus kosong",IF($F1923="","RT kosong",IF($H1923="","Jabatan kosong",IF($I1923="","No. HP kosong",IF($J1923="","Alamat kosong",IF(AND($M1923&lt;&gt;"",$M1923&lt;17),"Usia di bawah 17",""))))))))))</f>
        <v/>
      </c>
      <c r="U1923" s="40" t="str">
        <f aca="false">IF($B1923="","",IF(AND(OR(CARI!$C$5="",ISNUMBER(SEARCH(CARI!$C$5,$B1923&amp;" "&amp;$C1923&amp;" "&amp;$I1923&amp;" "&amp;$J1923&amp;" "&amp;$Q1923))),OR(CARI!$C$6="",$E1923=CARI!$C$6),OR(CARI!$C$7="",$F1923=CARI!$C$7),OR(CARI!$C$8="",$O1923=CARI!$C$8)),MAX($U$3:U1922)+1,""))</f>
        <v/>
      </c>
      <c r="V1923" s="40" t="str">
        <f aca="false">IF($T1923="","",MAX($V$3:V1922)+1)</f>
        <v/>
      </c>
      <c r="W1923" s="40" t="str">
        <f aca="false">IF($E1923="","",$E1923&amp;"#"&amp;COUNTIF($E$4:$E1923,$E1923))</f>
        <v/>
      </c>
      <c r="X1923" s="40" t="str">
        <f aca="false">IF($B1923="","",IF(AND(OR(CETAK!$J$10="",$E1923=CETAK!$J$10),OR(CETAK!$J$11="",$F1923=CETAK!$J$11),OR(CETAK!$J$12="",$K1923=CETAK!$J$12),OR(CETAK!$J$13="",$H1923=CETAK!$J$13),OR(CETAK!$J$14="",$O1923=CETAK!$J$14)),MAX($X$3:X1922)+1,""))</f>
        <v/>
      </c>
      <c r="Y1923" s="40" t="str">
        <f aca="false">IF($B1923="","",IF(AND(OR(ABSENSI!$H$10="",$E1923=ABSENSI!$H$10),OR(ABSENSI!$H$11="",$F1923=ABSENSI!$H$11),OR(ABSENSI!$H$12="",$K1923=ABSENSI!$H$12)),MAX($Y$3:Y1922)+1,""))</f>
        <v/>
      </c>
      <c r="Z1923" s="40" t="str">
        <f aca="false">IF($B1923="","",IF(AND(OR(KARTU!$K$6="",$E1923=KARTU!$K$6),OR(KARTU!$K$7="",$F1923=KARTU!$K$7),OR(KARTU!$K$8="",$K1923=KARTU!$K$8)),MAX($Z$3:Z1922)+1,""))</f>
        <v/>
      </c>
    </row>
    <row r="1924" customFormat="false" ht="15" hidden="false" customHeight="false" outlineLevel="0" collapsed="false">
      <c r="A1924" s="36" t="str">
        <f aca="false">IF($B1924="","",COUNTA($B$4:$B1924))</f>
        <v/>
      </c>
      <c r="B1924" s="37"/>
      <c r="C1924" s="38"/>
      <c r="D1924" s="39"/>
      <c r="E1924" s="37"/>
      <c r="F1924" s="39"/>
      <c r="G1924" s="40" t="str">
        <f aca="false">IF(OR($E1924="",$F1924=""),"",$E1924&amp;" - RT "&amp;$F1924)</f>
        <v/>
      </c>
      <c r="H1924" s="37"/>
      <c r="I1924" s="38"/>
      <c r="J1924" s="37"/>
      <c r="K1924" s="39"/>
      <c r="L1924" s="41"/>
      <c r="M1924" s="36" t="str">
        <f aca="true">IF(OR($B1924="",$L1924=""),"",DATEDIF($L1924,TODAY(),"Y"))</f>
        <v/>
      </c>
      <c r="N1924" s="40" t="str">
        <f aca="false">IF($M1924="","",INDEX(usia_label,MATCH($M1924,usia_min,1)))</f>
        <v/>
      </c>
      <c r="O1924" s="37"/>
      <c r="P1924" s="41"/>
      <c r="Q1924" s="37"/>
      <c r="R1924" s="37"/>
      <c r="S1924" s="40" t="str">
        <f aca="false">IF($G1924="","",$G1924&amp;"#"&amp;COUNTIF($G$4:$G1924,$G1924))</f>
        <v/>
      </c>
      <c r="T1924" s="40" t="str">
        <f aca="false">IF($B1924="","",IF($C1924="","NIK kosong",IF(LEN($C1924)&lt;&gt;16,"NIK bukan 16 digit",IF(COUNTIF($C$4:$C$2003,$C1924&amp;"*")&gt;1,"NIK ganda",IF($E1924="","Kadus kosong",IF($F1924="","RT kosong",IF($H1924="","Jabatan kosong",IF($I1924="","No. HP kosong",IF($J1924="","Alamat kosong",IF(AND($M1924&lt;&gt;"",$M1924&lt;17),"Usia di bawah 17",""))))))))))</f>
        <v/>
      </c>
      <c r="U1924" s="40" t="str">
        <f aca="false">IF($B1924="","",IF(AND(OR(CARI!$C$5="",ISNUMBER(SEARCH(CARI!$C$5,$B1924&amp;" "&amp;$C1924&amp;" "&amp;$I1924&amp;" "&amp;$J1924&amp;" "&amp;$Q1924))),OR(CARI!$C$6="",$E1924=CARI!$C$6),OR(CARI!$C$7="",$F1924=CARI!$C$7),OR(CARI!$C$8="",$O1924=CARI!$C$8)),MAX($U$3:U1923)+1,""))</f>
        <v/>
      </c>
      <c r="V1924" s="40" t="str">
        <f aca="false">IF($T1924="","",MAX($V$3:V1923)+1)</f>
        <v/>
      </c>
      <c r="W1924" s="40" t="str">
        <f aca="false">IF($E1924="","",$E1924&amp;"#"&amp;COUNTIF($E$4:$E1924,$E1924))</f>
        <v/>
      </c>
      <c r="X1924" s="40" t="str">
        <f aca="false">IF($B1924="","",IF(AND(OR(CETAK!$J$10="",$E1924=CETAK!$J$10),OR(CETAK!$J$11="",$F1924=CETAK!$J$11),OR(CETAK!$J$12="",$K1924=CETAK!$J$12),OR(CETAK!$J$13="",$H1924=CETAK!$J$13),OR(CETAK!$J$14="",$O1924=CETAK!$J$14)),MAX($X$3:X1923)+1,""))</f>
        <v/>
      </c>
      <c r="Y1924" s="40" t="str">
        <f aca="false">IF($B1924="","",IF(AND(OR(ABSENSI!$H$10="",$E1924=ABSENSI!$H$10),OR(ABSENSI!$H$11="",$F1924=ABSENSI!$H$11),OR(ABSENSI!$H$12="",$K1924=ABSENSI!$H$12)),MAX($Y$3:Y1923)+1,""))</f>
        <v/>
      </c>
      <c r="Z1924" s="40" t="str">
        <f aca="false">IF($B1924="","",IF(AND(OR(KARTU!$K$6="",$E1924=KARTU!$K$6),OR(KARTU!$K$7="",$F1924=KARTU!$K$7),OR(KARTU!$K$8="",$K1924=KARTU!$K$8)),MAX($Z$3:Z1923)+1,""))</f>
        <v/>
      </c>
    </row>
    <row r="1925" customFormat="false" ht="15" hidden="false" customHeight="false" outlineLevel="0" collapsed="false">
      <c r="A1925" s="36" t="str">
        <f aca="false">IF($B1925="","",COUNTA($B$4:$B1925))</f>
        <v/>
      </c>
      <c r="B1925" s="37"/>
      <c r="C1925" s="38"/>
      <c r="D1925" s="39"/>
      <c r="E1925" s="37"/>
      <c r="F1925" s="39"/>
      <c r="G1925" s="40" t="str">
        <f aca="false">IF(OR($E1925="",$F1925=""),"",$E1925&amp;" - RT "&amp;$F1925)</f>
        <v/>
      </c>
      <c r="H1925" s="37"/>
      <c r="I1925" s="38"/>
      <c r="J1925" s="37"/>
      <c r="K1925" s="39"/>
      <c r="L1925" s="41"/>
      <c r="M1925" s="36" t="str">
        <f aca="true">IF(OR($B1925="",$L1925=""),"",DATEDIF($L1925,TODAY(),"Y"))</f>
        <v/>
      </c>
      <c r="N1925" s="40" t="str">
        <f aca="false">IF($M1925="","",INDEX(usia_label,MATCH($M1925,usia_min,1)))</f>
        <v/>
      </c>
      <c r="O1925" s="37"/>
      <c r="P1925" s="41"/>
      <c r="Q1925" s="37"/>
      <c r="R1925" s="37"/>
      <c r="S1925" s="40" t="str">
        <f aca="false">IF($G1925="","",$G1925&amp;"#"&amp;COUNTIF($G$4:$G1925,$G1925))</f>
        <v/>
      </c>
      <c r="T1925" s="40" t="str">
        <f aca="false">IF($B1925="","",IF($C1925="","NIK kosong",IF(LEN($C1925)&lt;&gt;16,"NIK bukan 16 digit",IF(COUNTIF($C$4:$C$2003,$C1925&amp;"*")&gt;1,"NIK ganda",IF($E1925="","Kadus kosong",IF($F1925="","RT kosong",IF($H1925="","Jabatan kosong",IF($I1925="","No. HP kosong",IF($J1925="","Alamat kosong",IF(AND($M1925&lt;&gt;"",$M1925&lt;17),"Usia di bawah 17",""))))))))))</f>
        <v/>
      </c>
      <c r="U1925" s="40" t="str">
        <f aca="false">IF($B1925="","",IF(AND(OR(CARI!$C$5="",ISNUMBER(SEARCH(CARI!$C$5,$B1925&amp;" "&amp;$C1925&amp;" "&amp;$I1925&amp;" "&amp;$J1925&amp;" "&amp;$Q1925))),OR(CARI!$C$6="",$E1925=CARI!$C$6),OR(CARI!$C$7="",$F1925=CARI!$C$7),OR(CARI!$C$8="",$O1925=CARI!$C$8)),MAX($U$3:U1924)+1,""))</f>
        <v/>
      </c>
      <c r="V1925" s="40" t="str">
        <f aca="false">IF($T1925="","",MAX($V$3:V1924)+1)</f>
        <v/>
      </c>
      <c r="W1925" s="40" t="str">
        <f aca="false">IF($E1925="","",$E1925&amp;"#"&amp;COUNTIF($E$4:$E1925,$E1925))</f>
        <v/>
      </c>
      <c r="X1925" s="40" t="str">
        <f aca="false">IF($B1925="","",IF(AND(OR(CETAK!$J$10="",$E1925=CETAK!$J$10),OR(CETAK!$J$11="",$F1925=CETAK!$J$11),OR(CETAK!$J$12="",$K1925=CETAK!$J$12),OR(CETAK!$J$13="",$H1925=CETAK!$J$13),OR(CETAK!$J$14="",$O1925=CETAK!$J$14)),MAX($X$3:X1924)+1,""))</f>
        <v/>
      </c>
      <c r="Y1925" s="40" t="str">
        <f aca="false">IF($B1925="","",IF(AND(OR(ABSENSI!$H$10="",$E1925=ABSENSI!$H$10),OR(ABSENSI!$H$11="",$F1925=ABSENSI!$H$11),OR(ABSENSI!$H$12="",$K1925=ABSENSI!$H$12)),MAX($Y$3:Y1924)+1,""))</f>
        <v/>
      </c>
      <c r="Z1925" s="40" t="str">
        <f aca="false">IF($B1925="","",IF(AND(OR(KARTU!$K$6="",$E1925=KARTU!$K$6),OR(KARTU!$K$7="",$F1925=KARTU!$K$7),OR(KARTU!$K$8="",$K1925=KARTU!$K$8)),MAX($Z$3:Z1924)+1,""))</f>
        <v/>
      </c>
    </row>
    <row r="1926" customFormat="false" ht="15" hidden="false" customHeight="false" outlineLevel="0" collapsed="false">
      <c r="A1926" s="36" t="str">
        <f aca="false">IF($B1926="","",COUNTA($B$4:$B1926))</f>
        <v/>
      </c>
      <c r="B1926" s="37"/>
      <c r="C1926" s="38"/>
      <c r="D1926" s="39"/>
      <c r="E1926" s="37"/>
      <c r="F1926" s="39"/>
      <c r="G1926" s="40" t="str">
        <f aca="false">IF(OR($E1926="",$F1926=""),"",$E1926&amp;" - RT "&amp;$F1926)</f>
        <v/>
      </c>
      <c r="H1926" s="37"/>
      <c r="I1926" s="38"/>
      <c r="J1926" s="37"/>
      <c r="K1926" s="39"/>
      <c r="L1926" s="41"/>
      <c r="M1926" s="36" t="str">
        <f aca="true">IF(OR($B1926="",$L1926=""),"",DATEDIF($L1926,TODAY(),"Y"))</f>
        <v/>
      </c>
      <c r="N1926" s="40" t="str">
        <f aca="false">IF($M1926="","",INDEX(usia_label,MATCH($M1926,usia_min,1)))</f>
        <v/>
      </c>
      <c r="O1926" s="37"/>
      <c r="P1926" s="41"/>
      <c r="Q1926" s="37"/>
      <c r="R1926" s="37"/>
      <c r="S1926" s="40" t="str">
        <f aca="false">IF($G1926="","",$G1926&amp;"#"&amp;COUNTIF($G$4:$G1926,$G1926))</f>
        <v/>
      </c>
      <c r="T1926" s="40" t="str">
        <f aca="false">IF($B1926="","",IF($C1926="","NIK kosong",IF(LEN($C1926)&lt;&gt;16,"NIK bukan 16 digit",IF(COUNTIF($C$4:$C$2003,$C1926&amp;"*")&gt;1,"NIK ganda",IF($E1926="","Kadus kosong",IF($F1926="","RT kosong",IF($H1926="","Jabatan kosong",IF($I1926="","No. HP kosong",IF($J1926="","Alamat kosong",IF(AND($M1926&lt;&gt;"",$M1926&lt;17),"Usia di bawah 17",""))))))))))</f>
        <v/>
      </c>
      <c r="U1926" s="40" t="str">
        <f aca="false">IF($B1926="","",IF(AND(OR(CARI!$C$5="",ISNUMBER(SEARCH(CARI!$C$5,$B1926&amp;" "&amp;$C1926&amp;" "&amp;$I1926&amp;" "&amp;$J1926&amp;" "&amp;$Q1926))),OR(CARI!$C$6="",$E1926=CARI!$C$6),OR(CARI!$C$7="",$F1926=CARI!$C$7),OR(CARI!$C$8="",$O1926=CARI!$C$8)),MAX($U$3:U1925)+1,""))</f>
        <v/>
      </c>
      <c r="V1926" s="40" t="str">
        <f aca="false">IF($T1926="","",MAX($V$3:V1925)+1)</f>
        <v/>
      </c>
      <c r="W1926" s="40" t="str">
        <f aca="false">IF($E1926="","",$E1926&amp;"#"&amp;COUNTIF($E$4:$E1926,$E1926))</f>
        <v/>
      </c>
      <c r="X1926" s="40" t="str">
        <f aca="false">IF($B1926="","",IF(AND(OR(CETAK!$J$10="",$E1926=CETAK!$J$10),OR(CETAK!$J$11="",$F1926=CETAK!$J$11),OR(CETAK!$J$12="",$K1926=CETAK!$J$12),OR(CETAK!$J$13="",$H1926=CETAK!$J$13),OR(CETAK!$J$14="",$O1926=CETAK!$J$14)),MAX($X$3:X1925)+1,""))</f>
        <v/>
      </c>
      <c r="Y1926" s="40" t="str">
        <f aca="false">IF($B1926="","",IF(AND(OR(ABSENSI!$H$10="",$E1926=ABSENSI!$H$10),OR(ABSENSI!$H$11="",$F1926=ABSENSI!$H$11),OR(ABSENSI!$H$12="",$K1926=ABSENSI!$H$12)),MAX($Y$3:Y1925)+1,""))</f>
        <v/>
      </c>
      <c r="Z1926" s="40" t="str">
        <f aca="false">IF($B1926="","",IF(AND(OR(KARTU!$K$6="",$E1926=KARTU!$K$6),OR(KARTU!$K$7="",$F1926=KARTU!$K$7),OR(KARTU!$K$8="",$K1926=KARTU!$K$8)),MAX($Z$3:Z1925)+1,""))</f>
        <v/>
      </c>
    </row>
    <row r="1927" customFormat="false" ht="15" hidden="false" customHeight="false" outlineLevel="0" collapsed="false">
      <c r="A1927" s="36" t="str">
        <f aca="false">IF($B1927="","",COUNTA($B$4:$B1927))</f>
        <v/>
      </c>
      <c r="B1927" s="37"/>
      <c r="C1927" s="38"/>
      <c r="D1927" s="39"/>
      <c r="E1927" s="37"/>
      <c r="F1927" s="39"/>
      <c r="G1927" s="40" t="str">
        <f aca="false">IF(OR($E1927="",$F1927=""),"",$E1927&amp;" - RT "&amp;$F1927)</f>
        <v/>
      </c>
      <c r="H1927" s="37"/>
      <c r="I1927" s="38"/>
      <c r="J1927" s="37"/>
      <c r="K1927" s="39"/>
      <c r="L1927" s="41"/>
      <c r="M1927" s="36" t="str">
        <f aca="true">IF(OR($B1927="",$L1927=""),"",DATEDIF($L1927,TODAY(),"Y"))</f>
        <v/>
      </c>
      <c r="N1927" s="40" t="str">
        <f aca="false">IF($M1927="","",INDEX(usia_label,MATCH($M1927,usia_min,1)))</f>
        <v/>
      </c>
      <c r="O1927" s="37"/>
      <c r="P1927" s="41"/>
      <c r="Q1927" s="37"/>
      <c r="R1927" s="37"/>
      <c r="S1927" s="40" t="str">
        <f aca="false">IF($G1927="","",$G1927&amp;"#"&amp;COUNTIF($G$4:$G1927,$G1927))</f>
        <v/>
      </c>
      <c r="T1927" s="40" t="str">
        <f aca="false">IF($B1927="","",IF($C1927="","NIK kosong",IF(LEN($C1927)&lt;&gt;16,"NIK bukan 16 digit",IF(COUNTIF($C$4:$C$2003,$C1927&amp;"*")&gt;1,"NIK ganda",IF($E1927="","Kadus kosong",IF($F1927="","RT kosong",IF($H1927="","Jabatan kosong",IF($I1927="","No. HP kosong",IF($J1927="","Alamat kosong",IF(AND($M1927&lt;&gt;"",$M1927&lt;17),"Usia di bawah 17",""))))))))))</f>
        <v/>
      </c>
      <c r="U1927" s="40" t="str">
        <f aca="false">IF($B1927="","",IF(AND(OR(CARI!$C$5="",ISNUMBER(SEARCH(CARI!$C$5,$B1927&amp;" "&amp;$C1927&amp;" "&amp;$I1927&amp;" "&amp;$J1927&amp;" "&amp;$Q1927))),OR(CARI!$C$6="",$E1927=CARI!$C$6),OR(CARI!$C$7="",$F1927=CARI!$C$7),OR(CARI!$C$8="",$O1927=CARI!$C$8)),MAX($U$3:U1926)+1,""))</f>
        <v/>
      </c>
      <c r="V1927" s="40" t="str">
        <f aca="false">IF($T1927="","",MAX($V$3:V1926)+1)</f>
        <v/>
      </c>
      <c r="W1927" s="40" t="str">
        <f aca="false">IF($E1927="","",$E1927&amp;"#"&amp;COUNTIF($E$4:$E1927,$E1927))</f>
        <v/>
      </c>
      <c r="X1927" s="40" t="str">
        <f aca="false">IF($B1927="","",IF(AND(OR(CETAK!$J$10="",$E1927=CETAK!$J$10),OR(CETAK!$J$11="",$F1927=CETAK!$J$11),OR(CETAK!$J$12="",$K1927=CETAK!$J$12),OR(CETAK!$J$13="",$H1927=CETAK!$J$13),OR(CETAK!$J$14="",$O1927=CETAK!$J$14)),MAX($X$3:X1926)+1,""))</f>
        <v/>
      </c>
      <c r="Y1927" s="40" t="str">
        <f aca="false">IF($B1927="","",IF(AND(OR(ABSENSI!$H$10="",$E1927=ABSENSI!$H$10),OR(ABSENSI!$H$11="",$F1927=ABSENSI!$H$11),OR(ABSENSI!$H$12="",$K1927=ABSENSI!$H$12)),MAX($Y$3:Y1926)+1,""))</f>
        <v/>
      </c>
      <c r="Z1927" s="40" t="str">
        <f aca="false">IF($B1927="","",IF(AND(OR(KARTU!$K$6="",$E1927=KARTU!$K$6),OR(KARTU!$K$7="",$F1927=KARTU!$K$7),OR(KARTU!$K$8="",$K1927=KARTU!$K$8)),MAX($Z$3:Z1926)+1,""))</f>
        <v/>
      </c>
    </row>
    <row r="1928" customFormat="false" ht="15" hidden="false" customHeight="false" outlineLevel="0" collapsed="false">
      <c r="A1928" s="36" t="str">
        <f aca="false">IF($B1928="","",COUNTA($B$4:$B1928))</f>
        <v/>
      </c>
      <c r="B1928" s="37"/>
      <c r="C1928" s="38"/>
      <c r="D1928" s="39"/>
      <c r="E1928" s="37"/>
      <c r="F1928" s="39"/>
      <c r="G1928" s="40" t="str">
        <f aca="false">IF(OR($E1928="",$F1928=""),"",$E1928&amp;" - RT "&amp;$F1928)</f>
        <v/>
      </c>
      <c r="H1928" s="37"/>
      <c r="I1928" s="38"/>
      <c r="J1928" s="37"/>
      <c r="K1928" s="39"/>
      <c r="L1928" s="41"/>
      <c r="M1928" s="36" t="str">
        <f aca="true">IF(OR($B1928="",$L1928=""),"",DATEDIF($L1928,TODAY(),"Y"))</f>
        <v/>
      </c>
      <c r="N1928" s="40" t="str">
        <f aca="false">IF($M1928="","",INDEX(usia_label,MATCH($M1928,usia_min,1)))</f>
        <v/>
      </c>
      <c r="O1928" s="37"/>
      <c r="P1928" s="41"/>
      <c r="Q1928" s="37"/>
      <c r="R1928" s="37"/>
      <c r="S1928" s="40" t="str">
        <f aca="false">IF($G1928="","",$G1928&amp;"#"&amp;COUNTIF($G$4:$G1928,$G1928))</f>
        <v/>
      </c>
      <c r="T1928" s="40" t="str">
        <f aca="false">IF($B1928="","",IF($C1928="","NIK kosong",IF(LEN($C1928)&lt;&gt;16,"NIK bukan 16 digit",IF(COUNTIF($C$4:$C$2003,$C1928&amp;"*")&gt;1,"NIK ganda",IF($E1928="","Kadus kosong",IF($F1928="","RT kosong",IF($H1928="","Jabatan kosong",IF($I1928="","No. HP kosong",IF($J1928="","Alamat kosong",IF(AND($M1928&lt;&gt;"",$M1928&lt;17),"Usia di bawah 17",""))))))))))</f>
        <v/>
      </c>
      <c r="U1928" s="40" t="str">
        <f aca="false">IF($B1928="","",IF(AND(OR(CARI!$C$5="",ISNUMBER(SEARCH(CARI!$C$5,$B1928&amp;" "&amp;$C1928&amp;" "&amp;$I1928&amp;" "&amp;$J1928&amp;" "&amp;$Q1928))),OR(CARI!$C$6="",$E1928=CARI!$C$6),OR(CARI!$C$7="",$F1928=CARI!$C$7),OR(CARI!$C$8="",$O1928=CARI!$C$8)),MAX($U$3:U1927)+1,""))</f>
        <v/>
      </c>
      <c r="V1928" s="40" t="str">
        <f aca="false">IF($T1928="","",MAX($V$3:V1927)+1)</f>
        <v/>
      </c>
      <c r="W1928" s="40" t="str">
        <f aca="false">IF($E1928="","",$E1928&amp;"#"&amp;COUNTIF($E$4:$E1928,$E1928))</f>
        <v/>
      </c>
      <c r="X1928" s="40" t="str">
        <f aca="false">IF($B1928="","",IF(AND(OR(CETAK!$J$10="",$E1928=CETAK!$J$10),OR(CETAK!$J$11="",$F1928=CETAK!$J$11),OR(CETAK!$J$12="",$K1928=CETAK!$J$12),OR(CETAK!$J$13="",$H1928=CETAK!$J$13),OR(CETAK!$J$14="",$O1928=CETAK!$J$14)),MAX($X$3:X1927)+1,""))</f>
        <v/>
      </c>
      <c r="Y1928" s="40" t="str">
        <f aca="false">IF($B1928="","",IF(AND(OR(ABSENSI!$H$10="",$E1928=ABSENSI!$H$10),OR(ABSENSI!$H$11="",$F1928=ABSENSI!$H$11),OR(ABSENSI!$H$12="",$K1928=ABSENSI!$H$12)),MAX($Y$3:Y1927)+1,""))</f>
        <v/>
      </c>
      <c r="Z1928" s="40" t="str">
        <f aca="false">IF($B1928="","",IF(AND(OR(KARTU!$K$6="",$E1928=KARTU!$K$6),OR(KARTU!$K$7="",$F1928=KARTU!$K$7),OR(KARTU!$K$8="",$K1928=KARTU!$K$8)),MAX($Z$3:Z1927)+1,""))</f>
        <v/>
      </c>
    </row>
    <row r="1929" customFormat="false" ht="15" hidden="false" customHeight="false" outlineLevel="0" collapsed="false">
      <c r="A1929" s="36" t="str">
        <f aca="false">IF($B1929="","",COUNTA($B$4:$B1929))</f>
        <v/>
      </c>
      <c r="B1929" s="37"/>
      <c r="C1929" s="38"/>
      <c r="D1929" s="39"/>
      <c r="E1929" s="37"/>
      <c r="F1929" s="39"/>
      <c r="G1929" s="40" t="str">
        <f aca="false">IF(OR($E1929="",$F1929=""),"",$E1929&amp;" - RT "&amp;$F1929)</f>
        <v/>
      </c>
      <c r="H1929" s="37"/>
      <c r="I1929" s="38"/>
      <c r="J1929" s="37"/>
      <c r="K1929" s="39"/>
      <c r="L1929" s="41"/>
      <c r="M1929" s="36" t="str">
        <f aca="true">IF(OR($B1929="",$L1929=""),"",DATEDIF($L1929,TODAY(),"Y"))</f>
        <v/>
      </c>
      <c r="N1929" s="40" t="str">
        <f aca="false">IF($M1929="","",INDEX(usia_label,MATCH($M1929,usia_min,1)))</f>
        <v/>
      </c>
      <c r="O1929" s="37"/>
      <c r="P1929" s="41"/>
      <c r="Q1929" s="37"/>
      <c r="R1929" s="37"/>
      <c r="S1929" s="40" t="str">
        <f aca="false">IF($G1929="","",$G1929&amp;"#"&amp;COUNTIF($G$4:$G1929,$G1929))</f>
        <v/>
      </c>
      <c r="T1929" s="40" t="str">
        <f aca="false">IF($B1929="","",IF($C1929="","NIK kosong",IF(LEN($C1929)&lt;&gt;16,"NIK bukan 16 digit",IF(COUNTIF($C$4:$C$2003,$C1929&amp;"*")&gt;1,"NIK ganda",IF($E1929="","Kadus kosong",IF($F1929="","RT kosong",IF($H1929="","Jabatan kosong",IF($I1929="","No. HP kosong",IF($J1929="","Alamat kosong",IF(AND($M1929&lt;&gt;"",$M1929&lt;17),"Usia di bawah 17",""))))))))))</f>
        <v/>
      </c>
      <c r="U1929" s="40" t="str">
        <f aca="false">IF($B1929="","",IF(AND(OR(CARI!$C$5="",ISNUMBER(SEARCH(CARI!$C$5,$B1929&amp;" "&amp;$C1929&amp;" "&amp;$I1929&amp;" "&amp;$J1929&amp;" "&amp;$Q1929))),OR(CARI!$C$6="",$E1929=CARI!$C$6),OR(CARI!$C$7="",$F1929=CARI!$C$7),OR(CARI!$C$8="",$O1929=CARI!$C$8)),MAX($U$3:U1928)+1,""))</f>
        <v/>
      </c>
      <c r="V1929" s="40" t="str">
        <f aca="false">IF($T1929="","",MAX($V$3:V1928)+1)</f>
        <v/>
      </c>
      <c r="W1929" s="40" t="str">
        <f aca="false">IF($E1929="","",$E1929&amp;"#"&amp;COUNTIF($E$4:$E1929,$E1929))</f>
        <v/>
      </c>
      <c r="X1929" s="40" t="str">
        <f aca="false">IF($B1929="","",IF(AND(OR(CETAK!$J$10="",$E1929=CETAK!$J$10),OR(CETAK!$J$11="",$F1929=CETAK!$J$11),OR(CETAK!$J$12="",$K1929=CETAK!$J$12),OR(CETAK!$J$13="",$H1929=CETAK!$J$13),OR(CETAK!$J$14="",$O1929=CETAK!$J$14)),MAX($X$3:X1928)+1,""))</f>
        <v/>
      </c>
      <c r="Y1929" s="40" t="str">
        <f aca="false">IF($B1929="","",IF(AND(OR(ABSENSI!$H$10="",$E1929=ABSENSI!$H$10),OR(ABSENSI!$H$11="",$F1929=ABSENSI!$H$11),OR(ABSENSI!$H$12="",$K1929=ABSENSI!$H$12)),MAX($Y$3:Y1928)+1,""))</f>
        <v/>
      </c>
      <c r="Z1929" s="40" t="str">
        <f aca="false">IF($B1929="","",IF(AND(OR(KARTU!$K$6="",$E1929=KARTU!$K$6),OR(KARTU!$K$7="",$F1929=KARTU!$K$7),OR(KARTU!$K$8="",$K1929=KARTU!$K$8)),MAX($Z$3:Z1928)+1,""))</f>
        <v/>
      </c>
    </row>
    <row r="1930" customFormat="false" ht="15" hidden="false" customHeight="false" outlineLevel="0" collapsed="false">
      <c r="A1930" s="36" t="str">
        <f aca="false">IF($B1930="","",COUNTA($B$4:$B1930))</f>
        <v/>
      </c>
      <c r="B1930" s="37"/>
      <c r="C1930" s="38"/>
      <c r="D1930" s="39"/>
      <c r="E1930" s="37"/>
      <c r="F1930" s="39"/>
      <c r="G1930" s="40" t="str">
        <f aca="false">IF(OR($E1930="",$F1930=""),"",$E1930&amp;" - RT "&amp;$F1930)</f>
        <v/>
      </c>
      <c r="H1930" s="37"/>
      <c r="I1930" s="38"/>
      <c r="J1930" s="37"/>
      <c r="K1930" s="39"/>
      <c r="L1930" s="41"/>
      <c r="M1930" s="36" t="str">
        <f aca="true">IF(OR($B1930="",$L1930=""),"",DATEDIF($L1930,TODAY(),"Y"))</f>
        <v/>
      </c>
      <c r="N1930" s="40" t="str">
        <f aca="false">IF($M1930="","",INDEX(usia_label,MATCH($M1930,usia_min,1)))</f>
        <v/>
      </c>
      <c r="O1930" s="37"/>
      <c r="P1930" s="41"/>
      <c r="Q1930" s="37"/>
      <c r="R1930" s="37"/>
      <c r="S1930" s="40" t="str">
        <f aca="false">IF($G1930="","",$G1930&amp;"#"&amp;COUNTIF($G$4:$G1930,$G1930))</f>
        <v/>
      </c>
      <c r="T1930" s="40" t="str">
        <f aca="false">IF($B1930="","",IF($C1930="","NIK kosong",IF(LEN($C1930)&lt;&gt;16,"NIK bukan 16 digit",IF(COUNTIF($C$4:$C$2003,$C1930&amp;"*")&gt;1,"NIK ganda",IF($E1930="","Kadus kosong",IF($F1930="","RT kosong",IF($H1930="","Jabatan kosong",IF($I1930="","No. HP kosong",IF($J1930="","Alamat kosong",IF(AND($M1930&lt;&gt;"",$M1930&lt;17),"Usia di bawah 17",""))))))))))</f>
        <v/>
      </c>
      <c r="U1930" s="40" t="str">
        <f aca="false">IF($B1930="","",IF(AND(OR(CARI!$C$5="",ISNUMBER(SEARCH(CARI!$C$5,$B1930&amp;" "&amp;$C1930&amp;" "&amp;$I1930&amp;" "&amp;$J1930&amp;" "&amp;$Q1930))),OR(CARI!$C$6="",$E1930=CARI!$C$6),OR(CARI!$C$7="",$F1930=CARI!$C$7),OR(CARI!$C$8="",$O1930=CARI!$C$8)),MAX($U$3:U1929)+1,""))</f>
        <v/>
      </c>
      <c r="V1930" s="40" t="str">
        <f aca="false">IF($T1930="","",MAX($V$3:V1929)+1)</f>
        <v/>
      </c>
      <c r="W1930" s="40" t="str">
        <f aca="false">IF($E1930="","",$E1930&amp;"#"&amp;COUNTIF($E$4:$E1930,$E1930))</f>
        <v/>
      </c>
      <c r="X1930" s="40" t="str">
        <f aca="false">IF($B1930="","",IF(AND(OR(CETAK!$J$10="",$E1930=CETAK!$J$10),OR(CETAK!$J$11="",$F1930=CETAK!$J$11),OR(CETAK!$J$12="",$K1930=CETAK!$J$12),OR(CETAK!$J$13="",$H1930=CETAK!$J$13),OR(CETAK!$J$14="",$O1930=CETAK!$J$14)),MAX($X$3:X1929)+1,""))</f>
        <v/>
      </c>
      <c r="Y1930" s="40" t="str">
        <f aca="false">IF($B1930="","",IF(AND(OR(ABSENSI!$H$10="",$E1930=ABSENSI!$H$10),OR(ABSENSI!$H$11="",$F1930=ABSENSI!$H$11),OR(ABSENSI!$H$12="",$K1930=ABSENSI!$H$12)),MAX($Y$3:Y1929)+1,""))</f>
        <v/>
      </c>
      <c r="Z1930" s="40" t="str">
        <f aca="false">IF($B1930="","",IF(AND(OR(KARTU!$K$6="",$E1930=KARTU!$K$6),OR(KARTU!$K$7="",$F1930=KARTU!$K$7),OR(KARTU!$K$8="",$K1930=KARTU!$K$8)),MAX($Z$3:Z1929)+1,""))</f>
        <v/>
      </c>
    </row>
    <row r="1931" customFormat="false" ht="15" hidden="false" customHeight="false" outlineLevel="0" collapsed="false">
      <c r="A1931" s="36" t="str">
        <f aca="false">IF($B1931="","",COUNTA($B$4:$B1931))</f>
        <v/>
      </c>
      <c r="B1931" s="37"/>
      <c r="C1931" s="38"/>
      <c r="D1931" s="39"/>
      <c r="E1931" s="37"/>
      <c r="F1931" s="39"/>
      <c r="G1931" s="40" t="str">
        <f aca="false">IF(OR($E1931="",$F1931=""),"",$E1931&amp;" - RT "&amp;$F1931)</f>
        <v/>
      </c>
      <c r="H1931" s="37"/>
      <c r="I1931" s="38"/>
      <c r="J1931" s="37"/>
      <c r="K1931" s="39"/>
      <c r="L1931" s="41"/>
      <c r="M1931" s="36" t="str">
        <f aca="true">IF(OR($B1931="",$L1931=""),"",DATEDIF($L1931,TODAY(),"Y"))</f>
        <v/>
      </c>
      <c r="N1931" s="40" t="str">
        <f aca="false">IF($M1931="","",INDEX(usia_label,MATCH($M1931,usia_min,1)))</f>
        <v/>
      </c>
      <c r="O1931" s="37"/>
      <c r="P1931" s="41"/>
      <c r="Q1931" s="37"/>
      <c r="R1931" s="37"/>
      <c r="S1931" s="40" t="str">
        <f aca="false">IF($G1931="","",$G1931&amp;"#"&amp;COUNTIF($G$4:$G1931,$G1931))</f>
        <v/>
      </c>
      <c r="T1931" s="40" t="str">
        <f aca="false">IF($B1931="","",IF($C1931="","NIK kosong",IF(LEN($C1931)&lt;&gt;16,"NIK bukan 16 digit",IF(COUNTIF($C$4:$C$2003,$C1931&amp;"*")&gt;1,"NIK ganda",IF($E1931="","Kadus kosong",IF($F1931="","RT kosong",IF($H1931="","Jabatan kosong",IF($I1931="","No. HP kosong",IF($J1931="","Alamat kosong",IF(AND($M1931&lt;&gt;"",$M1931&lt;17),"Usia di bawah 17",""))))))))))</f>
        <v/>
      </c>
      <c r="U1931" s="40" t="str">
        <f aca="false">IF($B1931="","",IF(AND(OR(CARI!$C$5="",ISNUMBER(SEARCH(CARI!$C$5,$B1931&amp;" "&amp;$C1931&amp;" "&amp;$I1931&amp;" "&amp;$J1931&amp;" "&amp;$Q1931))),OR(CARI!$C$6="",$E1931=CARI!$C$6),OR(CARI!$C$7="",$F1931=CARI!$C$7),OR(CARI!$C$8="",$O1931=CARI!$C$8)),MAX($U$3:U1930)+1,""))</f>
        <v/>
      </c>
      <c r="V1931" s="40" t="str">
        <f aca="false">IF($T1931="","",MAX($V$3:V1930)+1)</f>
        <v/>
      </c>
      <c r="W1931" s="40" t="str">
        <f aca="false">IF($E1931="","",$E1931&amp;"#"&amp;COUNTIF($E$4:$E1931,$E1931))</f>
        <v/>
      </c>
      <c r="X1931" s="40" t="str">
        <f aca="false">IF($B1931="","",IF(AND(OR(CETAK!$J$10="",$E1931=CETAK!$J$10),OR(CETAK!$J$11="",$F1931=CETAK!$J$11),OR(CETAK!$J$12="",$K1931=CETAK!$J$12),OR(CETAK!$J$13="",$H1931=CETAK!$J$13),OR(CETAK!$J$14="",$O1931=CETAK!$J$14)),MAX($X$3:X1930)+1,""))</f>
        <v/>
      </c>
      <c r="Y1931" s="40" t="str">
        <f aca="false">IF($B1931="","",IF(AND(OR(ABSENSI!$H$10="",$E1931=ABSENSI!$H$10),OR(ABSENSI!$H$11="",$F1931=ABSENSI!$H$11),OR(ABSENSI!$H$12="",$K1931=ABSENSI!$H$12)),MAX($Y$3:Y1930)+1,""))</f>
        <v/>
      </c>
      <c r="Z1931" s="40" t="str">
        <f aca="false">IF($B1931="","",IF(AND(OR(KARTU!$K$6="",$E1931=KARTU!$K$6),OR(KARTU!$K$7="",$F1931=KARTU!$K$7),OR(KARTU!$K$8="",$K1931=KARTU!$K$8)),MAX($Z$3:Z1930)+1,""))</f>
        <v/>
      </c>
    </row>
    <row r="1932" customFormat="false" ht="15" hidden="false" customHeight="false" outlineLevel="0" collapsed="false">
      <c r="A1932" s="36" t="str">
        <f aca="false">IF($B1932="","",COUNTA($B$4:$B1932))</f>
        <v/>
      </c>
      <c r="B1932" s="37"/>
      <c r="C1932" s="38"/>
      <c r="D1932" s="39"/>
      <c r="E1932" s="37"/>
      <c r="F1932" s="39"/>
      <c r="G1932" s="40" t="str">
        <f aca="false">IF(OR($E1932="",$F1932=""),"",$E1932&amp;" - RT "&amp;$F1932)</f>
        <v/>
      </c>
      <c r="H1932" s="37"/>
      <c r="I1932" s="38"/>
      <c r="J1932" s="37"/>
      <c r="K1932" s="39"/>
      <c r="L1932" s="41"/>
      <c r="M1932" s="36" t="str">
        <f aca="true">IF(OR($B1932="",$L1932=""),"",DATEDIF($L1932,TODAY(),"Y"))</f>
        <v/>
      </c>
      <c r="N1932" s="40" t="str">
        <f aca="false">IF($M1932="","",INDEX(usia_label,MATCH($M1932,usia_min,1)))</f>
        <v/>
      </c>
      <c r="O1932" s="37"/>
      <c r="P1932" s="41"/>
      <c r="Q1932" s="37"/>
      <c r="R1932" s="37"/>
      <c r="S1932" s="40" t="str">
        <f aca="false">IF($G1932="","",$G1932&amp;"#"&amp;COUNTIF($G$4:$G1932,$G1932))</f>
        <v/>
      </c>
      <c r="T1932" s="40" t="str">
        <f aca="false">IF($B1932="","",IF($C1932="","NIK kosong",IF(LEN($C1932)&lt;&gt;16,"NIK bukan 16 digit",IF(COUNTIF($C$4:$C$2003,$C1932&amp;"*")&gt;1,"NIK ganda",IF($E1932="","Kadus kosong",IF($F1932="","RT kosong",IF($H1932="","Jabatan kosong",IF($I1932="","No. HP kosong",IF($J1932="","Alamat kosong",IF(AND($M1932&lt;&gt;"",$M1932&lt;17),"Usia di bawah 17",""))))))))))</f>
        <v/>
      </c>
      <c r="U1932" s="40" t="str">
        <f aca="false">IF($B1932="","",IF(AND(OR(CARI!$C$5="",ISNUMBER(SEARCH(CARI!$C$5,$B1932&amp;" "&amp;$C1932&amp;" "&amp;$I1932&amp;" "&amp;$J1932&amp;" "&amp;$Q1932))),OR(CARI!$C$6="",$E1932=CARI!$C$6),OR(CARI!$C$7="",$F1932=CARI!$C$7),OR(CARI!$C$8="",$O1932=CARI!$C$8)),MAX($U$3:U1931)+1,""))</f>
        <v/>
      </c>
      <c r="V1932" s="40" t="str">
        <f aca="false">IF($T1932="","",MAX($V$3:V1931)+1)</f>
        <v/>
      </c>
      <c r="W1932" s="40" t="str">
        <f aca="false">IF($E1932="","",$E1932&amp;"#"&amp;COUNTIF($E$4:$E1932,$E1932))</f>
        <v/>
      </c>
      <c r="X1932" s="40" t="str">
        <f aca="false">IF($B1932="","",IF(AND(OR(CETAK!$J$10="",$E1932=CETAK!$J$10),OR(CETAK!$J$11="",$F1932=CETAK!$J$11),OR(CETAK!$J$12="",$K1932=CETAK!$J$12),OR(CETAK!$J$13="",$H1932=CETAK!$J$13),OR(CETAK!$J$14="",$O1932=CETAK!$J$14)),MAX($X$3:X1931)+1,""))</f>
        <v/>
      </c>
      <c r="Y1932" s="40" t="str">
        <f aca="false">IF($B1932="","",IF(AND(OR(ABSENSI!$H$10="",$E1932=ABSENSI!$H$10),OR(ABSENSI!$H$11="",$F1932=ABSENSI!$H$11),OR(ABSENSI!$H$12="",$K1932=ABSENSI!$H$12)),MAX($Y$3:Y1931)+1,""))</f>
        <v/>
      </c>
      <c r="Z1932" s="40" t="str">
        <f aca="false">IF($B1932="","",IF(AND(OR(KARTU!$K$6="",$E1932=KARTU!$K$6),OR(KARTU!$K$7="",$F1932=KARTU!$K$7),OR(KARTU!$K$8="",$K1932=KARTU!$K$8)),MAX($Z$3:Z1931)+1,""))</f>
        <v/>
      </c>
    </row>
    <row r="1933" customFormat="false" ht="15" hidden="false" customHeight="false" outlineLevel="0" collapsed="false">
      <c r="A1933" s="36" t="str">
        <f aca="false">IF($B1933="","",COUNTA($B$4:$B1933))</f>
        <v/>
      </c>
      <c r="B1933" s="37"/>
      <c r="C1933" s="38"/>
      <c r="D1933" s="39"/>
      <c r="E1933" s="37"/>
      <c r="F1933" s="39"/>
      <c r="G1933" s="40" t="str">
        <f aca="false">IF(OR($E1933="",$F1933=""),"",$E1933&amp;" - RT "&amp;$F1933)</f>
        <v/>
      </c>
      <c r="H1933" s="37"/>
      <c r="I1933" s="38"/>
      <c r="J1933" s="37"/>
      <c r="K1933" s="39"/>
      <c r="L1933" s="41"/>
      <c r="M1933" s="36" t="str">
        <f aca="true">IF(OR($B1933="",$L1933=""),"",DATEDIF($L1933,TODAY(),"Y"))</f>
        <v/>
      </c>
      <c r="N1933" s="40" t="str">
        <f aca="false">IF($M1933="","",INDEX(usia_label,MATCH($M1933,usia_min,1)))</f>
        <v/>
      </c>
      <c r="O1933" s="37"/>
      <c r="P1933" s="41"/>
      <c r="Q1933" s="37"/>
      <c r="R1933" s="37"/>
      <c r="S1933" s="40" t="str">
        <f aca="false">IF($G1933="","",$G1933&amp;"#"&amp;COUNTIF($G$4:$G1933,$G1933))</f>
        <v/>
      </c>
      <c r="T1933" s="40" t="str">
        <f aca="false">IF($B1933="","",IF($C1933="","NIK kosong",IF(LEN($C1933)&lt;&gt;16,"NIK bukan 16 digit",IF(COUNTIF($C$4:$C$2003,$C1933&amp;"*")&gt;1,"NIK ganda",IF($E1933="","Kadus kosong",IF($F1933="","RT kosong",IF($H1933="","Jabatan kosong",IF($I1933="","No. HP kosong",IF($J1933="","Alamat kosong",IF(AND($M1933&lt;&gt;"",$M1933&lt;17),"Usia di bawah 17",""))))))))))</f>
        <v/>
      </c>
      <c r="U1933" s="40" t="str">
        <f aca="false">IF($B1933="","",IF(AND(OR(CARI!$C$5="",ISNUMBER(SEARCH(CARI!$C$5,$B1933&amp;" "&amp;$C1933&amp;" "&amp;$I1933&amp;" "&amp;$J1933&amp;" "&amp;$Q1933))),OR(CARI!$C$6="",$E1933=CARI!$C$6),OR(CARI!$C$7="",$F1933=CARI!$C$7),OR(CARI!$C$8="",$O1933=CARI!$C$8)),MAX($U$3:U1932)+1,""))</f>
        <v/>
      </c>
      <c r="V1933" s="40" t="str">
        <f aca="false">IF($T1933="","",MAX($V$3:V1932)+1)</f>
        <v/>
      </c>
      <c r="W1933" s="40" t="str">
        <f aca="false">IF($E1933="","",$E1933&amp;"#"&amp;COUNTIF($E$4:$E1933,$E1933))</f>
        <v/>
      </c>
      <c r="X1933" s="40" t="str">
        <f aca="false">IF($B1933="","",IF(AND(OR(CETAK!$J$10="",$E1933=CETAK!$J$10),OR(CETAK!$J$11="",$F1933=CETAK!$J$11),OR(CETAK!$J$12="",$K1933=CETAK!$J$12),OR(CETAK!$J$13="",$H1933=CETAK!$J$13),OR(CETAK!$J$14="",$O1933=CETAK!$J$14)),MAX($X$3:X1932)+1,""))</f>
        <v/>
      </c>
      <c r="Y1933" s="40" t="str">
        <f aca="false">IF($B1933="","",IF(AND(OR(ABSENSI!$H$10="",$E1933=ABSENSI!$H$10),OR(ABSENSI!$H$11="",$F1933=ABSENSI!$H$11),OR(ABSENSI!$H$12="",$K1933=ABSENSI!$H$12)),MAX($Y$3:Y1932)+1,""))</f>
        <v/>
      </c>
      <c r="Z1933" s="40" t="str">
        <f aca="false">IF($B1933="","",IF(AND(OR(KARTU!$K$6="",$E1933=KARTU!$K$6),OR(KARTU!$K$7="",$F1933=KARTU!$K$7),OR(KARTU!$K$8="",$K1933=KARTU!$K$8)),MAX($Z$3:Z1932)+1,""))</f>
        <v/>
      </c>
    </row>
    <row r="1934" customFormat="false" ht="15" hidden="false" customHeight="false" outlineLevel="0" collapsed="false">
      <c r="A1934" s="36" t="str">
        <f aca="false">IF($B1934="","",COUNTA($B$4:$B1934))</f>
        <v/>
      </c>
      <c r="B1934" s="37"/>
      <c r="C1934" s="38"/>
      <c r="D1934" s="39"/>
      <c r="E1934" s="37"/>
      <c r="F1934" s="39"/>
      <c r="G1934" s="40" t="str">
        <f aca="false">IF(OR($E1934="",$F1934=""),"",$E1934&amp;" - RT "&amp;$F1934)</f>
        <v/>
      </c>
      <c r="H1934" s="37"/>
      <c r="I1934" s="38"/>
      <c r="J1934" s="37"/>
      <c r="K1934" s="39"/>
      <c r="L1934" s="41"/>
      <c r="M1934" s="36" t="str">
        <f aca="true">IF(OR($B1934="",$L1934=""),"",DATEDIF($L1934,TODAY(),"Y"))</f>
        <v/>
      </c>
      <c r="N1934" s="40" t="str">
        <f aca="false">IF($M1934="","",INDEX(usia_label,MATCH($M1934,usia_min,1)))</f>
        <v/>
      </c>
      <c r="O1934" s="37"/>
      <c r="P1934" s="41"/>
      <c r="Q1934" s="37"/>
      <c r="R1934" s="37"/>
      <c r="S1934" s="40" t="str">
        <f aca="false">IF($G1934="","",$G1934&amp;"#"&amp;COUNTIF($G$4:$G1934,$G1934))</f>
        <v/>
      </c>
      <c r="T1934" s="40" t="str">
        <f aca="false">IF($B1934="","",IF($C1934="","NIK kosong",IF(LEN($C1934)&lt;&gt;16,"NIK bukan 16 digit",IF(COUNTIF($C$4:$C$2003,$C1934&amp;"*")&gt;1,"NIK ganda",IF($E1934="","Kadus kosong",IF($F1934="","RT kosong",IF($H1934="","Jabatan kosong",IF($I1934="","No. HP kosong",IF($J1934="","Alamat kosong",IF(AND($M1934&lt;&gt;"",$M1934&lt;17),"Usia di bawah 17",""))))))))))</f>
        <v/>
      </c>
      <c r="U1934" s="40" t="str">
        <f aca="false">IF($B1934="","",IF(AND(OR(CARI!$C$5="",ISNUMBER(SEARCH(CARI!$C$5,$B1934&amp;" "&amp;$C1934&amp;" "&amp;$I1934&amp;" "&amp;$J1934&amp;" "&amp;$Q1934))),OR(CARI!$C$6="",$E1934=CARI!$C$6),OR(CARI!$C$7="",$F1934=CARI!$C$7),OR(CARI!$C$8="",$O1934=CARI!$C$8)),MAX($U$3:U1933)+1,""))</f>
        <v/>
      </c>
      <c r="V1934" s="40" t="str">
        <f aca="false">IF($T1934="","",MAX($V$3:V1933)+1)</f>
        <v/>
      </c>
      <c r="W1934" s="40" t="str">
        <f aca="false">IF($E1934="","",$E1934&amp;"#"&amp;COUNTIF($E$4:$E1934,$E1934))</f>
        <v/>
      </c>
      <c r="X1934" s="40" t="str">
        <f aca="false">IF($B1934="","",IF(AND(OR(CETAK!$J$10="",$E1934=CETAK!$J$10),OR(CETAK!$J$11="",$F1934=CETAK!$J$11),OR(CETAK!$J$12="",$K1934=CETAK!$J$12),OR(CETAK!$J$13="",$H1934=CETAK!$J$13),OR(CETAK!$J$14="",$O1934=CETAK!$J$14)),MAX($X$3:X1933)+1,""))</f>
        <v/>
      </c>
      <c r="Y1934" s="40" t="str">
        <f aca="false">IF($B1934="","",IF(AND(OR(ABSENSI!$H$10="",$E1934=ABSENSI!$H$10),OR(ABSENSI!$H$11="",$F1934=ABSENSI!$H$11),OR(ABSENSI!$H$12="",$K1934=ABSENSI!$H$12)),MAX($Y$3:Y1933)+1,""))</f>
        <v/>
      </c>
      <c r="Z1934" s="40" t="str">
        <f aca="false">IF($B1934="","",IF(AND(OR(KARTU!$K$6="",$E1934=KARTU!$K$6),OR(KARTU!$K$7="",$F1934=KARTU!$K$7),OR(KARTU!$K$8="",$K1934=KARTU!$K$8)),MAX($Z$3:Z1933)+1,""))</f>
        <v/>
      </c>
    </row>
    <row r="1935" customFormat="false" ht="15" hidden="false" customHeight="false" outlineLevel="0" collapsed="false">
      <c r="A1935" s="36" t="str">
        <f aca="false">IF($B1935="","",COUNTA($B$4:$B1935))</f>
        <v/>
      </c>
      <c r="B1935" s="37"/>
      <c r="C1935" s="38"/>
      <c r="D1935" s="39"/>
      <c r="E1935" s="37"/>
      <c r="F1935" s="39"/>
      <c r="G1935" s="40" t="str">
        <f aca="false">IF(OR($E1935="",$F1935=""),"",$E1935&amp;" - RT "&amp;$F1935)</f>
        <v/>
      </c>
      <c r="H1935" s="37"/>
      <c r="I1935" s="38"/>
      <c r="J1935" s="37"/>
      <c r="K1935" s="39"/>
      <c r="L1935" s="41"/>
      <c r="M1935" s="36" t="str">
        <f aca="true">IF(OR($B1935="",$L1935=""),"",DATEDIF($L1935,TODAY(),"Y"))</f>
        <v/>
      </c>
      <c r="N1935" s="40" t="str">
        <f aca="false">IF($M1935="","",INDEX(usia_label,MATCH($M1935,usia_min,1)))</f>
        <v/>
      </c>
      <c r="O1935" s="37"/>
      <c r="P1935" s="41"/>
      <c r="Q1935" s="37"/>
      <c r="R1935" s="37"/>
      <c r="S1935" s="40" t="str">
        <f aca="false">IF($G1935="","",$G1935&amp;"#"&amp;COUNTIF($G$4:$G1935,$G1935))</f>
        <v/>
      </c>
      <c r="T1935" s="40" t="str">
        <f aca="false">IF($B1935="","",IF($C1935="","NIK kosong",IF(LEN($C1935)&lt;&gt;16,"NIK bukan 16 digit",IF(COUNTIF($C$4:$C$2003,$C1935&amp;"*")&gt;1,"NIK ganda",IF($E1935="","Kadus kosong",IF($F1935="","RT kosong",IF($H1935="","Jabatan kosong",IF($I1935="","No. HP kosong",IF($J1935="","Alamat kosong",IF(AND($M1935&lt;&gt;"",$M1935&lt;17),"Usia di bawah 17",""))))))))))</f>
        <v/>
      </c>
      <c r="U1935" s="40" t="str">
        <f aca="false">IF($B1935="","",IF(AND(OR(CARI!$C$5="",ISNUMBER(SEARCH(CARI!$C$5,$B1935&amp;" "&amp;$C1935&amp;" "&amp;$I1935&amp;" "&amp;$J1935&amp;" "&amp;$Q1935))),OR(CARI!$C$6="",$E1935=CARI!$C$6),OR(CARI!$C$7="",$F1935=CARI!$C$7),OR(CARI!$C$8="",$O1935=CARI!$C$8)),MAX($U$3:U1934)+1,""))</f>
        <v/>
      </c>
      <c r="V1935" s="40" t="str">
        <f aca="false">IF($T1935="","",MAX($V$3:V1934)+1)</f>
        <v/>
      </c>
      <c r="W1935" s="40" t="str">
        <f aca="false">IF($E1935="","",$E1935&amp;"#"&amp;COUNTIF($E$4:$E1935,$E1935))</f>
        <v/>
      </c>
      <c r="X1935" s="40" t="str">
        <f aca="false">IF($B1935="","",IF(AND(OR(CETAK!$J$10="",$E1935=CETAK!$J$10),OR(CETAK!$J$11="",$F1935=CETAK!$J$11),OR(CETAK!$J$12="",$K1935=CETAK!$J$12),OR(CETAK!$J$13="",$H1935=CETAK!$J$13),OR(CETAK!$J$14="",$O1935=CETAK!$J$14)),MAX($X$3:X1934)+1,""))</f>
        <v/>
      </c>
      <c r="Y1935" s="40" t="str">
        <f aca="false">IF($B1935="","",IF(AND(OR(ABSENSI!$H$10="",$E1935=ABSENSI!$H$10),OR(ABSENSI!$H$11="",$F1935=ABSENSI!$H$11),OR(ABSENSI!$H$12="",$K1935=ABSENSI!$H$12)),MAX($Y$3:Y1934)+1,""))</f>
        <v/>
      </c>
      <c r="Z1935" s="40" t="str">
        <f aca="false">IF($B1935="","",IF(AND(OR(KARTU!$K$6="",$E1935=KARTU!$K$6),OR(KARTU!$K$7="",$F1935=KARTU!$K$7),OR(KARTU!$K$8="",$K1935=KARTU!$K$8)),MAX($Z$3:Z1934)+1,""))</f>
        <v/>
      </c>
    </row>
    <row r="1936" customFormat="false" ht="15" hidden="false" customHeight="false" outlineLevel="0" collapsed="false">
      <c r="A1936" s="36" t="str">
        <f aca="false">IF($B1936="","",COUNTA($B$4:$B1936))</f>
        <v/>
      </c>
      <c r="B1936" s="37"/>
      <c r="C1936" s="38"/>
      <c r="D1936" s="39"/>
      <c r="E1936" s="37"/>
      <c r="F1936" s="39"/>
      <c r="G1936" s="40" t="str">
        <f aca="false">IF(OR($E1936="",$F1936=""),"",$E1936&amp;" - RT "&amp;$F1936)</f>
        <v/>
      </c>
      <c r="H1936" s="37"/>
      <c r="I1936" s="38"/>
      <c r="J1936" s="37"/>
      <c r="K1936" s="39"/>
      <c r="L1936" s="41"/>
      <c r="M1936" s="36" t="str">
        <f aca="true">IF(OR($B1936="",$L1936=""),"",DATEDIF($L1936,TODAY(),"Y"))</f>
        <v/>
      </c>
      <c r="N1936" s="40" t="str">
        <f aca="false">IF($M1936="","",INDEX(usia_label,MATCH($M1936,usia_min,1)))</f>
        <v/>
      </c>
      <c r="O1936" s="37"/>
      <c r="P1936" s="41"/>
      <c r="Q1936" s="37"/>
      <c r="R1936" s="37"/>
      <c r="S1936" s="40" t="str">
        <f aca="false">IF($G1936="","",$G1936&amp;"#"&amp;COUNTIF($G$4:$G1936,$G1936))</f>
        <v/>
      </c>
      <c r="T1936" s="40" t="str">
        <f aca="false">IF($B1936="","",IF($C1936="","NIK kosong",IF(LEN($C1936)&lt;&gt;16,"NIK bukan 16 digit",IF(COUNTIF($C$4:$C$2003,$C1936&amp;"*")&gt;1,"NIK ganda",IF($E1936="","Kadus kosong",IF($F1936="","RT kosong",IF($H1936="","Jabatan kosong",IF($I1936="","No. HP kosong",IF($J1936="","Alamat kosong",IF(AND($M1936&lt;&gt;"",$M1936&lt;17),"Usia di bawah 17",""))))))))))</f>
        <v/>
      </c>
      <c r="U1936" s="40" t="str">
        <f aca="false">IF($B1936="","",IF(AND(OR(CARI!$C$5="",ISNUMBER(SEARCH(CARI!$C$5,$B1936&amp;" "&amp;$C1936&amp;" "&amp;$I1936&amp;" "&amp;$J1936&amp;" "&amp;$Q1936))),OR(CARI!$C$6="",$E1936=CARI!$C$6),OR(CARI!$C$7="",$F1936=CARI!$C$7),OR(CARI!$C$8="",$O1936=CARI!$C$8)),MAX($U$3:U1935)+1,""))</f>
        <v/>
      </c>
      <c r="V1936" s="40" t="str">
        <f aca="false">IF($T1936="","",MAX($V$3:V1935)+1)</f>
        <v/>
      </c>
      <c r="W1936" s="40" t="str">
        <f aca="false">IF($E1936="","",$E1936&amp;"#"&amp;COUNTIF($E$4:$E1936,$E1936))</f>
        <v/>
      </c>
      <c r="X1936" s="40" t="str">
        <f aca="false">IF($B1936="","",IF(AND(OR(CETAK!$J$10="",$E1936=CETAK!$J$10),OR(CETAK!$J$11="",$F1936=CETAK!$J$11),OR(CETAK!$J$12="",$K1936=CETAK!$J$12),OR(CETAK!$J$13="",$H1936=CETAK!$J$13),OR(CETAK!$J$14="",$O1936=CETAK!$J$14)),MAX($X$3:X1935)+1,""))</f>
        <v/>
      </c>
      <c r="Y1936" s="40" t="str">
        <f aca="false">IF($B1936="","",IF(AND(OR(ABSENSI!$H$10="",$E1936=ABSENSI!$H$10),OR(ABSENSI!$H$11="",$F1936=ABSENSI!$H$11),OR(ABSENSI!$H$12="",$K1936=ABSENSI!$H$12)),MAX($Y$3:Y1935)+1,""))</f>
        <v/>
      </c>
      <c r="Z1936" s="40" t="str">
        <f aca="false">IF($B1936="","",IF(AND(OR(KARTU!$K$6="",$E1936=KARTU!$K$6),OR(KARTU!$K$7="",$F1936=KARTU!$K$7),OR(KARTU!$K$8="",$K1936=KARTU!$K$8)),MAX($Z$3:Z1935)+1,""))</f>
        <v/>
      </c>
    </row>
    <row r="1937" customFormat="false" ht="15" hidden="false" customHeight="false" outlineLevel="0" collapsed="false">
      <c r="A1937" s="36" t="str">
        <f aca="false">IF($B1937="","",COUNTA($B$4:$B1937))</f>
        <v/>
      </c>
      <c r="B1937" s="37"/>
      <c r="C1937" s="38"/>
      <c r="D1937" s="39"/>
      <c r="E1937" s="37"/>
      <c r="F1937" s="39"/>
      <c r="G1937" s="40" t="str">
        <f aca="false">IF(OR($E1937="",$F1937=""),"",$E1937&amp;" - RT "&amp;$F1937)</f>
        <v/>
      </c>
      <c r="H1937" s="37"/>
      <c r="I1937" s="38"/>
      <c r="J1937" s="37"/>
      <c r="K1937" s="39"/>
      <c r="L1937" s="41"/>
      <c r="M1937" s="36" t="str">
        <f aca="true">IF(OR($B1937="",$L1937=""),"",DATEDIF($L1937,TODAY(),"Y"))</f>
        <v/>
      </c>
      <c r="N1937" s="40" t="str">
        <f aca="false">IF($M1937="","",INDEX(usia_label,MATCH($M1937,usia_min,1)))</f>
        <v/>
      </c>
      <c r="O1937" s="37"/>
      <c r="P1937" s="41"/>
      <c r="Q1937" s="37"/>
      <c r="R1937" s="37"/>
      <c r="S1937" s="40" t="str">
        <f aca="false">IF($G1937="","",$G1937&amp;"#"&amp;COUNTIF($G$4:$G1937,$G1937))</f>
        <v/>
      </c>
      <c r="T1937" s="40" t="str">
        <f aca="false">IF($B1937="","",IF($C1937="","NIK kosong",IF(LEN($C1937)&lt;&gt;16,"NIK bukan 16 digit",IF(COUNTIF($C$4:$C$2003,$C1937&amp;"*")&gt;1,"NIK ganda",IF($E1937="","Kadus kosong",IF($F1937="","RT kosong",IF($H1937="","Jabatan kosong",IF($I1937="","No. HP kosong",IF($J1937="","Alamat kosong",IF(AND($M1937&lt;&gt;"",$M1937&lt;17),"Usia di bawah 17",""))))))))))</f>
        <v/>
      </c>
      <c r="U1937" s="40" t="str">
        <f aca="false">IF($B1937="","",IF(AND(OR(CARI!$C$5="",ISNUMBER(SEARCH(CARI!$C$5,$B1937&amp;" "&amp;$C1937&amp;" "&amp;$I1937&amp;" "&amp;$J1937&amp;" "&amp;$Q1937))),OR(CARI!$C$6="",$E1937=CARI!$C$6),OR(CARI!$C$7="",$F1937=CARI!$C$7),OR(CARI!$C$8="",$O1937=CARI!$C$8)),MAX($U$3:U1936)+1,""))</f>
        <v/>
      </c>
      <c r="V1937" s="40" t="str">
        <f aca="false">IF($T1937="","",MAX($V$3:V1936)+1)</f>
        <v/>
      </c>
      <c r="W1937" s="40" t="str">
        <f aca="false">IF($E1937="","",$E1937&amp;"#"&amp;COUNTIF($E$4:$E1937,$E1937))</f>
        <v/>
      </c>
      <c r="X1937" s="40" t="str">
        <f aca="false">IF($B1937="","",IF(AND(OR(CETAK!$J$10="",$E1937=CETAK!$J$10),OR(CETAK!$J$11="",$F1937=CETAK!$J$11),OR(CETAK!$J$12="",$K1937=CETAK!$J$12),OR(CETAK!$J$13="",$H1937=CETAK!$J$13),OR(CETAK!$J$14="",$O1937=CETAK!$J$14)),MAX($X$3:X1936)+1,""))</f>
        <v/>
      </c>
      <c r="Y1937" s="40" t="str">
        <f aca="false">IF($B1937="","",IF(AND(OR(ABSENSI!$H$10="",$E1937=ABSENSI!$H$10),OR(ABSENSI!$H$11="",$F1937=ABSENSI!$H$11),OR(ABSENSI!$H$12="",$K1937=ABSENSI!$H$12)),MAX($Y$3:Y1936)+1,""))</f>
        <v/>
      </c>
      <c r="Z1937" s="40" t="str">
        <f aca="false">IF($B1937="","",IF(AND(OR(KARTU!$K$6="",$E1937=KARTU!$K$6),OR(KARTU!$K$7="",$F1937=KARTU!$K$7),OR(KARTU!$K$8="",$K1937=KARTU!$K$8)),MAX($Z$3:Z1936)+1,""))</f>
        <v/>
      </c>
    </row>
    <row r="1938" customFormat="false" ht="15" hidden="false" customHeight="false" outlineLevel="0" collapsed="false">
      <c r="A1938" s="36" t="str">
        <f aca="false">IF($B1938="","",COUNTA($B$4:$B1938))</f>
        <v/>
      </c>
      <c r="B1938" s="37"/>
      <c r="C1938" s="38"/>
      <c r="D1938" s="39"/>
      <c r="E1938" s="37"/>
      <c r="F1938" s="39"/>
      <c r="G1938" s="40" t="str">
        <f aca="false">IF(OR($E1938="",$F1938=""),"",$E1938&amp;" - RT "&amp;$F1938)</f>
        <v/>
      </c>
      <c r="H1938" s="37"/>
      <c r="I1938" s="38"/>
      <c r="J1938" s="37"/>
      <c r="K1938" s="39"/>
      <c r="L1938" s="41"/>
      <c r="M1938" s="36" t="str">
        <f aca="true">IF(OR($B1938="",$L1938=""),"",DATEDIF($L1938,TODAY(),"Y"))</f>
        <v/>
      </c>
      <c r="N1938" s="40" t="str">
        <f aca="false">IF($M1938="","",INDEX(usia_label,MATCH($M1938,usia_min,1)))</f>
        <v/>
      </c>
      <c r="O1938" s="37"/>
      <c r="P1938" s="41"/>
      <c r="Q1938" s="37"/>
      <c r="R1938" s="37"/>
      <c r="S1938" s="40" t="str">
        <f aca="false">IF($G1938="","",$G1938&amp;"#"&amp;COUNTIF($G$4:$G1938,$G1938))</f>
        <v/>
      </c>
      <c r="T1938" s="40" t="str">
        <f aca="false">IF($B1938="","",IF($C1938="","NIK kosong",IF(LEN($C1938)&lt;&gt;16,"NIK bukan 16 digit",IF(COUNTIF($C$4:$C$2003,$C1938&amp;"*")&gt;1,"NIK ganda",IF($E1938="","Kadus kosong",IF($F1938="","RT kosong",IF($H1938="","Jabatan kosong",IF($I1938="","No. HP kosong",IF($J1938="","Alamat kosong",IF(AND($M1938&lt;&gt;"",$M1938&lt;17),"Usia di bawah 17",""))))))))))</f>
        <v/>
      </c>
      <c r="U1938" s="40" t="str">
        <f aca="false">IF($B1938="","",IF(AND(OR(CARI!$C$5="",ISNUMBER(SEARCH(CARI!$C$5,$B1938&amp;" "&amp;$C1938&amp;" "&amp;$I1938&amp;" "&amp;$J1938&amp;" "&amp;$Q1938))),OR(CARI!$C$6="",$E1938=CARI!$C$6),OR(CARI!$C$7="",$F1938=CARI!$C$7),OR(CARI!$C$8="",$O1938=CARI!$C$8)),MAX($U$3:U1937)+1,""))</f>
        <v/>
      </c>
      <c r="V1938" s="40" t="str">
        <f aca="false">IF($T1938="","",MAX($V$3:V1937)+1)</f>
        <v/>
      </c>
      <c r="W1938" s="40" t="str">
        <f aca="false">IF($E1938="","",$E1938&amp;"#"&amp;COUNTIF($E$4:$E1938,$E1938))</f>
        <v/>
      </c>
      <c r="X1938" s="40" t="str">
        <f aca="false">IF($B1938="","",IF(AND(OR(CETAK!$J$10="",$E1938=CETAK!$J$10),OR(CETAK!$J$11="",$F1938=CETAK!$J$11),OR(CETAK!$J$12="",$K1938=CETAK!$J$12),OR(CETAK!$J$13="",$H1938=CETAK!$J$13),OR(CETAK!$J$14="",$O1938=CETAK!$J$14)),MAX($X$3:X1937)+1,""))</f>
        <v/>
      </c>
      <c r="Y1938" s="40" t="str">
        <f aca="false">IF($B1938="","",IF(AND(OR(ABSENSI!$H$10="",$E1938=ABSENSI!$H$10),OR(ABSENSI!$H$11="",$F1938=ABSENSI!$H$11),OR(ABSENSI!$H$12="",$K1938=ABSENSI!$H$12)),MAX($Y$3:Y1937)+1,""))</f>
        <v/>
      </c>
      <c r="Z1938" s="40" t="str">
        <f aca="false">IF($B1938="","",IF(AND(OR(KARTU!$K$6="",$E1938=KARTU!$K$6),OR(KARTU!$K$7="",$F1938=KARTU!$K$7),OR(KARTU!$K$8="",$K1938=KARTU!$K$8)),MAX($Z$3:Z1937)+1,""))</f>
        <v/>
      </c>
    </row>
    <row r="1939" customFormat="false" ht="15" hidden="false" customHeight="false" outlineLevel="0" collapsed="false">
      <c r="A1939" s="36" t="str">
        <f aca="false">IF($B1939="","",COUNTA($B$4:$B1939))</f>
        <v/>
      </c>
      <c r="B1939" s="37"/>
      <c r="C1939" s="38"/>
      <c r="D1939" s="39"/>
      <c r="E1939" s="37"/>
      <c r="F1939" s="39"/>
      <c r="G1939" s="40" t="str">
        <f aca="false">IF(OR($E1939="",$F1939=""),"",$E1939&amp;" - RT "&amp;$F1939)</f>
        <v/>
      </c>
      <c r="H1939" s="37"/>
      <c r="I1939" s="38"/>
      <c r="J1939" s="37"/>
      <c r="K1939" s="39"/>
      <c r="L1939" s="41"/>
      <c r="M1939" s="36" t="str">
        <f aca="true">IF(OR($B1939="",$L1939=""),"",DATEDIF($L1939,TODAY(),"Y"))</f>
        <v/>
      </c>
      <c r="N1939" s="40" t="str">
        <f aca="false">IF($M1939="","",INDEX(usia_label,MATCH($M1939,usia_min,1)))</f>
        <v/>
      </c>
      <c r="O1939" s="37"/>
      <c r="P1939" s="41"/>
      <c r="Q1939" s="37"/>
      <c r="R1939" s="37"/>
      <c r="S1939" s="40" t="str">
        <f aca="false">IF($G1939="","",$G1939&amp;"#"&amp;COUNTIF($G$4:$G1939,$G1939))</f>
        <v/>
      </c>
      <c r="T1939" s="40" t="str">
        <f aca="false">IF($B1939="","",IF($C1939="","NIK kosong",IF(LEN($C1939)&lt;&gt;16,"NIK bukan 16 digit",IF(COUNTIF($C$4:$C$2003,$C1939&amp;"*")&gt;1,"NIK ganda",IF($E1939="","Kadus kosong",IF($F1939="","RT kosong",IF($H1939="","Jabatan kosong",IF($I1939="","No. HP kosong",IF($J1939="","Alamat kosong",IF(AND($M1939&lt;&gt;"",$M1939&lt;17),"Usia di bawah 17",""))))))))))</f>
        <v/>
      </c>
      <c r="U1939" s="40" t="str">
        <f aca="false">IF($B1939="","",IF(AND(OR(CARI!$C$5="",ISNUMBER(SEARCH(CARI!$C$5,$B1939&amp;" "&amp;$C1939&amp;" "&amp;$I1939&amp;" "&amp;$J1939&amp;" "&amp;$Q1939))),OR(CARI!$C$6="",$E1939=CARI!$C$6),OR(CARI!$C$7="",$F1939=CARI!$C$7),OR(CARI!$C$8="",$O1939=CARI!$C$8)),MAX($U$3:U1938)+1,""))</f>
        <v/>
      </c>
      <c r="V1939" s="40" t="str">
        <f aca="false">IF($T1939="","",MAX($V$3:V1938)+1)</f>
        <v/>
      </c>
      <c r="W1939" s="40" t="str">
        <f aca="false">IF($E1939="","",$E1939&amp;"#"&amp;COUNTIF($E$4:$E1939,$E1939))</f>
        <v/>
      </c>
      <c r="X1939" s="40" t="str">
        <f aca="false">IF($B1939="","",IF(AND(OR(CETAK!$J$10="",$E1939=CETAK!$J$10),OR(CETAK!$J$11="",$F1939=CETAK!$J$11),OR(CETAK!$J$12="",$K1939=CETAK!$J$12),OR(CETAK!$J$13="",$H1939=CETAK!$J$13),OR(CETAK!$J$14="",$O1939=CETAK!$J$14)),MAX($X$3:X1938)+1,""))</f>
        <v/>
      </c>
      <c r="Y1939" s="40" t="str">
        <f aca="false">IF($B1939="","",IF(AND(OR(ABSENSI!$H$10="",$E1939=ABSENSI!$H$10),OR(ABSENSI!$H$11="",$F1939=ABSENSI!$H$11),OR(ABSENSI!$H$12="",$K1939=ABSENSI!$H$12)),MAX($Y$3:Y1938)+1,""))</f>
        <v/>
      </c>
      <c r="Z1939" s="40" t="str">
        <f aca="false">IF($B1939="","",IF(AND(OR(KARTU!$K$6="",$E1939=KARTU!$K$6),OR(KARTU!$K$7="",$F1939=KARTU!$K$7),OR(KARTU!$K$8="",$K1939=KARTU!$K$8)),MAX($Z$3:Z1938)+1,""))</f>
        <v/>
      </c>
    </row>
    <row r="1940" customFormat="false" ht="15" hidden="false" customHeight="false" outlineLevel="0" collapsed="false">
      <c r="A1940" s="36" t="str">
        <f aca="false">IF($B1940="","",COUNTA($B$4:$B1940))</f>
        <v/>
      </c>
      <c r="B1940" s="37"/>
      <c r="C1940" s="38"/>
      <c r="D1940" s="39"/>
      <c r="E1940" s="37"/>
      <c r="F1940" s="39"/>
      <c r="G1940" s="40" t="str">
        <f aca="false">IF(OR($E1940="",$F1940=""),"",$E1940&amp;" - RT "&amp;$F1940)</f>
        <v/>
      </c>
      <c r="H1940" s="37"/>
      <c r="I1940" s="38"/>
      <c r="J1940" s="37"/>
      <c r="K1940" s="39"/>
      <c r="L1940" s="41"/>
      <c r="M1940" s="36" t="str">
        <f aca="true">IF(OR($B1940="",$L1940=""),"",DATEDIF($L1940,TODAY(),"Y"))</f>
        <v/>
      </c>
      <c r="N1940" s="40" t="str">
        <f aca="false">IF($M1940="","",INDEX(usia_label,MATCH($M1940,usia_min,1)))</f>
        <v/>
      </c>
      <c r="O1940" s="37"/>
      <c r="P1940" s="41"/>
      <c r="Q1940" s="37"/>
      <c r="R1940" s="37"/>
      <c r="S1940" s="40" t="str">
        <f aca="false">IF($G1940="","",$G1940&amp;"#"&amp;COUNTIF($G$4:$G1940,$G1940))</f>
        <v/>
      </c>
      <c r="T1940" s="40" t="str">
        <f aca="false">IF($B1940="","",IF($C1940="","NIK kosong",IF(LEN($C1940)&lt;&gt;16,"NIK bukan 16 digit",IF(COUNTIF($C$4:$C$2003,$C1940&amp;"*")&gt;1,"NIK ganda",IF($E1940="","Kadus kosong",IF($F1940="","RT kosong",IF($H1940="","Jabatan kosong",IF($I1940="","No. HP kosong",IF($J1940="","Alamat kosong",IF(AND($M1940&lt;&gt;"",$M1940&lt;17),"Usia di bawah 17",""))))))))))</f>
        <v/>
      </c>
      <c r="U1940" s="40" t="str">
        <f aca="false">IF($B1940="","",IF(AND(OR(CARI!$C$5="",ISNUMBER(SEARCH(CARI!$C$5,$B1940&amp;" "&amp;$C1940&amp;" "&amp;$I1940&amp;" "&amp;$J1940&amp;" "&amp;$Q1940))),OR(CARI!$C$6="",$E1940=CARI!$C$6),OR(CARI!$C$7="",$F1940=CARI!$C$7),OR(CARI!$C$8="",$O1940=CARI!$C$8)),MAX($U$3:U1939)+1,""))</f>
        <v/>
      </c>
      <c r="V1940" s="40" t="str">
        <f aca="false">IF($T1940="","",MAX($V$3:V1939)+1)</f>
        <v/>
      </c>
      <c r="W1940" s="40" t="str">
        <f aca="false">IF($E1940="","",$E1940&amp;"#"&amp;COUNTIF($E$4:$E1940,$E1940))</f>
        <v/>
      </c>
      <c r="X1940" s="40" t="str">
        <f aca="false">IF($B1940="","",IF(AND(OR(CETAK!$J$10="",$E1940=CETAK!$J$10),OR(CETAK!$J$11="",$F1940=CETAK!$J$11),OR(CETAK!$J$12="",$K1940=CETAK!$J$12),OR(CETAK!$J$13="",$H1940=CETAK!$J$13),OR(CETAK!$J$14="",$O1940=CETAK!$J$14)),MAX($X$3:X1939)+1,""))</f>
        <v/>
      </c>
      <c r="Y1940" s="40" t="str">
        <f aca="false">IF($B1940="","",IF(AND(OR(ABSENSI!$H$10="",$E1940=ABSENSI!$H$10),OR(ABSENSI!$H$11="",$F1940=ABSENSI!$H$11),OR(ABSENSI!$H$12="",$K1940=ABSENSI!$H$12)),MAX($Y$3:Y1939)+1,""))</f>
        <v/>
      </c>
      <c r="Z1940" s="40" t="str">
        <f aca="false">IF($B1940="","",IF(AND(OR(KARTU!$K$6="",$E1940=KARTU!$K$6),OR(KARTU!$K$7="",$F1940=KARTU!$K$7),OR(KARTU!$K$8="",$K1940=KARTU!$K$8)),MAX($Z$3:Z1939)+1,""))</f>
        <v/>
      </c>
    </row>
    <row r="1941" customFormat="false" ht="15" hidden="false" customHeight="false" outlineLevel="0" collapsed="false">
      <c r="A1941" s="36" t="str">
        <f aca="false">IF($B1941="","",COUNTA($B$4:$B1941))</f>
        <v/>
      </c>
      <c r="B1941" s="37"/>
      <c r="C1941" s="38"/>
      <c r="D1941" s="39"/>
      <c r="E1941" s="37"/>
      <c r="F1941" s="39"/>
      <c r="G1941" s="40" t="str">
        <f aca="false">IF(OR($E1941="",$F1941=""),"",$E1941&amp;" - RT "&amp;$F1941)</f>
        <v/>
      </c>
      <c r="H1941" s="37"/>
      <c r="I1941" s="38"/>
      <c r="J1941" s="37"/>
      <c r="K1941" s="39"/>
      <c r="L1941" s="41"/>
      <c r="M1941" s="36" t="str">
        <f aca="true">IF(OR($B1941="",$L1941=""),"",DATEDIF($L1941,TODAY(),"Y"))</f>
        <v/>
      </c>
      <c r="N1941" s="40" t="str">
        <f aca="false">IF($M1941="","",INDEX(usia_label,MATCH($M1941,usia_min,1)))</f>
        <v/>
      </c>
      <c r="O1941" s="37"/>
      <c r="P1941" s="41"/>
      <c r="Q1941" s="37"/>
      <c r="R1941" s="37"/>
      <c r="S1941" s="40" t="str">
        <f aca="false">IF($G1941="","",$G1941&amp;"#"&amp;COUNTIF($G$4:$G1941,$G1941))</f>
        <v/>
      </c>
      <c r="T1941" s="40" t="str">
        <f aca="false">IF($B1941="","",IF($C1941="","NIK kosong",IF(LEN($C1941)&lt;&gt;16,"NIK bukan 16 digit",IF(COUNTIF($C$4:$C$2003,$C1941&amp;"*")&gt;1,"NIK ganda",IF($E1941="","Kadus kosong",IF($F1941="","RT kosong",IF($H1941="","Jabatan kosong",IF($I1941="","No. HP kosong",IF($J1941="","Alamat kosong",IF(AND($M1941&lt;&gt;"",$M1941&lt;17),"Usia di bawah 17",""))))))))))</f>
        <v/>
      </c>
      <c r="U1941" s="40" t="str">
        <f aca="false">IF($B1941="","",IF(AND(OR(CARI!$C$5="",ISNUMBER(SEARCH(CARI!$C$5,$B1941&amp;" "&amp;$C1941&amp;" "&amp;$I1941&amp;" "&amp;$J1941&amp;" "&amp;$Q1941))),OR(CARI!$C$6="",$E1941=CARI!$C$6),OR(CARI!$C$7="",$F1941=CARI!$C$7),OR(CARI!$C$8="",$O1941=CARI!$C$8)),MAX($U$3:U1940)+1,""))</f>
        <v/>
      </c>
      <c r="V1941" s="40" t="str">
        <f aca="false">IF($T1941="","",MAX($V$3:V1940)+1)</f>
        <v/>
      </c>
      <c r="W1941" s="40" t="str">
        <f aca="false">IF($E1941="","",$E1941&amp;"#"&amp;COUNTIF($E$4:$E1941,$E1941))</f>
        <v/>
      </c>
      <c r="X1941" s="40" t="str">
        <f aca="false">IF($B1941="","",IF(AND(OR(CETAK!$J$10="",$E1941=CETAK!$J$10),OR(CETAK!$J$11="",$F1941=CETAK!$J$11),OR(CETAK!$J$12="",$K1941=CETAK!$J$12),OR(CETAK!$J$13="",$H1941=CETAK!$J$13),OR(CETAK!$J$14="",$O1941=CETAK!$J$14)),MAX($X$3:X1940)+1,""))</f>
        <v/>
      </c>
      <c r="Y1941" s="40" t="str">
        <f aca="false">IF($B1941="","",IF(AND(OR(ABSENSI!$H$10="",$E1941=ABSENSI!$H$10),OR(ABSENSI!$H$11="",$F1941=ABSENSI!$H$11),OR(ABSENSI!$H$12="",$K1941=ABSENSI!$H$12)),MAX($Y$3:Y1940)+1,""))</f>
        <v/>
      </c>
      <c r="Z1941" s="40" t="str">
        <f aca="false">IF($B1941="","",IF(AND(OR(KARTU!$K$6="",$E1941=KARTU!$K$6),OR(KARTU!$K$7="",$F1941=KARTU!$K$7),OR(KARTU!$K$8="",$K1941=KARTU!$K$8)),MAX($Z$3:Z1940)+1,""))</f>
        <v/>
      </c>
    </row>
    <row r="1942" customFormat="false" ht="15" hidden="false" customHeight="false" outlineLevel="0" collapsed="false">
      <c r="A1942" s="36" t="str">
        <f aca="false">IF($B1942="","",COUNTA($B$4:$B1942))</f>
        <v/>
      </c>
      <c r="B1942" s="37"/>
      <c r="C1942" s="38"/>
      <c r="D1942" s="39"/>
      <c r="E1942" s="37"/>
      <c r="F1942" s="39"/>
      <c r="G1942" s="40" t="str">
        <f aca="false">IF(OR($E1942="",$F1942=""),"",$E1942&amp;" - RT "&amp;$F1942)</f>
        <v/>
      </c>
      <c r="H1942" s="37"/>
      <c r="I1942" s="38"/>
      <c r="J1942" s="37"/>
      <c r="K1942" s="39"/>
      <c r="L1942" s="41"/>
      <c r="M1942" s="36" t="str">
        <f aca="true">IF(OR($B1942="",$L1942=""),"",DATEDIF($L1942,TODAY(),"Y"))</f>
        <v/>
      </c>
      <c r="N1942" s="40" t="str">
        <f aca="false">IF($M1942="","",INDEX(usia_label,MATCH($M1942,usia_min,1)))</f>
        <v/>
      </c>
      <c r="O1942" s="37"/>
      <c r="P1942" s="41"/>
      <c r="Q1942" s="37"/>
      <c r="R1942" s="37"/>
      <c r="S1942" s="40" t="str">
        <f aca="false">IF($G1942="","",$G1942&amp;"#"&amp;COUNTIF($G$4:$G1942,$G1942))</f>
        <v/>
      </c>
      <c r="T1942" s="40" t="str">
        <f aca="false">IF($B1942="","",IF($C1942="","NIK kosong",IF(LEN($C1942)&lt;&gt;16,"NIK bukan 16 digit",IF(COUNTIF($C$4:$C$2003,$C1942&amp;"*")&gt;1,"NIK ganda",IF($E1942="","Kadus kosong",IF($F1942="","RT kosong",IF($H1942="","Jabatan kosong",IF($I1942="","No. HP kosong",IF($J1942="","Alamat kosong",IF(AND($M1942&lt;&gt;"",$M1942&lt;17),"Usia di bawah 17",""))))))))))</f>
        <v/>
      </c>
      <c r="U1942" s="40" t="str">
        <f aca="false">IF($B1942="","",IF(AND(OR(CARI!$C$5="",ISNUMBER(SEARCH(CARI!$C$5,$B1942&amp;" "&amp;$C1942&amp;" "&amp;$I1942&amp;" "&amp;$J1942&amp;" "&amp;$Q1942))),OR(CARI!$C$6="",$E1942=CARI!$C$6),OR(CARI!$C$7="",$F1942=CARI!$C$7),OR(CARI!$C$8="",$O1942=CARI!$C$8)),MAX($U$3:U1941)+1,""))</f>
        <v/>
      </c>
      <c r="V1942" s="40" t="str">
        <f aca="false">IF($T1942="","",MAX($V$3:V1941)+1)</f>
        <v/>
      </c>
      <c r="W1942" s="40" t="str">
        <f aca="false">IF($E1942="","",$E1942&amp;"#"&amp;COUNTIF($E$4:$E1942,$E1942))</f>
        <v/>
      </c>
      <c r="X1942" s="40" t="str">
        <f aca="false">IF($B1942="","",IF(AND(OR(CETAK!$J$10="",$E1942=CETAK!$J$10),OR(CETAK!$J$11="",$F1942=CETAK!$J$11),OR(CETAK!$J$12="",$K1942=CETAK!$J$12),OR(CETAK!$J$13="",$H1942=CETAK!$J$13),OR(CETAK!$J$14="",$O1942=CETAK!$J$14)),MAX($X$3:X1941)+1,""))</f>
        <v/>
      </c>
      <c r="Y1942" s="40" t="str">
        <f aca="false">IF($B1942="","",IF(AND(OR(ABSENSI!$H$10="",$E1942=ABSENSI!$H$10),OR(ABSENSI!$H$11="",$F1942=ABSENSI!$H$11),OR(ABSENSI!$H$12="",$K1942=ABSENSI!$H$12)),MAX($Y$3:Y1941)+1,""))</f>
        <v/>
      </c>
      <c r="Z1942" s="40" t="str">
        <f aca="false">IF($B1942="","",IF(AND(OR(KARTU!$K$6="",$E1942=KARTU!$K$6),OR(KARTU!$K$7="",$F1942=KARTU!$K$7),OR(KARTU!$K$8="",$K1942=KARTU!$K$8)),MAX($Z$3:Z1941)+1,""))</f>
        <v/>
      </c>
    </row>
    <row r="1943" customFormat="false" ht="15" hidden="false" customHeight="false" outlineLevel="0" collapsed="false">
      <c r="A1943" s="36" t="str">
        <f aca="false">IF($B1943="","",COUNTA($B$4:$B1943))</f>
        <v/>
      </c>
      <c r="B1943" s="37"/>
      <c r="C1943" s="38"/>
      <c r="D1943" s="39"/>
      <c r="E1943" s="37"/>
      <c r="F1943" s="39"/>
      <c r="G1943" s="40" t="str">
        <f aca="false">IF(OR($E1943="",$F1943=""),"",$E1943&amp;" - RT "&amp;$F1943)</f>
        <v/>
      </c>
      <c r="H1943" s="37"/>
      <c r="I1943" s="38"/>
      <c r="J1943" s="37"/>
      <c r="K1943" s="39"/>
      <c r="L1943" s="41"/>
      <c r="M1943" s="36" t="str">
        <f aca="true">IF(OR($B1943="",$L1943=""),"",DATEDIF($L1943,TODAY(),"Y"))</f>
        <v/>
      </c>
      <c r="N1943" s="40" t="str">
        <f aca="false">IF($M1943="","",INDEX(usia_label,MATCH($M1943,usia_min,1)))</f>
        <v/>
      </c>
      <c r="O1943" s="37"/>
      <c r="P1943" s="41"/>
      <c r="Q1943" s="37"/>
      <c r="R1943" s="37"/>
      <c r="S1943" s="40" t="str">
        <f aca="false">IF($G1943="","",$G1943&amp;"#"&amp;COUNTIF($G$4:$G1943,$G1943))</f>
        <v/>
      </c>
      <c r="T1943" s="40" t="str">
        <f aca="false">IF($B1943="","",IF($C1943="","NIK kosong",IF(LEN($C1943)&lt;&gt;16,"NIK bukan 16 digit",IF(COUNTIF($C$4:$C$2003,$C1943&amp;"*")&gt;1,"NIK ganda",IF($E1943="","Kadus kosong",IF($F1943="","RT kosong",IF($H1943="","Jabatan kosong",IF($I1943="","No. HP kosong",IF($J1943="","Alamat kosong",IF(AND($M1943&lt;&gt;"",$M1943&lt;17),"Usia di bawah 17",""))))))))))</f>
        <v/>
      </c>
      <c r="U1943" s="40" t="str">
        <f aca="false">IF($B1943="","",IF(AND(OR(CARI!$C$5="",ISNUMBER(SEARCH(CARI!$C$5,$B1943&amp;" "&amp;$C1943&amp;" "&amp;$I1943&amp;" "&amp;$J1943&amp;" "&amp;$Q1943))),OR(CARI!$C$6="",$E1943=CARI!$C$6),OR(CARI!$C$7="",$F1943=CARI!$C$7),OR(CARI!$C$8="",$O1943=CARI!$C$8)),MAX($U$3:U1942)+1,""))</f>
        <v/>
      </c>
      <c r="V1943" s="40" t="str">
        <f aca="false">IF($T1943="","",MAX($V$3:V1942)+1)</f>
        <v/>
      </c>
      <c r="W1943" s="40" t="str">
        <f aca="false">IF($E1943="","",$E1943&amp;"#"&amp;COUNTIF($E$4:$E1943,$E1943))</f>
        <v/>
      </c>
      <c r="X1943" s="40" t="str">
        <f aca="false">IF($B1943="","",IF(AND(OR(CETAK!$J$10="",$E1943=CETAK!$J$10),OR(CETAK!$J$11="",$F1943=CETAK!$J$11),OR(CETAK!$J$12="",$K1943=CETAK!$J$12),OR(CETAK!$J$13="",$H1943=CETAK!$J$13),OR(CETAK!$J$14="",$O1943=CETAK!$J$14)),MAX($X$3:X1942)+1,""))</f>
        <v/>
      </c>
      <c r="Y1943" s="40" t="str">
        <f aca="false">IF($B1943="","",IF(AND(OR(ABSENSI!$H$10="",$E1943=ABSENSI!$H$10),OR(ABSENSI!$H$11="",$F1943=ABSENSI!$H$11),OR(ABSENSI!$H$12="",$K1943=ABSENSI!$H$12)),MAX($Y$3:Y1942)+1,""))</f>
        <v/>
      </c>
      <c r="Z1943" s="40" t="str">
        <f aca="false">IF($B1943="","",IF(AND(OR(KARTU!$K$6="",$E1943=KARTU!$K$6),OR(KARTU!$K$7="",$F1943=KARTU!$K$7),OR(KARTU!$K$8="",$K1943=KARTU!$K$8)),MAX($Z$3:Z1942)+1,""))</f>
        <v/>
      </c>
    </row>
    <row r="1944" customFormat="false" ht="15" hidden="false" customHeight="false" outlineLevel="0" collapsed="false">
      <c r="A1944" s="36" t="str">
        <f aca="false">IF($B1944="","",COUNTA($B$4:$B1944))</f>
        <v/>
      </c>
      <c r="B1944" s="37"/>
      <c r="C1944" s="38"/>
      <c r="D1944" s="39"/>
      <c r="E1944" s="37"/>
      <c r="F1944" s="39"/>
      <c r="G1944" s="40" t="str">
        <f aca="false">IF(OR($E1944="",$F1944=""),"",$E1944&amp;" - RT "&amp;$F1944)</f>
        <v/>
      </c>
      <c r="H1944" s="37"/>
      <c r="I1944" s="38"/>
      <c r="J1944" s="37"/>
      <c r="K1944" s="39"/>
      <c r="L1944" s="41"/>
      <c r="M1944" s="36" t="str">
        <f aca="true">IF(OR($B1944="",$L1944=""),"",DATEDIF($L1944,TODAY(),"Y"))</f>
        <v/>
      </c>
      <c r="N1944" s="40" t="str">
        <f aca="false">IF($M1944="","",INDEX(usia_label,MATCH($M1944,usia_min,1)))</f>
        <v/>
      </c>
      <c r="O1944" s="37"/>
      <c r="P1944" s="41"/>
      <c r="Q1944" s="37"/>
      <c r="R1944" s="37"/>
      <c r="S1944" s="40" t="str">
        <f aca="false">IF($G1944="","",$G1944&amp;"#"&amp;COUNTIF($G$4:$G1944,$G1944))</f>
        <v/>
      </c>
      <c r="T1944" s="40" t="str">
        <f aca="false">IF($B1944="","",IF($C1944="","NIK kosong",IF(LEN($C1944)&lt;&gt;16,"NIK bukan 16 digit",IF(COUNTIF($C$4:$C$2003,$C1944&amp;"*")&gt;1,"NIK ganda",IF($E1944="","Kadus kosong",IF($F1944="","RT kosong",IF($H1944="","Jabatan kosong",IF($I1944="","No. HP kosong",IF($J1944="","Alamat kosong",IF(AND($M1944&lt;&gt;"",$M1944&lt;17),"Usia di bawah 17",""))))))))))</f>
        <v/>
      </c>
      <c r="U1944" s="40" t="str">
        <f aca="false">IF($B1944="","",IF(AND(OR(CARI!$C$5="",ISNUMBER(SEARCH(CARI!$C$5,$B1944&amp;" "&amp;$C1944&amp;" "&amp;$I1944&amp;" "&amp;$J1944&amp;" "&amp;$Q1944))),OR(CARI!$C$6="",$E1944=CARI!$C$6),OR(CARI!$C$7="",$F1944=CARI!$C$7),OR(CARI!$C$8="",$O1944=CARI!$C$8)),MAX($U$3:U1943)+1,""))</f>
        <v/>
      </c>
      <c r="V1944" s="40" t="str">
        <f aca="false">IF($T1944="","",MAX($V$3:V1943)+1)</f>
        <v/>
      </c>
      <c r="W1944" s="40" t="str">
        <f aca="false">IF($E1944="","",$E1944&amp;"#"&amp;COUNTIF($E$4:$E1944,$E1944))</f>
        <v/>
      </c>
      <c r="X1944" s="40" t="str">
        <f aca="false">IF($B1944="","",IF(AND(OR(CETAK!$J$10="",$E1944=CETAK!$J$10),OR(CETAK!$J$11="",$F1944=CETAK!$J$11),OR(CETAK!$J$12="",$K1944=CETAK!$J$12),OR(CETAK!$J$13="",$H1944=CETAK!$J$13),OR(CETAK!$J$14="",$O1944=CETAK!$J$14)),MAX($X$3:X1943)+1,""))</f>
        <v/>
      </c>
      <c r="Y1944" s="40" t="str">
        <f aca="false">IF($B1944="","",IF(AND(OR(ABSENSI!$H$10="",$E1944=ABSENSI!$H$10),OR(ABSENSI!$H$11="",$F1944=ABSENSI!$H$11),OR(ABSENSI!$H$12="",$K1944=ABSENSI!$H$12)),MAX($Y$3:Y1943)+1,""))</f>
        <v/>
      </c>
      <c r="Z1944" s="40" t="str">
        <f aca="false">IF($B1944="","",IF(AND(OR(KARTU!$K$6="",$E1944=KARTU!$K$6),OR(KARTU!$K$7="",$F1944=KARTU!$K$7),OR(KARTU!$K$8="",$K1944=KARTU!$K$8)),MAX($Z$3:Z1943)+1,""))</f>
        <v/>
      </c>
    </row>
    <row r="1945" customFormat="false" ht="15" hidden="false" customHeight="false" outlineLevel="0" collapsed="false">
      <c r="A1945" s="36" t="str">
        <f aca="false">IF($B1945="","",COUNTA($B$4:$B1945))</f>
        <v/>
      </c>
      <c r="B1945" s="37"/>
      <c r="C1945" s="38"/>
      <c r="D1945" s="39"/>
      <c r="E1945" s="37"/>
      <c r="F1945" s="39"/>
      <c r="G1945" s="40" t="str">
        <f aca="false">IF(OR($E1945="",$F1945=""),"",$E1945&amp;" - RT "&amp;$F1945)</f>
        <v/>
      </c>
      <c r="H1945" s="37"/>
      <c r="I1945" s="38"/>
      <c r="J1945" s="37"/>
      <c r="K1945" s="39"/>
      <c r="L1945" s="41"/>
      <c r="M1945" s="36" t="str">
        <f aca="true">IF(OR($B1945="",$L1945=""),"",DATEDIF($L1945,TODAY(),"Y"))</f>
        <v/>
      </c>
      <c r="N1945" s="40" t="str">
        <f aca="false">IF($M1945="","",INDEX(usia_label,MATCH($M1945,usia_min,1)))</f>
        <v/>
      </c>
      <c r="O1945" s="37"/>
      <c r="P1945" s="41"/>
      <c r="Q1945" s="37"/>
      <c r="R1945" s="37"/>
      <c r="S1945" s="40" t="str">
        <f aca="false">IF($G1945="","",$G1945&amp;"#"&amp;COUNTIF($G$4:$G1945,$G1945))</f>
        <v/>
      </c>
      <c r="T1945" s="40" t="str">
        <f aca="false">IF($B1945="","",IF($C1945="","NIK kosong",IF(LEN($C1945)&lt;&gt;16,"NIK bukan 16 digit",IF(COUNTIF($C$4:$C$2003,$C1945&amp;"*")&gt;1,"NIK ganda",IF($E1945="","Kadus kosong",IF($F1945="","RT kosong",IF($H1945="","Jabatan kosong",IF($I1945="","No. HP kosong",IF($J1945="","Alamat kosong",IF(AND($M1945&lt;&gt;"",$M1945&lt;17),"Usia di bawah 17",""))))))))))</f>
        <v/>
      </c>
      <c r="U1945" s="40" t="str">
        <f aca="false">IF($B1945="","",IF(AND(OR(CARI!$C$5="",ISNUMBER(SEARCH(CARI!$C$5,$B1945&amp;" "&amp;$C1945&amp;" "&amp;$I1945&amp;" "&amp;$J1945&amp;" "&amp;$Q1945))),OR(CARI!$C$6="",$E1945=CARI!$C$6),OR(CARI!$C$7="",$F1945=CARI!$C$7),OR(CARI!$C$8="",$O1945=CARI!$C$8)),MAX($U$3:U1944)+1,""))</f>
        <v/>
      </c>
      <c r="V1945" s="40" t="str">
        <f aca="false">IF($T1945="","",MAX($V$3:V1944)+1)</f>
        <v/>
      </c>
      <c r="W1945" s="40" t="str">
        <f aca="false">IF($E1945="","",$E1945&amp;"#"&amp;COUNTIF($E$4:$E1945,$E1945))</f>
        <v/>
      </c>
      <c r="X1945" s="40" t="str">
        <f aca="false">IF($B1945="","",IF(AND(OR(CETAK!$J$10="",$E1945=CETAK!$J$10),OR(CETAK!$J$11="",$F1945=CETAK!$J$11),OR(CETAK!$J$12="",$K1945=CETAK!$J$12),OR(CETAK!$J$13="",$H1945=CETAK!$J$13),OR(CETAK!$J$14="",$O1945=CETAK!$J$14)),MAX($X$3:X1944)+1,""))</f>
        <v/>
      </c>
      <c r="Y1945" s="40" t="str">
        <f aca="false">IF($B1945="","",IF(AND(OR(ABSENSI!$H$10="",$E1945=ABSENSI!$H$10),OR(ABSENSI!$H$11="",$F1945=ABSENSI!$H$11),OR(ABSENSI!$H$12="",$K1945=ABSENSI!$H$12)),MAX($Y$3:Y1944)+1,""))</f>
        <v/>
      </c>
      <c r="Z1945" s="40" t="str">
        <f aca="false">IF($B1945="","",IF(AND(OR(KARTU!$K$6="",$E1945=KARTU!$K$6),OR(KARTU!$K$7="",$F1945=KARTU!$K$7),OR(KARTU!$K$8="",$K1945=KARTU!$K$8)),MAX($Z$3:Z1944)+1,""))</f>
        <v/>
      </c>
    </row>
    <row r="1946" customFormat="false" ht="15" hidden="false" customHeight="false" outlineLevel="0" collapsed="false">
      <c r="A1946" s="36" t="str">
        <f aca="false">IF($B1946="","",COUNTA($B$4:$B1946))</f>
        <v/>
      </c>
      <c r="B1946" s="37"/>
      <c r="C1946" s="38"/>
      <c r="D1946" s="39"/>
      <c r="E1946" s="37"/>
      <c r="F1946" s="39"/>
      <c r="G1946" s="40" t="str">
        <f aca="false">IF(OR($E1946="",$F1946=""),"",$E1946&amp;" - RT "&amp;$F1946)</f>
        <v/>
      </c>
      <c r="H1946" s="37"/>
      <c r="I1946" s="38"/>
      <c r="J1946" s="37"/>
      <c r="K1946" s="39"/>
      <c r="L1946" s="41"/>
      <c r="M1946" s="36" t="str">
        <f aca="true">IF(OR($B1946="",$L1946=""),"",DATEDIF($L1946,TODAY(),"Y"))</f>
        <v/>
      </c>
      <c r="N1946" s="40" t="str">
        <f aca="false">IF($M1946="","",INDEX(usia_label,MATCH($M1946,usia_min,1)))</f>
        <v/>
      </c>
      <c r="O1946" s="37"/>
      <c r="P1946" s="41"/>
      <c r="Q1946" s="37"/>
      <c r="R1946" s="37"/>
      <c r="S1946" s="40" t="str">
        <f aca="false">IF($G1946="","",$G1946&amp;"#"&amp;COUNTIF($G$4:$G1946,$G1946))</f>
        <v/>
      </c>
      <c r="T1946" s="40" t="str">
        <f aca="false">IF($B1946="","",IF($C1946="","NIK kosong",IF(LEN($C1946)&lt;&gt;16,"NIK bukan 16 digit",IF(COUNTIF($C$4:$C$2003,$C1946&amp;"*")&gt;1,"NIK ganda",IF($E1946="","Kadus kosong",IF($F1946="","RT kosong",IF($H1946="","Jabatan kosong",IF($I1946="","No. HP kosong",IF($J1946="","Alamat kosong",IF(AND($M1946&lt;&gt;"",$M1946&lt;17),"Usia di bawah 17",""))))))))))</f>
        <v/>
      </c>
      <c r="U1946" s="40" t="str">
        <f aca="false">IF($B1946="","",IF(AND(OR(CARI!$C$5="",ISNUMBER(SEARCH(CARI!$C$5,$B1946&amp;" "&amp;$C1946&amp;" "&amp;$I1946&amp;" "&amp;$J1946&amp;" "&amp;$Q1946))),OR(CARI!$C$6="",$E1946=CARI!$C$6),OR(CARI!$C$7="",$F1946=CARI!$C$7),OR(CARI!$C$8="",$O1946=CARI!$C$8)),MAX($U$3:U1945)+1,""))</f>
        <v/>
      </c>
      <c r="V1946" s="40" t="str">
        <f aca="false">IF($T1946="","",MAX($V$3:V1945)+1)</f>
        <v/>
      </c>
      <c r="W1946" s="40" t="str">
        <f aca="false">IF($E1946="","",$E1946&amp;"#"&amp;COUNTIF($E$4:$E1946,$E1946))</f>
        <v/>
      </c>
      <c r="X1946" s="40" t="str">
        <f aca="false">IF($B1946="","",IF(AND(OR(CETAK!$J$10="",$E1946=CETAK!$J$10),OR(CETAK!$J$11="",$F1946=CETAK!$J$11),OR(CETAK!$J$12="",$K1946=CETAK!$J$12),OR(CETAK!$J$13="",$H1946=CETAK!$J$13),OR(CETAK!$J$14="",$O1946=CETAK!$J$14)),MAX($X$3:X1945)+1,""))</f>
        <v/>
      </c>
      <c r="Y1946" s="40" t="str">
        <f aca="false">IF($B1946="","",IF(AND(OR(ABSENSI!$H$10="",$E1946=ABSENSI!$H$10),OR(ABSENSI!$H$11="",$F1946=ABSENSI!$H$11),OR(ABSENSI!$H$12="",$K1946=ABSENSI!$H$12)),MAX($Y$3:Y1945)+1,""))</f>
        <v/>
      </c>
      <c r="Z1946" s="40" t="str">
        <f aca="false">IF($B1946="","",IF(AND(OR(KARTU!$K$6="",$E1946=KARTU!$K$6),OR(KARTU!$K$7="",$F1946=KARTU!$K$7),OR(KARTU!$K$8="",$K1946=KARTU!$K$8)),MAX($Z$3:Z1945)+1,""))</f>
        <v/>
      </c>
    </row>
    <row r="1947" customFormat="false" ht="15" hidden="false" customHeight="false" outlineLevel="0" collapsed="false">
      <c r="A1947" s="36" t="str">
        <f aca="false">IF($B1947="","",COUNTA($B$4:$B1947))</f>
        <v/>
      </c>
      <c r="B1947" s="37"/>
      <c r="C1947" s="38"/>
      <c r="D1947" s="39"/>
      <c r="E1947" s="37"/>
      <c r="F1947" s="39"/>
      <c r="G1947" s="40" t="str">
        <f aca="false">IF(OR($E1947="",$F1947=""),"",$E1947&amp;" - RT "&amp;$F1947)</f>
        <v/>
      </c>
      <c r="H1947" s="37"/>
      <c r="I1947" s="38"/>
      <c r="J1947" s="37"/>
      <c r="K1947" s="39"/>
      <c r="L1947" s="41"/>
      <c r="M1947" s="36" t="str">
        <f aca="true">IF(OR($B1947="",$L1947=""),"",DATEDIF($L1947,TODAY(),"Y"))</f>
        <v/>
      </c>
      <c r="N1947" s="40" t="str">
        <f aca="false">IF($M1947="","",INDEX(usia_label,MATCH($M1947,usia_min,1)))</f>
        <v/>
      </c>
      <c r="O1947" s="37"/>
      <c r="P1947" s="41"/>
      <c r="Q1947" s="37"/>
      <c r="R1947" s="37"/>
      <c r="S1947" s="40" t="str">
        <f aca="false">IF($G1947="","",$G1947&amp;"#"&amp;COUNTIF($G$4:$G1947,$G1947))</f>
        <v/>
      </c>
      <c r="T1947" s="40" t="str">
        <f aca="false">IF($B1947="","",IF($C1947="","NIK kosong",IF(LEN($C1947)&lt;&gt;16,"NIK bukan 16 digit",IF(COUNTIF($C$4:$C$2003,$C1947&amp;"*")&gt;1,"NIK ganda",IF($E1947="","Kadus kosong",IF($F1947="","RT kosong",IF($H1947="","Jabatan kosong",IF($I1947="","No. HP kosong",IF($J1947="","Alamat kosong",IF(AND($M1947&lt;&gt;"",$M1947&lt;17),"Usia di bawah 17",""))))))))))</f>
        <v/>
      </c>
      <c r="U1947" s="40" t="str">
        <f aca="false">IF($B1947="","",IF(AND(OR(CARI!$C$5="",ISNUMBER(SEARCH(CARI!$C$5,$B1947&amp;" "&amp;$C1947&amp;" "&amp;$I1947&amp;" "&amp;$J1947&amp;" "&amp;$Q1947))),OR(CARI!$C$6="",$E1947=CARI!$C$6),OR(CARI!$C$7="",$F1947=CARI!$C$7),OR(CARI!$C$8="",$O1947=CARI!$C$8)),MAX($U$3:U1946)+1,""))</f>
        <v/>
      </c>
      <c r="V1947" s="40" t="str">
        <f aca="false">IF($T1947="","",MAX($V$3:V1946)+1)</f>
        <v/>
      </c>
      <c r="W1947" s="40" t="str">
        <f aca="false">IF($E1947="","",$E1947&amp;"#"&amp;COUNTIF($E$4:$E1947,$E1947))</f>
        <v/>
      </c>
      <c r="X1947" s="40" t="str">
        <f aca="false">IF($B1947="","",IF(AND(OR(CETAK!$J$10="",$E1947=CETAK!$J$10),OR(CETAK!$J$11="",$F1947=CETAK!$J$11),OR(CETAK!$J$12="",$K1947=CETAK!$J$12),OR(CETAK!$J$13="",$H1947=CETAK!$J$13),OR(CETAK!$J$14="",$O1947=CETAK!$J$14)),MAX($X$3:X1946)+1,""))</f>
        <v/>
      </c>
      <c r="Y1947" s="40" t="str">
        <f aca="false">IF($B1947="","",IF(AND(OR(ABSENSI!$H$10="",$E1947=ABSENSI!$H$10),OR(ABSENSI!$H$11="",$F1947=ABSENSI!$H$11),OR(ABSENSI!$H$12="",$K1947=ABSENSI!$H$12)),MAX($Y$3:Y1946)+1,""))</f>
        <v/>
      </c>
      <c r="Z1947" s="40" t="str">
        <f aca="false">IF($B1947="","",IF(AND(OR(KARTU!$K$6="",$E1947=KARTU!$K$6),OR(KARTU!$K$7="",$F1947=KARTU!$K$7),OR(KARTU!$K$8="",$K1947=KARTU!$K$8)),MAX($Z$3:Z1946)+1,""))</f>
        <v/>
      </c>
    </row>
    <row r="1948" customFormat="false" ht="15" hidden="false" customHeight="false" outlineLevel="0" collapsed="false">
      <c r="A1948" s="36" t="str">
        <f aca="false">IF($B1948="","",COUNTA($B$4:$B1948))</f>
        <v/>
      </c>
      <c r="B1948" s="37"/>
      <c r="C1948" s="38"/>
      <c r="D1948" s="39"/>
      <c r="E1948" s="37"/>
      <c r="F1948" s="39"/>
      <c r="G1948" s="40" t="str">
        <f aca="false">IF(OR($E1948="",$F1948=""),"",$E1948&amp;" - RT "&amp;$F1948)</f>
        <v/>
      </c>
      <c r="H1948" s="37"/>
      <c r="I1948" s="38"/>
      <c r="J1948" s="37"/>
      <c r="K1948" s="39"/>
      <c r="L1948" s="41"/>
      <c r="M1948" s="36" t="str">
        <f aca="true">IF(OR($B1948="",$L1948=""),"",DATEDIF($L1948,TODAY(),"Y"))</f>
        <v/>
      </c>
      <c r="N1948" s="40" t="str">
        <f aca="false">IF($M1948="","",INDEX(usia_label,MATCH($M1948,usia_min,1)))</f>
        <v/>
      </c>
      <c r="O1948" s="37"/>
      <c r="P1948" s="41"/>
      <c r="Q1948" s="37"/>
      <c r="R1948" s="37"/>
      <c r="S1948" s="40" t="str">
        <f aca="false">IF($G1948="","",$G1948&amp;"#"&amp;COUNTIF($G$4:$G1948,$G1948))</f>
        <v/>
      </c>
      <c r="T1948" s="40" t="str">
        <f aca="false">IF($B1948="","",IF($C1948="","NIK kosong",IF(LEN($C1948)&lt;&gt;16,"NIK bukan 16 digit",IF(COUNTIF($C$4:$C$2003,$C1948&amp;"*")&gt;1,"NIK ganda",IF($E1948="","Kadus kosong",IF($F1948="","RT kosong",IF($H1948="","Jabatan kosong",IF($I1948="","No. HP kosong",IF($J1948="","Alamat kosong",IF(AND($M1948&lt;&gt;"",$M1948&lt;17),"Usia di bawah 17",""))))))))))</f>
        <v/>
      </c>
      <c r="U1948" s="40" t="str">
        <f aca="false">IF($B1948="","",IF(AND(OR(CARI!$C$5="",ISNUMBER(SEARCH(CARI!$C$5,$B1948&amp;" "&amp;$C1948&amp;" "&amp;$I1948&amp;" "&amp;$J1948&amp;" "&amp;$Q1948))),OR(CARI!$C$6="",$E1948=CARI!$C$6),OR(CARI!$C$7="",$F1948=CARI!$C$7),OR(CARI!$C$8="",$O1948=CARI!$C$8)),MAX($U$3:U1947)+1,""))</f>
        <v/>
      </c>
      <c r="V1948" s="40" t="str">
        <f aca="false">IF($T1948="","",MAX($V$3:V1947)+1)</f>
        <v/>
      </c>
      <c r="W1948" s="40" t="str">
        <f aca="false">IF($E1948="","",$E1948&amp;"#"&amp;COUNTIF($E$4:$E1948,$E1948))</f>
        <v/>
      </c>
      <c r="X1948" s="40" t="str">
        <f aca="false">IF($B1948="","",IF(AND(OR(CETAK!$J$10="",$E1948=CETAK!$J$10),OR(CETAK!$J$11="",$F1948=CETAK!$J$11),OR(CETAK!$J$12="",$K1948=CETAK!$J$12),OR(CETAK!$J$13="",$H1948=CETAK!$J$13),OR(CETAK!$J$14="",$O1948=CETAK!$J$14)),MAX($X$3:X1947)+1,""))</f>
        <v/>
      </c>
      <c r="Y1948" s="40" t="str">
        <f aca="false">IF($B1948="","",IF(AND(OR(ABSENSI!$H$10="",$E1948=ABSENSI!$H$10),OR(ABSENSI!$H$11="",$F1948=ABSENSI!$H$11),OR(ABSENSI!$H$12="",$K1948=ABSENSI!$H$12)),MAX($Y$3:Y1947)+1,""))</f>
        <v/>
      </c>
      <c r="Z1948" s="40" t="str">
        <f aca="false">IF($B1948="","",IF(AND(OR(KARTU!$K$6="",$E1948=KARTU!$K$6),OR(KARTU!$K$7="",$F1948=KARTU!$K$7),OR(KARTU!$K$8="",$K1948=KARTU!$K$8)),MAX($Z$3:Z1947)+1,""))</f>
        <v/>
      </c>
    </row>
    <row r="1949" customFormat="false" ht="15" hidden="false" customHeight="false" outlineLevel="0" collapsed="false">
      <c r="A1949" s="36" t="str">
        <f aca="false">IF($B1949="","",COUNTA($B$4:$B1949))</f>
        <v/>
      </c>
      <c r="B1949" s="37"/>
      <c r="C1949" s="38"/>
      <c r="D1949" s="39"/>
      <c r="E1949" s="37"/>
      <c r="F1949" s="39"/>
      <c r="G1949" s="40" t="str">
        <f aca="false">IF(OR($E1949="",$F1949=""),"",$E1949&amp;" - RT "&amp;$F1949)</f>
        <v/>
      </c>
      <c r="H1949" s="37"/>
      <c r="I1949" s="38"/>
      <c r="J1949" s="37"/>
      <c r="K1949" s="39"/>
      <c r="L1949" s="41"/>
      <c r="M1949" s="36" t="str">
        <f aca="true">IF(OR($B1949="",$L1949=""),"",DATEDIF($L1949,TODAY(),"Y"))</f>
        <v/>
      </c>
      <c r="N1949" s="40" t="str">
        <f aca="false">IF($M1949="","",INDEX(usia_label,MATCH($M1949,usia_min,1)))</f>
        <v/>
      </c>
      <c r="O1949" s="37"/>
      <c r="P1949" s="41"/>
      <c r="Q1949" s="37"/>
      <c r="R1949" s="37"/>
      <c r="S1949" s="40" t="str">
        <f aca="false">IF($G1949="","",$G1949&amp;"#"&amp;COUNTIF($G$4:$G1949,$G1949))</f>
        <v/>
      </c>
      <c r="T1949" s="40" t="str">
        <f aca="false">IF($B1949="","",IF($C1949="","NIK kosong",IF(LEN($C1949)&lt;&gt;16,"NIK bukan 16 digit",IF(COUNTIF($C$4:$C$2003,$C1949&amp;"*")&gt;1,"NIK ganda",IF($E1949="","Kadus kosong",IF($F1949="","RT kosong",IF($H1949="","Jabatan kosong",IF($I1949="","No. HP kosong",IF($J1949="","Alamat kosong",IF(AND($M1949&lt;&gt;"",$M1949&lt;17),"Usia di bawah 17",""))))))))))</f>
        <v/>
      </c>
      <c r="U1949" s="40" t="str">
        <f aca="false">IF($B1949="","",IF(AND(OR(CARI!$C$5="",ISNUMBER(SEARCH(CARI!$C$5,$B1949&amp;" "&amp;$C1949&amp;" "&amp;$I1949&amp;" "&amp;$J1949&amp;" "&amp;$Q1949))),OR(CARI!$C$6="",$E1949=CARI!$C$6),OR(CARI!$C$7="",$F1949=CARI!$C$7),OR(CARI!$C$8="",$O1949=CARI!$C$8)),MAX($U$3:U1948)+1,""))</f>
        <v/>
      </c>
      <c r="V1949" s="40" t="str">
        <f aca="false">IF($T1949="","",MAX($V$3:V1948)+1)</f>
        <v/>
      </c>
      <c r="W1949" s="40" t="str">
        <f aca="false">IF($E1949="","",$E1949&amp;"#"&amp;COUNTIF($E$4:$E1949,$E1949))</f>
        <v/>
      </c>
      <c r="X1949" s="40" t="str">
        <f aca="false">IF($B1949="","",IF(AND(OR(CETAK!$J$10="",$E1949=CETAK!$J$10),OR(CETAK!$J$11="",$F1949=CETAK!$J$11),OR(CETAK!$J$12="",$K1949=CETAK!$J$12),OR(CETAK!$J$13="",$H1949=CETAK!$J$13),OR(CETAK!$J$14="",$O1949=CETAK!$J$14)),MAX($X$3:X1948)+1,""))</f>
        <v/>
      </c>
      <c r="Y1949" s="40" t="str">
        <f aca="false">IF($B1949="","",IF(AND(OR(ABSENSI!$H$10="",$E1949=ABSENSI!$H$10),OR(ABSENSI!$H$11="",$F1949=ABSENSI!$H$11),OR(ABSENSI!$H$12="",$K1949=ABSENSI!$H$12)),MAX($Y$3:Y1948)+1,""))</f>
        <v/>
      </c>
      <c r="Z1949" s="40" t="str">
        <f aca="false">IF($B1949="","",IF(AND(OR(KARTU!$K$6="",$E1949=KARTU!$K$6),OR(KARTU!$K$7="",$F1949=KARTU!$K$7),OR(KARTU!$K$8="",$K1949=KARTU!$K$8)),MAX($Z$3:Z1948)+1,""))</f>
        <v/>
      </c>
    </row>
    <row r="1950" customFormat="false" ht="15" hidden="false" customHeight="false" outlineLevel="0" collapsed="false">
      <c r="A1950" s="36" t="str">
        <f aca="false">IF($B1950="","",COUNTA($B$4:$B1950))</f>
        <v/>
      </c>
      <c r="B1950" s="37"/>
      <c r="C1950" s="38"/>
      <c r="D1950" s="39"/>
      <c r="E1950" s="37"/>
      <c r="F1950" s="39"/>
      <c r="G1950" s="40" t="str">
        <f aca="false">IF(OR($E1950="",$F1950=""),"",$E1950&amp;" - RT "&amp;$F1950)</f>
        <v/>
      </c>
      <c r="H1950" s="37"/>
      <c r="I1950" s="38"/>
      <c r="J1950" s="37"/>
      <c r="K1950" s="39"/>
      <c r="L1950" s="41"/>
      <c r="M1950" s="36" t="str">
        <f aca="true">IF(OR($B1950="",$L1950=""),"",DATEDIF($L1950,TODAY(),"Y"))</f>
        <v/>
      </c>
      <c r="N1950" s="40" t="str">
        <f aca="false">IF($M1950="","",INDEX(usia_label,MATCH($M1950,usia_min,1)))</f>
        <v/>
      </c>
      <c r="O1950" s="37"/>
      <c r="P1950" s="41"/>
      <c r="Q1950" s="37"/>
      <c r="R1950" s="37"/>
      <c r="S1950" s="40" t="str">
        <f aca="false">IF($G1950="","",$G1950&amp;"#"&amp;COUNTIF($G$4:$G1950,$G1950))</f>
        <v/>
      </c>
      <c r="T1950" s="40" t="str">
        <f aca="false">IF($B1950="","",IF($C1950="","NIK kosong",IF(LEN($C1950)&lt;&gt;16,"NIK bukan 16 digit",IF(COUNTIF($C$4:$C$2003,$C1950&amp;"*")&gt;1,"NIK ganda",IF($E1950="","Kadus kosong",IF($F1950="","RT kosong",IF($H1950="","Jabatan kosong",IF($I1950="","No. HP kosong",IF($J1950="","Alamat kosong",IF(AND($M1950&lt;&gt;"",$M1950&lt;17),"Usia di bawah 17",""))))))))))</f>
        <v/>
      </c>
      <c r="U1950" s="40" t="str">
        <f aca="false">IF($B1950="","",IF(AND(OR(CARI!$C$5="",ISNUMBER(SEARCH(CARI!$C$5,$B1950&amp;" "&amp;$C1950&amp;" "&amp;$I1950&amp;" "&amp;$J1950&amp;" "&amp;$Q1950))),OR(CARI!$C$6="",$E1950=CARI!$C$6),OR(CARI!$C$7="",$F1950=CARI!$C$7),OR(CARI!$C$8="",$O1950=CARI!$C$8)),MAX($U$3:U1949)+1,""))</f>
        <v/>
      </c>
      <c r="V1950" s="40" t="str">
        <f aca="false">IF($T1950="","",MAX($V$3:V1949)+1)</f>
        <v/>
      </c>
      <c r="W1950" s="40" t="str">
        <f aca="false">IF($E1950="","",$E1950&amp;"#"&amp;COUNTIF($E$4:$E1950,$E1950))</f>
        <v/>
      </c>
      <c r="X1950" s="40" t="str">
        <f aca="false">IF($B1950="","",IF(AND(OR(CETAK!$J$10="",$E1950=CETAK!$J$10),OR(CETAK!$J$11="",$F1950=CETAK!$J$11),OR(CETAK!$J$12="",$K1950=CETAK!$J$12),OR(CETAK!$J$13="",$H1950=CETAK!$J$13),OR(CETAK!$J$14="",$O1950=CETAK!$J$14)),MAX($X$3:X1949)+1,""))</f>
        <v/>
      </c>
      <c r="Y1950" s="40" t="str">
        <f aca="false">IF($B1950="","",IF(AND(OR(ABSENSI!$H$10="",$E1950=ABSENSI!$H$10),OR(ABSENSI!$H$11="",$F1950=ABSENSI!$H$11),OR(ABSENSI!$H$12="",$K1950=ABSENSI!$H$12)),MAX($Y$3:Y1949)+1,""))</f>
        <v/>
      </c>
      <c r="Z1950" s="40" t="str">
        <f aca="false">IF($B1950="","",IF(AND(OR(KARTU!$K$6="",$E1950=KARTU!$K$6),OR(KARTU!$K$7="",$F1950=KARTU!$K$7),OR(KARTU!$K$8="",$K1950=KARTU!$K$8)),MAX($Z$3:Z1949)+1,""))</f>
        <v/>
      </c>
    </row>
    <row r="1951" customFormat="false" ht="15" hidden="false" customHeight="false" outlineLevel="0" collapsed="false">
      <c r="A1951" s="36" t="str">
        <f aca="false">IF($B1951="","",COUNTA($B$4:$B1951))</f>
        <v/>
      </c>
      <c r="B1951" s="37"/>
      <c r="C1951" s="38"/>
      <c r="D1951" s="39"/>
      <c r="E1951" s="37"/>
      <c r="F1951" s="39"/>
      <c r="G1951" s="40" t="str">
        <f aca="false">IF(OR($E1951="",$F1951=""),"",$E1951&amp;" - RT "&amp;$F1951)</f>
        <v/>
      </c>
      <c r="H1951" s="37"/>
      <c r="I1951" s="38"/>
      <c r="J1951" s="37"/>
      <c r="K1951" s="39"/>
      <c r="L1951" s="41"/>
      <c r="M1951" s="36" t="str">
        <f aca="true">IF(OR($B1951="",$L1951=""),"",DATEDIF($L1951,TODAY(),"Y"))</f>
        <v/>
      </c>
      <c r="N1951" s="40" t="str">
        <f aca="false">IF($M1951="","",INDEX(usia_label,MATCH($M1951,usia_min,1)))</f>
        <v/>
      </c>
      <c r="O1951" s="37"/>
      <c r="P1951" s="41"/>
      <c r="Q1951" s="37"/>
      <c r="R1951" s="37"/>
      <c r="S1951" s="40" t="str">
        <f aca="false">IF($G1951="","",$G1951&amp;"#"&amp;COUNTIF($G$4:$G1951,$G1951))</f>
        <v/>
      </c>
      <c r="T1951" s="40" t="str">
        <f aca="false">IF($B1951="","",IF($C1951="","NIK kosong",IF(LEN($C1951)&lt;&gt;16,"NIK bukan 16 digit",IF(COUNTIF($C$4:$C$2003,$C1951&amp;"*")&gt;1,"NIK ganda",IF($E1951="","Kadus kosong",IF($F1951="","RT kosong",IF($H1951="","Jabatan kosong",IF($I1951="","No. HP kosong",IF($J1951="","Alamat kosong",IF(AND($M1951&lt;&gt;"",$M1951&lt;17),"Usia di bawah 17",""))))))))))</f>
        <v/>
      </c>
      <c r="U1951" s="40" t="str">
        <f aca="false">IF($B1951="","",IF(AND(OR(CARI!$C$5="",ISNUMBER(SEARCH(CARI!$C$5,$B1951&amp;" "&amp;$C1951&amp;" "&amp;$I1951&amp;" "&amp;$J1951&amp;" "&amp;$Q1951))),OR(CARI!$C$6="",$E1951=CARI!$C$6),OR(CARI!$C$7="",$F1951=CARI!$C$7),OR(CARI!$C$8="",$O1951=CARI!$C$8)),MAX($U$3:U1950)+1,""))</f>
        <v/>
      </c>
      <c r="V1951" s="40" t="str">
        <f aca="false">IF($T1951="","",MAX($V$3:V1950)+1)</f>
        <v/>
      </c>
      <c r="W1951" s="40" t="str">
        <f aca="false">IF($E1951="","",$E1951&amp;"#"&amp;COUNTIF($E$4:$E1951,$E1951))</f>
        <v/>
      </c>
      <c r="X1951" s="40" t="str">
        <f aca="false">IF($B1951="","",IF(AND(OR(CETAK!$J$10="",$E1951=CETAK!$J$10),OR(CETAK!$J$11="",$F1951=CETAK!$J$11),OR(CETAK!$J$12="",$K1951=CETAK!$J$12),OR(CETAK!$J$13="",$H1951=CETAK!$J$13),OR(CETAK!$J$14="",$O1951=CETAK!$J$14)),MAX($X$3:X1950)+1,""))</f>
        <v/>
      </c>
      <c r="Y1951" s="40" t="str">
        <f aca="false">IF($B1951="","",IF(AND(OR(ABSENSI!$H$10="",$E1951=ABSENSI!$H$10),OR(ABSENSI!$H$11="",$F1951=ABSENSI!$H$11),OR(ABSENSI!$H$12="",$K1951=ABSENSI!$H$12)),MAX($Y$3:Y1950)+1,""))</f>
        <v/>
      </c>
      <c r="Z1951" s="40" t="str">
        <f aca="false">IF($B1951="","",IF(AND(OR(KARTU!$K$6="",$E1951=KARTU!$K$6),OR(KARTU!$K$7="",$F1951=KARTU!$K$7),OR(KARTU!$K$8="",$K1951=KARTU!$K$8)),MAX($Z$3:Z1950)+1,""))</f>
        <v/>
      </c>
    </row>
    <row r="1952" customFormat="false" ht="15" hidden="false" customHeight="false" outlineLevel="0" collapsed="false">
      <c r="A1952" s="36" t="str">
        <f aca="false">IF($B1952="","",COUNTA($B$4:$B1952))</f>
        <v/>
      </c>
      <c r="B1952" s="37"/>
      <c r="C1952" s="38"/>
      <c r="D1952" s="39"/>
      <c r="E1952" s="37"/>
      <c r="F1952" s="39"/>
      <c r="G1952" s="40" t="str">
        <f aca="false">IF(OR($E1952="",$F1952=""),"",$E1952&amp;" - RT "&amp;$F1952)</f>
        <v/>
      </c>
      <c r="H1952" s="37"/>
      <c r="I1952" s="38"/>
      <c r="J1952" s="37"/>
      <c r="K1952" s="39"/>
      <c r="L1952" s="41"/>
      <c r="M1952" s="36" t="str">
        <f aca="true">IF(OR($B1952="",$L1952=""),"",DATEDIF($L1952,TODAY(),"Y"))</f>
        <v/>
      </c>
      <c r="N1952" s="40" t="str">
        <f aca="false">IF($M1952="","",INDEX(usia_label,MATCH($M1952,usia_min,1)))</f>
        <v/>
      </c>
      <c r="O1952" s="37"/>
      <c r="P1952" s="41"/>
      <c r="Q1952" s="37"/>
      <c r="R1952" s="37"/>
      <c r="S1952" s="40" t="str">
        <f aca="false">IF($G1952="","",$G1952&amp;"#"&amp;COUNTIF($G$4:$G1952,$G1952))</f>
        <v/>
      </c>
      <c r="T1952" s="40" t="str">
        <f aca="false">IF($B1952="","",IF($C1952="","NIK kosong",IF(LEN($C1952)&lt;&gt;16,"NIK bukan 16 digit",IF(COUNTIF($C$4:$C$2003,$C1952&amp;"*")&gt;1,"NIK ganda",IF($E1952="","Kadus kosong",IF($F1952="","RT kosong",IF($H1952="","Jabatan kosong",IF($I1952="","No. HP kosong",IF($J1952="","Alamat kosong",IF(AND($M1952&lt;&gt;"",$M1952&lt;17),"Usia di bawah 17",""))))))))))</f>
        <v/>
      </c>
      <c r="U1952" s="40" t="str">
        <f aca="false">IF($B1952="","",IF(AND(OR(CARI!$C$5="",ISNUMBER(SEARCH(CARI!$C$5,$B1952&amp;" "&amp;$C1952&amp;" "&amp;$I1952&amp;" "&amp;$J1952&amp;" "&amp;$Q1952))),OR(CARI!$C$6="",$E1952=CARI!$C$6),OR(CARI!$C$7="",$F1952=CARI!$C$7),OR(CARI!$C$8="",$O1952=CARI!$C$8)),MAX($U$3:U1951)+1,""))</f>
        <v/>
      </c>
      <c r="V1952" s="40" t="str">
        <f aca="false">IF($T1952="","",MAX($V$3:V1951)+1)</f>
        <v/>
      </c>
      <c r="W1952" s="40" t="str">
        <f aca="false">IF($E1952="","",$E1952&amp;"#"&amp;COUNTIF($E$4:$E1952,$E1952))</f>
        <v/>
      </c>
      <c r="X1952" s="40" t="str">
        <f aca="false">IF($B1952="","",IF(AND(OR(CETAK!$J$10="",$E1952=CETAK!$J$10),OR(CETAK!$J$11="",$F1952=CETAK!$J$11),OR(CETAK!$J$12="",$K1952=CETAK!$J$12),OR(CETAK!$J$13="",$H1952=CETAK!$J$13),OR(CETAK!$J$14="",$O1952=CETAK!$J$14)),MAX($X$3:X1951)+1,""))</f>
        <v/>
      </c>
      <c r="Y1952" s="40" t="str">
        <f aca="false">IF($B1952="","",IF(AND(OR(ABSENSI!$H$10="",$E1952=ABSENSI!$H$10),OR(ABSENSI!$H$11="",$F1952=ABSENSI!$H$11),OR(ABSENSI!$H$12="",$K1952=ABSENSI!$H$12)),MAX($Y$3:Y1951)+1,""))</f>
        <v/>
      </c>
      <c r="Z1952" s="40" t="str">
        <f aca="false">IF($B1952="","",IF(AND(OR(KARTU!$K$6="",$E1952=KARTU!$K$6),OR(KARTU!$K$7="",$F1952=KARTU!$K$7),OR(KARTU!$K$8="",$K1952=KARTU!$K$8)),MAX($Z$3:Z1951)+1,""))</f>
        <v/>
      </c>
    </row>
    <row r="1953" customFormat="false" ht="15" hidden="false" customHeight="false" outlineLevel="0" collapsed="false">
      <c r="A1953" s="36" t="str">
        <f aca="false">IF($B1953="","",COUNTA($B$4:$B1953))</f>
        <v/>
      </c>
      <c r="B1953" s="37"/>
      <c r="C1953" s="38"/>
      <c r="D1953" s="39"/>
      <c r="E1953" s="37"/>
      <c r="F1953" s="39"/>
      <c r="G1953" s="40" t="str">
        <f aca="false">IF(OR($E1953="",$F1953=""),"",$E1953&amp;" - RT "&amp;$F1953)</f>
        <v/>
      </c>
      <c r="H1953" s="37"/>
      <c r="I1953" s="38"/>
      <c r="J1953" s="37"/>
      <c r="K1953" s="39"/>
      <c r="L1953" s="41"/>
      <c r="M1953" s="36" t="str">
        <f aca="true">IF(OR($B1953="",$L1953=""),"",DATEDIF($L1953,TODAY(),"Y"))</f>
        <v/>
      </c>
      <c r="N1953" s="40" t="str">
        <f aca="false">IF($M1953="","",INDEX(usia_label,MATCH($M1953,usia_min,1)))</f>
        <v/>
      </c>
      <c r="O1953" s="37"/>
      <c r="P1953" s="41"/>
      <c r="Q1953" s="37"/>
      <c r="R1953" s="37"/>
      <c r="S1953" s="40" t="str">
        <f aca="false">IF($G1953="","",$G1953&amp;"#"&amp;COUNTIF($G$4:$G1953,$G1953))</f>
        <v/>
      </c>
      <c r="T1953" s="40" t="str">
        <f aca="false">IF($B1953="","",IF($C1953="","NIK kosong",IF(LEN($C1953)&lt;&gt;16,"NIK bukan 16 digit",IF(COUNTIF($C$4:$C$2003,$C1953&amp;"*")&gt;1,"NIK ganda",IF($E1953="","Kadus kosong",IF($F1953="","RT kosong",IF($H1953="","Jabatan kosong",IF($I1953="","No. HP kosong",IF($J1953="","Alamat kosong",IF(AND($M1953&lt;&gt;"",$M1953&lt;17),"Usia di bawah 17",""))))))))))</f>
        <v/>
      </c>
      <c r="U1953" s="40" t="str">
        <f aca="false">IF($B1953="","",IF(AND(OR(CARI!$C$5="",ISNUMBER(SEARCH(CARI!$C$5,$B1953&amp;" "&amp;$C1953&amp;" "&amp;$I1953&amp;" "&amp;$J1953&amp;" "&amp;$Q1953))),OR(CARI!$C$6="",$E1953=CARI!$C$6),OR(CARI!$C$7="",$F1953=CARI!$C$7),OR(CARI!$C$8="",$O1953=CARI!$C$8)),MAX($U$3:U1952)+1,""))</f>
        <v/>
      </c>
      <c r="V1953" s="40" t="str">
        <f aca="false">IF($T1953="","",MAX($V$3:V1952)+1)</f>
        <v/>
      </c>
      <c r="W1953" s="40" t="str">
        <f aca="false">IF($E1953="","",$E1953&amp;"#"&amp;COUNTIF($E$4:$E1953,$E1953))</f>
        <v/>
      </c>
      <c r="X1953" s="40" t="str">
        <f aca="false">IF($B1953="","",IF(AND(OR(CETAK!$J$10="",$E1953=CETAK!$J$10),OR(CETAK!$J$11="",$F1953=CETAK!$J$11),OR(CETAK!$J$12="",$K1953=CETAK!$J$12),OR(CETAK!$J$13="",$H1953=CETAK!$J$13),OR(CETAK!$J$14="",$O1953=CETAK!$J$14)),MAX($X$3:X1952)+1,""))</f>
        <v/>
      </c>
      <c r="Y1953" s="40" t="str">
        <f aca="false">IF($B1953="","",IF(AND(OR(ABSENSI!$H$10="",$E1953=ABSENSI!$H$10),OR(ABSENSI!$H$11="",$F1953=ABSENSI!$H$11),OR(ABSENSI!$H$12="",$K1953=ABSENSI!$H$12)),MAX($Y$3:Y1952)+1,""))</f>
        <v/>
      </c>
      <c r="Z1953" s="40" t="str">
        <f aca="false">IF($B1953="","",IF(AND(OR(KARTU!$K$6="",$E1953=KARTU!$K$6),OR(KARTU!$K$7="",$F1953=KARTU!$K$7),OR(KARTU!$K$8="",$K1953=KARTU!$K$8)),MAX($Z$3:Z1952)+1,""))</f>
        <v/>
      </c>
    </row>
    <row r="1954" customFormat="false" ht="15" hidden="false" customHeight="false" outlineLevel="0" collapsed="false">
      <c r="A1954" s="36" t="str">
        <f aca="false">IF($B1954="","",COUNTA($B$4:$B1954))</f>
        <v/>
      </c>
      <c r="B1954" s="37"/>
      <c r="C1954" s="38"/>
      <c r="D1954" s="39"/>
      <c r="E1954" s="37"/>
      <c r="F1954" s="39"/>
      <c r="G1954" s="40" t="str">
        <f aca="false">IF(OR($E1954="",$F1954=""),"",$E1954&amp;" - RT "&amp;$F1954)</f>
        <v/>
      </c>
      <c r="H1954" s="37"/>
      <c r="I1954" s="38"/>
      <c r="J1954" s="37"/>
      <c r="K1954" s="39"/>
      <c r="L1954" s="41"/>
      <c r="M1954" s="36" t="str">
        <f aca="true">IF(OR($B1954="",$L1954=""),"",DATEDIF($L1954,TODAY(),"Y"))</f>
        <v/>
      </c>
      <c r="N1954" s="40" t="str">
        <f aca="false">IF($M1954="","",INDEX(usia_label,MATCH($M1954,usia_min,1)))</f>
        <v/>
      </c>
      <c r="O1954" s="37"/>
      <c r="P1954" s="41"/>
      <c r="Q1954" s="37"/>
      <c r="R1954" s="37"/>
      <c r="S1954" s="40" t="str">
        <f aca="false">IF($G1954="","",$G1954&amp;"#"&amp;COUNTIF($G$4:$G1954,$G1954))</f>
        <v/>
      </c>
      <c r="T1954" s="40" t="str">
        <f aca="false">IF($B1954="","",IF($C1954="","NIK kosong",IF(LEN($C1954)&lt;&gt;16,"NIK bukan 16 digit",IF(COUNTIF($C$4:$C$2003,$C1954&amp;"*")&gt;1,"NIK ganda",IF($E1954="","Kadus kosong",IF($F1954="","RT kosong",IF($H1954="","Jabatan kosong",IF($I1954="","No. HP kosong",IF($J1954="","Alamat kosong",IF(AND($M1954&lt;&gt;"",$M1954&lt;17),"Usia di bawah 17",""))))))))))</f>
        <v/>
      </c>
      <c r="U1954" s="40" t="str">
        <f aca="false">IF($B1954="","",IF(AND(OR(CARI!$C$5="",ISNUMBER(SEARCH(CARI!$C$5,$B1954&amp;" "&amp;$C1954&amp;" "&amp;$I1954&amp;" "&amp;$J1954&amp;" "&amp;$Q1954))),OR(CARI!$C$6="",$E1954=CARI!$C$6),OR(CARI!$C$7="",$F1954=CARI!$C$7),OR(CARI!$C$8="",$O1954=CARI!$C$8)),MAX($U$3:U1953)+1,""))</f>
        <v/>
      </c>
      <c r="V1954" s="40" t="str">
        <f aca="false">IF($T1954="","",MAX($V$3:V1953)+1)</f>
        <v/>
      </c>
      <c r="W1954" s="40" t="str">
        <f aca="false">IF($E1954="","",$E1954&amp;"#"&amp;COUNTIF($E$4:$E1954,$E1954))</f>
        <v/>
      </c>
      <c r="X1954" s="40" t="str">
        <f aca="false">IF($B1954="","",IF(AND(OR(CETAK!$J$10="",$E1954=CETAK!$J$10),OR(CETAK!$J$11="",$F1954=CETAK!$J$11),OR(CETAK!$J$12="",$K1954=CETAK!$J$12),OR(CETAK!$J$13="",$H1954=CETAK!$J$13),OR(CETAK!$J$14="",$O1954=CETAK!$J$14)),MAX($X$3:X1953)+1,""))</f>
        <v/>
      </c>
      <c r="Y1954" s="40" t="str">
        <f aca="false">IF($B1954="","",IF(AND(OR(ABSENSI!$H$10="",$E1954=ABSENSI!$H$10),OR(ABSENSI!$H$11="",$F1954=ABSENSI!$H$11),OR(ABSENSI!$H$12="",$K1954=ABSENSI!$H$12)),MAX($Y$3:Y1953)+1,""))</f>
        <v/>
      </c>
      <c r="Z1954" s="40" t="str">
        <f aca="false">IF($B1954="","",IF(AND(OR(KARTU!$K$6="",$E1954=KARTU!$K$6),OR(KARTU!$K$7="",$F1954=KARTU!$K$7),OR(KARTU!$K$8="",$K1954=KARTU!$K$8)),MAX($Z$3:Z1953)+1,""))</f>
        <v/>
      </c>
    </row>
    <row r="1955" customFormat="false" ht="15" hidden="false" customHeight="false" outlineLevel="0" collapsed="false">
      <c r="A1955" s="36" t="str">
        <f aca="false">IF($B1955="","",COUNTA($B$4:$B1955))</f>
        <v/>
      </c>
      <c r="B1955" s="37"/>
      <c r="C1955" s="38"/>
      <c r="D1955" s="39"/>
      <c r="E1955" s="37"/>
      <c r="F1955" s="39"/>
      <c r="G1955" s="40" t="str">
        <f aca="false">IF(OR($E1955="",$F1955=""),"",$E1955&amp;" - RT "&amp;$F1955)</f>
        <v/>
      </c>
      <c r="H1955" s="37"/>
      <c r="I1955" s="38"/>
      <c r="J1955" s="37"/>
      <c r="K1955" s="39"/>
      <c r="L1955" s="41"/>
      <c r="M1955" s="36" t="str">
        <f aca="true">IF(OR($B1955="",$L1955=""),"",DATEDIF($L1955,TODAY(),"Y"))</f>
        <v/>
      </c>
      <c r="N1955" s="40" t="str">
        <f aca="false">IF($M1955="","",INDEX(usia_label,MATCH($M1955,usia_min,1)))</f>
        <v/>
      </c>
      <c r="O1955" s="37"/>
      <c r="P1955" s="41"/>
      <c r="Q1955" s="37"/>
      <c r="R1955" s="37"/>
      <c r="S1955" s="40" t="str">
        <f aca="false">IF($G1955="","",$G1955&amp;"#"&amp;COUNTIF($G$4:$G1955,$G1955))</f>
        <v/>
      </c>
      <c r="T1955" s="40" t="str">
        <f aca="false">IF($B1955="","",IF($C1955="","NIK kosong",IF(LEN($C1955)&lt;&gt;16,"NIK bukan 16 digit",IF(COUNTIF($C$4:$C$2003,$C1955&amp;"*")&gt;1,"NIK ganda",IF($E1955="","Kadus kosong",IF($F1955="","RT kosong",IF($H1955="","Jabatan kosong",IF($I1955="","No. HP kosong",IF($J1955="","Alamat kosong",IF(AND($M1955&lt;&gt;"",$M1955&lt;17),"Usia di bawah 17",""))))))))))</f>
        <v/>
      </c>
      <c r="U1955" s="40" t="str">
        <f aca="false">IF($B1955="","",IF(AND(OR(CARI!$C$5="",ISNUMBER(SEARCH(CARI!$C$5,$B1955&amp;" "&amp;$C1955&amp;" "&amp;$I1955&amp;" "&amp;$J1955&amp;" "&amp;$Q1955))),OR(CARI!$C$6="",$E1955=CARI!$C$6),OR(CARI!$C$7="",$F1955=CARI!$C$7),OR(CARI!$C$8="",$O1955=CARI!$C$8)),MAX($U$3:U1954)+1,""))</f>
        <v/>
      </c>
      <c r="V1955" s="40" t="str">
        <f aca="false">IF($T1955="","",MAX($V$3:V1954)+1)</f>
        <v/>
      </c>
      <c r="W1955" s="40" t="str">
        <f aca="false">IF($E1955="","",$E1955&amp;"#"&amp;COUNTIF($E$4:$E1955,$E1955))</f>
        <v/>
      </c>
      <c r="X1955" s="40" t="str">
        <f aca="false">IF($B1955="","",IF(AND(OR(CETAK!$J$10="",$E1955=CETAK!$J$10),OR(CETAK!$J$11="",$F1955=CETAK!$J$11),OR(CETAK!$J$12="",$K1955=CETAK!$J$12),OR(CETAK!$J$13="",$H1955=CETAK!$J$13),OR(CETAK!$J$14="",$O1955=CETAK!$J$14)),MAX($X$3:X1954)+1,""))</f>
        <v/>
      </c>
      <c r="Y1955" s="40" t="str">
        <f aca="false">IF($B1955="","",IF(AND(OR(ABSENSI!$H$10="",$E1955=ABSENSI!$H$10),OR(ABSENSI!$H$11="",$F1955=ABSENSI!$H$11),OR(ABSENSI!$H$12="",$K1955=ABSENSI!$H$12)),MAX($Y$3:Y1954)+1,""))</f>
        <v/>
      </c>
      <c r="Z1955" s="40" t="str">
        <f aca="false">IF($B1955="","",IF(AND(OR(KARTU!$K$6="",$E1955=KARTU!$K$6),OR(KARTU!$K$7="",$F1955=KARTU!$K$7),OR(KARTU!$K$8="",$K1955=KARTU!$K$8)),MAX($Z$3:Z1954)+1,""))</f>
        <v/>
      </c>
    </row>
    <row r="1956" customFormat="false" ht="15" hidden="false" customHeight="false" outlineLevel="0" collapsed="false">
      <c r="A1956" s="36" t="str">
        <f aca="false">IF($B1956="","",COUNTA($B$4:$B1956))</f>
        <v/>
      </c>
      <c r="B1956" s="37"/>
      <c r="C1956" s="38"/>
      <c r="D1956" s="39"/>
      <c r="E1956" s="37"/>
      <c r="F1956" s="39"/>
      <c r="G1956" s="40" t="str">
        <f aca="false">IF(OR($E1956="",$F1956=""),"",$E1956&amp;" - RT "&amp;$F1956)</f>
        <v/>
      </c>
      <c r="H1956" s="37"/>
      <c r="I1956" s="38"/>
      <c r="J1956" s="37"/>
      <c r="K1956" s="39"/>
      <c r="L1956" s="41"/>
      <c r="M1956" s="36" t="str">
        <f aca="true">IF(OR($B1956="",$L1956=""),"",DATEDIF($L1956,TODAY(),"Y"))</f>
        <v/>
      </c>
      <c r="N1956" s="40" t="str">
        <f aca="false">IF($M1956="","",INDEX(usia_label,MATCH($M1956,usia_min,1)))</f>
        <v/>
      </c>
      <c r="O1956" s="37"/>
      <c r="P1956" s="41"/>
      <c r="Q1956" s="37"/>
      <c r="R1956" s="37"/>
      <c r="S1956" s="40" t="str">
        <f aca="false">IF($G1956="","",$G1956&amp;"#"&amp;COUNTIF($G$4:$G1956,$G1956))</f>
        <v/>
      </c>
      <c r="T1956" s="40" t="str">
        <f aca="false">IF($B1956="","",IF($C1956="","NIK kosong",IF(LEN($C1956)&lt;&gt;16,"NIK bukan 16 digit",IF(COUNTIF($C$4:$C$2003,$C1956&amp;"*")&gt;1,"NIK ganda",IF($E1956="","Kadus kosong",IF($F1956="","RT kosong",IF($H1956="","Jabatan kosong",IF($I1956="","No. HP kosong",IF($J1956="","Alamat kosong",IF(AND($M1956&lt;&gt;"",$M1956&lt;17),"Usia di bawah 17",""))))))))))</f>
        <v/>
      </c>
      <c r="U1956" s="40" t="str">
        <f aca="false">IF($B1956="","",IF(AND(OR(CARI!$C$5="",ISNUMBER(SEARCH(CARI!$C$5,$B1956&amp;" "&amp;$C1956&amp;" "&amp;$I1956&amp;" "&amp;$J1956&amp;" "&amp;$Q1956))),OR(CARI!$C$6="",$E1956=CARI!$C$6),OR(CARI!$C$7="",$F1956=CARI!$C$7),OR(CARI!$C$8="",$O1956=CARI!$C$8)),MAX($U$3:U1955)+1,""))</f>
        <v/>
      </c>
      <c r="V1956" s="40" t="str">
        <f aca="false">IF($T1956="","",MAX($V$3:V1955)+1)</f>
        <v/>
      </c>
      <c r="W1956" s="40" t="str">
        <f aca="false">IF($E1956="","",$E1956&amp;"#"&amp;COUNTIF($E$4:$E1956,$E1956))</f>
        <v/>
      </c>
      <c r="X1956" s="40" t="str">
        <f aca="false">IF($B1956="","",IF(AND(OR(CETAK!$J$10="",$E1956=CETAK!$J$10),OR(CETAK!$J$11="",$F1956=CETAK!$J$11),OR(CETAK!$J$12="",$K1956=CETAK!$J$12),OR(CETAK!$J$13="",$H1956=CETAK!$J$13),OR(CETAK!$J$14="",$O1956=CETAK!$J$14)),MAX($X$3:X1955)+1,""))</f>
        <v/>
      </c>
      <c r="Y1956" s="40" t="str">
        <f aca="false">IF($B1956="","",IF(AND(OR(ABSENSI!$H$10="",$E1956=ABSENSI!$H$10),OR(ABSENSI!$H$11="",$F1956=ABSENSI!$H$11),OR(ABSENSI!$H$12="",$K1956=ABSENSI!$H$12)),MAX($Y$3:Y1955)+1,""))</f>
        <v/>
      </c>
      <c r="Z1956" s="40" t="str">
        <f aca="false">IF($B1956="","",IF(AND(OR(KARTU!$K$6="",$E1956=KARTU!$K$6),OR(KARTU!$K$7="",$F1956=KARTU!$K$7),OR(KARTU!$K$8="",$K1956=KARTU!$K$8)),MAX($Z$3:Z1955)+1,""))</f>
        <v/>
      </c>
    </row>
    <row r="1957" customFormat="false" ht="15" hidden="false" customHeight="false" outlineLevel="0" collapsed="false">
      <c r="A1957" s="36" t="str">
        <f aca="false">IF($B1957="","",COUNTA($B$4:$B1957))</f>
        <v/>
      </c>
      <c r="B1957" s="37"/>
      <c r="C1957" s="38"/>
      <c r="D1957" s="39"/>
      <c r="E1957" s="37"/>
      <c r="F1957" s="39"/>
      <c r="G1957" s="40" t="str">
        <f aca="false">IF(OR($E1957="",$F1957=""),"",$E1957&amp;" - RT "&amp;$F1957)</f>
        <v/>
      </c>
      <c r="H1957" s="37"/>
      <c r="I1957" s="38"/>
      <c r="J1957" s="37"/>
      <c r="K1957" s="39"/>
      <c r="L1957" s="41"/>
      <c r="M1957" s="36" t="str">
        <f aca="true">IF(OR($B1957="",$L1957=""),"",DATEDIF($L1957,TODAY(),"Y"))</f>
        <v/>
      </c>
      <c r="N1957" s="40" t="str">
        <f aca="false">IF($M1957="","",INDEX(usia_label,MATCH($M1957,usia_min,1)))</f>
        <v/>
      </c>
      <c r="O1957" s="37"/>
      <c r="P1957" s="41"/>
      <c r="Q1957" s="37"/>
      <c r="R1957" s="37"/>
      <c r="S1957" s="40" t="str">
        <f aca="false">IF($G1957="","",$G1957&amp;"#"&amp;COUNTIF($G$4:$G1957,$G1957))</f>
        <v/>
      </c>
      <c r="T1957" s="40" t="str">
        <f aca="false">IF($B1957="","",IF($C1957="","NIK kosong",IF(LEN($C1957)&lt;&gt;16,"NIK bukan 16 digit",IF(COUNTIF($C$4:$C$2003,$C1957&amp;"*")&gt;1,"NIK ganda",IF($E1957="","Kadus kosong",IF($F1957="","RT kosong",IF($H1957="","Jabatan kosong",IF($I1957="","No. HP kosong",IF($J1957="","Alamat kosong",IF(AND($M1957&lt;&gt;"",$M1957&lt;17),"Usia di bawah 17",""))))))))))</f>
        <v/>
      </c>
      <c r="U1957" s="40" t="str">
        <f aca="false">IF($B1957="","",IF(AND(OR(CARI!$C$5="",ISNUMBER(SEARCH(CARI!$C$5,$B1957&amp;" "&amp;$C1957&amp;" "&amp;$I1957&amp;" "&amp;$J1957&amp;" "&amp;$Q1957))),OR(CARI!$C$6="",$E1957=CARI!$C$6),OR(CARI!$C$7="",$F1957=CARI!$C$7),OR(CARI!$C$8="",$O1957=CARI!$C$8)),MAX($U$3:U1956)+1,""))</f>
        <v/>
      </c>
      <c r="V1957" s="40" t="str">
        <f aca="false">IF($T1957="","",MAX($V$3:V1956)+1)</f>
        <v/>
      </c>
      <c r="W1957" s="40" t="str">
        <f aca="false">IF($E1957="","",$E1957&amp;"#"&amp;COUNTIF($E$4:$E1957,$E1957))</f>
        <v/>
      </c>
      <c r="X1957" s="40" t="str">
        <f aca="false">IF($B1957="","",IF(AND(OR(CETAK!$J$10="",$E1957=CETAK!$J$10),OR(CETAK!$J$11="",$F1957=CETAK!$J$11),OR(CETAK!$J$12="",$K1957=CETAK!$J$12),OR(CETAK!$J$13="",$H1957=CETAK!$J$13),OR(CETAK!$J$14="",$O1957=CETAK!$J$14)),MAX($X$3:X1956)+1,""))</f>
        <v/>
      </c>
      <c r="Y1957" s="40" t="str">
        <f aca="false">IF($B1957="","",IF(AND(OR(ABSENSI!$H$10="",$E1957=ABSENSI!$H$10),OR(ABSENSI!$H$11="",$F1957=ABSENSI!$H$11),OR(ABSENSI!$H$12="",$K1957=ABSENSI!$H$12)),MAX($Y$3:Y1956)+1,""))</f>
        <v/>
      </c>
      <c r="Z1957" s="40" t="str">
        <f aca="false">IF($B1957="","",IF(AND(OR(KARTU!$K$6="",$E1957=KARTU!$K$6),OR(KARTU!$K$7="",$F1957=KARTU!$K$7),OR(KARTU!$K$8="",$K1957=KARTU!$K$8)),MAX($Z$3:Z1956)+1,""))</f>
        <v/>
      </c>
    </row>
    <row r="1958" customFormat="false" ht="15" hidden="false" customHeight="false" outlineLevel="0" collapsed="false">
      <c r="A1958" s="36" t="str">
        <f aca="false">IF($B1958="","",COUNTA($B$4:$B1958))</f>
        <v/>
      </c>
      <c r="B1958" s="37"/>
      <c r="C1958" s="38"/>
      <c r="D1958" s="39"/>
      <c r="E1958" s="37"/>
      <c r="F1958" s="39"/>
      <c r="G1958" s="40" t="str">
        <f aca="false">IF(OR($E1958="",$F1958=""),"",$E1958&amp;" - RT "&amp;$F1958)</f>
        <v/>
      </c>
      <c r="H1958" s="37"/>
      <c r="I1958" s="38"/>
      <c r="J1958" s="37"/>
      <c r="K1958" s="39"/>
      <c r="L1958" s="41"/>
      <c r="M1958" s="36" t="str">
        <f aca="true">IF(OR($B1958="",$L1958=""),"",DATEDIF($L1958,TODAY(),"Y"))</f>
        <v/>
      </c>
      <c r="N1958" s="40" t="str">
        <f aca="false">IF($M1958="","",INDEX(usia_label,MATCH($M1958,usia_min,1)))</f>
        <v/>
      </c>
      <c r="O1958" s="37"/>
      <c r="P1958" s="41"/>
      <c r="Q1958" s="37"/>
      <c r="R1958" s="37"/>
      <c r="S1958" s="40" t="str">
        <f aca="false">IF($G1958="","",$G1958&amp;"#"&amp;COUNTIF($G$4:$G1958,$G1958))</f>
        <v/>
      </c>
      <c r="T1958" s="40" t="str">
        <f aca="false">IF($B1958="","",IF($C1958="","NIK kosong",IF(LEN($C1958)&lt;&gt;16,"NIK bukan 16 digit",IF(COUNTIF($C$4:$C$2003,$C1958&amp;"*")&gt;1,"NIK ganda",IF($E1958="","Kadus kosong",IF($F1958="","RT kosong",IF($H1958="","Jabatan kosong",IF($I1958="","No. HP kosong",IF($J1958="","Alamat kosong",IF(AND($M1958&lt;&gt;"",$M1958&lt;17),"Usia di bawah 17",""))))))))))</f>
        <v/>
      </c>
      <c r="U1958" s="40" t="str">
        <f aca="false">IF($B1958="","",IF(AND(OR(CARI!$C$5="",ISNUMBER(SEARCH(CARI!$C$5,$B1958&amp;" "&amp;$C1958&amp;" "&amp;$I1958&amp;" "&amp;$J1958&amp;" "&amp;$Q1958))),OR(CARI!$C$6="",$E1958=CARI!$C$6),OR(CARI!$C$7="",$F1958=CARI!$C$7),OR(CARI!$C$8="",$O1958=CARI!$C$8)),MAX($U$3:U1957)+1,""))</f>
        <v/>
      </c>
      <c r="V1958" s="40" t="str">
        <f aca="false">IF($T1958="","",MAX($V$3:V1957)+1)</f>
        <v/>
      </c>
      <c r="W1958" s="40" t="str">
        <f aca="false">IF($E1958="","",$E1958&amp;"#"&amp;COUNTIF($E$4:$E1958,$E1958))</f>
        <v/>
      </c>
      <c r="X1958" s="40" t="str">
        <f aca="false">IF($B1958="","",IF(AND(OR(CETAK!$J$10="",$E1958=CETAK!$J$10),OR(CETAK!$J$11="",$F1958=CETAK!$J$11),OR(CETAK!$J$12="",$K1958=CETAK!$J$12),OR(CETAK!$J$13="",$H1958=CETAK!$J$13),OR(CETAK!$J$14="",$O1958=CETAK!$J$14)),MAX($X$3:X1957)+1,""))</f>
        <v/>
      </c>
      <c r="Y1958" s="40" t="str">
        <f aca="false">IF($B1958="","",IF(AND(OR(ABSENSI!$H$10="",$E1958=ABSENSI!$H$10),OR(ABSENSI!$H$11="",$F1958=ABSENSI!$H$11),OR(ABSENSI!$H$12="",$K1958=ABSENSI!$H$12)),MAX($Y$3:Y1957)+1,""))</f>
        <v/>
      </c>
      <c r="Z1958" s="40" t="str">
        <f aca="false">IF($B1958="","",IF(AND(OR(KARTU!$K$6="",$E1958=KARTU!$K$6),OR(KARTU!$K$7="",$F1958=KARTU!$K$7),OR(KARTU!$K$8="",$K1958=KARTU!$K$8)),MAX($Z$3:Z1957)+1,""))</f>
        <v/>
      </c>
    </row>
    <row r="1959" customFormat="false" ht="15" hidden="false" customHeight="false" outlineLevel="0" collapsed="false">
      <c r="A1959" s="36" t="str">
        <f aca="false">IF($B1959="","",COUNTA($B$4:$B1959))</f>
        <v/>
      </c>
      <c r="B1959" s="37"/>
      <c r="C1959" s="38"/>
      <c r="D1959" s="39"/>
      <c r="E1959" s="37"/>
      <c r="F1959" s="39"/>
      <c r="G1959" s="40" t="str">
        <f aca="false">IF(OR($E1959="",$F1959=""),"",$E1959&amp;" - RT "&amp;$F1959)</f>
        <v/>
      </c>
      <c r="H1959" s="37"/>
      <c r="I1959" s="38"/>
      <c r="J1959" s="37"/>
      <c r="K1959" s="39"/>
      <c r="L1959" s="41"/>
      <c r="M1959" s="36" t="str">
        <f aca="true">IF(OR($B1959="",$L1959=""),"",DATEDIF($L1959,TODAY(),"Y"))</f>
        <v/>
      </c>
      <c r="N1959" s="40" t="str">
        <f aca="false">IF($M1959="","",INDEX(usia_label,MATCH($M1959,usia_min,1)))</f>
        <v/>
      </c>
      <c r="O1959" s="37"/>
      <c r="P1959" s="41"/>
      <c r="Q1959" s="37"/>
      <c r="R1959" s="37"/>
      <c r="S1959" s="40" t="str">
        <f aca="false">IF($G1959="","",$G1959&amp;"#"&amp;COUNTIF($G$4:$G1959,$G1959))</f>
        <v/>
      </c>
      <c r="T1959" s="40" t="str">
        <f aca="false">IF($B1959="","",IF($C1959="","NIK kosong",IF(LEN($C1959)&lt;&gt;16,"NIK bukan 16 digit",IF(COUNTIF($C$4:$C$2003,$C1959&amp;"*")&gt;1,"NIK ganda",IF($E1959="","Kadus kosong",IF($F1959="","RT kosong",IF($H1959="","Jabatan kosong",IF($I1959="","No. HP kosong",IF($J1959="","Alamat kosong",IF(AND($M1959&lt;&gt;"",$M1959&lt;17),"Usia di bawah 17",""))))))))))</f>
        <v/>
      </c>
      <c r="U1959" s="40" t="str">
        <f aca="false">IF($B1959="","",IF(AND(OR(CARI!$C$5="",ISNUMBER(SEARCH(CARI!$C$5,$B1959&amp;" "&amp;$C1959&amp;" "&amp;$I1959&amp;" "&amp;$J1959&amp;" "&amp;$Q1959))),OR(CARI!$C$6="",$E1959=CARI!$C$6),OR(CARI!$C$7="",$F1959=CARI!$C$7),OR(CARI!$C$8="",$O1959=CARI!$C$8)),MAX($U$3:U1958)+1,""))</f>
        <v/>
      </c>
      <c r="V1959" s="40" t="str">
        <f aca="false">IF($T1959="","",MAX($V$3:V1958)+1)</f>
        <v/>
      </c>
      <c r="W1959" s="40" t="str">
        <f aca="false">IF($E1959="","",$E1959&amp;"#"&amp;COUNTIF($E$4:$E1959,$E1959))</f>
        <v/>
      </c>
      <c r="X1959" s="40" t="str">
        <f aca="false">IF($B1959="","",IF(AND(OR(CETAK!$J$10="",$E1959=CETAK!$J$10),OR(CETAK!$J$11="",$F1959=CETAK!$J$11),OR(CETAK!$J$12="",$K1959=CETAK!$J$12),OR(CETAK!$J$13="",$H1959=CETAK!$J$13),OR(CETAK!$J$14="",$O1959=CETAK!$J$14)),MAX($X$3:X1958)+1,""))</f>
        <v/>
      </c>
      <c r="Y1959" s="40" t="str">
        <f aca="false">IF($B1959="","",IF(AND(OR(ABSENSI!$H$10="",$E1959=ABSENSI!$H$10),OR(ABSENSI!$H$11="",$F1959=ABSENSI!$H$11),OR(ABSENSI!$H$12="",$K1959=ABSENSI!$H$12)),MAX($Y$3:Y1958)+1,""))</f>
        <v/>
      </c>
      <c r="Z1959" s="40" t="str">
        <f aca="false">IF($B1959="","",IF(AND(OR(KARTU!$K$6="",$E1959=KARTU!$K$6),OR(KARTU!$K$7="",$F1959=KARTU!$K$7),OR(KARTU!$K$8="",$K1959=KARTU!$K$8)),MAX($Z$3:Z1958)+1,""))</f>
        <v/>
      </c>
    </row>
    <row r="1960" customFormat="false" ht="15" hidden="false" customHeight="false" outlineLevel="0" collapsed="false">
      <c r="A1960" s="36" t="str">
        <f aca="false">IF($B1960="","",COUNTA($B$4:$B1960))</f>
        <v/>
      </c>
      <c r="B1960" s="37"/>
      <c r="C1960" s="38"/>
      <c r="D1960" s="39"/>
      <c r="E1960" s="37"/>
      <c r="F1960" s="39"/>
      <c r="G1960" s="40" t="str">
        <f aca="false">IF(OR($E1960="",$F1960=""),"",$E1960&amp;" - RT "&amp;$F1960)</f>
        <v/>
      </c>
      <c r="H1960" s="37"/>
      <c r="I1960" s="38"/>
      <c r="J1960" s="37"/>
      <c r="K1960" s="39"/>
      <c r="L1960" s="41"/>
      <c r="M1960" s="36" t="str">
        <f aca="true">IF(OR($B1960="",$L1960=""),"",DATEDIF($L1960,TODAY(),"Y"))</f>
        <v/>
      </c>
      <c r="N1960" s="40" t="str">
        <f aca="false">IF($M1960="","",INDEX(usia_label,MATCH($M1960,usia_min,1)))</f>
        <v/>
      </c>
      <c r="O1960" s="37"/>
      <c r="P1960" s="41"/>
      <c r="Q1960" s="37"/>
      <c r="R1960" s="37"/>
      <c r="S1960" s="40" t="str">
        <f aca="false">IF($G1960="","",$G1960&amp;"#"&amp;COUNTIF($G$4:$G1960,$G1960))</f>
        <v/>
      </c>
      <c r="T1960" s="40" t="str">
        <f aca="false">IF($B1960="","",IF($C1960="","NIK kosong",IF(LEN($C1960)&lt;&gt;16,"NIK bukan 16 digit",IF(COUNTIF($C$4:$C$2003,$C1960&amp;"*")&gt;1,"NIK ganda",IF($E1960="","Kadus kosong",IF($F1960="","RT kosong",IF($H1960="","Jabatan kosong",IF($I1960="","No. HP kosong",IF($J1960="","Alamat kosong",IF(AND($M1960&lt;&gt;"",$M1960&lt;17),"Usia di bawah 17",""))))))))))</f>
        <v/>
      </c>
      <c r="U1960" s="40" t="str">
        <f aca="false">IF($B1960="","",IF(AND(OR(CARI!$C$5="",ISNUMBER(SEARCH(CARI!$C$5,$B1960&amp;" "&amp;$C1960&amp;" "&amp;$I1960&amp;" "&amp;$J1960&amp;" "&amp;$Q1960))),OR(CARI!$C$6="",$E1960=CARI!$C$6),OR(CARI!$C$7="",$F1960=CARI!$C$7),OR(CARI!$C$8="",$O1960=CARI!$C$8)),MAX($U$3:U1959)+1,""))</f>
        <v/>
      </c>
      <c r="V1960" s="40" t="str">
        <f aca="false">IF($T1960="","",MAX($V$3:V1959)+1)</f>
        <v/>
      </c>
      <c r="W1960" s="40" t="str">
        <f aca="false">IF($E1960="","",$E1960&amp;"#"&amp;COUNTIF($E$4:$E1960,$E1960))</f>
        <v/>
      </c>
      <c r="X1960" s="40" t="str">
        <f aca="false">IF($B1960="","",IF(AND(OR(CETAK!$J$10="",$E1960=CETAK!$J$10),OR(CETAK!$J$11="",$F1960=CETAK!$J$11),OR(CETAK!$J$12="",$K1960=CETAK!$J$12),OR(CETAK!$J$13="",$H1960=CETAK!$J$13),OR(CETAK!$J$14="",$O1960=CETAK!$J$14)),MAX($X$3:X1959)+1,""))</f>
        <v/>
      </c>
      <c r="Y1960" s="40" t="str">
        <f aca="false">IF($B1960="","",IF(AND(OR(ABSENSI!$H$10="",$E1960=ABSENSI!$H$10),OR(ABSENSI!$H$11="",$F1960=ABSENSI!$H$11),OR(ABSENSI!$H$12="",$K1960=ABSENSI!$H$12)),MAX($Y$3:Y1959)+1,""))</f>
        <v/>
      </c>
      <c r="Z1960" s="40" t="str">
        <f aca="false">IF($B1960="","",IF(AND(OR(KARTU!$K$6="",$E1960=KARTU!$K$6),OR(KARTU!$K$7="",$F1960=KARTU!$K$7),OR(KARTU!$K$8="",$K1960=KARTU!$K$8)),MAX($Z$3:Z1959)+1,""))</f>
        <v/>
      </c>
    </row>
    <row r="1961" customFormat="false" ht="15" hidden="false" customHeight="false" outlineLevel="0" collapsed="false">
      <c r="A1961" s="36" t="str">
        <f aca="false">IF($B1961="","",COUNTA($B$4:$B1961))</f>
        <v/>
      </c>
      <c r="B1961" s="37"/>
      <c r="C1961" s="38"/>
      <c r="D1961" s="39"/>
      <c r="E1961" s="37"/>
      <c r="F1961" s="39"/>
      <c r="G1961" s="40" t="str">
        <f aca="false">IF(OR($E1961="",$F1961=""),"",$E1961&amp;" - RT "&amp;$F1961)</f>
        <v/>
      </c>
      <c r="H1961" s="37"/>
      <c r="I1961" s="38"/>
      <c r="J1961" s="37"/>
      <c r="K1961" s="39"/>
      <c r="L1961" s="41"/>
      <c r="M1961" s="36" t="str">
        <f aca="true">IF(OR($B1961="",$L1961=""),"",DATEDIF($L1961,TODAY(),"Y"))</f>
        <v/>
      </c>
      <c r="N1961" s="40" t="str">
        <f aca="false">IF($M1961="","",INDEX(usia_label,MATCH($M1961,usia_min,1)))</f>
        <v/>
      </c>
      <c r="O1961" s="37"/>
      <c r="P1961" s="41"/>
      <c r="Q1961" s="37"/>
      <c r="R1961" s="37"/>
      <c r="S1961" s="40" t="str">
        <f aca="false">IF($G1961="","",$G1961&amp;"#"&amp;COUNTIF($G$4:$G1961,$G1961))</f>
        <v/>
      </c>
      <c r="T1961" s="40" t="str">
        <f aca="false">IF($B1961="","",IF($C1961="","NIK kosong",IF(LEN($C1961)&lt;&gt;16,"NIK bukan 16 digit",IF(COUNTIF($C$4:$C$2003,$C1961&amp;"*")&gt;1,"NIK ganda",IF($E1961="","Kadus kosong",IF($F1961="","RT kosong",IF($H1961="","Jabatan kosong",IF($I1961="","No. HP kosong",IF($J1961="","Alamat kosong",IF(AND($M1961&lt;&gt;"",$M1961&lt;17),"Usia di bawah 17",""))))))))))</f>
        <v/>
      </c>
      <c r="U1961" s="40" t="str">
        <f aca="false">IF($B1961="","",IF(AND(OR(CARI!$C$5="",ISNUMBER(SEARCH(CARI!$C$5,$B1961&amp;" "&amp;$C1961&amp;" "&amp;$I1961&amp;" "&amp;$J1961&amp;" "&amp;$Q1961))),OR(CARI!$C$6="",$E1961=CARI!$C$6),OR(CARI!$C$7="",$F1961=CARI!$C$7),OR(CARI!$C$8="",$O1961=CARI!$C$8)),MAX($U$3:U1960)+1,""))</f>
        <v/>
      </c>
      <c r="V1961" s="40" t="str">
        <f aca="false">IF($T1961="","",MAX($V$3:V1960)+1)</f>
        <v/>
      </c>
      <c r="W1961" s="40" t="str">
        <f aca="false">IF($E1961="","",$E1961&amp;"#"&amp;COUNTIF($E$4:$E1961,$E1961))</f>
        <v/>
      </c>
      <c r="X1961" s="40" t="str">
        <f aca="false">IF($B1961="","",IF(AND(OR(CETAK!$J$10="",$E1961=CETAK!$J$10),OR(CETAK!$J$11="",$F1961=CETAK!$J$11),OR(CETAK!$J$12="",$K1961=CETAK!$J$12),OR(CETAK!$J$13="",$H1961=CETAK!$J$13),OR(CETAK!$J$14="",$O1961=CETAK!$J$14)),MAX($X$3:X1960)+1,""))</f>
        <v/>
      </c>
      <c r="Y1961" s="40" t="str">
        <f aca="false">IF($B1961="","",IF(AND(OR(ABSENSI!$H$10="",$E1961=ABSENSI!$H$10),OR(ABSENSI!$H$11="",$F1961=ABSENSI!$H$11),OR(ABSENSI!$H$12="",$K1961=ABSENSI!$H$12)),MAX($Y$3:Y1960)+1,""))</f>
        <v/>
      </c>
      <c r="Z1961" s="40" t="str">
        <f aca="false">IF($B1961="","",IF(AND(OR(KARTU!$K$6="",$E1961=KARTU!$K$6),OR(KARTU!$K$7="",$F1961=KARTU!$K$7),OR(KARTU!$K$8="",$K1961=KARTU!$K$8)),MAX($Z$3:Z1960)+1,""))</f>
        <v/>
      </c>
    </row>
    <row r="1962" customFormat="false" ht="15" hidden="false" customHeight="false" outlineLevel="0" collapsed="false">
      <c r="A1962" s="36" t="str">
        <f aca="false">IF($B1962="","",COUNTA($B$4:$B1962))</f>
        <v/>
      </c>
      <c r="B1962" s="37"/>
      <c r="C1962" s="38"/>
      <c r="D1962" s="39"/>
      <c r="E1962" s="37"/>
      <c r="F1962" s="39"/>
      <c r="G1962" s="40" t="str">
        <f aca="false">IF(OR($E1962="",$F1962=""),"",$E1962&amp;" - RT "&amp;$F1962)</f>
        <v/>
      </c>
      <c r="H1962" s="37"/>
      <c r="I1962" s="38"/>
      <c r="J1962" s="37"/>
      <c r="K1962" s="39"/>
      <c r="L1962" s="41"/>
      <c r="M1962" s="36" t="str">
        <f aca="true">IF(OR($B1962="",$L1962=""),"",DATEDIF($L1962,TODAY(),"Y"))</f>
        <v/>
      </c>
      <c r="N1962" s="40" t="str">
        <f aca="false">IF($M1962="","",INDEX(usia_label,MATCH($M1962,usia_min,1)))</f>
        <v/>
      </c>
      <c r="O1962" s="37"/>
      <c r="P1962" s="41"/>
      <c r="Q1962" s="37"/>
      <c r="R1962" s="37"/>
      <c r="S1962" s="40" t="str">
        <f aca="false">IF($G1962="","",$G1962&amp;"#"&amp;COUNTIF($G$4:$G1962,$G1962))</f>
        <v/>
      </c>
      <c r="T1962" s="40" t="str">
        <f aca="false">IF($B1962="","",IF($C1962="","NIK kosong",IF(LEN($C1962)&lt;&gt;16,"NIK bukan 16 digit",IF(COUNTIF($C$4:$C$2003,$C1962&amp;"*")&gt;1,"NIK ganda",IF($E1962="","Kadus kosong",IF($F1962="","RT kosong",IF($H1962="","Jabatan kosong",IF($I1962="","No. HP kosong",IF($J1962="","Alamat kosong",IF(AND($M1962&lt;&gt;"",$M1962&lt;17),"Usia di bawah 17",""))))))))))</f>
        <v/>
      </c>
      <c r="U1962" s="40" t="str">
        <f aca="false">IF($B1962="","",IF(AND(OR(CARI!$C$5="",ISNUMBER(SEARCH(CARI!$C$5,$B1962&amp;" "&amp;$C1962&amp;" "&amp;$I1962&amp;" "&amp;$J1962&amp;" "&amp;$Q1962))),OR(CARI!$C$6="",$E1962=CARI!$C$6),OR(CARI!$C$7="",$F1962=CARI!$C$7),OR(CARI!$C$8="",$O1962=CARI!$C$8)),MAX($U$3:U1961)+1,""))</f>
        <v/>
      </c>
      <c r="V1962" s="40" t="str">
        <f aca="false">IF($T1962="","",MAX($V$3:V1961)+1)</f>
        <v/>
      </c>
      <c r="W1962" s="40" t="str">
        <f aca="false">IF($E1962="","",$E1962&amp;"#"&amp;COUNTIF($E$4:$E1962,$E1962))</f>
        <v/>
      </c>
      <c r="X1962" s="40" t="str">
        <f aca="false">IF($B1962="","",IF(AND(OR(CETAK!$J$10="",$E1962=CETAK!$J$10),OR(CETAK!$J$11="",$F1962=CETAK!$J$11),OR(CETAK!$J$12="",$K1962=CETAK!$J$12),OR(CETAK!$J$13="",$H1962=CETAK!$J$13),OR(CETAK!$J$14="",$O1962=CETAK!$J$14)),MAX($X$3:X1961)+1,""))</f>
        <v/>
      </c>
      <c r="Y1962" s="40" t="str">
        <f aca="false">IF($B1962="","",IF(AND(OR(ABSENSI!$H$10="",$E1962=ABSENSI!$H$10),OR(ABSENSI!$H$11="",$F1962=ABSENSI!$H$11),OR(ABSENSI!$H$12="",$K1962=ABSENSI!$H$12)),MAX($Y$3:Y1961)+1,""))</f>
        <v/>
      </c>
      <c r="Z1962" s="40" t="str">
        <f aca="false">IF($B1962="","",IF(AND(OR(KARTU!$K$6="",$E1962=KARTU!$K$6),OR(KARTU!$K$7="",$F1962=KARTU!$K$7),OR(KARTU!$K$8="",$K1962=KARTU!$K$8)),MAX($Z$3:Z1961)+1,""))</f>
        <v/>
      </c>
    </row>
    <row r="1963" customFormat="false" ht="15" hidden="false" customHeight="false" outlineLevel="0" collapsed="false">
      <c r="A1963" s="36" t="str">
        <f aca="false">IF($B1963="","",COUNTA($B$4:$B1963))</f>
        <v/>
      </c>
      <c r="B1963" s="37"/>
      <c r="C1963" s="38"/>
      <c r="D1963" s="39"/>
      <c r="E1963" s="37"/>
      <c r="F1963" s="39"/>
      <c r="G1963" s="40" t="str">
        <f aca="false">IF(OR($E1963="",$F1963=""),"",$E1963&amp;" - RT "&amp;$F1963)</f>
        <v/>
      </c>
      <c r="H1963" s="37"/>
      <c r="I1963" s="38"/>
      <c r="J1963" s="37"/>
      <c r="K1963" s="39"/>
      <c r="L1963" s="41"/>
      <c r="M1963" s="36" t="str">
        <f aca="true">IF(OR($B1963="",$L1963=""),"",DATEDIF($L1963,TODAY(),"Y"))</f>
        <v/>
      </c>
      <c r="N1963" s="40" t="str">
        <f aca="false">IF($M1963="","",INDEX(usia_label,MATCH($M1963,usia_min,1)))</f>
        <v/>
      </c>
      <c r="O1963" s="37"/>
      <c r="P1963" s="41"/>
      <c r="Q1963" s="37"/>
      <c r="R1963" s="37"/>
      <c r="S1963" s="40" t="str">
        <f aca="false">IF($G1963="","",$G1963&amp;"#"&amp;COUNTIF($G$4:$G1963,$G1963))</f>
        <v/>
      </c>
      <c r="T1963" s="40" t="str">
        <f aca="false">IF($B1963="","",IF($C1963="","NIK kosong",IF(LEN($C1963)&lt;&gt;16,"NIK bukan 16 digit",IF(COUNTIF($C$4:$C$2003,$C1963&amp;"*")&gt;1,"NIK ganda",IF($E1963="","Kadus kosong",IF($F1963="","RT kosong",IF($H1963="","Jabatan kosong",IF($I1963="","No. HP kosong",IF($J1963="","Alamat kosong",IF(AND($M1963&lt;&gt;"",$M1963&lt;17),"Usia di bawah 17",""))))))))))</f>
        <v/>
      </c>
      <c r="U1963" s="40" t="str">
        <f aca="false">IF($B1963="","",IF(AND(OR(CARI!$C$5="",ISNUMBER(SEARCH(CARI!$C$5,$B1963&amp;" "&amp;$C1963&amp;" "&amp;$I1963&amp;" "&amp;$J1963&amp;" "&amp;$Q1963))),OR(CARI!$C$6="",$E1963=CARI!$C$6),OR(CARI!$C$7="",$F1963=CARI!$C$7),OR(CARI!$C$8="",$O1963=CARI!$C$8)),MAX($U$3:U1962)+1,""))</f>
        <v/>
      </c>
      <c r="V1963" s="40" t="str">
        <f aca="false">IF($T1963="","",MAX($V$3:V1962)+1)</f>
        <v/>
      </c>
      <c r="W1963" s="40" t="str">
        <f aca="false">IF($E1963="","",$E1963&amp;"#"&amp;COUNTIF($E$4:$E1963,$E1963))</f>
        <v/>
      </c>
      <c r="X1963" s="40" t="str">
        <f aca="false">IF($B1963="","",IF(AND(OR(CETAK!$J$10="",$E1963=CETAK!$J$10),OR(CETAK!$J$11="",$F1963=CETAK!$J$11),OR(CETAK!$J$12="",$K1963=CETAK!$J$12),OR(CETAK!$J$13="",$H1963=CETAK!$J$13),OR(CETAK!$J$14="",$O1963=CETAK!$J$14)),MAX($X$3:X1962)+1,""))</f>
        <v/>
      </c>
      <c r="Y1963" s="40" t="str">
        <f aca="false">IF($B1963="","",IF(AND(OR(ABSENSI!$H$10="",$E1963=ABSENSI!$H$10),OR(ABSENSI!$H$11="",$F1963=ABSENSI!$H$11),OR(ABSENSI!$H$12="",$K1963=ABSENSI!$H$12)),MAX($Y$3:Y1962)+1,""))</f>
        <v/>
      </c>
      <c r="Z1963" s="40" t="str">
        <f aca="false">IF($B1963="","",IF(AND(OR(KARTU!$K$6="",$E1963=KARTU!$K$6),OR(KARTU!$K$7="",$F1963=KARTU!$K$7),OR(KARTU!$K$8="",$K1963=KARTU!$K$8)),MAX($Z$3:Z1962)+1,""))</f>
        <v/>
      </c>
    </row>
    <row r="1964" customFormat="false" ht="15" hidden="false" customHeight="false" outlineLevel="0" collapsed="false">
      <c r="A1964" s="36" t="str">
        <f aca="false">IF($B1964="","",COUNTA($B$4:$B1964))</f>
        <v/>
      </c>
      <c r="B1964" s="37"/>
      <c r="C1964" s="38"/>
      <c r="D1964" s="39"/>
      <c r="E1964" s="37"/>
      <c r="F1964" s="39"/>
      <c r="G1964" s="40" t="str">
        <f aca="false">IF(OR($E1964="",$F1964=""),"",$E1964&amp;" - RT "&amp;$F1964)</f>
        <v/>
      </c>
      <c r="H1964" s="37"/>
      <c r="I1964" s="38"/>
      <c r="J1964" s="37"/>
      <c r="K1964" s="39"/>
      <c r="L1964" s="41"/>
      <c r="M1964" s="36" t="str">
        <f aca="true">IF(OR($B1964="",$L1964=""),"",DATEDIF($L1964,TODAY(),"Y"))</f>
        <v/>
      </c>
      <c r="N1964" s="40" t="str">
        <f aca="false">IF($M1964="","",INDEX(usia_label,MATCH($M1964,usia_min,1)))</f>
        <v/>
      </c>
      <c r="O1964" s="37"/>
      <c r="P1964" s="41"/>
      <c r="Q1964" s="37"/>
      <c r="R1964" s="37"/>
      <c r="S1964" s="40" t="str">
        <f aca="false">IF($G1964="","",$G1964&amp;"#"&amp;COUNTIF($G$4:$G1964,$G1964))</f>
        <v/>
      </c>
      <c r="T1964" s="40" t="str">
        <f aca="false">IF($B1964="","",IF($C1964="","NIK kosong",IF(LEN($C1964)&lt;&gt;16,"NIK bukan 16 digit",IF(COUNTIF($C$4:$C$2003,$C1964&amp;"*")&gt;1,"NIK ganda",IF($E1964="","Kadus kosong",IF($F1964="","RT kosong",IF($H1964="","Jabatan kosong",IF($I1964="","No. HP kosong",IF($J1964="","Alamat kosong",IF(AND($M1964&lt;&gt;"",$M1964&lt;17),"Usia di bawah 17",""))))))))))</f>
        <v/>
      </c>
      <c r="U1964" s="40" t="str">
        <f aca="false">IF($B1964="","",IF(AND(OR(CARI!$C$5="",ISNUMBER(SEARCH(CARI!$C$5,$B1964&amp;" "&amp;$C1964&amp;" "&amp;$I1964&amp;" "&amp;$J1964&amp;" "&amp;$Q1964))),OR(CARI!$C$6="",$E1964=CARI!$C$6),OR(CARI!$C$7="",$F1964=CARI!$C$7),OR(CARI!$C$8="",$O1964=CARI!$C$8)),MAX($U$3:U1963)+1,""))</f>
        <v/>
      </c>
      <c r="V1964" s="40" t="str">
        <f aca="false">IF($T1964="","",MAX($V$3:V1963)+1)</f>
        <v/>
      </c>
      <c r="W1964" s="40" t="str">
        <f aca="false">IF($E1964="","",$E1964&amp;"#"&amp;COUNTIF($E$4:$E1964,$E1964))</f>
        <v/>
      </c>
      <c r="X1964" s="40" t="str">
        <f aca="false">IF($B1964="","",IF(AND(OR(CETAK!$J$10="",$E1964=CETAK!$J$10),OR(CETAK!$J$11="",$F1964=CETAK!$J$11),OR(CETAK!$J$12="",$K1964=CETAK!$J$12),OR(CETAK!$J$13="",$H1964=CETAK!$J$13),OR(CETAK!$J$14="",$O1964=CETAK!$J$14)),MAX($X$3:X1963)+1,""))</f>
        <v/>
      </c>
      <c r="Y1964" s="40" t="str">
        <f aca="false">IF($B1964="","",IF(AND(OR(ABSENSI!$H$10="",$E1964=ABSENSI!$H$10),OR(ABSENSI!$H$11="",$F1964=ABSENSI!$H$11),OR(ABSENSI!$H$12="",$K1964=ABSENSI!$H$12)),MAX($Y$3:Y1963)+1,""))</f>
        <v/>
      </c>
      <c r="Z1964" s="40" t="str">
        <f aca="false">IF($B1964="","",IF(AND(OR(KARTU!$K$6="",$E1964=KARTU!$K$6),OR(KARTU!$K$7="",$F1964=KARTU!$K$7),OR(KARTU!$K$8="",$K1964=KARTU!$K$8)),MAX($Z$3:Z1963)+1,""))</f>
        <v/>
      </c>
    </row>
    <row r="1965" customFormat="false" ht="15" hidden="false" customHeight="false" outlineLevel="0" collapsed="false">
      <c r="A1965" s="36" t="str">
        <f aca="false">IF($B1965="","",COUNTA($B$4:$B1965))</f>
        <v/>
      </c>
      <c r="B1965" s="37"/>
      <c r="C1965" s="38"/>
      <c r="D1965" s="39"/>
      <c r="E1965" s="37"/>
      <c r="F1965" s="39"/>
      <c r="G1965" s="40" t="str">
        <f aca="false">IF(OR($E1965="",$F1965=""),"",$E1965&amp;" - RT "&amp;$F1965)</f>
        <v/>
      </c>
      <c r="H1965" s="37"/>
      <c r="I1965" s="38"/>
      <c r="J1965" s="37"/>
      <c r="K1965" s="39"/>
      <c r="L1965" s="41"/>
      <c r="M1965" s="36" t="str">
        <f aca="true">IF(OR($B1965="",$L1965=""),"",DATEDIF($L1965,TODAY(),"Y"))</f>
        <v/>
      </c>
      <c r="N1965" s="40" t="str">
        <f aca="false">IF($M1965="","",INDEX(usia_label,MATCH($M1965,usia_min,1)))</f>
        <v/>
      </c>
      <c r="O1965" s="37"/>
      <c r="P1965" s="41"/>
      <c r="Q1965" s="37"/>
      <c r="R1965" s="37"/>
      <c r="S1965" s="40" t="str">
        <f aca="false">IF($G1965="","",$G1965&amp;"#"&amp;COUNTIF($G$4:$G1965,$G1965))</f>
        <v/>
      </c>
      <c r="T1965" s="40" t="str">
        <f aca="false">IF($B1965="","",IF($C1965="","NIK kosong",IF(LEN($C1965)&lt;&gt;16,"NIK bukan 16 digit",IF(COUNTIF($C$4:$C$2003,$C1965&amp;"*")&gt;1,"NIK ganda",IF($E1965="","Kadus kosong",IF($F1965="","RT kosong",IF($H1965="","Jabatan kosong",IF($I1965="","No. HP kosong",IF($J1965="","Alamat kosong",IF(AND($M1965&lt;&gt;"",$M1965&lt;17),"Usia di bawah 17",""))))))))))</f>
        <v/>
      </c>
      <c r="U1965" s="40" t="str">
        <f aca="false">IF($B1965="","",IF(AND(OR(CARI!$C$5="",ISNUMBER(SEARCH(CARI!$C$5,$B1965&amp;" "&amp;$C1965&amp;" "&amp;$I1965&amp;" "&amp;$J1965&amp;" "&amp;$Q1965))),OR(CARI!$C$6="",$E1965=CARI!$C$6),OR(CARI!$C$7="",$F1965=CARI!$C$7),OR(CARI!$C$8="",$O1965=CARI!$C$8)),MAX($U$3:U1964)+1,""))</f>
        <v/>
      </c>
      <c r="V1965" s="40" t="str">
        <f aca="false">IF($T1965="","",MAX($V$3:V1964)+1)</f>
        <v/>
      </c>
      <c r="W1965" s="40" t="str">
        <f aca="false">IF($E1965="","",$E1965&amp;"#"&amp;COUNTIF($E$4:$E1965,$E1965))</f>
        <v/>
      </c>
      <c r="X1965" s="40" t="str">
        <f aca="false">IF($B1965="","",IF(AND(OR(CETAK!$J$10="",$E1965=CETAK!$J$10),OR(CETAK!$J$11="",$F1965=CETAK!$J$11),OR(CETAK!$J$12="",$K1965=CETAK!$J$12),OR(CETAK!$J$13="",$H1965=CETAK!$J$13),OR(CETAK!$J$14="",$O1965=CETAK!$J$14)),MAX($X$3:X1964)+1,""))</f>
        <v/>
      </c>
      <c r="Y1965" s="40" t="str">
        <f aca="false">IF($B1965="","",IF(AND(OR(ABSENSI!$H$10="",$E1965=ABSENSI!$H$10),OR(ABSENSI!$H$11="",$F1965=ABSENSI!$H$11),OR(ABSENSI!$H$12="",$K1965=ABSENSI!$H$12)),MAX($Y$3:Y1964)+1,""))</f>
        <v/>
      </c>
      <c r="Z1965" s="40" t="str">
        <f aca="false">IF($B1965="","",IF(AND(OR(KARTU!$K$6="",$E1965=KARTU!$K$6),OR(KARTU!$K$7="",$F1965=KARTU!$K$7),OR(KARTU!$K$8="",$K1965=KARTU!$K$8)),MAX($Z$3:Z1964)+1,""))</f>
        <v/>
      </c>
    </row>
    <row r="1966" customFormat="false" ht="15" hidden="false" customHeight="false" outlineLevel="0" collapsed="false">
      <c r="A1966" s="36" t="str">
        <f aca="false">IF($B1966="","",COUNTA($B$4:$B1966))</f>
        <v/>
      </c>
      <c r="B1966" s="37"/>
      <c r="C1966" s="38"/>
      <c r="D1966" s="39"/>
      <c r="E1966" s="37"/>
      <c r="F1966" s="39"/>
      <c r="G1966" s="40" t="str">
        <f aca="false">IF(OR($E1966="",$F1966=""),"",$E1966&amp;" - RT "&amp;$F1966)</f>
        <v/>
      </c>
      <c r="H1966" s="37"/>
      <c r="I1966" s="38"/>
      <c r="J1966" s="37"/>
      <c r="K1966" s="39"/>
      <c r="L1966" s="41"/>
      <c r="M1966" s="36" t="str">
        <f aca="true">IF(OR($B1966="",$L1966=""),"",DATEDIF($L1966,TODAY(),"Y"))</f>
        <v/>
      </c>
      <c r="N1966" s="40" t="str">
        <f aca="false">IF($M1966="","",INDEX(usia_label,MATCH($M1966,usia_min,1)))</f>
        <v/>
      </c>
      <c r="O1966" s="37"/>
      <c r="P1966" s="41"/>
      <c r="Q1966" s="37"/>
      <c r="R1966" s="37"/>
      <c r="S1966" s="40" t="str">
        <f aca="false">IF($G1966="","",$G1966&amp;"#"&amp;COUNTIF($G$4:$G1966,$G1966))</f>
        <v/>
      </c>
      <c r="T1966" s="40" t="str">
        <f aca="false">IF($B1966="","",IF($C1966="","NIK kosong",IF(LEN($C1966)&lt;&gt;16,"NIK bukan 16 digit",IF(COUNTIF($C$4:$C$2003,$C1966&amp;"*")&gt;1,"NIK ganda",IF($E1966="","Kadus kosong",IF($F1966="","RT kosong",IF($H1966="","Jabatan kosong",IF($I1966="","No. HP kosong",IF($J1966="","Alamat kosong",IF(AND($M1966&lt;&gt;"",$M1966&lt;17),"Usia di bawah 17",""))))))))))</f>
        <v/>
      </c>
      <c r="U1966" s="40" t="str">
        <f aca="false">IF($B1966="","",IF(AND(OR(CARI!$C$5="",ISNUMBER(SEARCH(CARI!$C$5,$B1966&amp;" "&amp;$C1966&amp;" "&amp;$I1966&amp;" "&amp;$J1966&amp;" "&amp;$Q1966))),OR(CARI!$C$6="",$E1966=CARI!$C$6),OR(CARI!$C$7="",$F1966=CARI!$C$7),OR(CARI!$C$8="",$O1966=CARI!$C$8)),MAX($U$3:U1965)+1,""))</f>
        <v/>
      </c>
      <c r="V1966" s="40" t="str">
        <f aca="false">IF($T1966="","",MAX($V$3:V1965)+1)</f>
        <v/>
      </c>
      <c r="W1966" s="40" t="str">
        <f aca="false">IF($E1966="","",$E1966&amp;"#"&amp;COUNTIF($E$4:$E1966,$E1966))</f>
        <v/>
      </c>
      <c r="X1966" s="40" t="str">
        <f aca="false">IF($B1966="","",IF(AND(OR(CETAK!$J$10="",$E1966=CETAK!$J$10),OR(CETAK!$J$11="",$F1966=CETAK!$J$11),OR(CETAK!$J$12="",$K1966=CETAK!$J$12),OR(CETAK!$J$13="",$H1966=CETAK!$J$13),OR(CETAK!$J$14="",$O1966=CETAK!$J$14)),MAX($X$3:X1965)+1,""))</f>
        <v/>
      </c>
      <c r="Y1966" s="40" t="str">
        <f aca="false">IF($B1966="","",IF(AND(OR(ABSENSI!$H$10="",$E1966=ABSENSI!$H$10),OR(ABSENSI!$H$11="",$F1966=ABSENSI!$H$11),OR(ABSENSI!$H$12="",$K1966=ABSENSI!$H$12)),MAX($Y$3:Y1965)+1,""))</f>
        <v/>
      </c>
      <c r="Z1966" s="40" t="str">
        <f aca="false">IF($B1966="","",IF(AND(OR(KARTU!$K$6="",$E1966=KARTU!$K$6),OR(KARTU!$K$7="",$F1966=KARTU!$K$7),OR(KARTU!$K$8="",$K1966=KARTU!$K$8)),MAX($Z$3:Z1965)+1,""))</f>
        <v/>
      </c>
    </row>
    <row r="1967" customFormat="false" ht="15" hidden="false" customHeight="false" outlineLevel="0" collapsed="false">
      <c r="A1967" s="36" t="str">
        <f aca="false">IF($B1967="","",COUNTA($B$4:$B1967))</f>
        <v/>
      </c>
      <c r="B1967" s="37"/>
      <c r="C1967" s="38"/>
      <c r="D1967" s="39"/>
      <c r="E1967" s="37"/>
      <c r="F1967" s="39"/>
      <c r="G1967" s="40" t="str">
        <f aca="false">IF(OR($E1967="",$F1967=""),"",$E1967&amp;" - RT "&amp;$F1967)</f>
        <v/>
      </c>
      <c r="H1967" s="37"/>
      <c r="I1967" s="38"/>
      <c r="J1967" s="37"/>
      <c r="K1967" s="39"/>
      <c r="L1967" s="41"/>
      <c r="M1967" s="36" t="str">
        <f aca="true">IF(OR($B1967="",$L1967=""),"",DATEDIF($L1967,TODAY(),"Y"))</f>
        <v/>
      </c>
      <c r="N1967" s="40" t="str">
        <f aca="false">IF($M1967="","",INDEX(usia_label,MATCH($M1967,usia_min,1)))</f>
        <v/>
      </c>
      <c r="O1967" s="37"/>
      <c r="P1967" s="41"/>
      <c r="Q1967" s="37"/>
      <c r="R1967" s="37"/>
      <c r="S1967" s="40" t="str">
        <f aca="false">IF($G1967="","",$G1967&amp;"#"&amp;COUNTIF($G$4:$G1967,$G1967))</f>
        <v/>
      </c>
      <c r="T1967" s="40" t="str">
        <f aca="false">IF($B1967="","",IF($C1967="","NIK kosong",IF(LEN($C1967)&lt;&gt;16,"NIK bukan 16 digit",IF(COUNTIF($C$4:$C$2003,$C1967&amp;"*")&gt;1,"NIK ganda",IF($E1967="","Kadus kosong",IF($F1967="","RT kosong",IF($H1967="","Jabatan kosong",IF($I1967="","No. HP kosong",IF($J1967="","Alamat kosong",IF(AND($M1967&lt;&gt;"",$M1967&lt;17),"Usia di bawah 17",""))))))))))</f>
        <v/>
      </c>
      <c r="U1967" s="40" t="str">
        <f aca="false">IF($B1967="","",IF(AND(OR(CARI!$C$5="",ISNUMBER(SEARCH(CARI!$C$5,$B1967&amp;" "&amp;$C1967&amp;" "&amp;$I1967&amp;" "&amp;$J1967&amp;" "&amp;$Q1967))),OR(CARI!$C$6="",$E1967=CARI!$C$6),OR(CARI!$C$7="",$F1967=CARI!$C$7),OR(CARI!$C$8="",$O1967=CARI!$C$8)),MAX($U$3:U1966)+1,""))</f>
        <v/>
      </c>
      <c r="V1967" s="40" t="str">
        <f aca="false">IF($T1967="","",MAX($V$3:V1966)+1)</f>
        <v/>
      </c>
      <c r="W1967" s="40" t="str">
        <f aca="false">IF($E1967="","",$E1967&amp;"#"&amp;COUNTIF($E$4:$E1967,$E1967))</f>
        <v/>
      </c>
      <c r="X1967" s="40" t="str">
        <f aca="false">IF($B1967="","",IF(AND(OR(CETAK!$J$10="",$E1967=CETAK!$J$10),OR(CETAK!$J$11="",$F1967=CETAK!$J$11),OR(CETAK!$J$12="",$K1967=CETAK!$J$12),OR(CETAK!$J$13="",$H1967=CETAK!$J$13),OR(CETAK!$J$14="",$O1967=CETAK!$J$14)),MAX($X$3:X1966)+1,""))</f>
        <v/>
      </c>
      <c r="Y1967" s="40" t="str">
        <f aca="false">IF($B1967="","",IF(AND(OR(ABSENSI!$H$10="",$E1967=ABSENSI!$H$10),OR(ABSENSI!$H$11="",$F1967=ABSENSI!$H$11),OR(ABSENSI!$H$12="",$K1967=ABSENSI!$H$12)),MAX($Y$3:Y1966)+1,""))</f>
        <v/>
      </c>
      <c r="Z1967" s="40" t="str">
        <f aca="false">IF($B1967="","",IF(AND(OR(KARTU!$K$6="",$E1967=KARTU!$K$6),OR(KARTU!$K$7="",$F1967=KARTU!$K$7),OR(KARTU!$K$8="",$K1967=KARTU!$K$8)),MAX($Z$3:Z1966)+1,""))</f>
        <v/>
      </c>
    </row>
    <row r="1968" customFormat="false" ht="15" hidden="false" customHeight="false" outlineLevel="0" collapsed="false">
      <c r="A1968" s="36" t="str">
        <f aca="false">IF($B1968="","",COUNTA($B$4:$B1968))</f>
        <v/>
      </c>
      <c r="B1968" s="37"/>
      <c r="C1968" s="38"/>
      <c r="D1968" s="39"/>
      <c r="E1968" s="37"/>
      <c r="F1968" s="39"/>
      <c r="G1968" s="40" t="str">
        <f aca="false">IF(OR($E1968="",$F1968=""),"",$E1968&amp;" - RT "&amp;$F1968)</f>
        <v/>
      </c>
      <c r="H1968" s="37"/>
      <c r="I1968" s="38"/>
      <c r="J1968" s="37"/>
      <c r="K1968" s="39"/>
      <c r="L1968" s="41"/>
      <c r="M1968" s="36" t="str">
        <f aca="true">IF(OR($B1968="",$L1968=""),"",DATEDIF($L1968,TODAY(),"Y"))</f>
        <v/>
      </c>
      <c r="N1968" s="40" t="str">
        <f aca="false">IF($M1968="","",INDEX(usia_label,MATCH($M1968,usia_min,1)))</f>
        <v/>
      </c>
      <c r="O1968" s="37"/>
      <c r="P1968" s="41"/>
      <c r="Q1968" s="37"/>
      <c r="R1968" s="37"/>
      <c r="S1968" s="40" t="str">
        <f aca="false">IF($G1968="","",$G1968&amp;"#"&amp;COUNTIF($G$4:$G1968,$G1968))</f>
        <v/>
      </c>
      <c r="T1968" s="40" t="str">
        <f aca="false">IF($B1968="","",IF($C1968="","NIK kosong",IF(LEN($C1968)&lt;&gt;16,"NIK bukan 16 digit",IF(COUNTIF($C$4:$C$2003,$C1968&amp;"*")&gt;1,"NIK ganda",IF($E1968="","Kadus kosong",IF($F1968="","RT kosong",IF($H1968="","Jabatan kosong",IF($I1968="","No. HP kosong",IF($J1968="","Alamat kosong",IF(AND($M1968&lt;&gt;"",$M1968&lt;17),"Usia di bawah 17",""))))))))))</f>
        <v/>
      </c>
      <c r="U1968" s="40" t="str">
        <f aca="false">IF($B1968="","",IF(AND(OR(CARI!$C$5="",ISNUMBER(SEARCH(CARI!$C$5,$B1968&amp;" "&amp;$C1968&amp;" "&amp;$I1968&amp;" "&amp;$J1968&amp;" "&amp;$Q1968))),OR(CARI!$C$6="",$E1968=CARI!$C$6),OR(CARI!$C$7="",$F1968=CARI!$C$7),OR(CARI!$C$8="",$O1968=CARI!$C$8)),MAX($U$3:U1967)+1,""))</f>
        <v/>
      </c>
      <c r="V1968" s="40" t="str">
        <f aca="false">IF($T1968="","",MAX($V$3:V1967)+1)</f>
        <v/>
      </c>
      <c r="W1968" s="40" t="str">
        <f aca="false">IF($E1968="","",$E1968&amp;"#"&amp;COUNTIF($E$4:$E1968,$E1968))</f>
        <v/>
      </c>
      <c r="X1968" s="40" t="str">
        <f aca="false">IF($B1968="","",IF(AND(OR(CETAK!$J$10="",$E1968=CETAK!$J$10),OR(CETAK!$J$11="",$F1968=CETAK!$J$11),OR(CETAK!$J$12="",$K1968=CETAK!$J$12),OR(CETAK!$J$13="",$H1968=CETAK!$J$13),OR(CETAK!$J$14="",$O1968=CETAK!$J$14)),MAX($X$3:X1967)+1,""))</f>
        <v/>
      </c>
      <c r="Y1968" s="40" t="str">
        <f aca="false">IF($B1968="","",IF(AND(OR(ABSENSI!$H$10="",$E1968=ABSENSI!$H$10),OR(ABSENSI!$H$11="",$F1968=ABSENSI!$H$11),OR(ABSENSI!$H$12="",$K1968=ABSENSI!$H$12)),MAX($Y$3:Y1967)+1,""))</f>
        <v/>
      </c>
      <c r="Z1968" s="40" t="str">
        <f aca="false">IF($B1968="","",IF(AND(OR(KARTU!$K$6="",$E1968=KARTU!$K$6),OR(KARTU!$K$7="",$F1968=KARTU!$K$7),OR(KARTU!$K$8="",$K1968=KARTU!$K$8)),MAX($Z$3:Z1967)+1,""))</f>
        <v/>
      </c>
    </row>
    <row r="1969" customFormat="false" ht="15" hidden="false" customHeight="false" outlineLevel="0" collapsed="false">
      <c r="A1969" s="36" t="str">
        <f aca="false">IF($B1969="","",COUNTA($B$4:$B1969))</f>
        <v/>
      </c>
      <c r="B1969" s="37"/>
      <c r="C1969" s="38"/>
      <c r="D1969" s="39"/>
      <c r="E1969" s="37"/>
      <c r="F1969" s="39"/>
      <c r="G1969" s="40" t="str">
        <f aca="false">IF(OR($E1969="",$F1969=""),"",$E1969&amp;" - RT "&amp;$F1969)</f>
        <v/>
      </c>
      <c r="H1969" s="37"/>
      <c r="I1969" s="38"/>
      <c r="J1969" s="37"/>
      <c r="K1969" s="39"/>
      <c r="L1969" s="41"/>
      <c r="M1969" s="36" t="str">
        <f aca="true">IF(OR($B1969="",$L1969=""),"",DATEDIF($L1969,TODAY(),"Y"))</f>
        <v/>
      </c>
      <c r="N1969" s="40" t="str">
        <f aca="false">IF($M1969="","",INDEX(usia_label,MATCH($M1969,usia_min,1)))</f>
        <v/>
      </c>
      <c r="O1969" s="37"/>
      <c r="P1969" s="41"/>
      <c r="Q1969" s="37"/>
      <c r="R1969" s="37"/>
      <c r="S1969" s="40" t="str">
        <f aca="false">IF($G1969="","",$G1969&amp;"#"&amp;COUNTIF($G$4:$G1969,$G1969))</f>
        <v/>
      </c>
      <c r="T1969" s="40" t="str">
        <f aca="false">IF($B1969="","",IF($C1969="","NIK kosong",IF(LEN($C1969)&lt;&gt;16,"NIK bukan 16 digit",IF(COUNTIF($C$4:$C$2003,$C1969&amp;"*")&gt;1,"NIK ganda",IF($E1969="","Kadus kosong",IF($F1969="","RT kosong",IF($H1969="","Jabatan kosong",IF($I1969="","No. HP kosong",IF($J1969="","Alamat kosong",IF(AND($M1969&lt;&gt;"",$M1969&lt;17),"Usia di bawah 17",""))))))))))</f>
        <v/>
      </c>
      <c r="U1969" s="40" t="str">
        <f aca="false">IF($B1969="","",IF(AND(OR(CARI!$C$5="",ISNUMBER(SEARCH(CARI!$C$5,$B1969&amp;" "&amp;$C1969&amp;" "&amp;$I1969&amp;" "&amp;$J1969&amp;" "&amp;$Q1969))),OR(CARI!$C$6="",$E1969=CARI!$C$6),OR(CARI!$C$7="",$F1969=CARI!$C$7),OR(CARI!$C$8="",$O1969=CARI!$C$8)),MAX($U$3:U1968)+1,""))</f>
        <v/>
      </c>
      <c r="V1969" s="40" t="str">
        <f aca="false">IF($T1969="","",MAX($V$3:V1968)+1)</f>
        <v/>
      </c>
      <c r="W1969" s="40" t="str">
        <f aca="false">IF($E1969="","",$E1969&amp;"#"&amp;COUNTIF($E$4:$E1969,$E1969))</f>
        <v/>
      </c>
      <c r="X1969" s="40" t="str">
        <f aca="false">IF($B1969="","",IF(AND(OR(CETAK!$J$10="",$E1969=CETAK!$J$10),OR(CETAK!$J$11="",$F1969=CETAK!$J$11),OR(CETAK!$J$12="",$K1969=CETAK!$J$12),OR(CETAK!$J$13="",$H1969=CETAK!$J$13),OR(CETAK!$J$14="",$O1969=CETAK!$J$14)),MAX($X$3:X1968)+1,""))</f>
        <v/>
      </c>
      <c r="Y1969" s="40" t="str">
        <f aca="false">IF($B1969="","",IF(AND(OR(ABSENSI!$H$10="",$E1969=ABSENSI!$H$10),OR(ABSENSI!$H$11="",$F1969=ABSENSI!$H$11),OR(ABSENSI!$H$12="",$K1969=ABSENSI!$H$12)),MAX($Y$3:Y1968)+1,""))</f>
        <v/>
      </c>
      <c r="Z1969" s="40" t="str">
        <f aca="false">IF($B1969="","",IF(AND(OR(KARTU!$K$6="",$E1969=KARTU!$K$6),OR(KARTU!$K$7="",$F1969=KARTU!$K$7),OR(KARTU!$K$8="",$K1969=KARTU!$K$8)),MAX($Z$3:Z1968)+1,""))</f>
        <v/>
      </c>
    </row>
    <row r="1970" customFormat="false" ht="15" hidden="false" customHeight="false" outlineLevel="0" collapsed="false">
      <c r="A1970" s="36" t="str">
        <f aca="false">IF($B1970="","",COUNTA($B$4:$B1970))</f>
        <v/>
      </c>
      <c r="B1970" s="37"/>
      <c r="C1970" s="38"/>
      <c r="D1970" s="39"/>
      <c r="E1970" s="37"/>
      <c r="F1970" s="39"/>
      <c r="G1970" s="40" t="str">
        <f aca="false">IF(OR($E1970="",$F1970=""),"",$E1970&amp;" - RT "&amp;$F1970)</f>
        <v/>
      </c>
      <c r="H1970" s="37"/>
      <c r="I1970" s="38"/>
      <c r="J1970" s="37"/>
      <c r="K1970" s="39"/>
      <c r="L1970" s="41"/>
      <c r="M1970" s="36" t="str">
        <f aca="true">IF(OR($B1970="",$L1970=""),"",DATEDIF($L1970,TODAY(),"Y"))</f>
        <v/>
      </c>
      <c r="N1970" s="40" t="str">
        <f aca="false">IF($M1970="","",INDEX(usia_label,MATCH($M1970,usia_min,1)))</f>
        <v/>
      </c>
      <c r="O1970" s="37"/>
      <c r="P1970" s="41"/>
      <c r="Q1970" s="37"/>
      <c r="R1970" s="37"/>
      <c r="S1970" s="40" t="str">
        <f aca="false">IF($G1970="","",$G1970&amp;"#"&amp;COUNTIF($G$4:$G1970,$G1970))</f>
        <v/>
      </c>
      <c r="T1970" s="40" t="str">
        <f aca="false">IF($B1970="","",IF($C1970="","NIK kosong",IF(LEN($C1970)&lt;&gt;16,"NIK bukan 16 digit",IF(COUNTIF($C$4:$C$2003,$C1970&amp;"*")&gt;1,"NIK ganda",IF($E1970="","Kadus kosong",IF($F1970="","RT kosong",IF($H1970="","Jabatan kosong",IF($I1970="","No. HP kosong",IF($J1970="","Alamat kosong",IF(AND($M1970&lt;&gt;"",$M1970&lt;17),"Usia di bawah 17",""))))))))))</f>
        <v/>
      </c>
      <c r="U1970" s="40" t="str">
        <f aca="false">IF($B1970="","",IF(AND(OR(CARI!$C$5="",ISNUMBER(SEARCH(CARI!$C$5,$B1970&amp;" "&amp;$C1970&amp;" "&amp;$I1970&amp;" "&amp;$J1970&amp;" "&amp;$Q1970))),OR(CARI!$C$6="",$E1970=CARI!$C$6),OR(CARI!$C$7="",$F1970=CARI!$C$7),OR(CARI!$C$8="",$O1970=CARI!$C$8)),MAX($U$3:U1969)+1,""))</f>
        <v/>
      </c>
      <c r="V1970" s="40" t="str">
        <f aca="false">IF($T1970="","",MAX($V$3:V1969)+1)</f>
        <v/>
      </c>
      <c r="W1970" s="40" t="str">
        <f aca="false">IF($E1970="","",$E1970&amp;"#"&amp;COUNTIF($E$4:$E1970,$E1970))</f>
        <v/>
      </c>
      <c r="X1970" s="40" t="str">
        <f aca="false">IF($B1970="","",IF(AND(OR(CETAK!$J$10="",$E1970=CETAK!$J$10),OR(CETAK!$J$11="",$F1970=CETAK!$J$11),OR(CETAK!$J$12="",$K1970=CETAK!$J$12),OR(CETAK!$J$13="",$H1970=CETAK!$J$13),OR(CETAK!$J$14="",$O1970=CETAK!$J$14)),MAX($X$3:X1969)+1,""))</f>
        <v/>
      </c>
      <c r="Y1970" s="40" t="str">
        <f aca="false">IF($B1970="","",IF(AND(OR(ABSENSI!$H$10="",$E1970=ABSENSI!$H$10),OR(ABSENSI!$H$11="",$F1970=ABSENSI!$H$11),OR(ABSENSI!$H$12="",$K1970=ABSENSI!$H$12)),MAX($Y$3:Y1969)+1,""))</f>
        <v/>
      </c>
      <c r="Z1970" s="40" t="str">
        <f aca="false">IF($B1970="","",IF(AND(OR(KARTU!$K$6="",$E1970=KARTU!$K$6),OR(KARTU!$K$7="",$F1970=KARTU!$K$7),OR(KARTU!$K$8="",$K1970=KARTU!$K$8)),MAX($Z$3:Z1969)+1,""))</f>
        <v/>
      </c>
    </row>
    <row r="1971" customFormat="false" ht="15" hidden="false" customHeight="false" outlineLevel="0" collapsed="false">
      <c r="A1971" s="36" t="str">
        <f aca="false">IF($B1971="","",COUNTA($B$4:$B1971))</f>
        <v/>
      </c>
      <c r="B1971" s="37"/>
      <c r="C1971" s="38"/>
      <c r="D1971" s="39"/>
      <c r="E1971" s="37"/>
      <c r="F1971" s="39"/>
      <c r="G1971" s="40" t="str">
        <f aca="false">IF(OR($E1971="",$F1971=""),"",$E1971&amp;" - RT "&amp;$F1971)</f>
        <v/>
      </c>
      <c r="H1971" s="37"/>
      <c r="I1971" s="38"/>
      <c r="J1971" s="37"/>
      <c r="K1971" s="39"/>
      <c r="L1971" s="41"/>
      <c r="M1971" s="36" t="str">
        <f aca="true">IF(OR($B1971="",$L1971=""),"",DATEDIF($L1971,TODAY(),"Y"))</f>
        <v/>
      </c>
      <c r="N1971" s="40" t="str">
        <f aca="false">IF($M1971="","",INDEX(usia_label,MATCH($M1971,usia_min,1)))</f>
        <v/>
      </c>
      <c r="O1971" s="37"/>
      <c r="P1971" s="41"/>
      <c r="Q1971" s="37"/>
      <c r="R1971" s="37"/>
      <c r="S1971" s="40" t="str">
        <f aca="false">IF($G1971="","",$G1971&amp;"#"&amp;COUNTIF($G$4:$G1971,$G1971))</f>
        <v/>
      </c>
      <c r="T1971" s="40" t="str">
        <f aca="false">IF($B1971="","",IF($C1971="","NIK kosong",IF(LEN($C1971)&lt;&gt;16,"NIK bukan 16 digit",IF(COUNTIF($C$4:$C$2003,$C1971&amp;"*")&gt;1,"NIK ganda",IF($E1971="","Kadus kosong",IF($F1971="","RT kosong",IF($H1971="","Jabatan kosong",IF($I1971="","No. HP kosong",IF($J1971="","Alamat kosong",IF(AND($M1971&lt;&gt;"",$M1971&lt;17),"Usia di bawah 17",""))))))))))</f>
        <v/>
      </c>
      <c r="U1971" s="40" t="str">
        <f aca="false">IF($B1971="","",IF(AND(OR(CARI!$C$5="",ISNUMBER(SEARCH(CARI!$C$5,$B1971&amp;" "&amp;$C1971&amp;" "&amp;$I1971&amp;" "&amp;$J1971&amp;" "&amp;$Q1971))),OR(CARI!$C$6="",$E1971=CARI!$C$6),OR(CARI!$C$7="",$F1971=CARI!$C$7),OR(CARI!$C$8="",$O1971=CARI!$C$8)),MAX($U$3:U1970)+1,""))</f>
        <v/>
      </c>
      <c r="V1971" s="40" t="str">
        <f aca="false">IF($T1971="","",MAX($V$3:V1970)+1)</f>
        <v/>
      </c>
      <c r="W1971" s="40" t="str">
        <f aca="false">IF($E1971="","",$E1971&amp;"#"&amp;COUNTIF($E$4:$E1971,$E1971))</f>
        <v/>
      </c>
      <c r="X1971" s="40" t="str">
        <f aca="false">IF($B1971="","",IF(AND(OR(CETAK!$J$10="",$E1971=CETAK!$J$10),OR(CETAK!$J$11="",$F1971=CETAK!$J$11),OR(CETAK!$J$12="",$K1971=CETAK!$J$12),OR(CETAK!$J$13="",$H1971=CETAK!$J$13),OR(CETAK!$J$14="",$O1971=CETAK!$J$14)),MAX($X$3:X1970)+1,""))</f>
        <v/>
      </c>
      <c r="Y1971" s="40" t="str">
        <f aca="false">IF($B1971="","",IF(AND(OR(ABSENSI!$H$10="",$E1971=ABSENSI!$H$10),OR(ABSENSI!$H$11="",$F1971=ABSENSI!$H$11),OR(ABSENSI!$H$12="",$K1971=ABSENSI!$H$12)),MAX($Y$3:Y1970)+1,""))</f>
        <v/>
      </c>
      <c r="Z1971" s="40" t="str">
        <f aca="false">IF($B1971="","",IF(AND(OR(KARTU!$K$6="",$E1971=KARTU!$K$6),OR(KARTU!$K$7="",$F1971=KARTU!$K$7),OR(KARTU!$K$8="",$K1971=KARTU!$K$8)),MAX($Z$3:Z1970)+1,""))</f>
        <v/>
      </c>
    </row>
    <row r="1972" customFormat="false" ht="15" hidden="false" customHeight="false" outlineLevel="0" collapsed="false">
      <c r="A1972" s="36" t="str">
        <f aca="false">IF($B1972="","",COUNTA($B$4:$B1972))</f>
        <v/>
      </c>
      <c r="B1972" s="37"/>
      <c r="C1972" s="38"/>
      <c r="D1972" s="39"/>
      <c r="E1972" s="37"/>
      <c r="F1972" s="39"/>
      <c r="G1972" s="40" t="str">
        <f aca="false">IF(OR($E1972="",$F1972=""),"",$E1972&amp;" - RT "&amp;$F1972)</f>
        <v/>
      </c>
      <c r="H1972" s="37"/>
      <c r="I1972" s="38"/>
      <c r="J1972" s="37"/>
      <c r="K1972" s="39"/>
      <c r="L1972" s="41"/>
      <c r="M1972" s="36" t="str">
        <f aca="true">IF(OR($B1972="",$L1972=""),"",DATEDIF($L1972,TODAY(),"Y"))</f>
        <v/>
      </c>
      <c r="N1972" s="40" t="str">
        <f aca="false">IF($M1972="","",INDEX(usia_label,MATCH($M1972,usia_min,1)))</f>
        <v/>
      </c>
      <c r="O1972" s="37"/>
      <c r="P1972" s="41"/>
      <c r="Q1972" s="37"/>
      <c r="R1972" s="37"/>
      <c r="S1972" s="40" t="str">
        <f aca="false">IF($G1972="","",$G1972&amp;"#"&amp;COUNTIF($G$4:$G1972,$G1972))</f>
        <v/>
      </c>
      <c r="T1972" s="40" t="str">
        <f aca="false">IF($B1972="","",IF($C1972="","NIK kosong",IF(LEN($C1972)&lt;&gt;16,"NIK bukan 16 digit",IF(COUNTIF($C$4:$C$2003,$C1972&amp;"*")&gt;1,"NIK ganda",IF($E1972="","Kadus kosong",IF($F1972="","RT kosong",IF($H1972="","Jabatan kosong",IF($I1972="","No. HP kosong",IF($J1972="","Alamat kosong",IF(AND($M1972&lt;&gt;"",$M1972&lt;17),"Usia di bawah 17",""))))))))))</f>
        <v/>
      </c>
      <c r="U1972" s="40" t="str">
        <f aca="false">IF($B1972="","",IF(AND(OR(CARI!$C$5="",ISNUMBER(SEARCH(CARI!$C$5,$B1972&amp;" "&amp;$C1972&amp;" "&amp;$I1972&amp;" "&amp;$J1972&amp;" "&amp;$Q1972))),OR(CARI!$C$6="",$E1972=CARI!$C$6),OR(CARI!$C$7="",$F1972=CARI!$C$7),OR(CARI!$C$8="",$O1972=CARI!$C$8)),MAX($U$3:U1971)+1,""))</f>
        <v/>
      </c>
      <c r="V1972" s="40" t="str">
        <f aca="false">IF($T1972="","",MAX($V$3:V1971)+1)</f>
        <v/>
      </c>
      <c r="W1972" s="40" t="str">
        <f aca="false">IF($E1972="","",$E1972&amp;"#"&amp;COUNTIF($E$4:$E1972,$E1972))</f>
        <v/>
      </c>
      <c r="X1972" s="40" t="str">
        <f aca="false">IF($B1972="","",IF(AND(OR(CETAK!$J$10="",$E1972=CETAK!$J$10),OR(CETAK!$J$11="",$F1972=CETAK!$J$11),OR(CETAK!$J$12="",$K1972=CETAK!$J$12),OR(CETAK!$J$13="",$H1972=CETAK!$J$13),OR(CETAK!$J$14="",$O1972=CETAK!$J$14)),MAX($X$3:X1971)+1,""))</f>
        <v/>
      </c>
      <c r="Y1972" s="40" t="str">
        <f aca="false">IF($B1972="","",IF(AND(OR(ABSENSI!$H$10="",$E1972=ABSENSI!$H$10),OR(ABSENSI!$H$11="",$F1972=ABSENSI!$H$11),OR(ABSENSI!$H$12="",$K1972=ABSENSI!$H$12)),MAX($Y$3:Y1971)+1,""))</f>
        <v/>
      </c>
      <c r="Z1972" s="40" t="str">
        <f aca="false">IF($B1972="","",IF(AND(OR(KARTU!$K$6="",$E1972=KARTU!$K$6),OR(KARTU!$K$7="",$F1972=KARTU!$K$7),OR(KARTU!$K$8="",$K1972=KARTU!$K$8)),MAX($Z$3:Z1971)+1,""))</f>
        <v/>
      </c>
    </row>
    <row r="1973" customFormat="false" ht="15" hidden="false" customHeight="false" outlineLevel="0" collapsed="false">
      <c r="A1973" s="36" t="str">
        <f aca="false">IF($B1973="","",COUNTA($B$4:$B1973))</f>
        <v/>
      </c>
      <c r="B1973" s="37"/>
      <c r="C1973" s="38"/>
      <c r="D1973" s="39"/>
      <c r="E1973" s="37"/>
      <c r="F1973" s="39"/>
      <c r="G1973" s="40" t="str">
        <f aca="false">IF(OR($E1973="",$F1973=""),"",$E1973&amp;" - RT "&amp;$F1973)</f>
        <v/>
      </c>
      <c r="H1973" s="37"/>
      <c r="I1973" s="38"/>
      <c r="J1973" s="37"/>
      <c r="K1973" s="39"/>
      <c r="L1973" s="41"/>
      <c r="M1973" s="36" t="str">
        <f aca="true">IF(OR($B1973="",$L1973=""),"",DATEDIF($L1973,TODAY(),"Y"))</f>
        <v/>
      </c>
      <c r="N1973" s="40" t="str">
        <f aca="false">IF($M1973="","",INDEX(usia_label,MATCH($M1973,usia_min,1)))</f>
        <v/>
      </c>
      <c r="O1973" s="37"/>
      <c r="P1973" s="41"/>
      <c r="Q1973" s="37"/>
      <c r="R1973" s="37"/>
      <c r="S1973" s="40" t="str">
        <f aca="false">IF($G1973="","",$G1973&amp;"#"&amp;COUNTIF($G$4:$G1973,$G1973))</f>
        <v/>
      </c>
      <c r="T1973" s="40" t="str">
        <f aca="false">IF($B1973="","",IF($C1973="","NIK kosong",IF(LEN($C1973)&lt;&gt;16,"NIK bukan 16 digit",IF(COUNTIF($C$4:$C$2003,$C1973&amp;"*")&gt;1,"NIK ganda",IF($E1973="","Kadus kosong",IF($F1973="","RT kosong",IF($H1973="","Jabatan kosong",IF($I1973="","No. HP kosong",IF($J1973="","Alamat kosong",IF(AND($M1973&lt;&gt;"",$M1973&lt;17),"Usia di bawah 17",""))))))))))</f>
        <v/>
      </c>
      <c r="U1973" s="40" t="str">
        <f aca="false">IF($B1973="","",IF(AND(OR(CARI!$C$5="",ISNUMBER(SEARCH(CARI!$C$5,$B1973&amp;" "&amp;$C1973&amp;" "&amp;$I1973&amp;" "&amp;$J1973&amp;" "&amp;$Q1973))),OR(CARI!$C$6="",$E1973=CARI!$C$6),OR(CARI!$C$7="",$F1973=CARI!$C$7),OR(CARI!$C$8="",$O1973=CARI!$C$8)),MAX($U$3:U1972)+1,""))</f>
        <v/>
      </c>
      <c r="V1973" s="40" t="str">
        <f aca="false">IF($T1973="","",MAX($V$3:V1972)+1)</f>
        <v/>
      </c>
      <c r="W1973" s="40" t="str">
        <f aca="false">IF($E1973="","",$E1973&amp;"#"&amp;COUNTIF($E$4:$E1973,$E1973))</f>
        <v/>
      </c>
      <c r="X1973" s="40" t="str">
        <f aca="false">IF($B1973="","",IF(AND(OR(CETAK!$J$10="",$E1973=CETAK!$J$10),OR(CETAK!$J$11="",$F1973=CETAK!$J$11),OR(CETAK!$J$12="",$K1973=CETAK!$J$12),OR(CETAK!$J$13="",$H1973=CETAK!$J$13),OR(CETAK!$J$14="",$O1973=CETAK!$J$14)),MAX($X$3:X1972)+1,""))</f>
        <v/>
      </c>
      <c r="Y1973" s="40" t="str">
        <f aca="false">IF($B1973="","",IF(AND(OR(ABSENSI!$H$10="",$E1973=ABSENSI!$H$10),OR(ABSENSI!$H$11="",$F1973=ABSENSI!$H$11),OR(ABSENSI!$H$12="",$K1973=ABSENSI!$H$12)),MAX($Y$3:Y1972)+1,""))</f>
        <v/>
      </c>
      <c r="Z1973" s="40" t="str">
        <f aca="false">IF($B1973="","",IF(AND(OR(KARTU!$K$6="",$E1973=KARTU!$K$6),OR(KARTU!$K$7="",$F1973=KARTU!$K$7),OR(KARTU!$K$8="",$K1973=KARTU!$K$8)),MAX($Z$3:Z1972)+1,""))</f>
        <v/>
      </c>
    </row>
    <row r="1974" customFormat="false" ht="15" hidden="false" customHeight="false" outlineLevel="0" collapsed="false">
      <c r="A1974" s="36" t="str">
        <f aca="false">IF($B1974="","",COUNTA($B$4:$B1974))</f>
        <v/>
      </c>
      <c r="B1974" s="37"/>
      <c r="C1974" s="38"/>
      <c r="D1974" s="39"/>
      <c r="E1974" s="37"/>
      <c r="F1974" s="39"/>
      <c r="G1974" s="40" t="str">
        <f aca="false">IF(OR($E1974="",$F1974=""),"",$E1974&amp;" - RT "&amp;$F1974)</f>
        <v/>
      </c>
      <c r="H1974" s="37"/>
      <c r="I1974" s="38"/>
      <c r="J1974" s="37"/>
      <c r="K1974" s="39"/>
      <c r="L1974" s="41"/>
      <c r="M1974" s="36" t="str">
        <f aca="true">IF(OR($B1974="",$L1974=""),"",DATEDIF($L1974,TODAY(),"Y"))</f>
        <v/>
      </c>
      <c r="N1974" s="40" t="str">
        <f aca="false">IF($M1974="","",INDEX(usia_label,MATCH($M1974,usia_min,1)))</f>
        <v/>
      </c>
      <c r="O1974" s="37"/>
      <c r="P1974" s="41"/>
      <c r="Q1974" s="37"/>
      <c r="R1974" s="37"/>
      <c r="S1974" s="40" t="str">
        <f aca="false">IF($G1974="","",$G1974&amp;"#"&amp;COUNTIF($G$4:$G1974,$G1974))</f>
        <v/>
      </c>
      <c r="T1974" s="40" t="str">
        <f aca="false">IF($B1974="","",IF($C1974="","NIK kosong",IF(LEN($C1974)&lt;&gt;16,"NIK bukan 16 digit",IF(COUNTIF($C$4:$C$2003,$C1974&amp;"*")&gt;1,"NIK ganda",IF($E1974="","Kadus kosong",IF($F1974="","RT kosong",IF($H1974="","Jabatan kosong",IF($I1974="","No. HP kosong",IF($J1974="","Alamat kosong",IF(AND($M1974&lt;&gt;"",$M1974&lt;17),"Usia di bawah 17",""))))))))))</f>
        <v/>
      </c>
      <c r="U1974" s="40" t="str">
        <f aca="false">IF($B1974="","",IF(AND(OR(CARI!$C$5="",ISNUMBER(SEARCH(CARI!$C$5,$B1974&amp;" "&amp;$C1974&amp;" "&amp;$I1974&amp;" "&amp;$J1974&amp;" "&amp;$Q1974))),OR(CARI!$C$6="",$E1974=CARI!$C$6),OR(CARI!$C$7="",$F1974=CARI!$C$7),OR(CARI!$C$8="",$O1974=CARI!$C$8)),MAX($U$3:U1973)+1,""))</f>
        <v/>
      </c>
      <c r="V1974" s="40" t="str">
        <f aca="false">IF($T1974="","",MAX($V$3:V1973)+1)</f>
        <v/>
      </c>
      <c r="W1974" s="40" t="str">
        <f aca="false">IF($E1974="","",$E1974&amp;"#"&amp;COUNTIF($E$4:$E1974,$E1974))</f>
        <v/>
      </c>
      <c r="X1974" s="40" t="str">
        <f aca="false">IF($B1974="","",IF(AND(OR(CETAK!$J$10="",$E1974=CETAK!$J$10),OR(CETAK!$J$11="",$F1974=CETAK!$J$11),OR(CETAK!$J$12="",$K1974=CETAK!$J$12),OR(CETAK!$J$13="",$H1974=CETAK!$J$13),OR(CETAK!$J$14="",$O1974=CETAK!$J$14)),MAX($X$3:X1973)+1,""))</f>
        <v/>
      </c>
      <c r="Y1974" s="40" t="str">
        <f aca="false">IF($B1974="","",IF(AND(OR(ABSENSI!$H$10="",$E1974=ABSENSI!$H$10),OR(ABSENSI!$H$11="",$F1974=ABSENSI!$H$11),OR(ABSENSI!$H$12="",$K1974=ABSENSI!$H$12)),MAX($Y$3:Y1973)+1,""))</f>
        <v/>
      </c>
      <c r="Z1974" s="40" t="str">
        <f aca="false">IF($B1974="","",IF(AND(OR(KARTU!$K$6="",$E1974=KARTU!$K$6),OR(KARTU!$K$7="",$F1974=KARTU!$K$7),OR(KARTU!$K$8="",$K1974=KARTU!$K$8)),MAX($Z$3:Z1973)+1,""))</f>
        <v/>
      </c>
    </row>
    <row r="1975" customFormat="false" ht="15" hidden="false" customHeight="false" outlineLevel="0" collapsed="false">
      <c r="A1975" s="36" t="str">
        <f aca="false">IF($B1975="","",COUNTA($B$4:$B1975))</f>
        <v/>
      </c>
      <c r="B1975" s="37"/>
      <c r="C1975" s="38"/>
      <c r="D1975" s="39"/>
      <c r="E1975" s="37"/>
      <c r="F1975" s="39"/>
      <c r="G1975" s="40" t="str">
        <f aca="false">IF(OR($E1975="",$F1975=""),"",$E1975&amp;" - RT "&amp;$F1975)</f>
        <v/>
      </c>
      <c r="H1975" s="37"/>
      <c r="I1975" s="38"/>
      <c r="J1975" s="37"/>
      <c r="K1975" s="39"/>
      <c r="L1975" s="41"/>
      <c r="M1975" s="36" t="str">
        <f aca="true">IF(OR($B1975="",$L1975=""),"",DATEDIF($L1975,TODAY(),"Y"))</f>
        <v/>
      </c>
      <c r="N1975" s="40" t="str">
        <f aca="false">IF($M1975="","",INDEX(usia_label,MATCH($M1975,usia_min,1)))</f>
        <v/>
      </c>
      <c r="O1975" s="37"/>
      <c r="P1975" s="41"/>
      <c r="Q1975" s="37"/>
      <c r="R1975" s="37"/>
      <c r="S1975" s="40" t="str">
        <f aca="false">IF($G1975="","",$G1975&amp;"#"&amp;COUNTIF($G$4:$G1975,$G1975))</f>
        <v/>
      </c>
      <c r="T1975" s="40" t="str">
        <f aca="false">IF($B1975="","",IF($C1975="","NIK kosong",IF(LEN($C1975)&lt;&gt;16,"NIK bukan 16 digit",IF(COUNTIF($C$4:$C$2003,$C1975&amp;"*")&gt;1,"NIK ganda",IF($E1975="","Kadus kosong",IF($F1975="","RT kosong",IF($H1975="","Jabatan kosong",IF($I1975="","No. HP kosong",IF($J1975="","Alamat kosong",IF(AND($M1975&lt;&gt;"",$M1975&lt;17),"Usia di bawah 17",""))))))))))</f>
        <v/>
      </c>
      <c r="U1975" s="40" t="str">
        <f aca="false">IF($B1975="","",IF(AND(OR(CARI!$C$5="",ISNUMBER(SEARCH(CARI!$C$5,$B1975&amp;" "&amp;$C1975&amp;" "&amp;$I1975&amp;" "&amp;$J1975&amp;" "&amp;$Q1975))),OR(CARI!$C$6="",$E1975=CARI!$C$6),OR(CARI!$C$7="",$F1975=CARI!$C$7),OR(CARI!$C$8="",$O1975=CARI!$C$8)),MAX($U$3:U1974)+1,""))</f>
        <v/>
      </c>
      <c r="V1975" s="40" t="str">
        <f aca="false">IF($T1975="","",MAX($V$3:V1974)+1)</f>
        <v/>
      </c>
      <c r="W1975" s="40" t="str">
        <f aca="false">IF($E1975="","",$E1975&amp;"#"&amp;COUNTIF($E$4:$E1975,$E1975))</f>
        <v/>
      </c>
      <c r="X1975" s="40" t="str">
        <f aca="false">IF($B1975="","",IF(AND(OR(CETAK!$J$10="",$E1975=CETAK!$J$10),OR(CETAK!$J$11="",$F1975=CETAK!$J$11),OR(CETAK!$J$12="",$K1975=CETAK!$J$12),OR(CETAK!$J$13="",$H1975=CETAK!$J$13),OR(CETAK!$J$14="",$O1975=CETAK!$J$14)),MAX($X$3:X1974)+1,""))</f>
        <v/>
      </c>
      <c r="Y1975" s="40" t="str">
        <f aca="false">IF($B1975="","",IF(AND(OR(ABSENSI!$H$10="",$E1975=ABSENSI!$H$10),OR(ABSENSI!$H$11="",$F1975=ABSENSI!$H$11),OR(ABSENSI!$H$12="",$K1975=ABSENSI!$H$12)),MAX($Y$3:Y1974)+1,""))</f>
        <v/>
      </c>
      <c r="Z1975" s="40" t="str">
        <f aca="false">IF($B1975="","",IF(AND(OR(KARTU!$K$6="",$E1975=KARTU!$K$6),OR(KARTU!$K$7="",$F1975=KARTU!$K$7),OR(KARTU!$K$8="",$K1975=KARTU!$K$8)),MAX($Z$3:Z1974)+1,""))</f>
        <v/>
      </c>
    </row>
    <row r="1976" customFormat="false" ht="15" hidden="false" customHeight="false" outlineLevel="0" collapsed="false">
      <c r="A1976" s="36" t="str">
        <f aca="false">IF($B1976="","",COUNTA($B$4:$B1976))</f>
        <v/>
      </c>
      <c r="B1976" s="37"/>
      <c r="C1976" s="38"/>
      <c r="D1976" s="39"/>
      <c r="E1976" s="37"/>
      <c r="F1976" s="39"/>
      <c r="G1976" s="40" t="str">
        <f aca="false">IF(OR($E1976="",$F1976=""),"",$E1976&amp;" - RT "&amp;$F1976)</f>
        <v/>
      </c>
      <c r="H1976" s="37"/>
      <c r="I1976" s="38"/>
      <c r="J1976" s="37"/>
      <c r="K1976" s="39"/>
      <c r="L1976" s="41"/>
      <c r="M1976" s="36" t="str">
        <f aca="true">IF(OR($B1976="",$L1976=""),"",DATEDIF($L1976,TODAY(),"Y"))</f>
        <v/>
      </c>
      <c r="N1976" s="40" t="str">
        <f aca="false">IF($M1976="","",INDEX(usia_label,MATCH($M1976,usia_min,1)))</f>
        <v/>
      </c>
      <c r="O1976" s="37"/>
      <c r="P1976" s="41"/>
      <c r="Q1976" s="37"/>
      <c r="R1976" s="37"/>
      <c r="S1976" s="40" t="str">
        <f aca="false">IF($G1976="","",$G1976&amp;"#"&amp;COUNTIF($G$4:$G1976,$G1976))</f>
        <v/>
      </c>
      <c r="T1976" s="40" t="str">
        <f aca="false">IF($B1976="","",IF($C1976="","NIK kosong",IF(LEN($C1976)&lt;&gt;16,"NIK bukan 16 digit",IF(COUNTIF($C$4:$C$2003,$C1976&amp;"*")&gt;1,"NIK ganda",IF($E1976="","Kadus kosong",IF($F1976="","RT kosong",IF($H1976="","Jabatan kosong",IF($I1976="","No. HP kosong",IF($J1976="","Alamat kosong",IF(AND($M1976&lt;&gt;"",$M1976&lt;17),"Usia di bawah 17",""))))))))))</f>
        <v/>
      </c>
      <c r="U1976" s="40" t="str">
        <f aca="false">IF($B1976="","",IF(AND(OR(CARI!$C$5="",ISNUMBER(SEARCH(CARI!$C$5,$B1976&amp;" "&amp;$C1976&amp;" "&amp;$I1976&amp;" "&amp;$J1976&amp;" "&amp;$Q1976))),OR(CARI!$C$6="",$E1976=CARI!$C$6),OR(CARI!$C$7="",$F1976=CARI!$C$7),OR(CARI!$C$8="",$O1976=CARI!$C$8)),MAX($U$3:U1975)+1,""))</f>
        <v/>
      </c>
      <c r="V1976" s="40" t="str">
        <f aca="false">IF($T1976="","",MAX($V$3:V1975)+1)</f>
        <v/>
      </c>
      <c r="W1976" s="40" t="str">
        <f aca="false">IF($E1976="","",$E1976&amp;"#"&amp;COUNTIF($E$4:$E1976,$E1976))</f>
        <v/>
      </c>
      <c r="X1976" s="40" t="str">
        <f aca="false">IF($B1976="","",IF(AND(OR(CETAK!$J$10="",$E1976=CETAK!$J$10),OR(CETAK!$J$11="",$F1976=CETAK!$J$11),OR(CETAK!$J$12="",$K1976=CETAK!$J$12),OR(CETAK!$J$13="",$H1976=CETAK!$J$13),OR(CETAK!$J$14="",$O1976=CETAK!$J$14)),MAX($X$3:X1975)+1,""))</f>
        <v/>
      </c>
      <c r="Y1976" s="40" t="str">
        <f aca="false">IF($B1976="","",IF(AND(OR(ABSENSI!$H$10="",$E1976=ABSENSI!$H$10),OR(ABSENSI!$H$11="",$F1976=ABSENSI!$H$11),OR(ABSENSI!$H$12="",$K1976=ABSENSI!$H$12)),MAX($Y$3:Y1975)+1,""))</f>
        <v/>
      </c>
      <c r="Z1976" s="40" t="str">
        <f aca="false">IF($B1976="","",IF(AND(OR(KARTU!$K$6="",$E1976=KARTU!$K$6),OR(KARTU!$K$7="",$F1976=KARTU!$K$7),OR(KARTU!$K$8="",$K1976=KARTU!$K$8)),MAX($Z$3:Z1975)+1,""))</f>
        <v/>
      </c>
    </row>
    <row r="1977" customFormat="false" ht="15" hidden="false" customHeight="false" outlineLevel="0" collapsed="false">
      <c r="A1977" s="36" t="str">
        <f aca="false">IF($B1977="","",COUNTA($B$4:$B1977))</f>
        <v/>
      </c>
      <c r="B1977" s="37"/>
      <c r="C1977" s="38"/>
      <c r="D1977" s="39"/>
      <c r="E1977" s="37"/>
      <c r="F1977" s="39"/>
      <c r="G1977" s="40" t="str">
        <f aca="false">IF(OR($E1977="",$F1977=""),"",$E1977&amp;" - RT "&amp;$F1977)</f>
        <v/>
      </c>
      <c r="H1977" s="37"/>
      <c r="I1977" s="38"/>
      <c r="J1977" s="37"/>
      <c r="K1977" s="39"/>
      <c r="L1977" s="41"/>
      <c r="M1977" s="36" t="str">
        <f aca="true">IF(OR($B1977="",$L1977=""),"",DATEDIF($L1977,TODAY(),"Y"))</f>
        <v/>
      </c>
      <c r="N1977" s="40" t="str">
        <f aca="false">IF($M1977="","",INDEX(usia_label,MATCH($M1977,usia_min,1)))</f>
        <v/>
      </c>
      <c r="O1977" s="37"/>
      <c r="P1977" s="41"/>
      <c r="Q1977" s="37"/>
      <c r="R1977" s="37"/>
      <c r="S1977" s="40" t="str">
        <f aca="false">IF($G1977="","",$G1977&amp;"#"&amp;COUNTIF($G$4:$G1977,$G1977))</f>
        <v/>
      </c>
      <c r="T1977" s="40" t="str">
        <f aca="false">IF($B1977="","",IF($C1977="","NIK kosong",IF(LEN($C1977)&lt;&gt;16,"NIK bukan 16 digit",IF(COUNTIF($C$4:$C$2003,$C1977&amp;"*")&gt;1,"NIK ganda",IF($E1977="","Kadus kosong",IF($F1977="","RT kosong",IF($H1977="","Jabatan kosong",IF($I1977="","No. HP kosong",IF($J1977="","Alamat kosong",IF(AND($M1977&lt;&gt;"",$M1977&lt;17),"Usia di bawah 17",""))))))))))</f>
        <v/>
      </c>
      <c r="U1977" s="40" t="str">
        <f aca="false">IF($B1977="","",IF(AND(OR(CARI!$C$5="",ISNUMBER(SEARCH(CARI!$C$5,$B1977&amp;" "&amp;$C1977&amp;" "&amp;$I1977&amp;" "&amp;$J1977&amp;" "&amp;$Q1977))),OR(CARI!$C$6="",$E1977=CARI!$C$6),OR(CARI!$C$7="",$F1977=CARI!$C$7),OR(CARI!$C$8="",$O1977=CARI!$C$8)),MAX($U$3:U1976)+1,""))</f>
        <v/>
      </c>
      <c r="V1977" s="40" t="str">
        <f aca="false">IF($T1977="","",MAX($V$3:V1976)+1)</f>
        <v/>
      </c>
      <c r="W1977" s="40" t="str">
        <f aca="false">IF($E1977="","",$E1977&amp;"#"&amp;COUNTIF($E$4:$E1977,$E1977))</f>
        <v/>
      </c>
      <c r="X1977" s="40" t="str">
        <f aca="false">IF($B1977="","",IF(AND(OR(CETAK!$J$10="",$E1977=CETAK!$J$10),OR(CETAK!$J$11="",$F1977=CETAK!$J$11),OR(CETAK!$J$12="",$K1977=CETAK!$J$12),OR(CETAK!$J$13="",$H1977=CETAK!$J$13),OR(CETAK!$J$14="",$O1977=CETAK!$J$14)),MAX($X$3:X1976)+1,""))</f>
        <v/>
      </c>
      <c r="Y1977" s="40" t="str">
        <f aca="false">IF($B1977="","",IF(AND(OR(ABSENSI!$H$10="",$E1977=ABSENSI!$H$10),OR(ABSENSI!$H$11="",$F1977=ABSENSI!$H$11),OR(ABSENSI!$H$12="",$K1977=ABSENSI!$H$12)),MAX($Y$3:Y1976)+1,""))</f>
        <v/>
      </c>
      <c r="Z1977" s="40" t="str">
        <f aca="false">IF($B1977="","",IF(AND(OR(KARTU!$K$6="",$E1977=KARTU!$K$6),OR(KARTU!$K$7="",$F1977=KARTU!$K$7),OR(KARTU!$K$8="",$K1977=KARTU!$K$8)),MAX($Z$3:Z1976)+1,""))</f>
        <v/>
      </c>
    </row>
    <row r="1978" customFormat="false" ht="15" hidden="false" customHeight="false" outlineLevel="0" collapsed="false">
      <c r="A1978" s="36" t="str">
        <f aca="false">IF($B1978="","",COUNTA($B$4:$B1978))</f>
        <v/>
      </c>
      <c r="B1978" s="37"/>
      <c r="C1978" s="38"/>
      <c r="D1978" s="39"/>
      <c r="E1978" s="37"/>
      <c r="F1978" s="39"/>
      <c r="G1978" s="40" t="str">
        <f aca="false">IF(OR($E1978="",$F1978=""),"",$E1978&amp;" - RT "&amp;$F1978)</f>
        <v/>
      </c>
      <c r="H1978" s="37"/>
      <c r="I1978" s="38"/>
      <c r="J1978" s="37"/>
      <c r="K1978" s="39"/>
      <c r="L1978" s="41"/>
      <c r="M1978" s="36" t="str">
        <f aca="true">IF(OR($B1978="",$L1978=""),"",DATEDIF($L1978,TODAY(),"Y"))</f>
        <v/>
      </c>
      <c r="N1978" s="40" t="str">
        <f aca="false">IF($M1978="","",INDEX(usia_label,MATCH($M1978,usia_min,1)))</f>
        <v/>
      </c>
      <c r="O1978" s="37"/>
      <c r="P1978" s="41"/>
      <c r="Q1978" s="37"/>
      <c r="R1978" s="37"/>
      <c r="S1978" s="40" t="str">
        <f aca="false">IF($G1978="","",$G1978&amp;"#"&amp;COUNTIF($G$4:$G1978,$G1978))</f>
        <v/>
      </c>
      <c r="T1978" s="40" t="str">
        <f aca="false">IF($B1978="","",IF($C1978="","NIK kosong",IF(LEN($C1978)&lt;&gt;16,"NIK bukan 16 digit",IF(COUNTIF($C$4:$C$2003,$C1978&amp;"*")&gt;1,"NIK ganda",IF($E1978="","Kadus kosong",IF($F1978="","RT kosong",IF($H1978="","Jabatan kosong",IF($I1978="","No. HP kosong",IF($J1978="","Alamat kosong",IF(AND($M1978&lt;&gt;"",$M1978&lt;17),"Usia di bawah 17",""))))))))))</f>
        <v/>
      </c>
      <c r="U1978" s="40" t="str">
        <f aca="false">IF($B1978="","",IF(AND(OR(CARI!$C$5="",ISNUMBER(SEARCH(CARI!$C$5,$B1978&amp;" "&amp;$C1978&amp;" "&amp;$I1978&amp;" "&amp;$J1978&amp;" "&amp;$Q1978))),OR(CARI!$C$6="",$E1978=CARI!$C$6),OR(CARI!$C$7="",$F1978=CARI!$C$7),OR(CARI!$C$8="",$O1978=CARI!$C$8)),MAX($U$3:U1977)+1,""))</f>
        <v/>
      </c>
      <c r="V1978" s="40" t="str">
        <f aca="false">IF($T1978="","",MAX($V$3:V1977)+1)</f>
        <v/>
      </c>
      <c r="W1978" s="40" t="str">
        <f aca="false">IF($E1978="","",$E1978&amp;"#"&amp;COUNTIF($E$4:$E1978,$E1978))</f>
        <v/>
      </c>
      <c r="X1978" s="40" t="str">
        <f aca="false">IF($B1978="","",IF(AND(OR(CETAK!$J$10="",$E1978=CETAK!$J$10),OR(CETAK!$J$11="",$F1978=CETAK!$J$11),OR(CETAK!$J$12="",$K1978=CETAK!$J$12),OR(CETAK!$J$13="",$H1978=CETAK!$J$13),OR(CETAK!$J$14="",$O1978=CETAK!$J$14)),MAX($X$3:X1977)+1,""))</f>
        <v/>
      </c>
      <c r="Y1978" s="40" t="str">
        <f aca="false">IF($B1978="","",IF(AND(OR(ABSENSI!$H$10="",$E1978=ABSENSI!$H$10),OR(ABSENSI!$H$11="",$F1978=ABSENSI!$H$11),OR(ABSENSI!$H$12="",$K1978=ABSENSI!$H$12)),MAX($Y$3:Y1977)+1,""))</f>
        <v/>
      </c>
      <c r="Z1978" s="40" t="str">
        <f aca="false">IF($B1978="","",IF(AND(OR(KARTU!$K$6="",$E1978=KARTU!$K$6),OR(KARTU!$K$7="",$F1978=KARTU!$K$7),OR(KARTU!$K$8="",$K1978=KARTU!$K$8)),MAX($Z$3:Z1977)+1,""))</f>
        <v/>
      </c>
    </row>
    <row r="1979" customFormat="false" ht="15" hidden="false" customHeight="false" outlineLevel="0" collapsed="false">
      <c r="A1979" s="36" t="str">
        <f aca="false">IF($B1979="","",COUNTA($B$4:$B1979))</f>
        <v/>
      </c>
      <c r="B1979" s="37"/>
      <c r="C1979" s="38"/>
      <c r="D1979" s="39"/>
      <c r="E1979" s="37"/>
      <c r="F1979" s="39"/>
      <c r="G1979" s="40" t="str">
        <f aca="false">IF(OR($E1979="",$F1979=""),"",$E1979&amp;" - RT "&amp;$F1979)</f>
        <v/>
      </c>
      <c r="H1979" s="37"/>
      <c r="I1979" s="38"/>
      <c r="J1979" s="37"/>
      <c r="K1979" s="39"/>
      <c r="L1979" s="41"/>
      <c r="M1979" s="36" t="str">
        <f aca="true">IF(OR($B1979="",$L1979=""),"",DATEDIF($L1979,TODAY(),"Y"))</f>
        <v/>
      </c>
      <c r="N1979" s="40" t="str">
        <f aca="false">IF($M1979="","",INDEX(usia_label,MATCH($M1979,usia_min,1)))</f>
        <v/>
      </c>
      <c r="O1979" s="37"/>
      <c r="P1979" s="41"/>
      <c r="Q1979" s="37"/>
      <c r="R1979" s="37"/>
      <c r="S1979" s="40" t="str">
        <f aca="false">IF($G1979="","",$G1979&amp;"#"&amp;COUNTIF($G$4:$G1979,$G1979))</f>
        <v/>
      </c>
      <c r="T1979" s="40" t="str">
        <f aca="false">IF($B1979="","",IF($C1979="","NIK kosong",IF(LEN($C1979)&lt;&gt;16,"NIK bukan 16 digit",IF(COUNTIF($C$4:$C$2003,$C1979&amp;"*")&gt;1,"NIK ganda",IF($E1979="","Kadus kosong",IF($F1979="","RT kosong",IF($H1979="","Jabatan kosong",IF($I1979="","No. HP kosong",IF($J1979="","Alamat kosong",IF(AND($M1979&lt;&gt;"",$M1979&lt;17),"Usia di bawah 17",""))))))))))</f>
        <v/>
      </c>
      <c r="U1979" s="40" t="str">
        <f aca="false">IF($B1979="","",IF(AND(OR(CARI!$C$5="",ISNUMBER(SEARCH(CARI!$C$5,$B1979&amp;" "&amp;$C1979&amp;" "&amp;$I1979&amp;" "&amp;$J1979&amp;" "&amp;$Q1979))),OR(CARI!$C$6="",$E1979=CARI!$C$6),OR(CARI!$C$7="",$F1979=CARI!$C$7),OR(CARI!$C$8="",$O1979=CARI!$C$8)),MAX($U$3:U1978)+1,""))</f>
        <v/>
      </c>
      <c r="V1979" s="40" t="str">
        <f aca="false">IF($T1979="","",MAX($V$3:V1978)+1)</f>
        <v/>
      </c>
      <c r="W1979" s="40" t="str">
        <f aca="false">IF($E1979="","",$E1979&amp;"#"&amp;COUNTIF($E$4:$E1979,$E1979))</f>
        <v/>
      </c>
      <c r="X1979" s="40" t="str">
        <f aca="false">IF($B1979="","",IF(AND(OR(CETAK!$J$10="",$E1979=CETAK!$J$10),OR(CETAK!$J$11="",$F1979=CETAK!$J$11),OR(CETAK!$J$12="",$K1979=CETAK!$J$12),OR(CETAK!$J$13="",$H1979=CETAK!$J$13),OR(CETAK!$J$14="",$O1979=CETAK!$J$14)),MAX($X$3:X1978)+1,""))</f>
        <v/>
      </c>
      <c r="Y1979" s="40" t="str">
        <f aca="false">IF($B1979="","",IF(AND(OR(ABSENSI!$H$10="",$E1979=ABSENSI!$H$10),OR(ABSENSI!$H$11="",$F1979=ABSENSI!$H$11),OR(ABSENSI!$H$12="",$K1979=ABSENSI!$H$12)),MAX($Y$3:Y1978)+1,""))</f>
        <v/>
      </c>
      <c r="Z1979" s="40" t="str">
        <f aca="false">IF($B1979="","",IF(AND(OR(KARTU!$K$6="",$E1979=KARTU!$K$6),OR(KARTU!$K$7="",$F1979=KARTU!$K$7),OR(KARTU!$K$8="",$K1979=KARTU!$K$8)),MAX($Z$3:Z1978)+1,""))</f>
        <v/>
      </c>
    </row>
    <row r="1980" customFormat="false" ht="15" hidden="false" customHeight="false" outlineLevel="0" collapsed="false">
      <c r="A1980" s="36" t="str">
        <f aca="false">IF($B1980="","",COUNTA($B$4:$B1980))</f>
        <v/>
      </c>
      <c r="B1980" s="37"/>
      <c r="C1980" s="38"/>
      <c r="D1980" s="39"/>
      <c r="E1980" s="37"/>
      <c r="F1980" s="39"/>
      <c r="G1980" s="40" t="str">
        <f aca="false">IF(OR($E1980="",$F1980=""),"",$E1980&amp;" - RT "&amp;$F1980)</f>
        <v/>
      </c>
      <c r="H1980" s="37"/>
      <c r="I1980" s="38"/>
      <c r="J1980" s="37"/>
      <c r="K1980" s="39"/>
      <c r="L1980" s="41"/>
      <c r="M1980" s="36" t="str">
        <f aca="true">IF(OR($B1980="",$L1980=""),"",DATEDIF($L1980,TODAY(),"Y"))</f>
        <v/>
      </c>
      <c r="N1980" s="40" t="str">
        <f aca="false">IF($M1980="","",INDEX(usia_label,MATCH($M1980,usia_min,1)))</f>
        <v/>
      </c>
      <c r="O1980" s="37"/>
      <c r="P1980" s="41"/>
      <c r="Q1980" s="37"/>
      <c r="R1980" s="37"/>
      <c r="S1980" s="40" t="str">
        <f aca="false">IF($G1980="","",$G1980&amp;"#"&amp;COUNTIF($G$4:$G1980,$G1980))</f>
        <v/>
      </c>
      <c r="T1980" s="40" t="str">
        <f aca="false">IF($B1980="","",IF($C1980="","NIK kosong",IF(LEN($C1980)&lt;&gt;16,"NIK bukan 16 digit",IF(COUNTIF($C$4:$C$2003,$C1980&amp;"*")&gt;1,"NIK ganda",IF($E1980="","Kadus kosong",IF($F1980="","RT kosong",IF($H1980="","Jabatan kosong",IF($I1980="","No. HP kosong",IF($J1980="","Alamat kosong",IF(AND($M1980&lt;&gt;"",$M1980&lt;17),"Usia di bawah 17",""))))))))))</f>
        <v/>
      </c>
      <c r="U1980" s="40" t="str">
        <f aca="false">IF($B1980="","",IF(AND(OR(CARI!$C$5="",ISNUMBER(SEARCH(CARI!$C$5,$B1980&amp;" "&amp;$C1980&amp;" "&amp;$I1980&amp;" "&amp;$J1980&amp;" "&amp;$Q1980))),OR(CARI!$C$6="",$E1980=CARI!$C$6),OR(CARI!$C$7="",$F1980=CARI!$C$7),OR(CARI!$C$8="",$O1980=CARI!$C$8)),MAX($U$3:U1979)+1,""))</f>
        <v/>
      </c>
      <c r="V1980" s="40" t="str">
        <f aca="false">IF($T1980="","",MAX($V$3:V1979)+1)</f>
        <v/>
      </c>
      <c r="W1980" s="40" t="str">
        <f aca="false">IF($E1980="","",$E1980&amp;"#"&amp;COUNTIF($E$4:$E1980,$E1980))</f>
        <v/>
      </c>
      <c r="X1980" s="40" t="str">
        <f aca="false">IF($B1980="","",IF(AND(OR(CETAK!$J$10="",$E1980=CETAK!$J$10),OR(CETAK!$J$11="",$F1980=CETAK!$J$11),OR(CETAK!$J$12="",$K1980=CETAK!$J$12),OR(CETAK!$J$13="",$H1980=CETAK!$J$13),OR(CETAK!$J$14="",$O1980=CETAK!$J$14)),MAX($X$3:X1979)+1,""))</f>
        <v/>
      </c>
      <c r="Y1980" s="40" t="str">
        <f aca="false">IF($B1980="","",IF(AND(OR(ABSENSI!$H$10="",$E1980=ABSENSI!$H$10),OR(ABSENSI!$H$11="",$F1980=ABSENSI!$H$11),OR(ABSENSI!$H$12="",$K1980=ABSENSI!$H$12)),MAX($Y$3:Y1979)+1,""))</f>
        <v/>
      </c>
      <c r="Z1980" s="40" t="str">
        <f aca="false">IF($B1980="","",IF(AND(OR(KARTU!$K$6="",$E1980=KARTU!$K$6),OR(KARTU!$K$7="",$F1980=KARTU!$K$7),OR(KARTU!$K$8="",$K1980=KARTU!$K$8)),MAX($Z$3:Z1979)+1,""))</f>
        <v/>
      </c>
    </row>
    <row r="1981" customFormat="false" ht="15" hidden="false" customHeight="false" outlineLevel="0" collapsed="false">
      <c r="A1981" s="36" t="str">
        <f aca="false">IF($B1981="","",COUNTA($B$4:$B1981))</f>
        <v/>
      </c>
      <c r="B1981" s="37"/>
      <c r="C1981" s="38"/>
      <c r="D1981" s="39"/>
      <c r="E1981" s="37"/>
      <c r="F1981" s="39"/>
      <c r="G1981" s="40" t="str">
        <f aca="false">IF(OR($E1981="",$F1981=""),"",$E1981&amp;" - RT "&amp;$F1981)</f>
        <v/>
      </c>
      <c r="H1981" s="37"/>
      <c r="I1981" s="38"/>
      <c r="J1981" s="37"/>
      <c r="K1981" s="39"/>
      <c r="L1981" s="41"/>
      <c r="M1981" s="36" t="str">
        <f aca="true">IF(OR($B1981="",$L1981=""),"",DATEDIF($L1981,TODAY(),"Y"))</f>
        <v/>
      </c>
      <c r="N1981" s="40" t="str">
        <f aca="false">IF($M1981="","",INDEX(usia_label,MATCH($M1981,usia_min,1)))</f>
        <v/>
      </c>
      <c r="O1981" s="37"/>
      <c r="P1981" s="41"/>
      <c r="Q1981" s="37"/>
      <c r="R1981" s="37"/>
      <c r="S1981" s="40" t="str">
        <f aca="false">IF($G1981="","",$G1981&amp;"#"&amp;COUNTIF($G$4:$G1981,$G1981))</f>
        <v/>
      </c>
      <c r="T1981" s="40" t="str">
        <f aca="false">IF($B1981="","",IF($C1981="","NIK kosong",IF(LEN($C1981)&lt;&gt;16,"NIK bukan 16 digit",IF(COUNTIF($C$4:$C$2003,$C1981&amp;"*")&gt;1,"NIK ganda",IF($E1981="","Kadus kosong",IF($F1981="","RT kosong",IF($H1981="","Jabatan kosong",IF($I1981="","No. HP kosong",IF($J1981="","Alamat kosong",IF(AND($M1981&lt;&gt;"",$M1981&lt;17),"Usia di bawah 17",""))))))))))</f>
        <v/>
      </c>
      <c r="U1981" s="40" t="str">
        <f aca="false">IF($B1981="","",IF(AND(OR(CARI!$C$5="",ISNUMBER(SEARCH(CARI!$C$5,$B1981&amp;" "&amp;$C1981&amp;" "&amp;$I1981&amp;" "&amp;$J1981&amp;" "&amp;$Q1981))),OR(CARI!$C$6="",$E1981=CARI!$C$6),OR(CARI!$C$7="",$F1981=CARI!$C$7),OR(CARI!$C$8="",$O1981=CARI!$C$8)),MAX($U$3:U1980)+1,""))</f>
        <v/>
      </c>
      <c r="V1981" s="40" t="str">
        <f aca="false">IF($T1981="","",MAX($V$3:V1980)+1)</f>
        <v/>
      </c>
      <c r="W1981" s="40" t="str">
        <f aca="false">IF($E1981="","",$E1981&amp;"#"&amp;COUNTIF($E$4:$E1981,$E1981))</f>
        <v/>
      </c>
      <c r="X1981" s="40" t="str">
        <f aca="false">IF($B1981="","",IF(AND(OR(CETAK!$J$10="",$E1981=CETAK!$J$10),OR(CETAK!$J$11="",$F1981=CETAK!$J$11),OR(CETAK!$J$12="",$K1981=CETAK!$J$12),OR(CETAK!$J$13="",$H1981=CETAK!$J$13),OR(CETAK!$J$14="",$O1981=CETAK!$J$14)),MAX($X$3:X1980)+1,""))</f>
        <v/>
      </c>
      <c r="Y1981" s="40" t="str">
        <f aca="false">IF($B1981="","",IF(AND(OR(ABSENSI!$H$10="",$E1981=ABSENSI!$H$10),OR(ABSENSI!$H$11="",$F1981=ABSENSI!$H$11),OR(ABSENSI!$H$12="",$K1981=ABSENSI!$H$12)),MAX($Y$3:Y1980)+1,""))</f>
        <v/>
      </c>
      <c r="Z1981" s="40" t="str">
        <f aca="false">IF($B1981="","",IF(AND(OR(KARTU!$K$6="",$E1981=KARTU!$K$6),OR(KARTU!$K$7="",$F1981=KARTU!$K$7),OR(KARTU!$K$8="",$K1981=KARTU!$K$8)),MAX($Z$3:Z1980)+1,""))</f>
        <v/>
      </c>
    </row>
    <row r="1982" customFormat="false" ht="15" hidden="false" customHeight="false" outlineLevel="0" collapsed="false">
      <c r="A1982" s="36" t="str">
        <f aca="false">IF($B1982="","",COUNTA($B$4:$B1982))</f>
        <v/>
      </c>
      <c r="B1982" s="37"/>
      <c r="C1982" s="38"/>
      <c r="D1982" s="39"/>
      <c r="E1982" s="37"/>
      <c r="F1982" s="39"/>
      <c r="G1982" s="40" t="str">
        <f aca="false">IF(OR($E1982="",$F1982=""),"",$E1982&amp;" - RT "&amp;$F1982)</f>
        <v/>
      </c>
      <c r="H1982" s="37"/>
      <c r="I1982" s="38"/>
      <c r="J1982" s="37"/>
      <c r="K1982" s="39"/>
      <c r="L1982" s="41"/>
      <c r="M1982" s="36" t="str">
        <f aca="true">IF(OR($B1982="",$L1982=""),"",DATEDIF($L1982,TODAY(),"Y"))</f>
        <v/>
      </c>
      <c r="N1982" s="40" t="str">
        <f aca="false">IF($M1982="","",INDEX(usia_label,MATCH($M1982,usia_min,1)))</f>
        <v/>
      </c>
      <c r="O1982" s="37"/>
      <c r="P1982" s="41"/>
      <c r="Q1982" s="37"/>
      <c r="R1982" s="37"/>
      <c r="S1982" s="40" t="str">
        <f aca="false">IF($G1982="","",$G1982&amp;"#"&amp;COUNTIF($G$4:$G1982,$G1982))</f>
        <v/>
      </c>
      <c r="T1982" s="40" t="str">
        <f aca="false">IF($B1982="","",IF($C1982="","NIK kosong",IF(LEN($C1982)&lt;&gt;16,"NIK bukan 16 digit",IF(COUNTIF($C$4:$C$2003,$C1982&amp;"*")&gt;1,"NIK ganda",IF($E1982="","Kadus kosong",IF($F1982="","RT kosong",IF($H1982="","Jabatan kosong",IF($I1982="","No. HP kosong",IF($J1982="","Alamat kosong",IF(AND($M1982&lt;&gt;"",$M1982&lt;17),"Usia di bawah 17",""))))))))))</f>
        <v/>
      </c>
      <c r="U1982" s="40" t="str">
        <f aca="false">IF($B1982="","",IF(AND(OR(CARI!$C$5="",ISNUMBER(SEARCH(CARI!$C$5,$B1982&amp;" "&amp;$C1982&amp;" "&amp;$I1982&amp;" "&amp;$J1982&amp;" "&amp;$Q1982))),OR(CARI!$C$6="",$E1982=CARI!$C$6),OR(CARI!$C$7="",$F1982=CARI!$C$7),OR(CARI!$C$8="",$O1982=CARI!$C$8)),MAX($U$3:U1981)+1,""))</f>
        <v/>
      </c>
      <c r="V1982" s="40" t="str">
        <f aca="false">IF($T1982="","",MAX($V$3:V1981)+1)</f>
        <v/>
      </c>
      <c r="W1982" s="40" t="str">
        <f aca="false">IF($E1982="","",$E1982&amp;"#"&amp;COUNTIF($E$4:$E1982,$E1982))</f>
        <v/>
      </c>
      <c r="X1982" s="40" t="str">
        <f aca="false">IF($B1982="","",IF(AND(OR(CETAK!$J$10="",$E1982=CETAK!$J$10),OR(CETAK!$J$11="",$F1982=CETAK!$J$11),OR(CETAK!$J$12="",$K1982=CETAK!$J$12),OR(CETAK!$J$13="",$H1982=CETAK!$J$13),OR(CETAK!$J$14="",$O1982=CETAK!$J$14)),MAX($X$3:X1981)+1,""))</f>
        <v/>
      </c>
      <c r="Y1982" s="40" t="str">
        <f aca="false">IF($B1982="","",IF(AND(OR(ABSENSI!$H$10="",$E1982=ABSENSI!$H$10),OR(ABSENSI!$H$11="",$F1982=ABSENSI!$H$11),OR(ABSENSI!$H$12="",$K1982=ABSENSI!$H$12)),MAX($Y$3:Y1981)+1,""))</f>
        <v/>
      </c>
      <c r="Z1982" s="40" t="str">
        <f aca="false">IF($B1982="","",IF(AND(OR(KARTU!$K$6="",$E1982=KARTU!$K$6),OR(KARTU!$K$7="",$F1982=KARTU!$K$7),OR(KARTU!$K$8="",$K1982=KARTU!$K$8)),MAX($Z$3:Z1981)+1,""))</f>
        <v/>
      </c>
    </row>
    <row r="1983" customFormat="false" ht="15" hidden="false" customHeight="false" outlineLevel="0" collapsed="false">
      <c r="A1983" s="36" t="str">
        <f aca="false">IF($B1983="","",COUNTA($B$4:$B1983))</f>
        <v/>
      </c>
      <c r="B1983" s="37"/>
      <c r="C1983" s="38"/>
      <c r="D1983" s="39"/>
      <c r="E1983" s="37"/>
      <c r="F1983" s="39"/>
      <c r="G1983" s="40" t="str">
        <f aca="false">IF(OR($E1983="",$F1983=""),"",$E1983&amp;" - RT "&amp;$F1983)</f>
        <v/>
      </c>
      <c r="H1983" s="37"/>
      <c r="I1983" s="38"/>
      <c r="J1983" s="37"/>
      <c r="K1983" s="39"/>
      <c r="L1983" s="41"/>
      <c r="M1983" s="36" t="str">
        <f aca="true">IF(OR($B1983="",$L1983=""),"",DATEDIF($L1983,TODAY(),"Y"))</f>
        <v/>
      </c>
      <c r="N1983" s="40" t="str">
        <f aca="false">IF($M1983="","",INDEX(usia_label,MATCH($M1983,usia_min,1)))</f>
        <v/>
      </c>
      <c r="O1983" s="37"/>
      <c r="P1983" s="41"/>
      <c r="Q1983" s="37"/>
      <c r="R1983" s="37"/>
      <c r="S1983" s="40" t="str">
        <f aca="false">IF($G1983="","",$G1983&amp;"#"&amp;COUNTIF($G$4:$G1983,$G1983))</f>
        <v/>
      </c>
      <c r="T1983" s="40" t="str">
        <f aca="false">IF($B1983="","",IF($C1983="","NIK kosong",IF(LEN($C1983)&lt;&gt;16,"NIK bukan 16 digit",IF(COUNTIF($C$4:$C$2003,$C1983&amp;"*")&gt;1,"NIK ganda",IF($E1983="","Kadus kosong",IF($F1983="","RT kosong",IF($H1983="","Jabatan kosong",IF($I1983="","No. HP kosong",IF($J1983="","Alamat kosong",IF(AND($M1983&lt;&gt;"",$M1983&lt;17),"Usia di bawah 17",""))))))))))</f>
        <v/>
      </c>
      <c r="U1983" s="40" t="str">
        <f aca="false">IF($B1983="","",IF(AND(OR(CARI!$C$5="",ISNUMBER(SEARCH(CARI!$C$5,$B1983&amp;" "&amp;$C1983&amp;" "&amp;$I1983&amp;" "&amp;$J1983&amp;" "&amp;$Q1983))),OR(CARI!$C$6="",$E1983=CARI!$C$6),OR(CARI!$C$7="",$F1983=CARI!$C$7),OR(CARI!$C$8="",$O1983=CARI!$C$8)),MAX($U$3:U1982)+1,""))</f>
        <v/>
      </c>
      <c r="V1983" s="40" t="str">
        <f aca="false">IF($T1983="","",MAX($V$3:V1982)+1)</f>
        <v/>
      </c>
      <c r="W1983" s="40" t="str">
        <f aca="false">IF($E1983="","",$E1983&amp;"#"&amp;COUNTIF($E$4:$E1983,$E1983))</f>
        <v/>
      </c>
      <c r="X1983" s="40" t="str">
        <f aca="false">IF($B1983="","",IF(AND(OR(CETAK!$J$10="",$E1983=CETAK!$J$10),OR(CETAK!$J$11="",$F1983=CETAK!$J$11),OR(CETAK!$J$12="",$K1983=CETAK!$J$12),OR(CETAK!$J$13="",$H1983=CETAK!$J$13),OR(CETAK!$J$14="",$O1983=CETAK!$J$14)),MAX($X$3:X1982)+1,""))</f>
        <v/>
      </c>
      <c r="Y1983" s="40" t="str">
        <f aca="false">IF($B1983="","",IF(AND(OR(ABSENSI!$H$10="",$E1983=ABSENSI!$H$10),OR(ABSENSI!$H$11="",$F1983=ABSENSI!$H$11),OR(ABSENSI!$H$12="",$K1983=ABSENSI!$H$12)),MAX($Y$3:Y1982)+1,""))</f>
        <v/>
      </c>
      <c r="Z1983" s="40" t="str">
        <f aca="false">IF($B1983="","",IF(AND(OR(KARTU!$K$6="",$E1983=KARTU!$K$6),OR(KARTU!$K$7="",$F1983=KARTU!$K$7),OR(KARTU!$K$8="",$K1983=KARTU!$K$8)),MAX($Z$3:Z1982)+1,""))</f>
        <v/>
      </c>
    </row>
    <row r="1984" customFormat="false" ht="15" hidden="false" customHeight="false" outlineLevel="0" collapsed="false">
      <c r="A1984" s="36" t="str">
        <f aca="false">IF($B1984="","",COUNTA($B$4:$B1984))</f>
        <v/>
      </c>
      <c r="B1984" s="37"/>
      <c r="C1984" s="38"/>
      <c r="D1984" s="39"/>
      <c r="E1984" s="37"/>
      <c r="F1984" s="39"/>
      <c r="G1984" s="40" t="str">
        <f aca="false">IF(OR($E1984="",$F1984=""),"",$E1984&amp;" - RT "&amp;$F1984)</f>
        <v/>
      </c>
      <c r="H1984" s="37"/>
      <c r="I1984" s="38"/>
      <c r="J1984" s="37"/>
      <c r="K1984" s="39"/>
      <c r="L1984" s="41"/>
      <c r="M1984" s="36" t="str">
        <f aca="true">IF(OR($B1984="",$L1984=""),"",DATEDIF($L1984,TODAY(),"Y"))</f>
        <v/>
      </c>
      <c r="N1984" s="40" t="str">
        <f aca="false">IF($M1984="","",INDEX(usia_label,MATCH($M1984,usia_min,1)))</f>
        <v/>
      </c>
      <c r="O1984" s="37"/>
      <c r="P1984" s="41"/>
      <c r="Q1984" s="37"/>
      <c r="R1984" s="37"/>
      <c r="S1984" s="40" t="str">
        <f aca="false">IF($G1984="","",$G1984&amp;"#"&amp;COUNTIF($G$4:$G1984,$G1984))</f>
        <v/>
      </c>
      <c r="T1984" s="40" t="str">
        <f aca="false">IF($B1984="","",IF($C1984="","NIK kosong",IF(LEN($C1984)&lt;&gt;16,"NIK bukan 16 digit",IF(COUNTIF($C$4:$C$2003,$C1984&amp;"*")&gt;1,"NIK ganda",IF($E1984="","Kadus kosong",IF($F1984="","RT kosong",IF($H1984="","Jabatan kosong",IF($I1984="","No. HP kosong",IF($J1984="","Alamat kosong",IF(AND($M1984&lt;&gt;"",$M1984&lt;17),"Usia di bawah 17",""))))))))))</f>
        <v/>
      </c>
      <c r="U1984" s="40" t="str">
        <f aca="false">IF($B1984="","",IF(AND(OR(CARI!$C$5="",ISNUMBER(SEARCH(CARI!$C$5,$B1984&amp;" "&amp;$C1984&amp;" "&amp;$I1984&amp;" "&amp;$J1984&amp;" "&amp;$Q1984))),OR(CARI!$C$6="",$E1984=CARI!$C$6),OR(CARI!$C$7="",$F1984=CARI!$C$7),OR(CARI!$C$8="",$O1984=CARI!$C$8)),MAX($U$3:U1983)+1,""))</f>
        <v/>
      </c>
      <c r="V1984" s="40" t="str">
        <f aca="false">IF($T1984="","",MAX($V$3:V1983)+1)</f>
        <v/>
      </c>
      <c r="W1984" s="40" t="str">
        <f aca="false">IF($E1984="","",$E1984&amp;"#"&amp;COUNTIF($E$4:$E1984,$E1984))</f>
        <v/>
      </c>
      <c r="X1984" s="40" t="str">
        <f aca="false">IF($B1984="","",IF(AND(OR(CETAK!$J$10="",$E1984=CETAK!$J$10),OR(CETAK!$J$11="",$F1984=CETAK!$J$11),OR(CETAK!$J$12="",$K1984=CETAK!$J$12),OR(CETAK!$J$13="",$H1984=CETAK!$J$13),OR(CETAK!$J$14="",$O1984=CETAK!$J$14)),MAX($X$3:X1983)+1,""))</f>
        <v/>
      </c>
      <c r="Y1984" s="40" t="str">
        <f aca="false">IF($B1984="","",IF(AND(OR(ABSENSI!$H$10="",$E1984=ABSENSI!$H$10),OR(ABSENSI!$H$11="",$F1984=ABSENSI!$H$11),OR(ABSENSI!$H$12="",$K1984=ABSENSI!$H$12)),MAX($Y$3:Y1983)+1,""))</f>
        <v/>
      </c>
      <c r="Z1984" s="40" t="str">
        <f aca="false">IF($B1984="","",IF(AND(OR(KARTU!$K$6="",$E1984=KARTU!$K$6),OR(KARTU!$K$7="",$F1984=KARTU!$K$7),OR(KARTU!$K$8="",$K1984=KARTU!$K$8)),MAX($Z$3:Z1983)+1,""))</f>
        <v/>
      </c>
    </row>
    <row r="1985" customFormat="false" ht="15" hidden="false" customHeight="false" outlineLevel="0" collapsed="false">
      <c r="A1985" s="36" t="str">
        <f aca="false">IF($B1985="","",COUNTA($B$4:$B1985))</f>
        <v/>
      </c>
      <c r="B1985" s="37"/>
      <c r="C1985" s="38"/>
      <c r="D1985" s="39"/>
      <c r="E1985" s="37"/>
      <c r="F1985" s="39"/>
      <c r="G1985" s="40" t="str">
        <f aca="false">IF(OR($E1985="",$F1985=""),"",$E1985&amp;" - RT "&amp;$F1985)</f>
        <v/>
      </c>
      <c r="H1985" s="37"/>
      <c r="I1985" s="38"/>
      <c r="J1985" s="37"/>
      <c r="K1985" s="39"/>
      <c r="L1985" s="41"/>
      <c r="M1985" s="36" t="str">
        <f aca="true">IF(OR($B1985="",$L1985=""),"",DATEDIF($L1985,TODAY(),"Y"))</f>
        <v/>
      </c>
      <c r="N1985" s="40" t="str">
        <f aca="false">IF($M1985="","",INDEX(usia_label,MATCH($M1985,usia_min,1)))</f>
        <v/>
      </c>
      <c r="O1985" s="37"/>
      <c r="P1985" s="41"/>
      <c r="Q1985" s="37"/>
      <c r="R1985" s="37"/>
      <c r="S1985" s="40" t="str">
        <f aca="false">IF($G1985="","",$G1985&amp;"#"&amp;COUNTIF($G$4:$G1985,$G1985))</f>
        <v/>
      </c>
      <c r="T1985" s="40" t="str">
        <f aca="false">IF($B1985="","",IF($C1985="","NIK kosong",IF(LEN($C1985)&lt;&gt;16,"NIK bukan 16 digit",IF(COUNTIF($C$4:$C$2003,$C1985&amp;"*")&gt;1,"NIK ganda",IF($E1985="","Kadus kosong",IF($F1985="","RT kosong",IF($H1985="","Jabatan kosong",IF($I1985="","No. HP kosong",IF($J1985="","Alamat kosong",IF(AND($M1985&lt;&gt;"",$M1985&lt;17),"Usia di bawah 17",""))))))))))</f>
        <v/>
      </c>
      <c r="U1985" s="40" t="str">
        <f aca="false">IF($B1985="","",IF(AND(OR(CARI!$C$5="",ISNUMBER(SEARCH(CARI!$C$5,$B1985&amp;" "&amp;$C1985&amp;" "&amp;$I1985&amp;" "&amp;$J1985&amp;" "&amp;$Q1985))),OR(CARI!$C$6="",$E1985=CARI!$C$6),OR(CARI!$C$7="",$F1985=CARI!$C$7),OR(CARI!$C$8="",$O1985=CARI!$C$8)),MAX($U$3:U1984)+1,""))</f>
        <v/>
      </c>
      <c r="V1985" s="40" t="str">
        <f aca="false">IF($T1985="","",MAX($V$3:V1984)+1)</f>
        <v/>
      </c>
      <c r="W1985" s="40" t="str">
        <f aca="false">IF($E1985="","",$E1985&amp;"#"&amp;COUNTIF($E$4:$E1985,$E1985))</f>
        <v/>
      </c>
      <c r="X1985" s="40" t="str">
        <f aca="false">IF($B1985="","",IF(AND(OR(CETAK!$J$10="",$E1985=CETAK!$J$10),OR(CETAK!$J$11="",$F1985=CETAK!$J$11),OR(CETAK!$J$12="",$K1985=CETAK!$J$12),OR(CETAK!$J$13="",$H1985=CETAK!$J$13),OR(CETAK!$J$14="",$O1985=CETAK!$J$14)),MAX($X$3:X1984)+1,""))</f>
        <v/>
      </c>
      <c r="Y1985" s="40" t="str">
        <f aca="false">IF($B1985="","",IF(AND(OR(ABSENSI!$H$10="",$E1985=ABSENSI!$H$10),OR(ABSENSI!$H$11="",$F1985=ABSENSI!$H$11),OR(ABSENSI!$H$12="",$K1985=ABSENSI!$H$12)),MAX($Y$3:Y1984)+1,""))</f>
        <v/>
      </c>
      <c r="Z1985" s="40" t="str">
        <f aca="false">IF($B1985="","",IF(AND(OR(KARTU!$K$6="",$E1985=KARTU!$K$6),OR(KARTU!$K$7="",$F1985=KARTU!$K$7),OR(KARTU!$K$8="",$K1985=KARTU!$K$8)),MAX($Z$3:Z1984)+1,""))</f>
        <v/>
      </c>
    </row>
    <row r="1986" customFormat="false" ht="15" hidden="false" customHeight="false" outlineLevel="0" collapsed="false">
      <c r="A1986" s="36" t="str">
        <f aca="false">IF($B1986="","",COUNTA($B$4:$B1986))</f>
        <v/>
      </c>
      <c r="B1986" s="37"/>
      <c r="C1986" s="38"/>
      <c r="D1986" s="39"/>
      <c r="E1986" s="37"/>
      <c r="F1986" s="39"/>
      <c r="G1986" s="40" t="str">
        <f aca="false">IF(OR($E1986="",$F1986=""),"",$E1986&amp;" - RT "&amp;$F1986)</f>
        <v/>
      </c>
      <c r="H1986" s="37"/>
      <c r="I1986" s="38"/>
      <c r="J1986" s="37"/>
      <c r="K1986" s="39"/>
      <c r="L1986" s="41"/>
      <c r="M1986" s="36" t="str">
        <f aca="true">IF(OR($B1986="",$L1986=""),"",DATEDIF($L1986,TODAY(),"Y"))</f>
        <v/>
      </c>
      <c r="N1986" s="40" t="str">
        <f aca="false">IF($M1986="","",INDEX(usia_label,MATCH($M1986,usia_min,1)))</f>
        <v/>
      </c>
      <c r="O1986" s="37"/>
      <c r="P1986" s="41"/>
      <c r="Q1986" s="37"/>
      <c r="R1986" s="37"/>
      <c r="S1986" s="40" t="str">
        <f aca="false">IF($G1986="","",$G1986&amp;"#"&amp;COUNTIF($G$4:$G1986,$G1986))</f>
        <v/>
      </c>
      <c r="T1986" s="40" t="str">
        <f aca="false">IF($B1986="","",IF($C1986="","NIK kosong",IF(LEN($C1986)&lt;&gt;16,"NIK bukan 16 digit",IF(COUNTIF($C$4:$C$2003,$C1986&amp;"*")&gt;1,"NIK ganda",IF($E1986="","Kadus kosong",IF($F1986="","RT kosong",IF($H1986="","Jabatan kosong",IF($I1986="","No. HP kosong",IF($J1986="","Alamat kosong",IF(AND($M1986&lt;&gt;"",$M1986&lt;17),"Usia di bawah 17",""))))))))))</f>
        <v/>
      </c>
      <c r="U1986" s="40" t="str">
        <f aca="false">IF($B1986="","",IF(AND(OR(CARI!$C$5="",ISNUMBER(SEARCH(CARI!$C$5,$B1986&amp;" "&amp;$C1986&amp;" "&amp;$I1986&amp;" "&amp;$J1986&amp;" "&amp;$Q1986))),OR(CARI!$C$6="",$E1986=CARI!$C$6),OR(CARI!$C$7="",$F1986=CARI!$C$7),OR(CARI!$C$8="",$O1986=CARI!$C$8)),MAX($U$3:U1985)+1,""))</f>
        <v/>
      </c>
      <c r="V1986" s="40" t="str">
        <f aca="false">IF($T1986="","",MAX($V$3:V1985)+1)</f>
        <v/>
      </c>
      <c r="W1986" s="40" t="str">
        <f aca="false">IF($E1986="","",$E1986&amp;"#"&amp;COUNTIF($E$4:$E1986,$E1986))</f>
        <v/>
      </c>
      <c r="X1986" s="40" t="str">
        <f aca="false">IF($B1986="","",IF(AND(OR(CETAK!$J$10="",$E1986=CETAK!$J$10),OR(CETAK!$J$11="",$F1986=CETAK!$J$11),OR(CETAK!$J$12="",$K1986=CETAK!$J$12),OR(CETAK!$J$13="",$H1986=CETAK!$J$13),OR(CETAK!$J$14="",$O1986=CETAK!$J$14)),MAX($X$3:X1985)+1,""))</f>
        <v/>
      </c>
      <c r="Y1986" s="40" t="str">
        <f aca="false">IF($B1986="","",IF(AND(OR(ABSENSI!$H$10="",$E1986=ABSENSI!$H$10),OR(ABSENSI!$H$11="",$F1986=ABSENSI!$H$11),OR(ABSENSI!$H$12="",$K1986=ABSENSI!$H$12)),MAX($Y$3:Y1985)+1,""))</f>
        <v/>
      </c>
      <c r="Z1986" s="40" t="str">
        <f aca="false">IF($B1986="","",IF(AND(OR(KARTU!$K$6="",$E1986=KARTU!$K$6),OR(KARTU!$K$7="",$F1986=KARTU!$K$7),OR(KARTU!$K$8="",$K1986=KARTU!$K$8)),MAX($Z$3:Z1985)+1,""))</f>
        <v/>
      </c>
    </row>
    <row r="1987" customFormat="false" ht="15" hidden="false" customHeight="false" outlineLevel="0" collapsed="false">
      <c r="A1987" s="36" t="str">
        <f aca="false">IF($B1987="","",COUNTA($B$4:$B1987))</f>
        <v/>
      </c>
      <c r="B1987" s="37"/>
      <c r="C1987" s="38"/>
      <c r="D1987" s="39"/>
      <c r="E1987" s="37"/>
      <c r="F1987" s="39"/>
      <c r="G1987" s="40" t="str">
        <f aca="false">IF(OR($E1987="",$F1987=""),"",$E1987&amp;" - RT "&amp;$F1987)</f>
        <v/>
      </c>
      <c r="H1987" s="37"/>
      <c r="I1987" s="38"/>
      <c r="J1987" s="37"/>
      <c r="K1987" s="39"/>
      <c r="L1987" s="41"/>
      <c r="M1987" s="36" t="str">
        <f aca="true">IF(OR($B1987="",$L1987=""),"",DATEDIF($L1987,TODAY(),"Y"))</f>
        <v/>
      </c>
      <c r="N1987" s="40" t="str">
        <f aca="false">IF($M1987="","",INDEX(usia_label,MATCH($M1987,usia_min,1)))</f>
        <v/>
      </c>
      <c r="O1987" s="37"/>
      <c r="P1987" s="41"/>
      <c r="Q1987" s="37"/>
      <c r="R1987" s="37"/>
      <c r="S1987" s="40" t="str">
        <f aca="false">IF($G1987="","",$G1987&amp;"#"&amp;COUNTIF($G$4:$G1987,$G1987))</f>
        <v/>
      </c>
      <c r="T1987" s="40" t="str">
        <f aca="false">IF($B1987="","",IF($C1987="","NIK kosong",IF(LEN($C1987)&lt;&gt;16,"NIK bukan 16 digit",IF(COUNTIF($C$4:$C$2003,$C1987&amp;"*")&gt;1,"NIK ganda",IF($E1987="","Kadus kosong",IF($F1987="","RT kosong",IF($H1987="","Jabatan kosong",IF($I1987="","No. HP kosong",IF($J1987="","Alamat kosong",IF(AND($M1987&lt;&gt;"",$M1987&lt;17),"Usia di bawah 17",""))))))))))</f>
        <v/>
      </c>
      <c r="U1987" s="40" t="str">
        <f aca="false">IF($B1987="","",IF(AND(OR(CARI!$C$5="",ISNUMBER(SEARCH(CARI!$C$5,$B1987&amp;" "&amp;$C1987&amp;" "&amp;$I1987&amp;" "&amp;$J1987&amp;" "&amp;$Q1987))),OR(CARI!$C$6="",$E1987=CARI!$C$6),OR(CARI!$C$7="",$F1987=CARI!$C$7),OR(CARI!$C$8="",$O1987=CARI!$C$8)),MAX($U$3:U1986)+1,""))</f>
        <v/>
      </c>
      <c r="V1987" s="40" t="str">
        <f aca="false">IF($T1987="","",MAX($V$3:V1986)+1)</f>
        <v/>
      </c>
      <c r="W1987" s="40" t="str">
        <f aca="false">IF($E1987="","",$E1987&amp;"#"&amp;COUNTIF($E$4:$E1987,$E1987))</f>
        <v/>
      </c>
      <c r="X1987" s="40" t="str">
        <f aca="false">IF($B1987="","",IF(AND(OR(CETAK!$J$10="",$E1987=CETAK!$J$10),OR(CETAK!$J$11="",$F1987=CETAK!$J$11),OR(CETAK!$J$12="",$K1987=CETAK!$J$12),OR(CETAK!$J$13="",$H1987=CETAK!$J$13),OR(CETAK!$J$14="",$O1987=CETAK!$J$14)),MAX($X$3:X1986)+1,""))</f>
        <v/>
      </c>
      <c r="Y1987" s="40" t="str">
        <f aca="false">IF($B1987="","",IF(AND(OR(ABSENSI!$H$10="",$E1987=ABSENSI!$H$10),OR(ABSENSI!$H$11="",$F1987=ABSENSI!$H$11),OR(ABSENSI!$H$12="",$K1987=ABSENSI!$H$12)),MAX($Y$3:Y1986)+1,""))</f>
        <v/>
      </c>
      <c r="Z1987" s="40" t="str">
        <f aca="false">IF($B1987="","",IF(AND(OR(KARTU!$K$6="",$E1987=KARTU!$K$6),OR(KARTU!$K$7="",$F1987=KARTU!$K$7),OR(KARTU!$K$8="",$K1987=KARTU!$K$8)),MAX($Z$3:Z1986)+1,""))</f>
        <v/>
      </c>
    </row>
    <row r="1988" customFormat="false" ht="15" hidden="false" customHeight="false" outlineLevel="0" collapsed="false">
      <c r="A1988" s="36" t="str">
        <f aca="false">IF($B1988="","",COUNTA($B$4:$B1988))</f>
        <v/>
      </c>
      <c r="B1988" s="37"/>
      <c r="C1988" s="38"/>
      <c r="D1988" s="39"/>
      <c r="E1988" s="37"/>
      <c r="F1988" s="39"/>
      <c r="G1988" s="40" t="str">
        <f aca="false">IF(OR($E1988="",$F1988=""),"",$E1988&amp;" - RT "&amp;$F1988)</f>
        <v/>
      </c>
      <c r="H1988" s="37"/>
      <c r="I1988" s="38"/>
      <c r="J1988" s="37"/>
      <c r="K1988" s="39"/>
      <c r="L1988" s="41"/>
      <c r="M1988" s="36" t="str">
        <f aca="true">IF(OR($B1988="",$L1988=""),"",DATEDIF($L1988,TODAY(),"Y"))</f>
        <v/>
      </c>
      <c r="N1988" s="40" t="str">
        <f aca="false">IF($M1988="","",INDEX(usia_label,MATCH($M1988,usia_min,1)))</f>
        <v/>
      </c>
      <c r="O1988" s="37"/>
      <c r="P1988" s="41"/>
      <c r="Q1988" s="37"/>
      <c r="R1988" s="37"/>
      <c r="S1988" s="40" t="str">
        <f aca="false">IF($G1988="","",$G1988&amp;"#"&amp;COUNTIF($G$4:$G1988,$G1988))</f>
        <v/>
      </c>
      <c r="T1988" s="40" t="str">
        <f aca="false">IF($B1988="","",IF($C1988="","NIK kosong",IF(LEN($C1988)&lt;&gt;16,"NIK bukan 16 digit",IF(COUNTIF($C$4:$C$2003,$C1988&amp;"*")&gt;1,"NIK ganda",IF($E1988="","Kadus kosong",IF($F1988="","RT kosong",IF($H1988="","Jabatan kosong",IF($I1988="","No. HP kosong",IF($J1988="","Alamat kosong",IF(AND($M1988&lt;&gt;"",$M1988&lt;17),"Usia di bawah 17",""))))))))))</f>
        <v/>
      </c>
      <c r="U1988" s="40" t="str">
        <f aca="false">IF($B1988="","",IF(AND(OR(CARI!$C$5="",ISNUMBER(SEARCH(CARI!$C$5,$B1988&amp;" "&amp;$C1988&amp;" "&amp;$I1988&amp;" "&amp;$J1988&amp;" "&amp;$Q1988))),OR(CARI!$C$6="",$E1988=CARI!$C$6),OR(CARI!$C$7="",$F1988=CARI!$C$7),OR(CARI!$C$8="",$O1988=CARI!$C$8)),MAX($U$3:U1987)+1,""))</f>
        <v/>
      </c>
      <c r="V1988" s="40" t="str">
        <f aca="false">IF($T1988="","",MAX($V$3:V1987)+1)</f>
        <v/>
      </c>
      <c r="W1988" s="40" t="str">
        <f aca="false">IF($E1988="","",$E1988&amp;"#"&amp;COUNTIF($E$4:$E1988,$E1988))</f>
        <v/>
      </c>
      <c r="X1988" s="40" t="str">
        <f aca="false">IF($B1988="","",IF(AND(OR(CETAK!$J$10="",$E1988=CETAK!$J$10),OR(CETAK!$J$11="",$F1988=CETAK!$J$11),OR(CETAK!$J$12="",$K1988=CETAK!$J$12),OR(CETAK!$J$13="",$H1988=CETAK!$J$13),OR(CETAK!$J$14="",$O1988=CETAK!$J$14)),MAX($X$3:X1987)+1,""))</f>
        <v/>
      </c>
      <c r="Y1988" s="40" t="str">
        <f aca="false">IF($B1988="","",IF(AND(OR(ABSENSI!$H$10="",$E1988=ABSENSI!$H$10),OR(ABSENSI!$H$11="",$F1988=ABSENSI!$H$11),OR(ABSENSI!$H$12="",$K1988=ABSENSI!$H$12)),MAX($Y$3:Y1987)+1,""))</f>
        <v/>
      </c>
      <c r="Z1988" s="40" t="str">
        <f aca="false">IF($B1988="","",IF(AND(OR(KARTU!$K$6="",$E1988=KARTU!$K$6),OR(KARTU!$K$7="",$F1988=KARTU!$K$7),OR(KARTU!$K$8="",$K1988=KARTU!$K$8)),MAX($Z$3:Z1987)+1,""))</f>
        <v/>
      </c>
    </row>
    <row r="1989" customFormat="false" ht="15" hidden="false" customHeight="false" outlineLevel="0" collapsed="false">
      <c r="A1989" s="36" t="str">
        <f aca="false">IF($B1989="","",COUNTA($B$4:$B1989))</f>
        <v/>
      </c>
      <c r="B1989" s="37"/>
      <c r="C1989" s="38"/>
      <c r="D1989" s="39"/>
      <c r="E1989" s="37"/>
      <c r="F1989" s="39"/>
      <c r="G1989" s="40" t="str">
        <f aca="false">IF(OR($E1989="",$F1989=""),"",$E1989&amp;" - RT "&amp;$F1989)</f>
        <v/>
      </c>
      <c r="H1989" s="37"/>
      <c r="I1989" s="38"/>
      <c r="J1989" s="37"/>
      <c r="K1989" s="39"/>
      <c r="L1989" s="41"/>
      <c r="M1989" s="36" t="str">
        <f aca="true">IF(OR($B1989="",$L1989=""),"",DATEDIF($L1989,TODAY(),"Y"))</f>
        <v/>
      </c>
      <c r="N1989" s="40" t="str">
        <f aca="false">IF($M1989="","",INDEX(usia_label,MATCH($M1989,usia_min,1)))</f>
        <v/>
      </c>
      <c r="O1989" s="37"/>
      <c r="P1989" s="41"/>
      <c r="Q1989" s="37"/>
      <c r="R1989" s="37"/>
      <c r="S1989" s="40" t="str">
        <f aca="false">IF($G1989="","",$G1989&amp;"#"&amp;COUNTIF($G$4:$G1989,$G1989))</f>
        <v/>
      </c>
      <c r="T1989" s="40" t="str">
        <f aca="false">IF($B1989="","",IF($C1989="","NIK kosong",IF(LEN($C1989)&lt;&gt;16,"NIK bukan 16 digit",IF(COUNTIF($C$4:$C$2003,$C1989&amp;"*")&gt;1,"NIK ganda",IF($E1989="","Kadus kosong",IF($F1989="","RT kosong",IF($H1989="","Jabatan kosong",IF($I1989="","No. HP kosong",IF($J1989="","Alamat kosong",IF(AND($M1989&lt;&gt;"",$M1989&lt;17),"Usia di bawah 17",""))))))))))</f>
        <v/>
      </c>
      <c r="U1989" s="40" t="str">
        <f aca="false">IF($B1989="","",IF(AND(OR(CARI!$C$5="",ISNUMBER(SEARCH(CARI!$C$5,$B1989&amp;" "&amp;$C1989&amp;" "&amp;$I1989&amp;" "&amp;$J1989&amp;" "&amp;$Q1989))),OR(CARI!$C$6="",$E1989=CARI!$C$6),OR(CARI!$C$7="",$F1989=CARI!$C$7),OR(CARI!$C$8="",$O1989=CARI!$C$8)),MAX($U$3:U1988)+1,""))</f>
        <v/>
      </c>
      <c r="V1989" s="40" t="str">
        <f aca="false">IF($T1989="","",MAX($V$3:V1988)+1)</f>
        <v/>
      </c>
      <c r="W1989" s="40" t="str">
        <f aca="false">IF($E1989="","",$E1989&amp;"#"&amp;COUNTIF($E$4:$E1989,$E1989))</f>
        <v/>
      </c>
      <c r="X1989" s="40" t="str">
        <f aca="false">IF($B1989="","",IF(AND(OR(CETAK!$J$10="",$E1989=CETAK!$J$10),OR(CETAK!$J$11="",$F1989=CETAK!$J$11),OR(CETAK!$J$12="",$K1989=CETAK!$J$12),OR(CETAK!$J$13="",$H1989=CETAK!$J$13),OR(CETAK!$J$14="",$O1989=CETAK!$J$14)),MAX($X$3:X1988)+1,""))</f>
        <v/>
      </c>
      <c r="Y1989" s="40" t="str">
        <f aca="false">IF($B1989="","",IF(AND(OR(ABSENSI!$H$10="",$E1989=ABSENSI!$H$10),OR(ABSENSI!$H$11="",$F1989=ABSENSI!$H$11),OR(ABSENSI!$H$12="",$K1989=ABSENSI!$H$12)),MAX($Y$3:Y1988)+1,""))</f>
        <v/>
      </c>
      <c r="Z1989" s="40" t="str">
        <f aca="false">IF($B1989="","",IF(AND(OR(KARTU!$K$6="",$E1989=KARTU!$K$6),OR(KARTU!$K$7="",$F1989=KARTU!$K$7),OR(KARTU!$K$8="",$K1989=KARTU!$K$8)),MAX($Z$3:Z1988)+1,""))</f>
        <v/>
      </c>
    </row>
    <row r="1990" customFormat="false" ht="15" hidden="false" customHeight="false" outlineLevel="0" collapsed="false">
      <c r="A1990" s="36" t="str">
        <f aca="false">IF($B1990="","",COUNTA($B$4:$B1990))</f>
        <v/>
      </c>
      <c r="B1990" s="37"/>
      <c r="C1990" s="38"/>
      <c r="D1990" s="39"/>
      <c r="E1990" s="37"/>
      <c r="F1990" s="39"/>
      <c r="G1990" s="40" t="str">
        <f aca="false">IF(OR($E1990="",$F1990=""),"",$E1990&amp;" - RT "&amp;$F1990)</f>
        <v/>
      </c>
      <c r="H1990" s="37"/>
      <c r="I1990" s="38"/>
      <c r="J1990" s="37"/>
      <c r="K1990" s="39"/>
      <c r="L1990" s="41"/>
      <c r="M1990" s="36" t="str">
        <f aca="true">IF(OR($B1990="",$L1990=""),"",DATEDIF($L1990,TODAY(),"Y"))</f>
        <v/>
      </c>
      <c r="N1990" s="40" t="str">
        <f aca="false">IF($M1990="","",INDEX(usia_label,MATCH($M1990,usia_min,1)))</f>
        <v/>
      </c>
      <c r="O1990" s="37"/>
      <c r="P1990" s="41"/>
      <c r="Q1990" s="37"/>
      <c r="R1990" s="37"/>
      <c r="S1990" s="40" t="str">
        <f aca="false">IF($G1990="","",$G1990&amp;"#"&amp;COUNTIF($G$4:$G1990,$G1990))</f>
        <v/>
      </c>
      <c r="T1990" s="40" t="str">
        <f aca="false">IF($B1990="","",IF($C1990="","NIK kosong",IF(LEN($C1990)&lt;&gt;16,"NIK bukan 16 digit",IF(COUNTIF($C$4:$C$2003,$C1990&amp;"*")&gt;1,"NIK ganda",IF($E1990="","Kadus kosong",IF($F1990="","RT kosong",IF($H1990="","Jabatan kosong",IF($I1990="","No. HP kosong",IF($J1990="","Alamat kosong",IF(AND($M1990&lt;&gt;"",$M1990&lt;17),"Usia di bawah 17",""))))))))))</f>
        <v/>
      </c>
      <c r="U1990" s="40" t="str">
        <f aca="false">IF($B1990="","",IF(AND(OR(CARI!$C$5="",ISNUMBER(SEARCH(CARI!$C$5,$B1990&amp;" "&amp;$C1990&amp;" "&amp;$I1990&amp;" "&amp;$J1990&amp;" "&amp;$Q1990))),OR(CARI!$C$6="",$E1990=CARI!$C$6),OR(CARI!$C$7="",$F1990=CARI!$C$7),OR(CARI!$C$8="",$O1990=CARI!$C$8)),MAX($U$3:U1989)+1,""))</f>
        <v/>
      </c>
      <c r="V1990" s="40" t="str">
        <f aca="false">IF($T1990="","",MAX($V$3:V1989)+1)</f>
        <v/>
      </c>
      <c r="W1990" s="40" t="str">
        <f aca="false">IF($E1990="","",$E1990&amp;"#"&amp;COUNTIF($E$4:$E1990,$E1990))</f>
        <v/>
      </c>
      <c r="X1990" s="40" t="str">
        <f aca="false">IF($B1990="","",IF(AND(OR(CETAK!$J$10="",$E1990=CETAK!$J$10),OR(CETAK!$J$11="",$F1990=CETAK!$J$11),OR(CETAK!$J$12="",$K1990=CETAK!$J$12),OR(CETAK!$J$13="",$H1990=CETAK!$J$13),OR(CETAK!$J$14="",$O1990=CETAK!$J$14)),MAX($X$3:X1989)+1,""))</f>
        <v/>
      </c>
      <c r="Y1990" s="40" t="str">
        <f aca="false">IF($B1990="","",IF(AND(OR(ABSENSI!$H$10="",$E1990=ABSENSI!$H$10),OR(ABSENSI!$H$11="",$F1990=ABSENSI!$H$11),OR(ABSENSI!$H$12="",$K1990=ABSENSI!$H$12)),MAX($Y$3:Y1989)+1,""))</f>
        <v/>
      </c>
      <c r="Z1990" s="40" t="str">
        <f aca="false">IF($B1990="","",IF(AND(OR(KARTU!$K$6="",$E1990=KARTU!$K$6),OR(KARTU!$K$7="",$F1990=KARTU!$K$7),OR(KARTU!$K$8="",$K1990=KARTU!$K$8)),MAX($Z$3:Z1989)+1,""))</f>
        <v/>
      </c>
    </row>
    <row r="1991" customFormat="false" ht="15" hidden="false" customHeight="false" outlineLevel="0" collapsed="false">
      <c r="A1991" s="36" t="str">
        <f aca="false">IF($B1991="","",COUNTA($B$4:$B1991))</f>
        <v/>
      </c>
      <c r="B1991" s="37"/>
      <c r="C1991" s="38"/>
      <c r="D1991" s="39"/>
      <c r="E1991" s="37"/>
      <c r="F1991" s="39"/>
      <c r="G1991" s="40" t="str">
        <f aca="false">IF(OR($E1991="",$F1991=""),"",$E1991&amp;" - RT "&amp;$F1991)</f>
        <v/>
      </c>
      <c r="H1991" s="37"/>
      <c r="I1991" s="38"/>
      <c r="J1991" s="37"/>
      <c r="K1991" s="39"/>
      <c r="L1991" s="41"/>
      <c r="M1991" s="36" t="str">
        <f aca="true">IF(OR($B1991="",$L1991=""),"",DATEDIF($L1991,TODAY(),"Y"))</f>
        <v/>
      </c>
      <c r="N1991" s="40" t="str">
        <f aca="false">IF($M1991="","",INDEX(usia_label,MATCH($M1991,usia_min,1)))</f>
        <v/>
      </c>
      <c r="O1991" s="37"/>
      <c r="P1991" s="41"/>
      <c r="Q1991" s="37"/>
      <c r="R1991" s="37"/>
      <c r="S1991" s="40" t="str">
        <f aca="false">IF($G1991="","",$G1991&amp;"#"&amp;COUNTIF($G$4:$G1991,$G1991))</f>
        <v/>
      </c>
      <c r="T1991" s="40" t="str">
        <f aca="false">IF($B1991="","",IF($C1991="","NIK kosong",IF(LEN($C1991)&lt;&gt;16,"NIK bukan 16 digit",IF(COUNTIF($C$4:$C$2003,$C1991&amp;"*")&gt;1,"NIK ganda",IF($E1991="","Kadus kosong",IF($F1991="","RT kosong",IF($H1991="","Jabatan kosong",IF($I1991="","No. HP kosong",IF($J1991="","Alamat kosong",IF(AND($M1991&lt;&gt;"",$M1991&lt;17),"Usia di bawah 17",""))))))))))</f>
        <v/>
      </c>
      <c r="U1991" s="40" t="str">
        <f aca="false">IF($B1991="","",IF(AND(OR(CARI!$C$5="",ISNUMBER(SEARCH(CARI!$C$5,$B1991&amp;" "&amp;$C1991&amp;" "&amp;$I1991&amp;" "&amp;$J1991&amp;" "&amp;$Q1991))),OR(CARI!$C$6="",$E1991=CARI!$C$6),OR(CARI!$C$7="",$F1991=CARI!$C$7),OR(CARI!$C$8="",$O1991=CARI!$C$8)),MAX($U$3:U1990)+1,""))</f>
        <v/>
      </c>
      <c r="V1991" s="40" t="str">
        <f aca="false">IF($T1991="","",MAX($V$3:V1990)+1)</f>
        <v/>
      </c>
      <c r="W1991" s="40" t="str">
        <f aca="false">IF($E1991="","",$E1991&amp;"#"&amp;COUNTIF($E$4:$E1991,$E1991))</f>
        <v/>
      </c>
      <c r="X1991" s="40" t="str">
        <f aca="false">IF($B1991="","",IF(AND(OR(CETAK!$J$10="",$E1991=CETAK!$J$10),OR(CETAK!$J$11="",$F1991=CETAK!$J$11),OR(CETAK!$J$12="",$K1991=CETAK!$J$12),OR(CETAK!$J$13="",$H1991=CETAK!$J$13),OR(CETAK!$J$14="",$O1991=CETAK!$J$14)),MAX($X$3:X1990)+1,""))</f>
        <v/>
      </c>
      <c r="Y1991" s="40" t="str">
        <f aca="false">IF($B1991="","",IF(AND(OR(ABSENSI!$H$10="",$E1991=ABSENSI!$H$10),OR(ABSENSI!$H$11="",$F1991=ABSENSI!$H$11),OR(ABSENSI!$H$12="",$K1991=ABSENSI!$H$12)),MAX($Y$3:Y1990)+1,""))</f>
        <v/>
      </c>
      <c r="Z1991" s="40" t="str">
        <f aca="false">IF($B1991="","",IF(AND(OR(KARTU!$K$6="",$E1991=KARTU!$K$6),OR(KARTU!$K$7="",$F1991=KARTU!$K$7),OR(KARTU!$K$8="",$K1991=KARTU!$K$8)),MAX($Z$3:Z1990)+1,""))</f>
        <v/>
      </c>
    </row>
    <row r="1992" customFormat="false" ht="15" hidden="false" customHeight="false" outlineLevel="0" collapsed="false">
      <c r="A1992" s="36" t="str">
        <f aca="false">IF($B1992="","",COUNTA($B$4:$B1992))</f>
        <v/>
      </c>
      <c r="B1992" s="37"/>
      <c r="C1992" s="38"/>
      <c r="D1992" s="39"/>
      <c r="E1992" s="37"/>
      <c r="F1992" s="39"/>
      <c r="G1992" s="40" t="str">
        <f aca="false">IF(OR($E1992="",$F1992=""),"",$E1992&amp;" - RT "&amp;$F1992)</f>
        <v/>
      </c>
      <c r="H1992" s="37"/>
      <c r="I1992" s="38"/>
      <c r="J1992" s="37"/>
      <c r="K1992" s="39"/>
      <c r="L1992" s="41"/>
      <c r="M1992" s="36" t="str">
        <f aca="true">IF(OR($B1992="",$L1992=""),"",DATEDIF($L1992,TODAY(),"Y"))</f>
        <v/>
      </c>
      <c r="N1992" s="40" t="str">
        <f aca="false">IF($M1992="","",INDEX(usia_label,MATCH($M1992,usia_min,1)))</f>
        <v/>
      </c>
      <c r="O1992" s="37"/>
      <c r="P1992" s="41"/>
      <c r="Q1992" s="37"/>
      <c r="R1992" s="37"/>
      <c r="S1992" s="40" t="str">
        <f aca="false">IF($G1992="","",$G1992&amp;"#"&amp;COUNTIF($G$4:$G1992,$G1992))</f>
        <v/>
      </c>
      <c r="T1992" s="40" t="str">
        <f aca="false">IF($B1992="","",IF($C1992="","NIK kosong",IF(LEN($C1992)&lt;&gt;16,"NIK bukan 16 digit",IF(COUNTIF($C$4:$C$2003,$C1992&amp;"*")&gt;1,"NIK ganda",IF($E1992="","Kadus kosong",IF($F1992="","RT kosong",IF($H1992="","Jabatan kosong",IF($I1992="","No. HP kosong",IF($J1992="","Alamat kosong",IF(AND($M1992&lt;&gt;"",$M1992&lt;17),"Usia di bawah 17",""))))))))))</f>
        <v/>
      </c>
      <c r="U1992" s="40" t="str">
        <f aca="false">IF($B1992="","",IF(AND(OR(CARI!$C$5="",ISNUMBER(SEARCH(CARI!$C$5,$B1992&amp;" "&amp;$C1992&amp;" "&amp;$I1992&amp;" "&amp;$J1992&amp;" "&amp;$Q1992))),OR(CARI!$C$6="",$E1992=CARI!$C$6),OR(CARI!$C$7="",$F1992=CARI!$C$7),OR(CARI!$C$8="",$O1992=CARI!$C$8)),MAX($U$3:U1991)+1,""))</f>
        <v/>
      </c>
      <c r="V1992" s="40" t="str">
        <f aca="false">IF($T1992="","",MAX($V$3:V1991)+1)</f>
        <v/>
      </c>
      <c r="W1992" s="40" t="str">
        <f aca="false">IF($E1992="","",$E1992&amp;"#"&amp;COUNTIF($E$4:$E1992,$E1992))</f>
        <v/>
      </c>
      <c r="X1992" s="40" t="str">
        <f aca="false">IF($B1992="","",IF(AND(OR(CETAK!$J$10="",$E1992=CETAK!$J$10),OR(CETAK!$J$11="",$F1992=CETAK!$J$11),OR(CETAK!$J$12="",$K1992=CETAK!$J$12),OR(CETAK!$J$13="",$H1992=CETAK!$J$13),OR(CETAK!$J$14="",$O1992=CETAK!$J$14)),MAX($X$3:X1991)+1,""))</f>
        <v/>
      </c>
      <c r="Y1992" s="40" t="str">
        <f aca="false">IF($B1992="","",IF(AND(OR(ABSENSI!$H$10="",$E1992=ABSENSI!$H$10),OR(ABSENSI!$H$11="",$F1992=ABSENSI!$H$11),OR(ABSENSI!$H$12="",$K1992=ABSENSI!$H$12)),MAX($Y$3:Y1991)+1,""))</f>
        <v/>
      </c>
      <c r="Z1992" s="40" t="str">
        <f aca="false">IF($B1992="","",IF(AND(OR(KARTU!$K$6="",$E1992=KARTU!$K$6),OR(KARTU!$K$7="",$F1992=KARTU!$K$7),OR(KARTU!$K$8="",$K1992=KARTU!$K$8)),MAX($Z$3:Z1991)+1,""))</f>
        <v/>
      </c>
    </row>
    <row r="1993" customFormat="false" ht="15" hidden="false" customHeight="false" outlineLevel="0" collapsed="false">
      <c r="A1993" s="36" t="str">
        <f aca="false">IF($B1993="","",COUNTA($B$4:$B1993))</f>
        <v/>
      </c>
      <c r="B1993" s="37"/>
      <c r="C1993" s="38"/>
      <c r="D1993" s="39"/>
      <c r="E1993" s="37"/>
      <c r="F1993" s="39"/>
      <c r="G1993" s="40" t="str">
        <f aca="false">IF(OR($E1993="",$F1993=""),"",$E1993&amp;" - RT "&amp;$F1993)</f>
        <v/>
      </c>
      <c r="H1993" s="37"/>
      <c r="I1993" s="38"/>
      <c r="J1993" s="37"/>
      <c r="K1993" s="39"/>
      <c r="L1993" s="41"/>
      <c r="M1993" s="36" t="str">
        <f aca="true">IF(OR($B1993="",$L1993=""),"",DATEDIF($L1993,TODAY(),"Y"))</f>
        <v/>
      </c>
      <c r="N1993" s="40" t="str">
        <f aca="false">IF($M1993="","",INDEX(usia_label,MATCH($M1993,usia_min,1)))</f>
        <v/>
      </c>
      <c r="O1993" s="37"/>
      <c r="P1993" s="41"/>
      <c r="Q1993" s="37"/>
      <c r="R1993" s="37"/>
      <c r="S1993" s="40" t="str">
        <f aca="false">IF($G1993="","",$G1993&amp;"#"&amp;COUNTIF($G$4:$G1993,$G1993))</f>
        <v/>
      </c>
      <c r="T1993" s="40" t="str">
        <f aca="false">IF($B1993="","",IF($C1993="","NIK kosong",IF(LEN($C1993)&lt;&gt;16,"NIK bukan 16 digit",IF(COUNTIF($C$4:$C$2003,$C1993&amp;"*")&gt;1,"NIK ganda",IF($E1993="","Kadus kosong",IF($F1993="","RT kosong",IF($H1993="","Jabatan kosong",IF($I1993="","No. HP kosong",IF($J1993="","Alamat kosong",IF(AND($M1993&lt;&gt;"",$M1993&lt;17),"Usia di bawah 17",""))))))))))</f>
        <v/>
      </c>
      <c r="U1993" s="40" t="str">
        <f aca="false">IF($B1993="","",IF(AND(OR(CARI!$C$5="",ISNUMBER(SEARCH(CARI!$C$5,$B1993&amp;" "&amp;$C1993&amp;" "&amp;$I1993&amp;" "&amp;$J1993&amp;" "&amp;$Q1993))),OR(CARI!$C$6="",$E1993=CARI!$C$6),OR(CARI!$C$7="",$F1993=CARI!$C$7),OR(CARI!$C$8="",$O1993=CARI!$C$8)),MAX($U$3:U1992)+1,""))</f>
        <v/>
      </c>
      <c r="V1993" s="40" t="str">
        <f aca="false">IF($T1993="","",MAX($V$3:V1992)+1)</f>
        <v/>
      </c>
      <c r="W1993" s="40" t="str">
        <f aca="false">IF($E1993="","",$E1993&amp;"#"&amp;COUNTIF($E$4:$E1993,$E1993))</f>
        <v/>
      </c>
      <c r="X1993" s="40" t="str">
        <f aca="false">IF($B1993="","",IF(AND(OR(CETAK!$J$10="",$E1993=CETAK!$J$10),OR(CETAK!$J$11="",$F1993=CETAK!$J$11),OR(CETAK!$J$12="",$K1993=CETAK!$J$12),OR(CETAK!$J$13="",$H1993=CETAK!$J$13),OR(CETAK!$J$14="",$O1993=CETAK!$J$14)),MAX($X$3:X1992)+1,""))</f>
        <v/>
      </c>
      <c r="Y1993" s="40" t="str">
        <f aca="false">IF($B1993="","",IF(AND(OR(ABSENSI!$H$10="",$E1993=ABSENSI!$H$10),OR(ABSENSI!$H$11="",$F1993=ABSENSI!$H$11),OR(ABSENSI!$H$12="",$K1993=ABSENSI!$H$12)),MAX($Y$3:Y1992)+1,""))</f>
        <v/>
      </c>
      <c r="Z1993" s="40" t="str">
        <f aca="false">IF($B1993="","",IF(AND(OR(KARTU!$K$6="",$E1993=KARTU!$K$6),OR(KARTU!$K$7="",$F1993=KARTU!$K$7),OR(KARTU!$K$8="",$K1993=KARTU!$K$8)),MAX($Z$3:Z1992)+1,""))</f>
        <v/>
      </c>
    </row>
    <row r="1994" customFormat="false" ht="15" hidden="false" customHeight="false" outlineLevel="0" collapsed="false">
      <c r="A1994" s="36" t="str">
        <f aca="false">IF($B1994="","",COUNTA($B$4:$B1994))</f>
        <v/>
      </c>
      <c r="B1994" s="37"/>
      <c r="C1994" s="38"/>
      <c r="D1994" s="39"/>
      <c r="E1994" s="37"/>
      <c r="F1994" s="39"/>
      <c r="G1994" s="40" t="str">
        <f aca="false">IF(OR($E1994="",$F1994=""),"",$E1994&amp;" - RT "&amp;$F1994)</f>
        <v/>
      </c>
      <c r="H1994" s="37"/>
      <c r="I1994" s="38"/>
      <c r="J1994" s="37"/>
      <c r="K1994" s="39"/>
      <c r="L1994" s="41"/>
      <c r="M1994" s="36" t="str">
        <f aca="true">IF(OR($B1994="",$L1994=""),"",DATEDIF($L1994,TODAY(),"Y"))</f>
        <v/>
      </c>
      <c r="N1994" s="40" t="str">
        <f aca="false">IF($M1994="","",INDEX(usia_label,MATCH($M1994,usia_min,1)))</f>
        <v/>
      </c>
      <c r="O1994" s="37"/>
      <c r="P1994" s="41"/>
      <c r="Q1994" s="37"/>
      <c r="R1994" s="37"/>
      <c r="S1994" s="40" t="str">
        <f aca="false">IF($G1994="","",$G1994&amp;"#"&amp;COUNTIF($G$4:$G1994,$G1994))</f>
        <v/>
      </c>
      <c r="T1994" s="40" t="str">
        <f aca="false">IF($B1994="","",IF($C1994="","NIK kosong",IF(LEN($C1994)&lt;&gt;16,"NIK bukan 16 digit",IF(COUNTIF($C$4:$C$2003,$C1994&amp;"*")&gt;1,"NIK ganda",IF($E1994="","Kadus kosong",IF($F1994="","RT kosong",IF($H1994="","Jabatan kosong",IF($I1994="","No. HP kosong",IF($J1994="","Alamat kosong",IF(AND($M1994&lt;&gt;"",$M1994&lt;17),"Usia di bawah 17",""))))))))))</f>
        <v/>
      </c>
      <c r="U1994" s="40" t="str">
        <f aca="false">IF($B1994="","",IF(AND(OR(CARI!$C$5="",ISNUMBER(SEARCH(CARI!$C$5,$B1994&amp;" "&amp;$C1994&amp;" "&amp;$I1994&amp;" "&amp;$J1994&amp;" "&amp;$Q1994))),OR(CARI!$C$6="",$E1994=CARI!$C$6),OR(CARI!$C$7="",$F1994=CARI!$C$7),OR(CARI!$C$8="",$O1994=CARI!$C$8)),MAX($U$3:U1993)+1,""))</f>
        <v/>
      </c>
      <c r="V1994" s="40" t="str">
        <f aca="false">IF($T1994="","",MAX($V$3:V1993)+1)</f>
        <v/>
      </c>
      <c r="W1994" s="40" t="str">
        <f aca="false">IF($E1994="","",$E1994&amp;"#"&amp;COUNTIF($E$4:$E1994,$E1994))</f>
        <v/>
      </c>
      <c r="X1994" s="40" t="str">
        <f aca="false">IF($B1994="","",IF(AND(OR(CETAK!$J$10="",$E1994=CETAK!$J$10),OR(CETAK!$J$11="",$F1994=CETAK!$J$11),OR(CETAK!$J$12="",$K1994=CETAK!$J$12),OR(CETAK!$J$13="",$H1994=CETAK!$J$13),OR(CETAK!$J$14="",$O1994=CETAK!$J$14)),MAX($X$3:X1993)+1,""))</f>
        <v/>
      </c>
      <c r="Y1994" s="40" t="str">
        <f aca="false">IF($B1994="","",IF(AND(OR(ABSENSI!$H$10="",$E1994=ABSENSI!$H$10),OR(ABSENSI!$H$11="",$F1994=ABSENSI!$H$11),OR(ABSENSI!$H$12="",$K1994=ABSENSI!$H$12)),MAX($Y$3:Y1993)+1,""))</f>
        <v/>
      </c>
      <c r="Z1994" s="40" t="str">
        <f aca="false">IF($B1994="","",IF(AND(OR(KARTU!$K$6="",$E1994=KARTU!$K$6),OR(KARTU!$K$7="",$F1994=KARTU!$K$7),OR(KARTU!$K$8="",$K1994=KARTU!$K$8)),MAX($Z$3:Z1993)+1,""))</f>
        <v/>
      </c>
    </row>
    <row r="1995" customFormat="false" ht="15" hidden="false" customHeight="false" outlineLevel="0" collapsed="false">
      <c r="A1995" s="36" t="str">
        <f aca="false">IF($B1995="","",COUNTA($B$4:$B1995))</f>
        <v/>
      </c>
      <c r="B1995" s="37"/>
      <c r="C1995" s="38"/>
      <c r="D1995" s="39"/>
      <c r="E1995" s="37"/>
      <c r="F1995" s="39"/>
      <c r="G1995" s="40" t="str">
        <f aca="false">IF(OR($E1995="",$F1995=""),"",$E1995&amp;" - RT "&amp;$F1995)</f>
        <v/>
      </c>
      <c r="H1995" s="37"/>
      <c r="I1995" s="38"/>
      <c r="J1995" s="37"/>
      <c r="K1995" s="39"/>
      <c r="L1995" s="41"/>
      <c r="M1995" s="36" t="str">
        <f aca="true">IF(OR($B1995="",$L1995=""),"",DATEDIF($L1995,TODAY(),"Y"))</f>
        <v/>
      </c>
      <c r="N1995" s="40" t="str">
        <f aca="false">IF($M1995="","",INDEX(usia_label,MATCH($M1995,usia_min,1)))</f>
        <v/>
      </c>
      <c r="O1995" s="37"/>
      <c r="P1995" s="41"/>
      <c r="Q1995" s="37"/>
      <c r="R1995" s="37"/>
      <c r="S1995" s="40" t="str">
        <f aca="false">IF($G1995="","",$G1995&amp;"#"&amp;COUNTIF($G$4:$G1995,$G1995))</f>
        <v/>
      </c>
      <c r="T1995" s="40" t="str">
        <f aca="false">IF($B1995="","",IF($C1995="","NIK kosong",IF(LEN($C1995)&lt;&gt;16,"NIK bukan 16 digit",IF(COUNTIF($C$4:$C$2003,$C1995&amp;"*")&gt;1,"NIK ganda",IF($E1995="","Kadus kosong",IF($F1995="","RT kosong",IF($H1995="","Jabatan kosong",IF($I1995="","No. HP kosong",IF($J1995="","Alamat kosong",IF(AND($M1995&lt;&gt;"",$M1995&lt;17),"Usia di bawah 17",""))))))))))</f>
        <v/>
      </c>
      <c r="U1995" s="40" t="str">
        <f aca="false">IF($B1995="","",IF(AND(OR(CARI!$C$5="",ISNUMBER(SEARCH(CARI!$C$5,$B1995&amp;" "&amp;$C1995&amp;" "&amp;$I1995&amp;" "&amp;$J1995&amp;" "&amp;$Q1995))),OR(CARI!$C$6="",$E1995=CARI!$C$6),OR(CARI!$C$7="",$F1995=CARI!$C$7),OR(CARI!$C$8="",$O1995=CARI!$C$8)),MAX($U$3:U1994)+1,""))</f>
        <v/>
      </c>
      <c r="V1995" s="40" t="str">
        <f aca="false">IF($T1995="","",MAX($V$3:V1994)+1)</f>
        <v/>
      </c>
      <c r="W1995" s="40" t="str">
        <f aca="false">IF($E1995="","",$E1995&amp;"#"&amp;COUNTIF($E$4:$E1995,$E1995))</f>
        <v/>
      </c>
      <c r="X1995" s="40" t="str">
        <f aca="false">IF($B1995="","",IF(AND(OR(CETAK!$J$10="",$E1995=CETAK!$J$10),OR(CETAK!$J$11="",$F1995=CETAK!$J$11),OR(CETAK!$J$12="",$K1995=CETAK!$J$12),OR(CETAK!$J$13="",$H1995=CETAK!$J$13),OR(CETAK!$J$14="",$O1995=CETAK!$J$14)),MAX($X$3:X1994)+1,""))</f>
        <v/>
      </c>
      <c r="Y1995" s="40" t="str">
        <f aca="false">IF($B1995="","",IF(AND(OR(ABSENSI!$H$10="",$E1995=ABSENSI!$H$10),OR(ABSENSI!$H$11="",$F1995=ABSENSI!$H$11),OR(ABSENSI!$H$12="",$K1995=ABSENSI!$H$12)),MAX($Y$3:Y1994)+1,""))</f>
        <v/>
      </c>
      <c r="Z1995" s="40" t="str">
        <f aca="false">IF($B1995="","",IF(AND(OR(KARTU!$K$6="",$E1995=KARTU!$K$6),OR(KARTU!$K$7="",$F1995=KARTU!$K$7),OR(KARTU!$K$8="",$K1995=KARTU!$K$8)),MAX($Z$3:Z1994)+1,""))</f>
        <v/>
      </c>
    </row>
    <row r="1996" customFormat="false" ht="15" hidden="false" customHeight="false" outlineLevel="0" collapsed="false">
      <c r="A1996" s="36" t="str">
        <f aca="false">IF($B1996="","",COUNTA($B$4:$B1996))</f>
        <v/>
      </c>
      <c r="B1996" s="37"/>
      <c r="C1996" s="38"/>
      <c r="D1996" s="39"/>
      <c r="E1996" s="37"/>
      <c r="F1996" s="39"/>
      <c r="G1996" s="40" t="str">
        <f aca="false">IF(OR($E1996="",$F1996=""),"",$E1996&amp;" - RT "&amp;$F1996)</f>
        <v/>
      </c>
      <c r="H1996" s="37"/>
      <c r="I1996" s="38"/>
      <c r="J1996" s="37"/>
      <c r="K1996" s="39"/>
      <c r="L1996" s="41"/>
      <c r="M1996" s="36" t="str">
        <f aca="true">IF(OR($B1996="",$L1996=""),"",DATEDIF($L1996,TODAY(),"Y"))</f>
        <v/>
      </c>
      <c r="N1996" s="40" t="str">
        <f aca="false">IF($M1996="","",INDEX(usia_label,MATCH($M1996,usia_min,1)))</f>
        <v/>
      </c>
      <c r="O1996" s="37"/>
      <c r="P1996" s="41"/>
      <c r="Q1996" s="37"/>
      <c r="R1996" s="37"/>
      <c r="S1996" s="40" t="str">
        <f aca="false">IF($G1996="","",$G1996&amp;"#"&amp;COUNTIF($G$4:$G1996,$G1996))</f>
        <v/>
      </c>
      <c r="T1996" s="40" t="str">
        <f aca="false">IF($B1996="","",IF($C1996="","NIK kosong",IF(LEN($C1996)&lt;&gt;16,"NIK bukan 16 digit",IF(COUNTIF($C$4:$C$2003,$C1996&amp;"*")&gt;1,"NIK ganda",IF($E1996="","Kadus kosong",IF($F1996="","RT kosong",IF($H1996="","Jabatan kosong",IF($I1996="","No. HP kosong",IF($J1996="","Alamat kosong",IF(AND($M1996&lt;&gt;"",$M1996&lt;17),"Usia di bawah 17",""))))))))))</f>
        <v/>
      </c>
      <c r="U1996" s="40" t="str">
        <f aca="false">IF($B1996="","",IF(AND(OR(CARI!$C$5="",ISNUMBER(SEARCH(CARI!$C$5,$B1996&amp;" "&amp;$C1996&amp;" "&amp;$I1996&amp;" "&amp;$J1996&amp;" "&amp;$Q1996))),OR(CARI!$C$6="",$E1996=CARI!$C$6),OR(CARI!$C$7="",$F1996=CARI!$C$7),OR(CARI!$C$8="",$O1996=CARI!$C$8)),MAX($U$3:U1995)+1,""))</f>
        <v/>
      </c>
      <c r="V1996" s="40" t="str">
        <f aca="false">IF($T1996="","",MAX($V$3:V1995)+1)</f>
        <v/>
      </c>
      <c r="W1996" s="40" t="str">
        <f aca="false">IF($E1996="","",$E1996&amp;"#"&amp;COUNTIF($E$4:$E1996,$E1996))</f>
        <v/>
      </c>
      <c r="X1996" s="40" t="str">
        <f aca="false">IF($B1996="","",IF(AND(OR(CETAK!$J$10="",$E1996=CETAK!$J$10),OR(CETAK!$J$11="",$F1996=CETAK!$J$11),OR(CETAK!$J$12="",$K1996=CETAK!$J$12),OR(CETAK!$J$13="",$H1996=CETAK!$J$13),OR(CETAK!$J$14="",$O1996=CETAK!$J$14)),MAX($X$3:X1995)+1,""))</f>
        <v/>
      </c>
      <c r="Y1996" s="40" t="str">
        <f aca="false">IF($B1996="","",IF(AND(OR(ABSENSI!$H$10="",$E1996=ABSENSI!$H$10),OR(ABSENSI!$H$11="",$F1996=ABSENSI!$H$11),OR(ABSENSI!$H$12="",$K1996=ABSENSI!$H$12)),MAX($Y$3:Y1995)+1,""))</f>
        <v/>
      </c>
      <c r="Z1996" s="40" t="str">
        <f aca="false">IF($B1996="","",IF(AND(OR(KARTU!$K$6="",$E1996=KARTU!$K$6),OR(KARTU!$K$7="",$F1996=KARTU!$K$7),OR(KARTU!$K$8="",$K1996=KARTU!$K$8)),MAX($Z$3:Z1995)+1,""))</f>
        <v/>
      </c>
    </row>
    <row r="1997" customFormat="false" ht="15" hidden="false" customHeight="false" outlineLevel="0" collapsed="false">
      <c r="A1997" s="36" t="str">
        <f aca="false">IF($B1997="","",COUNTA($B$4:$B1997))</f>
        <v/>
      </c>
      <c r="B1997" s="37"/>
      <c r="C1997" s="38"/>
      <c r="D1997" s="39"/>
      <c r="E1997" s="37"/>
      <c r="F1997" s="39"/>
      <c r="G1997" s="40" t="str">
        <f aca="false">IF(OR($E1997="",$F1997=""),"",$E1997&amp;" - RT "&amp;$F1997)</f>
        <v/>
      </c>
      <c r="H1997" s="37"/>
      <c r="I1997" s="38"/>
      <c r="J1997" s="37"/>
      <c r="K1997" s="39"/>
      <c r="L1997" s="41"/>
      <c r="M1997" s="36" t="str">
        <f aca="true">IF(OR($B1997="",$L1997=""),"",DATEDIF($L1997,TODAY(),"Y"))</f>
        <v/>
      </c>
      <c r="N1997" s="40" t="str">
        <f aca="false">IF($M1997="","",INDEX(usia_label,MATCH($M1997,usia_min,1)))</f>
        <v/>
      </c>
      <c r="O1997" s="37"/>
      <c r="P1997" s="41"/>
      <c r="Q1997" s="37"/>
      <c r="R1997" s="37"/>
      <c r="S1997" s="40" t="str">
        <f aca="false">IF($G1997="","",$G1997&amp;"#"&amp;COUNTIF($G$4:$G1997,$G1997))</f>
        <v/>
      </c>
      <c r="T1997" s="40" t="str">
        <f aca="false">IF($B1997="","",IF($C1997="","NIK kosong",IF(LEN($C1997)&lt;&gt;16,"NIK bukan 16 digit",IF(COUNTIF($C$4:$C$2003,$C1997&amp;"*")&gt;1,"NIK ganda",IF($E1997="","Kadus kosong",IF($F1997="","RT kosong",IF($H1997="","Jabatan kosong",IF($I1997="","No. HP kosong",IF($J1997="","Alamat kosong",IF(AND($M1997&lt;&gt;"",$M1997&lt;17),"Usia di bawah 17",""))))))))))</f>
        <v/>
      </c>
      <c r="U1997" s="40" t="str">
        <f aca="false">IF($B1997="","",IF(AND(OR(CARI!$C$5="",ISNUMBER(SEARCH(CARI!$C$5,$B1997&amp;" "&amp;$C1997&amp;" "&amp;$I1997&amp;" "&amp;$J1997&amp;" "&amp;$Q1997))),OR(CARI!$C$6="",$E1997=CARI!$C$6),OR(CARI!$C$7="",$F1997=CARI!$C$7),OR(CARI!$C$8="",$O1997=CARI!$C$8)),MAX($U$3:U1996)+1,""))</f>
        <v/>
      </c>
      <c r="V1997" s="40" t="str">
        <f aca="false">IF($T1997="","",MAX($V$3:V1996)+1)</f>
        <v/>
      </c>
      <c r="W1997" s="40" t="str">
        <f aca="false">IF($E1997="","",$E1997&amp;"#"&amp;COUNTIF($E$4:$E1997,$E1997))</f>
        <v/>
      </c>
      <c r="X1997" s="40" t="str">
        <f aca="false">IF($B1997="","",IF(AND(OR(CETAK!$J$10="",$E1997=CETAK!$J$10),OR(CETAK!$J$11="",$F1997=CETAK!$J$11),OR(CETAK!$J$12="",$K1997=CETAK!$J$12),OR(CETAK!$J$13="",$H1997=CETAK!$J$13),OR(CETAK!$J$14="",$O1997=CETAK!$J$14)),MAX($X$3:X1996)+1,""))</f>
        <v/>
      </c>
      <c r="Y1997" s="40" t="str">
        <f aca="false">IF($B1997="","",IF(AND(OR(ABSENSI!$H$10="",$E1997=ABSENSI!$H$10),OR(ABSENSI!$H$11="",$F1997=ABSENSI!$H$11),OR(ABSENSI!$H$12="",$K1997=ABSENSI!$H$12)),MAX($Y$3:Y1996)+1,""))</f>
        <v/>
      </c>
      <c r="Z1997" s="40" t="str">
        <f aca="false">IF($B1997="","",IF(AND(OR(KARTU!$K$6="",$E1997=KARTU!$K$6),OR(KARTU!$K$7="",$F1997=KARTU!$K$7),OR(KARTU!$K$8="",$K1997=KARTU!$K$8)),MAX($Z$3:Z1996)+1,""))</f>
        <v/>
      </c>
    </row>
    <row r="1998" customFormat="false" ht="15" hidden="false" customHeight="false" outlineLevel="0" collapsed="false">
      <c r="A1998" s="36" t="str">
        <f aca="false">IF($B1998="","",COUNTA($B$4:$B1998))</f>
        <v/>
      </c>
      <c r="B1998" s="37"/>
      <c r="C1998" s="38"/>
      <c r="D1998" s="39"/>
      <c r="E1998" s="37"/>
      <c r="F1998" s="39"/>
      <c r="G1998" s="40" t="str">
        <f aca="false">IF(OR($E1998="",$F1998=""),"",$E1998&amp;" - RT "&amp;$F1998)</f>
        <v/>
      </c>
      <c r="H1998" s="37"/>
      <c r="I1998" s="38"/>
      <c r="J1998" s="37"/>
      <c r="K1998" s="39"/>
      <c r="L1998" s="41"/>
      <c r="M1998" s="36" t="str">
        <f aca="true">IF(OR($B1998="",$L1998=""),"",DATEDIF($L1998,TODAY(),"Y"))</f>
        <v/>
      </c>
      <c r="N1998" s="40" t="str">
        <f aca="false">IF($M1998="","",INDEX(usia_label,MATCH($M1998,usia_min,1)))</f>
        <v/>
      </c>
      <c r="O1998" s="37"/>
      <c r="P1998" s="41"/>
      <c r="Q1998" s="37"/>
      <c r="R1998" s="37"/>
      <c r="S1998" s="40" t="str">
        <f aca="false">IF($G1998="","",$G1998&amp;"#"&amp;COUNTIF($G$4:$G1998,$G1998))</f>
        <v/>
      </c>
      <c r="T1998" s="40" t="str">
        <f aca="false">IF($B1998="","",IF($C1998="","NIK kosong",IF(LEN($C1998)&lt;&gt;16,"NIK bukan 16 digit",IF(COUNTIF($C$4:$C$2003,$C1998&amp;"*")&gt;1,"NIK ganda",IF($E1998="","Kadus kosong",IF($F1998="","RT kosong",IF($H1998="","Jabatan kosong",IF($I1998="","No. HP kosong",IF($J1998="","Alamat kosong",IF(AND($M1998&lt;&gt;"",$M1998&lt;17),"Usia di bawah 17",""))))))))))</f>
        <v/>
      </c>
      <c r="U1998" s="40" t="str">
        <f aca="false">IF($B1998="","",IF(AND(OR(CARI!$C$5="",ISNUMBER(SEARCH(CARI!$C$5,$B1998&amp;" "&amp;$C1998&amp;" "&amp;$I1998&amp;" "&amp;$J1998&amp;" "&amp;$Q1998))),OR(CARI!$C$6="",$E1998=CARI!$C$6),OR(CARI!$C$7="",$F1998=CARI!$C$7),OR(CARI!$C$8="",$O1998=CARI!$C$8)),MAX($U$3:U1997)+1,""))</f>
        <v/>
      </c>
      <c r="V1998" s="40" t="str">
        <f aca="false">IF($T1998="","",MAX($V$3:V1997)+1)</f>
        <v/>
      </c>
      <c r="W1998" s="40" t="str">
        <f aca="false">IF($E1998="","",$E1998&amp;"#"&amp;COUNTIF($E$4:$E1998,$E1998))</f>
        <v/>
      </c>
      <c r="X1998" s="40" t="str">
        <f aca="false">IF($B1998="","",IF(AND(OR(CETAK!$J$10="",$E1998=CETAK!$J$10),OR(CETAK!$J$11="",$F1998=CETAK!$J$11),OR(CETAK!$J$12="",$K1998=CETAK!$J$12),OR(CETAK!$J$13="",$H1998=CETAK!$J$13),OR(CETAK!$J$14="",$O1998=CETAK!$J$14)),MAX($X$3:X1997)+1,""))</f>
        <v/>
      </c>
      <c r="Y1998" s="40" t="str">
        <f aca="false">IF($B1998="","",IF(AND(OR(ABSENSI!$H$10="",$E1998=ABSENSI!$H$10),OR(ABSENSI!$H$11="",$F1998=ABSENSI!$H$11),OR(ABSENSI!$H$12="",$K1998=ABSENSI!$H$12)),MAX($Y$3:Y1997)+1,""))</f>
        <v/>
      </c>
      <c r="Z1998" s="40" t="str">
        <f aca="false">IF($B1998="","",IF(AND(OR(KARTU!$K$6="",$E1998=KARTU!$K$6),OR(KARTU!$K$7="",$F1998=KARTU!$K$7),OR(KARTU!$K$8="",$K1998=KARTU!$K$8)),MAX($Z$3:Z1997)+1,""))</f>
        <v/>
      </c>
    </row>
    <row r="1999" customFormat="false" ht="15" hidden="false" customHeight="false" outlineLevel="0" collapsed="false">
      <c r="A1999" s="36" t="str">
        <f aca="false">IF($B1999="","",COUNTA($B$4:$B1999))</f>
        <v/>
      </c>
      <c r="B1999" s="37"/>
      <c r="C1999" s="38"/>
      <c r="D1999" s="39"/>
      <c r="E1999" s="37"/>
      <c r="F1999" s="39"/>
      <c r="G1999" s="40" t="str">
        <f aca="false">IF(OR($E1999="",$F1999=""),"",$E1999&amp;" - RT "&amp;$F1999)</f>
        <v/>
      </c>
      <c r="H1999" s="37"/>
      <c r="I1999" s="38"/>
      <c r="J1999" s="37"/>
      <c r="K1999" s="39"/>
      <c r="L1999" s="41"/>
      <c r="M1999" s="36" t="str">
        <f aca="true">IF(OR($B1999="",$L1999=""),"",DATEDIF($L1999,TODAY(),"Y"))</f>
        <v/>
      </c>
      <c r="N1999" s="40" t="str">
        <f aca="false">IF($M1999="","",INDEX(usia_label,MATCH($M1999,usia_min,1)))</f>
        <v/>
      </c>
      <c r="O1999" s="37"/>
      <c r="P1999" s="41"/>
      <c r="Q1999" s="37"/>
      <c r="R1999" s="37"/>
      <c r="S1999" s="40" t="str">
        <f aca="false">IF($G1999="","",$G1999&amp;"#"&amp;COUNTIF($G$4:$G1999,$G1999))</f>
        <v/>
      </c>
      <c r="T1999" s="40" t="str">
        <f aca="false">IF($B1999="","",IF($C1999="","NIK kosong",IF(LEN($C1999)&lt;&gt;16,"NIK bukan 16 digit",IF(COUNTIF($C$4:$C$2003,$C1999&amp;"*")&gt;1,"NIK ganda",IF($E1999="","Kadus kosong",IF($F1999="","RT kosong",IF($H1999="","Jabatan kosong",IF($I1999="","No. HP kosong",IF($J1999="","Alamat kosong",IF(AND($M1999&lt;&gt;"",$M1999&lt;17),"Usia di bawah 17",""))))))))))</f>
        <v/>
      </c>
      <c r="U1999" s="40" t="str">
        <f aca="false">IF($B1999="","",IF(AND(OR(CARI!$C$5="",ISNUMBER(SEARCH(CARI!$C$5,$B1999&amp;" "&amp;$C1999&amp;" "&amp;$I1999&amp;" "&amp;$J1999&amp;" "&amp;$Q1999))),OR(CARI!$C$6="",$E1999=CARI!$C$6),OR(CARI!$C$7="",$F1999=CARI!$C$7),OR(CARI!$C$8="",$O1999=CARI!$C$8)),MAX($U$3:U1998)+1,""))</f>
        <v/>
      </c>
      <c r="V1999" s="40" t="str">
        <f aca="false">IF($T1999="","",MAX($V$3:V1998)+1)</f>
        <v/>
      </c>
      <c r="W1999" s="40" t="str">
        <f aca="false">IF($E1999="","",$E1999&amp;"#"&amp;COUNTIF($E$4:$E1999,$E1999))</f>
        <v/>
      </c>
      <c r="X1999" s="40" t="str">
        <f aca="false">IF($B1999="","",IF(AND(OR(CETAK!$J$10="",$E1999=CETAK!$J$10),OR(CETAK!$J$11="",$F1999=CETAK!$J$11),OR(CETAK!$J$12="",$K1999=CETAK!$J$12),OR(CETAK!$J$13="",$H1999=CETAK!$J$13),OR(CETAK!$J$14="",$O1999=CETAK!$J$14)),MAX($X$3:X1998)+1,""))</f>
        <v/>
      </c>
      <c r="Y1999" s="40" t="str">
        <f aca="false">IF($B1999="","",IF(AND(OR(ABSENSI!$H$10="",$E1999=ABSENSI!$H$10),OR(ABSENSI!$H$11="",$F1999=ABSENSI!$H$11),OR(ABSENSI!$H$12="",$K1999=ABSENSI!$H$12)),MAX($Y$3:Y1998)+1,""))</f>
        <v/>
      </c>
      <c r="Z1999" s="40" t="str">
        <f aca="false">IF($B1999="","",IF(AND(OR(KARTU!$K$6="",$E1999=KARTU!$K$6),OR(KARTU!$K$7="",$F1999=KARTU!$K$7),OR(KARTU!$K$8="",$K1999=KARTU!$K$8)),MAX($Z$3:Z1998)+1,""))</f>
        <v/>
      </c>
    </row>
    <row r="2000" customFormat="false" ht="15" hidden="false" customHeight="false" outlineLevel="0" collapsed="false">
      <c r="A2000" s="36" t="str">
        <f aca="false">IF($B2000="","",COUNTA($B$4:$B2000))</f>
        <v/>
      </c>
      <c r="B2000" s="37"/>
      <c r="C2000" s="38"/>
      <c r="D2000" s="39"/>
      <c r="E2000" s="37"/>
      <c r="F2000" s="39"/>
      <c r="G2000" s="40" t="str">
        <f aca="false">IF(OR($E2000="",$F2000=""),"",$E2000&amp;" - RT "&amp;$F2000)</f>
        <v/>
      </c>
      <c r="H2000" s="37"/>
      <c r="I2000" s="38"/>
      <c r="J2000" s="37"/>
      <c r="K2000" s="39"/>
      <c r="L2000" s="41"/>
      <c r="M2000" s="36" t="str">
        <f aca="true">IF(OR($B2000="",$L2000=""),"",DATEDIF($L2000,TODAY(),"Y"))</f>
        <v/>
      </c>
      <c r="N2000" s="40" t="str">
        <f aca="false">IF($M2000="","",INDEX(usia_label,MATCH($M2000,usia_min,1)))</f>
        <v/>
      </c>
      <c r="O2000" s="37"/>
      <c r="P2000" s="41"/>
      <c r="Q2000" s="37"/>
      <c r="R2000" s="37"/>
      <c r="S2000" s="40" t="str">
        <f aca="false">IF($G2000="","",$G2000&amp;"#"&amp;COUNTIF($G$4:$G2000,$G2000))</f>
        <v/>
      </c>
      <c r="T2000" s="40" t="str">
        <f aca="false">IF($B2000="","",IF($C2000="","NIK kosong",IF(LEN($C2000)&lt;&gt;16,"NIK bukan 16 digit",IF(COUNTIF($C$4:$C$2003,$C2000&amp;"*")&gt;1,"NIK ganda",IF($E2000="","Kadus kosong",IF($F2000="","RT kosong",IF($H2000="","Jabatan kosong",IF($I2000="","No. HP kosong",IF($J2000="","Alamat kosong",IF(AND($M2000&lt;&gt;"",$M2000&lt;17),"Usia di bawah 17",""))))))))))</f>
        <v/>
      </c>
      <c r="U2000" s="40" t="str">
        <f aca="false">IF($B2000="","",IF(AND(OR(CARI!$C$5="",ISNUMBER(SEARCH(CARI!$C$5,$B2000&amp;" "&amp;$C2000&amp;" "&amp;$I2000&amp;" "&amp;$J2000&amp;" "&amp;$Q2000))),OR(CARI!$C$6="",$E2000=CARI!$C$6),OR(CARI!$C$7="",$F2000=CARI!$C$7),OR(CARI!$C$8="",$O2000=CARI!$C$8)),MAX($U$3:U1999)+1,""))</f>
        <v/>
      </c>
      <c r="V2000" s="40" t="str">
        <f aca="false">IF($T2000="","",MAX($V$3:V1999)+1)</f>
        <v/>
      </c>
      <c r="W2000" s="40" t="str">
        <f aca="false">IF($E2000="","",$E2000&amp;"#"&amp;COUNTIF($E$4:$E2000,$E2000))</f>
        <v/>
      </c>
      <c r="X2000" s="40" t="str">
        <f aca="false">IF($B2000="","",IF(AND(OR(CETAK!$J$10="",$E2000=CETAK!$J$10),OR(CETAK!$J$11="",$F2000=CETAK!$J$11),OR(CETAK!$J$12="",$K2000=CETAK!$J$12),OR(CETAK!$J$13="",$H2000=CETAK!$J$13),OR(CETAK!$J$14="",$O2000=CETAK!$J$14)),MAX($X$3:X1999)+1,""))</f>
        <v/>
      </c>
      <c r="Y2000" s="40" t="str">
        <f aca="false">IF($B2000="","",IF(AND(OR(ABSENSI!$H$10="",$E2000=ABSENSI!$H$10),OR(ABSENSI!$H$11="",$F2000=ABSENSI!$H$11),OR(ABSENSI!$H$12="",$K2000=ABSENSI!$H$12)),MAX($Y$3:Y1999)+1,""))</f>
        <v/>
      </c>
      <c r="Z2000" s="40" t="str">
        <f aca="false">IF($B2000="","",IF(AND(OR(KARTU!$K$6="",$E2000=KARTU!$K$6),OR(KARTU!$K$7="",$F2000=KARTU!$K$7),OR(KARTU!$K$8="",$K2000=KARTU!$K$8)),MAX($Z$3:Z1999)+1,""))</f>
        <v/>
      </c>
    </row>
    <row r="2001" customFormat="false" ht="15" hidden="false" customHeight="false" outlineLevel="0" collapsed="false">
      <c r="A2001" s="36" t="str">
        <f aca="false">IF($B2001="","",COUNTA($B$4:$B2001))</f>
        <v/>
      </c>
      <c r="B2001" s="37"/>
      <c r="C2001" s="38"/>
      <c r="D2001" s="39"/>
      <c r="E2001" s="37"/>
      <c r="F2001" s="39"/>
      <c r="G2001" s="40" t="str">
        <f aca="false">IF(OR($E2001="",$F2001=""),"",$E2001&amp;" - RT "&amp;$F2001)</f>
        <v/>
      </c>
      <c r="H2001" s="37"/>
      <c r="I2001" s="38"/>
      <c r="J2001" s="37"/>
      <c r="K2001" s="39"/>
      <c r="L2001" s="41"/>
      <c r="M2001" s="36" t="str">
        <f aca="true">IF(OR($B2001="",$L2001=""),"",DATEDIF($L2001,TODAY(),"Y"))</f>
        <v/>
      </c>
      <c r="N2001" s="40" t="str">
        <f aca="false">IF($M2001="","",INDEX(usia_label,MATCH($M2001,usia_min,1)))</f>
        <v/>
      </c>
      <c r="O2001" s="37"/>
      <c r="P2001" s="41"/>
      <c r="Q2001" s="37"/>
      <c r="R2001" s="37"/>
      <c r="S2001" s="40" t="str">
        <f aca="false">IF($G2001="","",$G2001&amp;"#"&amp;COUNTIF($G$4:$G2001,$G2001))</f>
        <v/>
      </c>
      <c r="T2001" s="40" t="str">
        <f aca="false">IF($B2001="","",IF($C2001="","NIK kosong",IF(LEN($C2001)&lt;&gt;16,"NIK bukan 16 digit",IF(COUNTIF($C$4:$C$2003,$C2001&amp;"*")&gt;1,"NIK ganda",IF($E2001="","Kadus kosong",IF($F2001="","RT kosong",IF($H2001="","Jabatan kosong",IF($I2001="","No. HP kosong",IF($J2001="","Alamat kosong",IF(AND($M2001&lt;&gt;"",$M2001&lt;17),"Usia di bawah 17",""))))))))))</f>
        <v/>
      </c>
      <c r="U2001" s="40" t="str">
        <f aca="false">IF($B2001="","",IF(AND(OR(CARI!$C$5="",ISNUMBER(SEARCH(CARI!$C$5,$B2001&amp;" "&amp;$C2001&amp;" "&amp;$I2001&amp;" "&amp;$J2001&amp;" "&amp;$Q2001))),OR(CARI!$C$6="",$E2001=CARI!$C$6),OR(CARI!$C$7="",$F2001=CARI!$C$7),OR(CARI!$C$8="",$O2001=CARI!$C$8)),MAX($U$3:U2000)+1,""))</f>
        <v/>
      </c>
      <c r="V2001" s="40" t="str">
        <f aca="false">IF($T2001="","",MAX($V$3:V2000)+1)</f>
        <v/>
      </c>
      <c r="W2001" s="40" t="str">
        <f aca="false">IF($E2001="","",$E2001&amp;"#"&amp;COUNTIF($E$4:$E2001,$E2001))</f>
        <v/>
      </c>
      <c r="X2001" s="40" t="str">
        <f aca="false">IF($B2001="","",IF(AND(OR(CETAK!$J$10="",$E2001=CETAK!$J$10),OR(CETAK!$J$11="",$F2001=CETAK!$J$11),OR(CETAK!$J$12="",$K2001=CETAK!$J$12),OR(CETAK!$J$13="",$H2001=CETAK!$J$13),OR(CETAK!$J$14="",$O2001=CETAK!$J$14)),MAX($X$3:X2000)+1,""))</f>
        <v/>
      </c>
      <c r="Y2001" s="40" t="str">
        <f aca="false">IF($B2001="","",IF(AND(OR(ABSENSI!$H$10="",$E2001=ABSENSI!$H$10),OR(ABSENSI!$H$11="",$F2001=ABSENSI!$H$11),OR(ABSENSI!$H$12="",$K2001=ABSENSI!$H$12)),MAX($Y$3:Y2000)+1,""))</f>
        <v/>
      </c>
      <c r="Z2001" s="40" t="str">
        <f aca="false">IF($B2001="","",IF(AND(OR(KARTU!$K$6="",$E2001=KARTU!$K$6),OR(KARTU!$K$7="",$F2001=KARTU!$K$7),OR(KARTU!$K$8="",$K2001=KARTU!$K$8)),MAX($Z$3:Z2000)+1,""))</f>
        <v/>
      </c>
    </row>
    <row r="2002" customFormat="false" ht="15" hidden="false" customHeight="false" outlineLevel="0" collapsed="false">
      <c r="A2002" s="36" t="str">
        <f aca="false">IF($B2002="","",COUNTA($B$4:$B2002))</f>
        <v/>
      </c>
      <c r="B2002" s="37"/>
      <c r="C2002" s="38"/>
      <c r="D2002" s="39"/>
      <c r="E2002" s="37"/>
      <c r="F2002" s="39"/>
      <c r="G2002" s="40" t="str">
        <f aca="false">IF(OR($E2002="",$F2002=""),"",$E2002&amp;" - RT "&amp;$F2002)</f>
        <v/>
      </c>
      <c r="H2002" s="37"/>
      <c r="I2002" s="38"/>
      <c r="J2002" s="37"/>
      <c r="K2002" s="39"/>
      <c r="L2002" s="41"/>
      <c r="M2002" s="36" t="str">
        <f aca="true">IF(OR($B2002="",$L2002=""),"",DATEDIF($L2002,TODAY(),"Y"))</f>
        <v/>
      </c>
      <c r="N2002" s="40" t="str">
        <f aca="false">IF($M2002="","",INDEX(usia_label,MATCH($M2002,usia_min,1)))</f>
        <v/>
      </c>
      <c r="O2002" s="37"/>
      <c r="P2002" s="41"/>
      <c r="Q2002" s="37"/>
      <c r="R2002" s="37"/>
      <c r="S2002" s="40" t="str">
        <f aca="false">IF($G2002="","",$G2002&amp;"#"&amp;COUNTIF($G$4:$G2002,$G2002))</f>
        <v/>
      </c>
      <c r="T2002" s="40" t="str">
        <f aca="false">IF($B2002="","",IF($C2002="","NIK kosong",IF(LEN($C2002)&lt;&gt;16,"NIK bukan 16 digit",IF(COUNTIF($C$4:$C$2003,$C2002&amp;"*")&gt;1,"NIK ganda",IF($E2002="","Kadus kosong",IF($F2002="","RT kosong",IF($H2002="","Jabatan kosong",IF($I2002="","No. HP kosong",IF($J2002="","Alamat kosong",IF(AND($M2002&lt;&gt;"",$M2002&lt;17),"Usia di bawah 17",""))))))))))</f>
        <v/>
      </c>
      <c r="U2002" s="40" t="str">
        <f aca="false">IF($B2002="","",IF(AND(OR(CARI!$C$5="",ISNUMBER(SEARCH(CARI!$C$5,$B2002&amp;" "&amp;$C2002&amp;" "&amp;$I2002&amp;" "&amp;$J2002&amp;" "&amp;$Q2002))),OR(CARI!$C$6="",$E2002=CARI!$C$6),OR(CARI!$C$7="",$F2002=CARI!$C$7),OR(CARI!$C$8="",$O2002=CARI!$C$8)),MAX($U$3:U2001)+1,""))</f>
        <v/>
      </c>
      <c r="V2002" s="40" t="str">
        <f aca="false">IF($T2002="","",MAX($V$3:V2001)+1)</f>
        <v/>
      </c>
      <c r="W2002" s="40" t="str">
        <f aca="false">IF($E2002="","",$E2002&amp;"#"&amp;COUNTIF($E$4:$E2002,$E2002))</f>
        <v/>
      </c>
      <c r="X2002" s="40" t="str">
        <f aca="false">IF($B2002="","",IF(AND(OR(CETAK!$J$10="",$E2002=CETAK!$J$10),OR(CETAK!$J$11="",$F2002=CETAK!$J$11),OR(CETAK!$J$12="",$K2002=CETAK!$J$12),OR(CETAK!$J$13="",$H2002=CETAK!$J$13),OR(CETAK!$J$14="",$O2002=CETAK!$J$14)),MAX($X$3:X2001)+1,""))</f>
        <v/>
      </c>
      <c r="Y2002" s="40" t="str">
        <f aca="false">IF($B2002="","",IF(AND(OR(ABSENSI!$H$10="",$E2002=ABSENSI!$H$10),OR(ABSENSI!$H$11="",$F2002=ABSENSI!$H$11),OR(ABSENSI!$H$12="",$K2002=ABSENSI!$H$12)),MAX($Y$3:Y2001)+1,""))</f>
        <v/>
      </c>
      <c r="Z2002" s="40" t="str">
        <f aca="false">IF($B2002="","",IF(AND(OR(KARTU!$K$6="",$E2002=KARTU!$K$6),OR(KARTU!$K$7="",$F2002=KARTU!$K$7),OR(KARTU!$K$8="",$K2002=KARTU!$K$8)),MAX($Z$3:Z2001)+1,""))</f>
        <v/>
      </c>
    </row>
    <row r="2003" customFormat="false" ht="15" hidden="false" customHeight="false" outlineLevel="0" collapsed="false">
      <c r="A2003" s="36" t="str">
        <f aca="false">IF($B2003="","",COUNTA($B$4:$B2003))</f>
        <v/>
      </c>
      <c r="B2003" s="37"/>
      <c r="C2003" s="38"/>
      <c r="D2003" s="39"/>
      <c r="E2003" s="37"/>
      <c r="F2003" s="39"/>
      <c r="G2003" s="40" t="str">
        <f aca="false">IF(OR($E2003="",$F2003=""),"",$E2003&amp;" - RT "&amp;$F2003)</f>
        <v/>
      </c>
      <c r="H2003" s="37"/>
      <c r="I2003" s="38"/>
      <c r="J2003" s="37"/>
      <c r="K2003" s="39"/>
      <c r="L2003" s="41"/>
      <c r="M2003" s="36" t="str">
        <f aca="true">IF(OR($B2003="",$L2003=""),"",DATEDIF($L2003,TODAY(),"Y"))</f>
        <v/>
      </c>
      <c r="N2003" s="40" t="str">
        <f aca="false">IF($M2003="","",INDEX(usia_label,MATCH($M2003,usia_min,1)))</f>
        <v/>
      </c>
      <c r="O2003" s="37"/>
      <c r="P2003" s="41"/>
      <c r="Q2003" s="37"/>
      <c r="R2003" s="37"/>
      <c r="S2003" s="40" t="str">
        <f aca="false">IF($G2003="","",$G2003&amp;"#"&amp;COUNTIF($G$4:$G2003,$G2003))</f>
        <v/>
      </c>
      <c r="T2003" s="40" t="str">
        <f aca="false">IF($B2003="","",IF($C2003="","NIK kosong",IF(LEN($C2003)&lt;&gt;16,"NIK bukan 16 digit",IF(COUNTIF($C$4:$C$2003,$C2003&amp;"*")&gt;1,"NIK ganda",IF($E2003="","Kadus kosong",IF($F2003="","RT kosong",IF($H2003="","Jabatan kosong",IF($I2003="","No. HP kosong",IF($J2003="","Alamat kosong",IF(AND($M2003&lt;&gt;"",$M2003&lt;17),"Usia di bawah 17",""))))))))))</f>
        <v/>
      </c>
      <c r="U2003" s="40" t="str">
        <f aca="false">IF($B2003="","",IF(AND(OR(CARI!$C$5="",ISNUMBER(SEARCH(CARI!$C$5,$B2003&amp;" "&amp;$C2003&amp;" "&amp;$I2003&amp;" "&amp;$J2003&amp;" "&amp;$Q2003))),OR(CARI!$C$6="",$E2003=CARI!$C$6),OR(CARI!$C$7="",$F2003=CARI!$C$7),OR(CARI!$C$8="",$O2003=CARI!$C$8)),MAX($U$3:U2002)+1,""))</f>
        <v/>
      </c>
      <c r="V2003" s="40" t="str">
        <f aca="false">IF($T2003="","",MAX($V$3:V2002)+1)</f>
        <v/>
      </c>
      <c r="W2003" s="40" t="str">
        <f aca="false">IF($E2003="","",$E2003&amp;"#"&amp;COUNTIF($E$4:$E2003,$E2003))</f>
        <v/>
      </c>
      <c r="X2003" s="40" t="str">
        <f aca="false">IF($B2003="","",IF(AND(OR(CETAK!$J$10="",$E2003=CETAK!$J$10),OR(CETAK!$J$11="",$F2003=CETAK!$J$11),OR(CETAK!$J$12="",$K2003=CETAK!$J$12),OR(CETAK!$J$13="",$H2003=CETAK!$J$13),OR(CETAK!$J$14="",$O2003=CETAK!$J$14)),MAX($X$3:X2002)+1,""))</f>
        <v/>
      </c>
      <c r="Y2003" s="40" t="str">
        <f aca="false">IF($B2003="","",IF(AND(OR(ABSENSI!$H$10="",$E2003=ABSENSI!$H$10),OR(ABSENSI!$H$11="",$F2003=ABSENSI!$H$11),OR(ABSENSI!$H$12="",$K2003=ABSENSI!$H$12)),MAX($Y$3:Y2002)+1,""))</f>
        <v/>
      </c>
      <c r="Z2003" s="40" t="str">
        <f aca="false">IF($B2003="","",IF(AND(OR(KARTU!$K$6="",$E2003=KARTU!$K$6),OR(KARTU!$K$7="",$F2003=KARTU!$K$7),OR(KARTU!$K$8="",$K2003=KARTU!$K$8)),MAX($Z$3:Z2002)+1,""))</f>
        <v/>
      </c>
    </row>
  </sheetData>
  <mergeCells count="1">
    <mergeCell ref="A1:R1"/>
  </mergeCells>
  <conditionalFormatting sqref="A4:R2003">
    <cfRule type="expression" priority="2" aboveAverage="0" equalAverage="0" bottom="0" percent="0" rank="0" text="" dxfId="8">
      <formula>$T4="NIK ganda"</formula>
    </cfRule>
    <cfRule type="expression" priority="3" aboveAverage="0" equalAverage="0" bottom="0" percent="0" rank="0" text="" dxfId="2">
      <formula>OR($T4="NIK bukan 16 digit",$T4="NIK kosong")</formula>
    </cfRule>
    <cfRule type="expression" priority="4" aboveAverage="0" equalAverage="0" bottom="0" percent="0" rank="0" text="" dxfId="9">
      <formula>$O4="Nonaktif"</formula>
    </cfRule>
  </conditionalFormatting>
  <dataValidations count="9">
    <dataValidation allowBlank="true" errorStyle="stop" operator="between" showDropDown="false" showErrorMessage="false" showInputMessage="false" sqref="D4:D2003" type="list">
      <formula1>"L,P"</formula1>
      <formula2>0</formula2>
    </dataValidation>
    <dataValidation allowBlank="true" errorStyle="stop" operator="between" showDropDown="false" showErrorMessage="false" showInputMessage="false" sqref="E4:E2003" type="list">
      <formula1>daftar_kadus</formula1>
      <formula2>0</formula2>
    </dataValidation>
    <dataValidation allowBlank="true" errorStyle="stop" operator="between" showDropDown="false" showErrorMessage="false" showInputMessage="false" sqref="F4:F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daftar_jabatan</formula1>
      <formula2>0</formula2>
    </dataValidation>
    <dataValidation allowBlank="true" errorStyle="stop" operator="between" showDropDown="false" showErrorMessage="false" showInputMessage="false" sqref="K4:K2003" type="list">
      <formula1>daftar_tps</formula1>
      <formula2>0</formula2>
    </dataValidation>
    <dataValidation allowBlank="true" errorStyle="stop" operator="between" showDropDown="false" showErrorMessage="false" showInputMessage="false" sqref="O4:O2003" type="list">
      <formula1>daftar_status</formula1>
      <formula2>0</formula2>
    </dataValidation>
    <dataValidation allowBlank="true" errorStyle="stop" operator="between" showDropDown="false" showErrorMessage="false" showInputMessage="false" sqref="Q4:Q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C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L4:L2003 P4:P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&amp;C&amp;"Arial,Bold"&amp;12DAFTAR ANGGOTA TEAM PEMENANGAN&amp;R&amp;"Arial,Italic"&amp;9&amp;D</oddHeader>
    <oddFooter>&amp;R&amp;"Arial,Regular"&amp;9Halaman &amp;P dari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30" t="s">
        <v>63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customFormat="false" ht="15" hidden="false" customHeight="false" outlineLevel="0" collapsed="false">
      <c r="A2" s="31" t="s">
        <v>34</v>
      </c>
      <c r="C2" s="32" t="s">
        <v>64</v>
      </c>
    </row>
    <row r="4" customFormat="false" ht="19.5" hidden="false" customHeight="true" outlineLevel="0" collapsed="false">
      <c r="B4" s="5" t="s">
        <v>65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B5" s="42" t="s">
        <v>66</v>
      </c>
      <c r="C5" s="43"/>
      <c r="D5" s="32" t="s">
        <v>67</v>
      </c>
    </row>
    <row r="6" customFormat="false" ht="15" hidden="false" customHeight="false" outlineLevel="0" collapsed="false">
      <c r="B6" s="42" t="s">
        <v>68</v>
      </c>
      <c r="C6" s="43"/>
      <c r="D6" s="32" t="s">
        <v>69</v>
      </c>
    </row>
    <row r="7" customFormat="false" ht="15" hidden="false" customHeight="false" outlineLevel="0" collapsed="false">
      <c r="B7" s="42" t="s">
        <v>70</v>
      </c>
      <c r="C7" s="43"/>
      <c r="D7" s="32" t="s">
        <v>71</v>
      </c>
    </row>
    <row r="8" customFormat="false" ht="15" hidden="false" customHeight="false" outlineLevel="0" collapsed="false">
      <c r="B8" s="42" t="s">
        <v>72</v>
      </c>
      <c r="C8" s="43"/>
      <c r="D8" s="32" t="s">
        <v>73</v>
      </c>
    </row>
    <row r="10" customFormat="false" ht="15" hidden="false" customHeight="false" outlineLevel="0" collapsed="false">
      <c r="B10" s="44" t="s">
        <v>74</v>
      </c>
      <c r="C10" s="45" t="str">
        <f aca="false">COUNT(DATABASE!$U$4:$U$2003)&amp;" data"</f>
        <v>0 data</v>
      </c>
      <c r="D10" s="32" t="s">
        <v>75</v>
      </c>
    </row>
    <row r="12" customFormat="false" ht="21.75" hidden="false" customHeight="true" outlineLevel="0" collapsed="false">
      <c r="B12" s="16" t="s">
        <v>38</v>
      </c>
      <c r="C12" s="16" t="s">
        <v>39</v>
      </c>
      <c r="D12" s="16" t="s">
        <v>76</v>
      </c>
      <c r="E12" s="16" t="s">
        <v>41</v>
      </c>
      <c r="F12" s="16" t="s">
        <v>24</v>
      </c>
      <c r="G12" s="16" t="s">
        <v>42</v>
      </c>
      <c r="H12" s="16" t="s">
        <v>44</v>
      </c>
      <c r="I12" s="16" t="s">
        <v>45</v>
      </c>
      <c r="J12" s="16" t="s">
        <v>51</v>
      </c>
      <c r="K12" s="16" t="s">
        <v>46</v>
      </c>
    </row>
    <row r="13" customFormat="false" ht="15" hidden="false" customHeight="false" outlineLevel="0" collapsed="false">
      <c r="B13" s="46" t="n">
        <v>1</v>
      </c>
      <c r="C13" s="47" t="str">
        <f aca="false">IFERROR(INDEX(DATABASE!$B$4:$B$2003,MATCH($B13,DATABASE!$U$4:$U$2003,0))&amp;"","")</f>
        <v/>
      </c>
      <c r="D13" s="48" t="str">
        <f aca="false">IFERROR(INDEX(DATABASE!$C$4:$C$2003,MATCH($B13,DATABASE!$U$4:$U$2003,0))&amp;"","")</f>
        <v/>
      </c>
      <c r="E13" s="46" t="str">
        <f aca="false">IFERROR(INDEX(DATABASE!$D$4:$D$2003,MATCH($B13,DATABASE!$U$4:$U$2003,0))&amp;"","")</f>
        <v/>
      </c>
      <c r="F13" s="46" t="str">
        <f aca="false">IFERROR(INDEX(DATABASE!$E$4:$E$2003,MATCH($B13,DATABASE!$U$4:$U$2003,0))&amp;"","")</f>
        <v/>
      </c>
      <c r="G13" s="48" t="str">
        <f aca="false">IFERROR(INDEX(DATABASE!$F$4:$F$2003,MATCH($B13,DATABASE!$U$4:$U$2003,0))&amp;"","")</f>
        <v/>
      </c>
      <c r="H13" s="47" t="str">
        <f aca="false">IFERROR(INDEX(DATABASE!$H$4:$H$2003,MATCH($B13,DATABASE!$U$4:$U$2003,0))&amp;"","")</f>
        <v/>
      </c>
      <c r="I13" s="48" t="str">
        <f aca="false">IFERROR(INDEX(DATABASE!$I$4:$I$2003,MATCH($B13,DATABASE!$U$4:$U$2003,0))&amp;"","")</f>
        <v/>
      </c>
      <c r="J13" s="46" t="str">
        <f aca="false">IFERROR(INDEX(DATABASE!$O$4:$O$2003,MATCH($B13,DATABASE!$U$4:$U$2003,0))&amp;"","")</f>
        <v/>
      </c>
      <c r="K13" s="47" t="str">
        <f aca="false">IFERROR(INDEX(DATABASE!$J$4:$J$2003,MATCH($B13,DATABASE!$U$4:$U$2003,0))&amp;"","")</f>
        <v/>
      </c>
    </row>
    <row r="14" customFormat="false" ht="15" hidden="false" customHeight="false" outlineLevel="0" collapsed="false">
      <c r="B14" s="49" t="n">
        <v>2</v>
      </c>
      <c r="C14" s="50" t="str">
        <f aca="false">IFERROR(INDEX(DATABASE!$B$4:$B$2003,MATCH($B14,DATABASE!$U$4:$U$2003,0))&amp;"","")</f>
        <v/>
      </c>
      <c r="D14" s="51" t="str">
        <f aca="false">IFERROR(INDEX(DATABASE!$C$4:$C$2003,MATCH($B14,DATABASE!$U$4:$U$2003,0))&amp;"","")</f>
        <v/>
      </c>
      <c r="E14" s="49" t="str">
        <f aca="false">IFERROR(INDEX(DATABASE!$D$4:$D$2003,MATCH($B14,DATABASE!$U$4:$U$2003,0))&amp;"","")</f>
        <v/>
      </c>
      <c r="F14" s="49" t="str">
        <f aca="false">IFERROR(INDEX(DATABASE!$E$4:$E$2003,MATCH($B14,DATABASE!$U$4:$U$2003,0))&amp;"","")</f>
        <v/>
      </c>
      <c r="G14" s="51" t="str">
        <f aca="false">IFERROR(INDEX(DATABASE!$F$4:$F$2003,MATCH($B14,DATABASE!$U$4:$U$2003,0))&amp;"","")</f>
        <v/>
      </c>
      <c r="H14" s="50" t="str">
        <f aca="false">IFERROR(INDEX(DATABASE!$H$4:$H$2003,MATCH($B14,DATABASE!$U$4:$U$2003,0))&amp;"","")</f>
        <v/>
      </c>
      <c r="I14" s="51" t="str">
        <f aca="false">IFERROR(INDEX(DATABASE!$I$4:$I$2003,MATCH($B14,DATABASE!$U$4:$U$2003,0))&amp;"","")</f>
        <v/>
      </c>
      <c r="J14" s="49" t="str">
        <f aca="false">IFERROR(INDEX(DATABASE!$O$4:$O$2003,MATCH($B14,DATABASE!$U$4:$U$2003,0))&amp;"","")</f>
        <v/>
      </c>
      <c r="K14" s="50" t="str">
        <f aca="false">IFERROR(INDEX(DATABASE!$J$4:$J$2003,MATCH($B14,DATABASE!$U$4:$U$2003,0))&amp;"","")</f>
        <v/>
      </c>
    </row>
    <row r="15" customFormat="false" ht="15" hidden="false" customHeight="false" outlineLevel="0" collapsed="false">
      <c r="B15" s="46" t="n">
        <v>3</v>
      </c>
      <c r="C15" s="47" t="str">
        <f aca="false">IFERROR(INDEX(DATABASE!$B$4:$B$2003,MATCH($B15,DATABASE!$U$4:$U$2003,0))&amp;"","")</f>
        <v/>
      </c>
      <c r="D15" s="48" t="str">
        <f aca="false">IFERROR(INDEX(DATABASE!$C$4:$C$2003,MATCH($B15,DATABASE!$U$4:$U$2003,0))&amp;"","")</f>
        <v/>
      </c>
      <c r="E15" s="46" t="str">
        <f aca="false">IFERROR(INDEX(DATABASE!$D$4:$D$2003,MATCH($B15,DATABASE!$U$4:$U$2003,0))&amp;"","")</f>
        <v/>
      </c>
      <c r="F15" s="46" t="str">
        <f aca="false">IFERROR(INDEX(DATABASE!$E$4:$E$2003,MATCH($B15,DATABASE!$U$4:$U$2003,0))&amp;"","")</f>
        <v/>
      </c>
      <c r="G15" s="48" t="str">
        <f aca="false">IFERROR(INDEX(DATABASE!$F$4:$F$2003,MATCH($B15,DATABASE!$U$4:$U$2003,0))&amp;"","")</f>
        <v/>
      </c>
      <c r="H15" s="47" t="str">
        <f aca="false">IFERROR(INDEX(DATABASE!$H$4:$H$2003,MATCH($B15,DATABASE!$U$4:$U$2003,0))&amp;"","")</f>
        <v/>
      </c>
      <c r="I15" s="48" t="str">
        <f aca="false">IFERROR(INDEX(DATABASE!$I$4:$I$2003,MATCH($B15,DATABASE!$U$4:$U$2003,0))&amp;"","")</f>
        <v/>
      </c>
      <c r="J15" s="46" t="str">
        <f aca="false">IFERROR(INDEX(DATABASE!$O$4:$O$2003,MATCH($B15,DATABASE!$U$4:$U$2003,0))&amp;"","")</f>
        <v/>
      </c>
      <c r="K15" s="47" t="str">
        <f aca="false">IFERROR(INDEX(DATABASE!$J$4:$J$2003,MATCH($B15,DATABASE!$U$4:$U$2003,0))&amp;"","")</f>
        <v/>
      </c>
    </row>
    <row r="16" customFormat="false" ht="15" hidden="false" customHeight="false" outlineLevel="0" collapsed="false">
      <c r="B16" s="49" t="n">
        <v>4</v>
      </c>
      <c r="C16" s="50" t="str">
        <f aca="false">IFERROR(INDEX(DATABASE!$B$4:$B$2003,MATCH($B16,DATABASE!$U$4:$U$2003,0))&amp;"","")</f>
        <v/>
      </c>
      <c r="D16" s="51" t="str">
        <f aca="false">IFERROR(INDEX(DATABASE!$C$4:$C$2003,MATCH($B16,DATABASE!$U$4:$U$2003,0))&amp;"","")</f>
        <v/>
      </c>
      <c r="E16" s="49" t="str">
        <f aca="false">IFERROR(INDEX(DATABASE!$D$4:$D$2003,MATCH($B16,DATABASE!$U$4:$U$2003,0))&amp;"","")</f>
        <v/>
      </c>
      <c r="F16" s="49" t="str">
        <f aca="false">IFERROR(INDEX(DATABASE!$E$4:$E$2003,MATCH($B16,DATABASE!$U$4:$U$2003,0))&amp;"","")</f>
        <v/>
      </c>
      <c r="G16" s="51" t="str">
        <f aca="false">IFERROR(INDEX(DATABASE!$F$4:$F$2003,MATCH($B16,DATABASE!$U$4:$U$2003,0))&amp;"","")</f>
        <v/>
      </c>
      <c r="H16" s="50" t="str">
        <f aca="false">IFERROR(INDEX(DATABASE!$H$4:$H$2003,MATCH($B16,DATABASE!$U$4:$U$2003,0))&amp;"","")</f>
        <v/>
      </c>
      <c r="I16" s="51" t="str">
        <f aca="false">IFERROR(INDEX(DATABASE!$I$4:$I$2003,MATCH($B16,DATABASE!$U$4:$U$2003,0))&amp;"","")</f>
        <v/>
      </c>
      <c r="J16" s="49" t="str">
        <f aca="false">IFERROR(INDEX(DATABASE!$O$4:$O$2003,MATCH($B16,DATABASE!$U$4:$U$2003,0))&amp;"","")</f>
        <v/>
      </c>
      <c r="K16" s="50" t="str">
        <f aca="false">IFERROR(INDEX(DATABASE!$J$4:$J$2003,MATCH($B16,DATABASE!$U$4:$U$2003,0))&amp;"","")</f>
        <v/>
      </c>
    </row>
    <row r="17" customFormat="false" ht="15" hidden="false" customHeight="false" outlineLevel="0" collapsed="false">
      <c r="B17" s="46" t="n">
        <v>5</v>
      </c>
      <c r="C17" s="47" t="str">
        <f aca="false">IFERROR(INDEX(DATABASE!$B$4:$B$2003,MATCH($B17,DATABASE!$U$4:$U$2003,0))&amp;"","")</f>
        <v/>
      </c>
      <c r="D17" s="48" t="str">
        <f aca="false">IFERROR(INDEX(DATABASE!$C$4:$C$2003,MATCH($B17,DATABASE!$U$4:$U$2003,0))&amp;"","")</f>
        <v/>
      </c>
      <c r="E17" s="46" t="str">
        <f aca="false">IFERROR(INDEX(DATABASE!$D$4:$D$2003,MATCH($B17,DATABASE!$U$4:$U$2003,0))&amp;"","")</f>
        <v/>
      </c>
      <c r="F17" s="46" t="str">
        <f aca="false">IFERROR(INDEX(DATABASE!$E$4:$E$2003,MATCH($B17,DATABASE!$U$4:$U$2003,0))&amp;"","")</f>
        <v/>
      </c>
      <c r="G17" s="48" t="str">
        <f aca="false">IFERROR(INDEX(DATABASE!$F$4:$F$2003,MATCH($B17,DATABASE!$U$4:$U$2003,0))&amp;"","")</f>
        <v/>
      </c>
      <c r="H17" s="47" t="str">
        <f aca="false">IFERROR(INDEX(DATABASE!$H$4:$H$2003,MATCH($B17,DATABASE!$U$4:$U$2003,0))&amp;"","")</f>
        <v/>
      </c>
      <c r="I17" s="48" t="str">
        <f aca="false">IFERROR(INDEX(DATABASE!$I$4:$I$2003,MATCH($B17,DATABASE!$U$4:$U$2003,0))&amp;"","")</f>
        <v/>
      </c>
      <c r="J17" s="46" t="str">
        <f aca="false">IFERROR(INDEX(DATABASE!$O$4:$O$2003,MATCH($B17,DATABASE!$U$4:$U$2003,0))&amp;"","")</f>
        <v/>
      </c>
      <c r="K17" s="47" t="str">
        <f aca="false">IFERROR(INDEX(DATABASE!$J$4:$J$2003,MATCH($B17,DATABASE!$U$4:$U$2003,0))&amp;"","")</f>
        <v/>
      </c>
    </row>
    <row r="18" customFormat="false" ht="15" hidden="false" customHeight="false" outlineLevel="0" collapsed="false">
      <c r="B18" s="49" t="n">
        <v>6</v>
      </c>
      <c r="C18" s="50" t="str">
        <f aca="false">IFERROR(INDEX(DATABASE!$B$4:$B$2003,MATCH($B18,DATABASE!$U$4:$U$2003,0))&amp;"","")</f>
        <v/>
      </c>
      <c r="D18" s="51" t="str">
        <f aca="false">IFERROR(INDEX(DATABASE!$C$4:$C$2003,MATCH($B18,DATABASE!$U$4:$U$2003,0))&amp;"","")</f>
        <v/>
      </c>
      <c r="E18" s="49" t="str">
        <f aca="false">IFERROR(INDEX(DATABASE!$D$4:$D$2003,MATCH($B18,DATABASE!$U$4:$U$2003,0))&amp;"","")</f>
        <v/>
      </c>
      <c r="F18" s="49" t="str">
        <f aca="false">IFERROR(INDEX(DATABASE!$E$4:$E$2003,MATCH($B18,DATABASE!$U$4:$U$2003,0))&amp;"","")</f>
        <v/>
      </c>
      <c r="G18" s="51" t="str">
        <f aca="false">IFERROR(INDEX(DATABASE!$F$4:$F$2003,MATCH($B18,DATABASE!$U$4:$U$2003,0))&amp;"","")</f>
        <v/>
      </c>
      <c r="H18" s="50" t="str">
        <f aca="false">IFERROR(INDEX(DATABASE!$H$4:$H$2003,MATCH($B18,DATABASE!$U$4:$U$2003,0))&amp;"","")</f>
        <v/>
      </c>
      <c r="I18" s="51" t="str">
        <f aca="false">IFERROR(INDEX(DATABASE!$I$4:$I$2003,MATCH($B18,DATABASE!$U$4:$U$2003,0))&amp;"","")</f>
        <v/>
      </c>
      <c r="J18" s="49" t="str">
        <f aca="false">IFERROR(INDEX(DATABASE!$O$4:$O$2003,MATCH($B18,DATABASE!$U$4:$U$2003,0))&amp;"","")</f>
        <v/>
      </c>
      <c r="K18" s="50" t="str">
        <f aca="false">IFERROR(INDEX(DATABASE!$J$4:$J$2003,MATCH($B18,DATABASE!$U$4:$U$2003,0))&amp;"","")</f>
        <v/>
      </c>
    </row>
    <row r="19" customFormat="false" ht="15" hidden="false" customHeight="false" outlineLevel="0" collapsed="false">
      <c r="B19" s="46" t="n">
        <v>7</v>
      </c>
      <c r="C19" s="47" t="str">
        <f aca="false">IFERROR(INDEX(DATABASE!$B$4:$B$2003,MATCH($B19,DATABASE!$U$4:$U$2003,0))&amp;"","")</f>
        <v/>
      </c>
      <c r="D19" s="48" t="str">
        <f aca="false">IFERROR(INDEX(DATABASE!$C$4:$C$2003,MATCH($B19,DATABASE!$U$4:$U$2003,0))&amp;"","")</f>
        <v/>
      </c>
      <c r="E19" s="46" t="str">
        <f aca="false">IFERROR(INDEX(DATABASE!$D$4:$D$2003,MATCH($B19,DATABASE!$U$4:$U$2003,0))&amp;"","")</f>
        <v/>
      </c>
      <c r="F19" s="46" t="str">
        <f aca="false">IFERROR(INDEX(DATABASE!$E$4:$E$2003,MATCH($B19,DATABASE!$U$4:$U$2003,0))&amp;"","")</f>
        <v/>
      </c>
      <c r="G19" s="48" t="str">
        <f aca="false">IFERROR(INDEX(DATABASE!$F$4:$F$2003,MATCH($B19,DATABASE!$U$4:$U$2003,0))&amp;"","")</f>
        <v/>
      </c>
      <c r="H19" s="47" t="str">
        <f aca="false">IFERROR(INDEX(DATABASE!$H$4:$H$2003,MATCH($B19,DATABASE!$U$4:$U$2003,0))&amp;"","")</f>
        <v/>
      </c>
      <c r="I19" s="48" t="str">
        <f aca="false">IFERROR(INDEX(DATABASE!$I$4:$I$2003,MATCH($B19,DATABASE!$U$4:$U$2003,0))&amp;"","")</f>
        <v/>
      </c>
      <c r="J19" s="46" t="str">
        <f aca="false">IFERROR(INDEX(DATABASE!$O$4:$O$2003,MATCH($B19,DATABASE!$U$4:$U$2003,0))&amp;"","")</f>
        <v/>
      </c>
      <c r="K19" s="47" t="str">
        <f aca="false">IFERROR(INDEX(DATABASE!$J$4:$J$2003,MATCH($B19,DATABASE!$U$4:$U$2003,0))&amp;"","")</f>
        <v/>
      </c>
    </row>
    <row r="20" customFormat="false" ht="15" hidden="false" customHeight="false" outlineLevel="0" collapsed="false">
      <c r="B20" s="49" t="n">
        <v>8</v>
      </c>
      <c r="C20" s="50" t="str">
        <f aca="false">IFERROR(INDEX(DATABASE!$B$4:$B$2003,MATCH($B20,DATABASE!$U$4:$U$2003,0))&amp;"","")</f>
        <v/>
      </c>
      <c r="D20" s="51" t="str">
        <f aca="false">IFERROR(INDEX(DATABASE!$C$4:$C$2003,MATCH($B20,DATABASE!$U$4:$U$2003,0))&amp;"","")</f>
        <v/>
      </c>
      <c r="E20" s="49" t="str">
        <f aca="false">IFERROR(INDEX(DATABASE!$D$4:$D$2003,MATCH($B20,DATABASE!$U$4:$U$2003,0))&amp;"","")</f>
        <v/>
      </c>
      <c r="F20" s="49" t="str">
        <f aca="false">IFERROR(INDEX(DATABASE!$E$4:$E$2003,MATCH($B20,DATABASE!$U$4:$U$2003,0))&amp;"","")</f>
        <v/>
      </c>
      <c r="G20" s="51" t="str">
        <f aca="false">IFERROR(INDEX(DATABASE!$F$4:$F$2003,MATCH($B20,DATABASE!$U$4:$U$2003,0))&amp;"","")</f>
        <v/>
      </c>
      <c r="H20" s="50" t="str">
        <f aca="false">IFERROR(INDEX(DATABASE!$H$4:$H$2003,MATCH($B20,DATABASE!$U$4:$U$2003,0))&amp;"","")</f>
        <v/>
      </c>
      <c r="I20" s="51" t="str">
        <f aca="false">IFERROR(INDEX(DATABASE!$I$4:$I$2003,MATCH($B20,DATABASE!$U$4:$U$2003,0))&amp;"","")</f>
        <v/>
      </c>
      <c r="J20" s="49" t="str">
        <f aca="false">IFERROR(INDEX(DATABASE!$O$4:$O$2003,MATCH($B20,DATABASE!$U$4:$U$2003,0))&amp;"","")</f>
        <v/>
      </c>
      <c r="K20" s="50" t="str">
        <f aca="false">IFERROR(INDEX(DATABASE!$J$4:$J$2003,MATCH($B20,DATABASE!$U$4:$U$2003,0))&amp;"","")</f>
        <v/>
      </c>
    </row>
    <row r="21" customFormat="false" ht="15" hidden="false" customHeight="false" outlineLevel="0" collapsed="false">
      <c r="B21" s="46" t="n">
        <v>9</v>
      </c>
      <c r="C21" s="47" t="str">
        <f aca="false">IFERROR(INDEX(DATABASE!$B$4:$B$2003,MATCH($B21,DATABASE!$U$4:$U$2003,0))&amp;"","")</f>
        <v/>
      </c>
      <c r="D21" s="48" t="str">
        <f aca="false">IFERROR(INDEX(DATABASE!$C$4:$C$2003,MATCH($B21,DATABASE!$U$4:$U$2003,0))&amp;"","")</f>
        <v/>
      </c>
      <c r="E21" s="46" t="str">
        <f aca="false">IFERROR(INDEX(DATABASE!$D$4:$D$2003,MATCH($B21,DATABASE!$U$4:$U$2003,0))&amp;"","")</f>
        <v/>
      </c>
      <c r="F21" s="46" t="str">
        <f aca="false">IFERROR(INDEX(DATABASE!$E$4:$E$2003,MATCH($B21,DATABASE!$U$4:$U$2003,0))&amp;"","")</f>
        <v/>
      </c>
      <c r="G21" s="48" t="str">
        <f aca="false">IFERROR(INDEX(DATABASE!$F$4:$F$2003,MATCH($B21,DATABASE!$U$4:$U$2003,0))&amp;"","")</f>
        <v/>
      </c>
      <c r="H21" s="47" t="str">
        <f aca="false">IFERROR(INDEX(DATABASE!$H$4:$H$2003,MATCH($B21,DATABASE!$U$4:$U$2003,0))&amp;"","")</f>
        <v/>
      </c>
      <c r="I21" s="48" t="str">
        <f aca="false">IFERROR(INDEX(DATABASE!$I$4:$I$2003,MATCH($B21,DATABASE!$U$4:$U$2003,0))&amp;"","")</f>
        <v/>
      </c>
      <c r="J21" s="46" t="str">
        <f aca="false">IFERROR(INDEX(DATABASE!$O$4:$O$2003,MATCH($B21,DATABASE!$U$4:$U$2003,0))&amp;"","")</f>
        <v/>
      </c>
      <c r="K21" s="47" t="str">
        <f aca="false">IFERROR(INDEX(DATABASE!$J$4:$J$2003,MATCH($B21,DATABASE!$U$4:$U$2003,0))&amp;"","")</f>
        <v/>
      </c>
    </row>
    <row r="22" customFormat="false" ht="15" hidden="false" customHeight="false" outlineLevel="0" collapsed="false">
      <c r="B22" s="49" t="n">
        <v>10</v>
      </c>
      <c r="C22" s="50" t="str">
        <f aca="false">IFERROR(INDEX(DATABASE!$B$4:$B$2003,MATCH($B22,DATABASE!$U$4:$U$2003,0))&amp;"","")</f>
        <v/>
      </c>
      <c r="D22" s="51" t="str">
        <f aca="false">IFERROR(INDEX(DATABASE!$C$4:$C$2003,MATCH($B22,DATABASE!$U$4:$U$2003,0))&amp;"","")</f>
        <v/>
      </c>
      <c r="E22" s="49" t="str">
        <f aca="false">IFERROR(INDEX(DATABASE!$D$4:$D$2003,MATCH($B22,DATABASE!$U$4:$U$2003,0))&amp;"","")</f>
        <v/>
      </c>
      <c r="F22" s="49" t="str">
        <f aca="false">IFERROR(INDEX(DATABASE!$E$4:$E$2003,MATCH($B22,DATABASE!$U$4:$U$2003,0))&amp;"","")</f>
        <v/>
      </c>
      <c r="G22" s="51" t="str">
        <f aca="false">IFERROR(INDEX(DATABASE!$F$4:$F$2003,MATCH($B22,DATABASE!$U$4:$U$2003,0))&amp;"","")</f>
        <v/>
      </c>
      <c r="H22" s="50" t="str">
        <f aca="false">IFERROR(INDEX(DATABASE!$H$4:$H$2003,MATCH($B22,DATABASE!$U$4:$U$2003,0))&amp;"","")</f>
        <v/>
      </c>
      <c r="I22" s="51" t="str">
        <f aca="false">IFERROR(INDEX(DATABASE!$I$4:$I$2003,MATCH($B22,DATABASE!$U$4:$U$2003,0))&amp;"","")</f>
        <v/>
      </c>
      <c r="J22" s="49" t="str">
        <f aca="false">IFERROR(INDEX(DATABASE!$O$4:$O$2003,MATCH($B22,DATABASE!$U$4:$U$2003,0))&amp;"","")</f>
        <v/>
      </c>
      <c r="K22" s="50" t="str">
        <f aca="false">IFERROR(INDEX(DATABASE!$J$4:$J$2003,MATCH($B22,DATABASE!$U$4:$U$2003,0))&amp;"","")</f>
        <v/>
      </c>
    </row>
    <row r="23" customFormat="false" ht="15" hidden="false" customHeight="false" outlineLevel="0" collapsed="false">
      <c r="B23" s="46" t="n">
        <v>11</v>
      </c>
      <c r="C23" s="47" t="str">
        <f aca="false">IFERROR(INDEX(DATABASE!$B$4:$B$2003,MATCH($B23,DATABASE!$U$4:$U$2003,0))&amp;"","")</f>
        <v/>
      </c>
      <c r="D23" s="48" t="str">
        <f aca="false">IFERROR(INDEX(DATABASE!$C$4:$C$2003,MATCH($B23,DATABASE!$U$4:$U$2003,0))&amp;"","")</f>
        <v/>
      </c>
      <c r="E23" s="46" t="str">
        <f aca="false">IFERROR(INDEX(DATABASE!$D$4:$D$2003,MATCH($B23,DATABASE!$U$4:$U$2003,0))&amp;"","")</f>
        <v/>
      </c>
      <c r="F23" s="46" t="str">
        <f aca="false">IFERROR(INDEX(DATABASE!$E$4:$E$2003,MATCH($B23,DATABASE!$U$4:$U$2003,0))&amp;"","")</f>
        <v/>
      </c>
      <c r="G23" s="48" t="str">
        <f aca="false">IFERROR(INDEX(DATABASE!$F$4:$F$2003,MATCH($B23,DATABASE!$U$4:$U$2003,0))&amp;"","")</f>
        <v/>
      </c>
      <c r="H23" s="47" t="str">
        <f aca="false">IFERROR(INDEX(DATABASE!$H$4:$H$2003,MATCH($B23,DATABASE!$U$4:$U$2003,0))&amp;"","")</f>
        <v/>
      </c>
      <c r="I23" s="48" t="str">
        <f aca="false">IFERROR(INDEX(DATABASE!$I$4:$I$2003,MATCH($B23,DATABASE!$U$4:$U$2003,0))&amp;"","")</f>
        <v/>
      </c>
      <c r="J23" s="46" t="str">
        <f aca="false">IFERROR(INDEX(DATABASE!$O$4:$O$2003,MATCH($B23,DATABASE!$U$4:$U$2003,0))&amp;"","")</f>
        <v/>
      </c>
      <c r="K23" s="47" t="str">
        <f aca="false">IFERROR(INDEX(DATABASE!$J$4:$J$2003,MATCH($B23,DATABASE!$U$4:$U$2003,0))&amp;"","")</f>
        <v/>
      </c>
    </row>
    <row r="24" customFormat="false" ht="15" hidden="false" customHeight="false" outlineLevel="0" collapsed="false">
      <c r="B24" s="49" t="n">
        <v>12</v>
      </c>
      <c r="C24" s="50" t="str">
        <f aca="false">IFERROR(INDEX(DATABASE!$B$4:$B$2003,MATCH($B24,DATABASE!$U$4:$U$2003,0))&amp;"","")</f>
        <v/>
      </c>
      <c r="D24" s="51" t="str">
        <f aca="false">IFERROR(INDEX(DATABASE!$C$4:$C$2003,MATCH($B24,DATABASE!$U$4:$U$2003,0))&amp;"","")</f>
        <v/>
      </c>
      <c r="E24" s="49" t="str">
        <f aca="false">IFERROR(INDEX(DATABASE!$D$4:$D$2003,MATCH($B24,DATABASE!$U$4:$U$2003,0))&amp;"","")</f>
        <v/>
      </c>
      <c r="F24" s="49" t="str">
        <f aca="false">IFERROR(INDEX(DATABASE!$E$4:$E$2003,MATCH($B24,DATABASE!$U$4:$U$2003,0))&amp;"","")</f>
        <v/>
      </c>
      <c r="G24" s="51" t="str">
        <f aca="false">IFERROR(INDEX(DATABASE!$F$4:$F$2003,MATCH($B24,DATABASE!$U$4:$U$2003,0))&amp;"","")</f>
        <v/>
      </c>
      <c r="H24" s="50" t="str">
        <f aca="false">IFERROR(INDEX(DATABASE!$H$4:$H$2003,MATCH($B24,DATABASE!$U$4:$U$2003,0))&amp;"","")</f>
        <v/>
      </c>
      <c r="I24" s="51" t="str">
        <f aca="false">IFERROR(INDEX(DATABASE!$I$4:$I$2003,MATCH($B24,DATABASE!$U$4:$U$2003,0))&amp;"","")</f>
        <v/>
      </c>
      <c r="J24" s="49" t="str">
        <f aca="false">IFERROR(INDEX(DATABASE!$O$4:$O$2003,MATCH($B24,DATABASE!$U$4:$U$2003,0))&amp;"","")</f>
        <v/>
      </c>
      <c r="K24" s="50" t="str">
        <f aca="false">IFERROR(INDEX(DATABASE!$J$4:$J$2003,MATCH($B24,DATABASE!$U$4:$U$2003,0))&amp;"","")</f>
        <v/>
      </c>
    </row>
    <row r="25" customFormat="false" ht="15" hidden="false" customHeight="false" outlineLevel="0" collapsed="false">
      <c r="B25" s="46" t="n">
        <v>13</v>
      </c>
      <c r="C25" s="47" t="str">
        <f aca="false">IFERROR(INDEX(DATABASE!$B$4:$B$2003,MATCH($B25,DATABASE!$U$4:$U$2003,0))&amp;"","")</f>
        <v/>
      </c>
      <c r="D25" s="48" t="str">
        <f aca="false">IFERROR(INDEX(DATABASE!$C$4:$C$2003,MATCH($B25,DATABASE!$U$4:$U$2003,0))&amp;"","")</f>
        <v/>
      </c>
      <c r="E25" s="46" t="str">
        <f aca="false">IFERROR(INDEX(DATABASE!$D$4:$D$2003,MATCH($B25,DATABASE!$U$4:$U$2003,0))&amp;"","")</f>
        <v/>
      </c>
      <c r="F25" s="46" t="str">
        <f aca="false">IFERROR(INDEX(DATABASE!$E$4:$E$2003,MATCH($B25,DATABASE!$U$4:$U$2003,0))&amp;"","")</f>
        <v/>
      </c>
      <c r="G25" s="48" t="str">
        <f aca="false">IFERROR(INDEX(DATABASE!$F$4:$F$2003,MATCH($B25,DATABASE!$U$4:$U$2003,0))&amp;"","")</f>
        <v/>
      </c>
      <c r="H25" s="47" t="str">
        <f aca="false">IFERROR(INDEX(DATABASE!$H$4:$H$2003,MATCH($B25,DATABASE!$U$4:$U$2003,0))&amp;"","")</f>
        <v/>
      </c>
      <c r="I25" s="48" t="str">
        <f aca="false">IFERROR(INDEX(DATABASE!$I$4:$I$2003,MATCH($B25,DATABASE!$U$4:$U$2003,0))&amp;"","")</f>
        <v/>
      </c>
      <c r="J25" s="46" t="str">
        <f aca="false">IFERROR(INDEX(DATABASE!$O$4:$O$2003,MATCH($B25,DATABASE!$U$4:$U$2003,0))&amp;"","")</f>
        <v/>
      </c>
      <c r="K25" s="47" t="str">
        <f aca="false">IFERROR(INDEX(DATABASE!$J$4:$J$2003,MATCH($B25,DATABASE!$U$4:$U$2003,0))&amp;"","")</f>
        <v/>
      </c>
    </row>
    <row r="26" customFormat="false" ht="15" hidden="false" customHeight="false" outlineLevel="0" collapsed="false">
      <c r="B26" s="49" t="n">
        <v>14</v>
      </c>
      <c r="C26" s="50" t="str">
        <f aca="false">IFERROR(INDEX(DATABASE!$B$4:$B$2003,MATCH($B26,DATABASE!$U$4:$U$2003,0))&amp;"","")</f>
        <v/>
      </c>
      <c r="D26" s="51" t="str">
        <f aca="false">IFERROR(INDEX(DATABASE!$C$4:$C$2003,MATCH($B26,DATABASE!$U$4:$U$2003,0))&amp;"","")</f>
        <v/>
      </c>
      <c r="E26" s="49" t="str">
        <f aca="false">IFERROR(INDEX(DATABASE!$D$4:$D$2003,MATCH($B26,DATABASE!$U$4:$U$2003,0))&amp;"","")</f>
        <v/>
      </c>
      <c r="F26" s="49" t="str">
        <f aca="false">IFERROR(INDEX(DATABASE!$E$4:$E$2003,MATCH($B26,DATABASE!$U$4:$U$2003,0))&amp;"","")</f>
        <v/>
      </c>
      <c r="G26" s="51" t="str">
        <f aca="false">IFERROR(INDEX(DATABASE!$F$4:$F$2003,MATCH($B26,DATABASE!$U$4:$U$2003,0))&amp;"","")</f>
        <v/>
      </c>
      <c r="H26" s="50" t="str">
        <f aca="false">IFERROR(INDEX(DATABASE!$H$4:$H$2003,MATCH($B26,DATABASE!$U$4:$U$2003,0))&amp;"","")</f>
        <v/>
      </c>
      <c r="I26" s="51" t="str">
        <f aca="false">IFERROR(INDEX(DATABASE!$I$4:$I$2003,MATCH($B26,DATABASE!$U$4:$U$2003,0))&amp;"","")</f>
        <v/>
      </c>
      <c r="J26" s="49" t="str">
        <f aca="false">IFERROR(INDEX(DATABASE!$O$4:$O$2003,MATCH($B26,DATABASE!$U$4:$U$2003,0))&amp;"","")</f>
        <v/>
      </c>
      <c r="K26" s="50" t="str">
        <f aca="false">IFERROR(INDEX(DATABASE!$J$4:$J$2003,MATCH($B26,DATABASE!$U$4:$U$2003,0))&amp;"","")</f>
        <v/>
      </c>
    </row>
    <row r="27" customFormat="false" ht="15" hidden="false" customHeight="false" outlineLevel="0" collapsed="false">
      <c r="B27" s="46" t="n">
        <v>15</v>
      </c>
      <c r="C27" s="47" t="str">
        <f aca="false">IFERROR(INDEX(DATABASE!$B$4:$B$2003,MATCH($B27,DATABASE!$U$4:$U$2003,0))&amp;"","")</f>
        <v/>
      </c>
      <c r="D27" s="48" t="str">
        <f aca="false">IFERROR(INDEX(DATABASE!$C$4:$C$2003,MATCH($B27,DATABASE!$U$4:$U$2003,0))&amp;"","")</f>
        <v/>
      </c>
      <c r="E27" s="46" t="str">
        <f aca="false">IFERROR(INDEX(DATABASE!$D$4:$D$2003,MATCH($B27,DATABASE!$U$4:$U$2003,0))&amp;"","")</f>
        <v/>
      </c>
      <c r="F27" s="46" t="str">
        <f aca="false">IFERROR(INDEX(DATABASE!$E$4:$E$2003,MATCH($B27,DATABASE!$U$4:$U$2003,0))&amp;"","")</f>
        <v/>
      </c>
      <c r="G27" s="48" t="str">
        <f aca="false">IFERROR(INDEX(DATABASE!$F$4:$F$2003,MATCH($B27,DATABASE!$U$4:$U$2003,0))&amp;"","")</f>
        <v/>
      </c>
      <c r="H27" s="47" t="str">
        <f aca="false">IFERROR(INDEX(DATABASE!$H$4:$H$2003,MATCH($B27,DATABASE!$U$4:$U$2003,0))&amp;"","")</f>
        <v/>
      </c>
      <c r="I27" s="48" t="str">
        <f aca="false">IFERROR(INDEX(DATABASE!$I$4:$I$2003,MATCH($B27,DATABASE!$U$4:$U$2003,0))&amp;"","")</f>
        <v/>
      </c>
      <c r="J27" s="46" t="str">
        <f aca="false">IFERROR(INDEX(DATABASE!$O$4:$O$2003,MATCH($B27,DATABASE!$U$4:$U$2003,0))&amp;"","")</f>
        <v/>
      </c>
      <c r="K27" s="47" t="str">
        <f aca="false">IFERROR(INDEX(DATABASE!$J$4:$J$2003,MATCH($B27,DATABASE!$U$4:$U$2003,0))&amp;"","")</f>
        <v/>
      </c>
    </row>
    <row r="28" customFormat="false" ht="15" hidden="false" customHeight="false" outlineLevel="0" collapsed="false">
      <c r="B28" s="49" t="n">
        <v>16</v>
      </c>
      <c r="C28" s="50" t="str">
        <f aca="false">IFERROR(INDEX(DATABASE!$B$4:$B$2003,MATCH($B28,DATABASE!$U$4:$U$2003,0))&amp;"","")</f>
        <v/>
      </c>
      <c r="D28" s="51" t="str">
        <f aca="false">IFERROR(INDEX(DATABASE!$C$4:$C$2003,MATCH($B28,DATABASE!$U$4:$U$2003,0))&amp;"","")</f>
        <v/>
      </c>
      <c r="E28" s="49" t="str">
        <f aca="false">IFERROR(INDEX(DATABASE!$D$4:$D$2003,MATCH($B28,DATABASE!$U$4:$U$2003,0))&amp;"","")</f>
        <v/>
      </c>
      <c r="F28" s="49" t="str">
        <f aca="false">IFERROR(INDEX(DATABASE!$E$4:$E$2003,MATCH($B28,DATABASE!$U$4:$U$2003,0))&amp;"","")</f>
        <v/>
      </c>
      <c r="G28" s="51" t="str">
        <f aca="false">IFERROR(INDEX(DATABASE!$F$4:$F$2003,MATCH($B28,DATABASE!$U$4:$U$2003,0))&amp;"","")</f>
        <v/>
      </c>
      <c r="H28" s="50" t="str">
        <f aca="false">IFERROR(INDEX(DATABASE!$H$4:$H$2003,MATCH($B28,DATABASE!$U$4:$U$2003,0))&amp;"","")</f>
        <v/>
      </c>
      <c r="I28" s="51" t="str">
        <f aca="false">IFERROR(INDEX(DATABASE!$I$4:$I$2003,MATCH($B28,DATABASE!$U$4:$U$2003,0))&amp;"","")</f>
        <v/>
      </c>
      <c r="J28" s="49" t="str">
        <f aca="false">IFERROR(INDEX(DATABASE!$O$4:$O$2003,MATCH($B28,DATABASE!$U$4:$U$2003,0))&amp;"","")</f>
        <v/>
      </c>
      <c r="K28" s="50" t="str">
        <f aca="false">IFERROR(INDEX(DATABASE!$J$4:$J$2003,MATCH($B28,DATABASE!$U$4:$U$2003,0))&amp;"","")</f>
        <v/>
      </c>
    </row>
    <row r="29" customFormat="false" ht="15" hidden="false" customHeight="false" outlineLevel="0" collapsed="false">
      <c r="B29" s="46" t="n">
        <v>17</v>
      </c>
      <c r="C29" s="47" t="str">
        <f aca="false">IFERROR(INDEX(DATABASE!$B$4:$B$2003,MATCH($B29,DATABASE!$U$4:$U$2003,0))&amp;"","")</f>
        <v/>
      </c>
      <c r="D29" s="48" t="str">
        <f aca="false">IFERROR(INDEX(DATABASE!$C$4:$C$2003,MATCH($B29,DATABASE!$U$4:$U$2003,0))&amp;"","")</f>
        <v/>
      </c>
      <c r="E29" s="46" t="str">
        <f aca="false">IFERROR(INDEX(DATABASE!$D$4:$D$2003,MATCH($B29,DATABASE!$U$4:$U$2003,0))&amp;"","")</f>
        <v/>
      </c>
      <c r="F29" s="46" t="str">
        <f aca="false">IFERROR(INDEX(DATABASE!$E$4:$E$2003,MATCH($B29,DATABASE!$U$4:$U$2003,0))&amp;"","")</f>
        <v/>
      </c>
      <c r="G29" s="48" t="str">
        <f aca="false">IFERROR(INDEX(DATABASE!$F$4:$F$2003,MATCH($B29,DATABASE!$U$4:$U$2003,0))&amp;"","")</f>
        <v/>
      </c>
      <c r="H29" s="47" t="str">
        <f aca="false">IFERROR(INDEX(DATABASE!$H$4:$H$2003,MATCH($B29,DATABASE!$U$4:$U$2003,0))&amp;"","")</f>
        <v/>
      </c>
      <c r="I29" s="48" t="str">
        <f aca="false">IFERROR(INDEX(DATABASE!$I$4:$I$2003,MATCH($B29,DATABASE!$U$4:$U$2003,0))&amp;"","")</f>
        <v/>
      </c>
      <c r="J29" s="46" t="str">
        <f aca="false">IFERROR(INDEX(DATABASE!$O$4:$O$2003,MATCH($B29,DATABASE!$U$4:$U$2003,0))&amp;"","")</f>
        <v/>
      </c>
      <c r="K29" s="47" t="str">
        <f aca="false">IFERROR(INDEX(DATABASE!$J$4:$J$2003,MATCH($B29,DATABASE!$U$4:$U$2003,0))&amp;"","")</f>
        <v/>
      </c>
    </row>
    <row r="30" customFormat="false" ht="15" hidden="false" customHeight="false" outlineLevel="0" collapsed="false">
      <c r="B30" s="49" t="n">
        <v>18</v>
      </c>
      <c r="C30" s="50" t="str">
        <f aca="false">IFERROR(INDEX(DATABASE!$B$4:$B$2003,MATCH($B30,DATABASE!$U$4:$U$2003,0))&amp;"","")</f>
        <v/>
      </c>
      <c r="D30" s="51" t="str">
        <f aca="false">IFERROR(INDEX(DATABASE!$C$4:$C$2003,MATCH($B30,DATABASE!$U$4:$U$2003,0))&amp;"","")</f>
        <v/>
      </c>
      <c r="E30" s="49" t="str">
        <f aca="false">IFERROR(INDEX(DATABASE!$D$4:$D$2003,MATCH($B30,DATABASE!$U$4:$U$2003,0))&amp;"","")</f>
        <v/>
      </c>
      <c r="F30" s="49" t="str">
        <f aca="false">IFERROR(INDEX(DATABASE!$E$4:$E$2003,MATCH($B30,DATABASE!$U$4:$U$2003,0))&amp;"","")</f>
        <v/>
      </c>
      <c r="G30" s="51" t="str">
        <f aca="false">IFERROR(INDEX(DATABASE!$F$4:$F$2003,MATCH($B30,DATABASE!$U$4:$U$2003,0))&amp;"","")</f>
        <v/>
      </c>
      <c r="H30" s="50" t="str">
        <f aca="false">IFERROR(INDEX(DATABASE!$H$4:$H$2003,MATCH($B30,DATABASE!$U$4:$U$2003,0))&amp;"","")</f>
        <v/>
      </c>
      <c r="I30" s="51" t="str">
        <f aca="false">IFERROR(INDEX(DATABASE!$I$4:$I$2003,MATCH($B30,DATABASE!$U$4:$U$2003,0))&amp;"","")</f>
        <v/>
      </c>
      <c r="J30" s="49" t="str">
        <f aca="false">IFERROR(INDEX(DATABASE!$O$4:$O$2003,MATCH($B30,DATABASE!$U$4:$U$2003,0))&amp;"","")</f>
        <v/>
      </c>
      <c r="K30" s="50" t="str">
        <f aca="false">IFERROR(INDEX(DATABASE!$J$4:$J$2003,MATCH($B30,DATABASE!$U$4:$U$2003,0))&amp;"","")</f>
        <v/>
      </c>
    </row>
    <row r="31" customFormat="false" ht="15" hidden="false" customHeight="false" outlineLevel="0" collapsed="false">
      <c r="B31" s="46" t="n">
        <v>19</v>
      </c>
      <c r="C31" s="47" t="str">
        <f aca="false">IFERROR(INDEX(DATABASE!$B$4:$B$2003,MATCH($B31,DATABASE!$U$4:$U$2003,0))&amp;"","")</f>
        <v/>
      </c>
      <c r="D31" s="48" t="str">
        <f aca="false">IFERROR(INDEX(DATABASE!$C$4:$C$2003,MATCH($B31,DATABASE!$U$4:$U$2003,0))&amp;"","")</f>
        <v/>
      </c>
      <c r="E31" s="46" t="str">
        <f aca="false">IFERROR(INDEX(DATABASE!$D$4:$D$2003,MATCH($B31,DATABASE!$U$4:$U$2003,0))&amp;"","")</f>
        <v/>
      </c>
      <c r="F31" s="46" t="str">
        <f aca="false">IFERROR(INDEX(DATABASE!$E$4:$E$2003,MATCH($B31,DATABASE!$U$4:$U$2003,0))&amp;"","")</f>
        <v/>
      </c>
      <c r="G31" s="48" t="str">
        <f aca="false">IFERROR(INDEX(DATABASE!$F$4:$F$2003,MATCH($B31,DATABASE!$U$4:$U$2003,0))&amp;"","")</f>
        <v/>
      </c>
      <c r="H31" s="47" t="str">
        <f aca="false">IFERROR(INDEX(DATABASE!$H$4:$H$2003,MATCH($B31,DATABASE!$U$4:$U$2003,0))&amp;"","")</f>
        <v/>
      </c>
      <c r="I31" s="48" t="str">
        <f aca="false">IFERROR(INDEX(DATABASE!$I$4:$I$2003,MATCH($B31,DATABASE!$U$4:$U$2003,0))&amp;"","")</f>
        <v/>
      </c>
      <c r="J31" s="46" t="str">
        <f aca="false">IFERROR(INDEX(DATABASE!$O$4:$O$2003,MATCH($B31,DATABASE!$U$4:$U$2003,0))&amp;"","")</f>
        <v/>
      </c>
      <c r="K31" s="47" t="str">
        <f aca="false">IFERROR(INDEX(DATABASE!$J$4:$J$2003,MATCH($B31,DATABASE!$U$4:$U$2003,0))&amp;"","")</f>
        <v/>
      </c>
    </row>
    <row r="32" customFormat="false" ht="15" hidden="false" customHeight="false" outlineLevel="0" collapsed="false">
      <c r="B32" s="49" t="n">
        <v>20</v>
      </c>
      <c r="C32" s="50" t="str">
        <f aca="false">IFERROR(INDEX(DATABASE!$B$4:$B$2003,MATCH($B32,DATABASE!$U$4:$U$2003,0))&amp;"","")</f>
        <v/>
      </c>
      <c r="D32" s="51" t="str">
        <f aca="false">IFERROR(INDEX(DATABASE!$C$4:$C$2003,MATCH($B32,DATABASE!$U$4:$U$2003,0))&amp;"","")</f>
        <v/>
      </c>
      <c r="E32" s="49" t="str">
        <f aca="false">IFERROR(INDEX(DATABASE!$D$4:$D$2003,MATCH($B32,DATABASE!$U$4:$U$2003,0))&amp;"","")</f>
        <v/>
      </c>
      <c r="F32" s="49" t="str">
        <f aca="false">IFERROR(INDEX(DATABASE!$E$4:$E$2003,MATCH($B32,DATABASE!$U$4:$U$2003,0))&amp;"","")</f>
        <v/>
      </c>
      <c r="G32" s="51" t="str">
        <f aca="false">IFERROR(INDEX(DATABASE!$F$4:$F$2003,MATCH($B32,DATABASE!$U$4:$U$2003,0))&amp;"","")</f>
        <v/>
      </c>
      <c r="H32" s="50" t="str">
        <f aca="false">IFERROR(INDEX(DATABASE!$H$4:$H$2003,MATCH($B32,DATABASE!$U$4:$U$2003,0))&amp;"","")</f>
        <v/>
      </c>
      <c r="I32" s="51" t="str">
        <f aca="false">IFERROR(INDEX(DATABASE!$I$4:$I$2003,MATCH($B32,DATABASE!$U$4:$U$2003,0))&amp;"","")</f>
        <v/>
      </c>
      <c r="J32" s="49" t="str">
        <f aca="false">IFERROR(INDEX(DATABASE!$O$4:$O$2003,MATCH($B32,DATABASE!$U$4:$U$2003,0))&amp;"","")</f>
        <v/>
      </c>
      <c r="K32" s="50" t="str">
        <f aca="false">IFERROR(INDEX(DATABASE!$J$4:$J$2003,MATCH($B32,DATABASE!$U$4:$U$2003,0))&amp;"","")</f>
        <v/>
      </c>
    </row>
    <row r="33" customFormat="false" ht="15" hidden="false" customHeight="false" outlineLevel="0" collapsed="false">
      <c r="B33" s="46" t="n">
        <v>21</v>
      </c>
      <c r="C33" s="47" t="str">
        <f aca="false">IFERROR(INDEX(DATABASE!$B$4:$B$2003,MATCH($B33,DATABASE!$U$4:$U$2003,0))&amp;"","")</f>
        <v/>
      </c>
      <c r="D33" s="48" t="str">
        <f aca="false">IFERROR(INDEX(DATABASE!$C$4:$C$2003,MATCH($B33,DATABASE!$U$4:$U$2003,0))&amp;"","")</f>
        <v/>
      </c>
      <c r="E33" s="46" t="str">
        <f aca="false">IFERROR(INDEX(DATABASE!$D$4:$D$2003,MATCH($B33,DATABASE!$U$4:$U$2003,0))&amp;"","")</f>
        <v/>
      </c>
      <c r="F33" s="46" t="str">
        <f aca="false">IFERROR(INDEX(DATABASE!$E$4:$E$2003,MATCH($B33,DATABASE!$U$4:$U$2003,0))&amp;"","")</f>
        <v/>
      </c>
      <c r="G33" s="48" t="str">
        <f aca="false">IFERROR(INDEX(DATABASE!$F$4:$F$2003,MATCH($B33,DATABASE!$U$4:$U$2003,0))&amp;"","")</f>
        <v/>
      </c>
      <c r="H33" s="47" t="str">
        <f aca="false">IFERROR(INDEX(DATABASE!$H$4:$H$2003,MATCH($B33,DATABASE!$U$4:$U$2003,0))&amp;"","")</f>
        <v/>
      </c>
      <c r="I33" s="48" t="str">
        <f aca="false">IFERROR(INDEX(DATABASE!$I$4:$I$2003,MATCH($B33,DATABASE!$U$4:$U$2003,0))&amp;"","")</f>
        <v/>
      </c>
      <c r="J33" s="46" t="str">
        <f aca="false">IFERROR(INDEX(DATABASE!$O$4:$O$2003,MATCH($B33,DATABASE!$U$4:$U$2003,0))&amp;"","")</f>
        <v/>
      </c>
      <c r="K33" s="47" t="str">
        <f aca="false">IFERROR(INDEX(DATABASE!$J$4:$J$2003,MATCH($B33,DATABASE!$U$4:$U$2003,0))&amp;"","")</f>
        <v/>
      </c>
    </row>
    <row r="34" customFormat="false" ht="15" hidden="false" customHeight="false" outlineLevel="0" collapsed="false">
      <c r="B34" s="49" t="n">
        <v>22</v>
      </c>
      <c r="C34" s="50" t="str">
        <f aca="false">IFERROR(INDEX(DATABASE!$B$4:$B$2003,MATCH($B34,DATABASE!$U$4:$U$2003,0))&amp;"","")</f>
        <v/>
      </c>
      <c r="D34" s="51" t="str">
        <f aca="false">IFERROR(INDEX(DATABASE!$C$4:$C$2003,MATCH($B34,DATABASE!$U$4:$U$2003,0))&amp;"","")</f>
        <v/>
      </c>
      <c r="E34" s="49" t="str">
        <f aca="false">IFERROR(INDEX(DATABASE!$D$4:$D$2003,MATCH($B34,DATABASE!$U$4:$U$2003,0))&amp;"","")</f>
        <v/>
      </c>
      <c r="F34" s="49" t="str">
        <f aca="false">IFERROR(INDEX(DATABASE!$E$4:$E$2003,MATCH($B34,DATABASE!$U$4:$U$2003,0))&amp;"","")</f>
        <v/>
      </c>
      <c r="G34" s="51" t="str">
        <f aca="false">IFERROR(INDEX(DATABASE!$F$4:$F$2003,MATCH($B34,DATABASE!$U$4:$U$2003,0))&amp;"","")</f>
        <v/>
      </c>
      <c r="H34" s="50" t="str">
        <f aca="false">IFERROR(INDEX(DATABASE!$H$4:$H$2003,MATCH($B34,DATABASE!$U$4:$U$2003,0))&amp;"","")</f>
        <v/>
      </c>
      <c r="I34" s="51" t="str">
        <f aca="false">IFERROR(INDEX(DATABASE!$I$4:$I$2003,MATCH($B34,DATABASE!$U$4:$U$2003,0))&amp;"","")</f>
        <v/>
      </c>
      <c r="J34" s="49" t="str">
        <f aca="false">IFERROR(INDEX(DATABASE!$O$4:$O$2003,MATCH($B34,DATABASE!$U$4:$U$2003,0))&amp;"","")</f>
        <v/>
      </c>
      <c r="K34" s="50" t="str">
        <f aca="false">IFERROR(INDEX(DATABASE!$J$4:$J$2003,MATCH($B34,DATABASE!$U$4:$U$2003,0))&amp;"","")</f>
        <v/>
      </c>
    </row>
    <row r="35" customFormat="false" ht="15" hidden="false" customHeight="false" outlineLevel="0" collapsed="false">
      <c r="B35" s="46" t="n">
        <v>23</v>
      </c>
      <c r="C35" s="47" t="str">
        <f aca="false">IFERROR(INDEX(DATABASE!$B$4:$B$2003,MATCH($B35,DATABASE!$U$4:$U$2003,0))&amp;"","")</f>
        <v/>
      </c>
      <c r="D35" s="48" t="str">
        <f aca="false">IFERROR(INDEX(DATABASE!$C$4:$C$2003,MATCH($B35,DATABASE!$U$4:$U$2003,0))&amp;"","")</f>
        <v/>
      </c>
      <c r="E35" s="46" t="str">
        <f aca="false">IFERROR(INDEX(DATABASE!$D$4:$D$2003,MATCH($B35,DATABASE!$U$4:$U$2003,0))&amp;"","")</f>
        <v/>
      </c>
      <c r="F35" s="46" t="str">
        <f aca="false">IFERROR(INDEX(DATABASE!$E$4:$E$2003,MATCH($B35,DATABASE!$U$4:$U$2003,0))&amp;"","")</f>
        <v/>
      </c>
      <c r="G35" s="48" t="str">
        <f aca="false">IFERROR(INDEX(DATABASE!$F$4:$F$2003,MATCH($B35,DATABASE!$U$4:$U$2003,0))&amp;"","")</f>
        <v/>
      </c>
      <c r="H35" s="47" t="str">
        <f aca="false">IFERROR(INDEX(DATABASE!$H$4:$H$2003,MATCH($B35,DATABASE!$U$4:$U$2003,0))&amp;"","")</f>
        <v/>
      </c>
      <c r="I35" s="48" t="str">
        <f aca="false">IFERROR(INDEX(DATABASE!$I$4:$I$2003,MATCH($B35,DATABASE!$U$4:$U$2003,0))&amp;"","")</f>
        <v/>
      </c>
      <c r="J35" s="46" t="str">
        <f aca="false">IFERROR(INDEX(DATABASE!$O$4:$O$2003,MATCH($B35,DATABASE!$U$4:$U$2003,0))&amp;"","")</f>
        <v/>
      </c>
      <c r="K35" s="47" t="str">
        <f aca="false">IFERROR(INDEX(DATABASE!$J$4:$J$2003,MATCH($B35,DATABASE!$U$4:$U$2003,0))&amp;"","")</f>
        <v/>
      </c>
    </row>
    <row r="36" customFormat="false" ht="15" hidden="false" customHeight="false" outlineLevel="0" collapsed="false">
      <c r="B36" s="49" t="n">
        <v>24</v>
      </c>
      <c r="C36" s="50" t="str">
        <f aca="false">IFERROR(INDEX(DATABASE!$B$4:$B$2003,MATCH($B36,DATABASE!$U$4:$U$2003,0))&amp;"","")</f>
        <v/>
      </c>
      <c r="D36" s="51" t="str">
        <f aca="false">IFERROR(INDEX(DATABASE!$C$4:$C$2003,MATCH($B36,DATABASE!$U$4:$U$2003,0))&amp;"","")</f>
        <v/>
      </c>
      <c r="E36" s="49" t="str">
        <f aca="false">IFERROR(INDEX(DATABASE!$D$4:$D$2003,MATCH($B36,DATABASE!$U$4:$U$2003,0))&amp;"","")</f>
        <v/>
      </c>
      <c r="F36" s="49" t="str">
        <f aca="false">IFERROR(INDEX(DATABASE!$E$4:$E$2003,MATCH($B36,DATABASE!$U$4:$U$2003,0))&amp;"","")</f>
        <v/>
      </c>
      <c r="G36" s="51" t="str">
        <f aca="false">IFERROR(INDEX(DATABASE!$F$4:$F$2003,MATCH($B36,DATABASE!$U$4:$U$2003,0))&amp;"","")</f>
        <v/>
      </c>
      <c r="H36" s="50" t="str">
        <f aca="false">IFERROR(INDEX(DATABASE!$H$4:$H$2003,MATCH($B36,DATABASE!$U$4:$U$2003,0))&amp;"","")</f>
        <v/>
      </c>
      <c r="I36" s="51" t="str">
        <f aca="false">IFERROR(INDEX(DATABASE!$I$4:$I$2003,MATCH($B36,DATABASE!$U$4:$U$2003,0))&amp;"","")</f>
        <v/>
      </c>
      <c r="J36" s="49" t="str">
        <f aca="false">IFERROR(INDEX(DATABASE!$O$4:$O$2003,MATCH($B36,DATABASE!$U$4:$U$2003,0))&amp;"","")</f>
        <v/>
      </c>
      <c r="K36" s="50" t="str">
        <f aca="false">IFERROR(INDEX(DATABASE!$J$4:$J$2003,MATCH($B36,DATABASE!$U$4:$U$2003,0))&amp;"","")</f>
        <v/>
      </c>
    </row>
    <row r="37" customFormat="false" ht="15" hidden="false" customHeight="false" outlineLevel="0" collapsed="false">
      <c r="B37" s="46" t="n">
        <v>25</v>
      </c>
      <c r="C37" s="47" t="str">
        <f aca="false">IFERROR(INDEX(DATABASE!$B$4:$B$2003,MATCH($B37,DATABASE!$U$4:$U$2003,0))&amp;"","")</f>
        <v/>
      </c>
      <c r="D37" s="48" t="str">
        <f aca="false">IFERROR(INDEX(DATABASE!$C$4:$C$2003,MATCH($B37,DATABASE!$U$4:$U$2003,0))&amp;"","")</f>
        <v/>
      </c>
      <c r="E37" s="46" t="str">
        <f aca="false">IFERROR(INDEX(DATABASE!$D$4:$D$2003,MATCH($B37,DATABASE!$U$4:$U$2003,0))&amp;"","")</f>
        <v/>
      </c>
      <c r="F37" s="46" t="str">
        <f aca="false">IFERROR(INDEX(DATABASE!$E$4:$E$2003,MATCH($B37,DATABASE!$U$4:$U$2003,0))&amp;"","")</f>
        <v/>
      </c>
      <c r="G37" s="48" t="str">
        <f aca="false">IFERROR(INDEX(DATABASE!$F$4:$F$2003,MATCH($B37,DATABASE!$U$4:$U$2003,0))&amp;"","")</f>
        <v/>
      </c>
      <c r="H37" s="47" t="str">
        <f aca="false">IFERROR(INDEX(DATABASE!$H$4:$H$2003,MATCH($B37,DATABASE!$U$4:$U$2003,0))&amp;"","")</f>
        <v/>
      </c>
      <c r="I37" s="48" t="str">
        <f aca="false">IFERROR(INDEX(DATABASE!$I$4:$I$2003,MATCH($B37,DATABASE!$U$4:$U$2003,0))&amp;"","")</f>
        <v/>
      </c>
      <c r="J37" s="46" t="str">
        <f aca="false">IFERROR(INDEX(DATABASE!$O$4:$O$2003,MATCH($B37,DATABASE!$U$4:$U$2003,0))&amp;"","")</f>
        <v/>
      </c>
      <c r="K37" s="47" t="str">
        <f aca="false">IFERROR(INDEX(DATABASE!$J$4:$J$2003,MATCH($B37,DATABASE!$U$4:$U$2003,0))&amp;"","")</f>
        <v/>
      </c>
    </row>
    <row r="38" customFormat="false" ht="15" hidden="false" customHeight="false" outlineLevel="0" collapsed="false">
      <c r="B38" s="49" t="n">
        <v>26</v>
      </c>
      <c r="C38" s="50" t="str">
        <f aca="false">IFERROR(INDEX(DATABASE!$B$4:$B$2003,MATCH($B38,DATABASE!$U$4:$U$2003,0))&amp;"","")</f>
        <v/>
      </c>
      <c r="D38" s="51" t="str">
        <f aca="false">IFERROR(INDEX(DATABASE!$C$4:$C$2003,MATCH($B38,DATABASE!$U$4:$U$2003,0))&amp;"","")</f>
        <v/>
      </c>
      <c r="E38" s="49" t="str">
        <f aca="false">IFERROR(INDEX(DATABASE!$D$4:$D$2003,MATCH($B38,DATABASE!$U$4:$U$2003,0))&amp;"","")</f>
        <v/>
      </c>
      <c r="F38" s="49" t="str">
        <f aca="false">IFERROR(INDEX(DATABASE!$E$4:$E$2003,MATCH($B38,DATABASE!$U$4:$U$2003,0))&amp;"","")</f>
        <v/>
      </c>
      <c r="G38" s="51" t="str">
        <f aca="false">IFERROR(INDEX(DATABASE!$F$4:$F$2003,MATCH($B38,DATABASE!$U$4:$U$2003,0))&amp;"","")</f>
        <v/>
      </c>
      <c r="H38" s="50" t="str">
        <f aca="false">IFERROR(INDEX(DATABASE!$H$4:$H$2003,MATCH($B38,DATABASE!$U$4:$U$2003,0))&amp;"","")</f>
        <v/>
      </c>
      <c r="I38" s="51" t="str">
        <f aca="false">IFERROR(INDEX(DATABASE!$I$4:$I$2003,MATCH($B38,DATABASE!$U$4:$U$2003,0))&amp;"","")</f>
        <v/>
      </c>
      <c r="J38" s="49" t="str">
        <f aca="false">IFERROR(INDEX(DATABASE!$O$4:$O$2003,MATCH($B38,DATABASE!$U$4:$U$2003,0))&amp;"","")</f>
        <v/>
      </c>
      <c r="K38" s="50" t="str">
        <f aca="false">IFERROR(INDEX(DATABASE!$J$4:$J$2003,MATCH($B38,DATABASE!$U$4:$U$2003,0))&amp;"","")</f>
        <v/>
      </c>
    </row>
    <row r="39" customFormat="false" ht="15" hidden="false" customHeight="false" outlineLevel="0" collapsed="false">
      <c r="B39" s="46" t="n">
        <v>27</v>
      </c>
      <c r="C39" s="47" t="str">
        <f aca="false">IFERROR(INDEX(DATABASE!$B$4:$B$2003,MATCH($B39,DATABASE!$U$4:$U$2003,0))&amp;"","")</f>
        <v/>
      </c>
      <c r="D39" s="48" t="str">
        <f aca="false">IFERROR(INDEX(DATABASE!$C$4:$C$2003,MATCH($B39,DATABASE!$U$4:$U$2003,0))&amp;"","")</f>
        <v/>
      </c>
      <c r="E39" s="46" t="str">
        <f aca="false">IFERROR(INDEX(DATABASE!$D$4:$D$2003,MATCH($B39,DATABASE!$U$4:$U$2003,0))&amp;"","")</f>
        <v/>
      </c>
      <c r="F39" s="46" t="str">
        <f aca="false">IFERROR(INDEX(DATABASE!$E$4:$E$2003,MATCH($B39,DATABASE!$U$4:$U$2003,0))&amp;"","")</f>
        <v/>
      </c>
      <c r="G39" s="48" t="str">
        <f aca="false">IFERROR(INDEX(DATABASE!$F$4:$F$2003,MATCH($B39,DATABASE!$U$4:$U$2003,0))&amp;"","")</f>
        <v/>
      </c>
      <c r="H39" s="47" t="str">
        <f aca="false">IFERROR(INDEX(DATABASE!$H$4:$H$2003,MATCH($B39,DATABASE!$U$4:$U$2003,0))&amp;"","")</f>
        <v/>
      </c>
      <c r="I39" s="48" t="str">
        <f aca="false">IFERROR(INDEX(DATABASE!$I$4:$I$2003,MATCH($B39,DATABASE!$U$4:$U$2003,0))&amp;"","")</f>
        <v/>
      </c>
      <c r="J39" s="46" t="str">
        <f aca="false">IFERROR(INDEX(DATABASE!$O$4:$O$2003,MATCH($B39,DATABASE!$U$4:$U$2003,0))&amp;"","")</f>
        <v/>
      </c>
      <c r="K39" s="47" t="str">
        <f aca="false">IFERROR(INDEX(DATABASE!$J$4:$J$2003,MATCH($B39,DATABASE!$U$4:$U$2003,0))&amp;"","")</f>
        <v/>
      </c>
    </row>
    <row r="40" customFormat="false" ht="15" hidden="false" customHeight="false" outlineLevel="0" collapsed="false">
      <c r="B40" s="49" t="n">
        <v>28</v>
      </c>
      <c r="C40" s="50" t="str">
        <f aca="false">IFERROR(INDEX(DATABASE!$B$4:$B$2003,MATCH($B40,DATABASE!$U$4:$U$2003,0))&amp;"","")</f>
        <v/>
      </c>
      <c r="D40" s="51" t="str">
        <f aca="false">IFERROR(INDEX(DATABASE!$C$4:$C$2003,MATCH($B40,DATABASE!$U$4:$U$2003,0))&amp;"","")</f>
        <v/>
      </c>
      <c r="E40" s="49" t="str">
        <f aca="false">IFERROR(INDEX(DATABASE!$D$4:$D$2003,MATCH($B40,DATABASE!$U$4:$U$2003,0))&amp;"","")</f>
        <v/>
      </c>
      <c r="F40" s="49" t="str">
        <f aca="false">IFERROR(INDEX(DATABASE!$E$4:$E$2003,MATCH($B40,DATABASE!$U$4:$U$2003,0))&amp;"","")</f>
        <v/>
      </c>
      <c r="G40" s="51" t="str">
        <f aca="false">IFERROR(INDEX(DATABASE!$F$4:$F$2003,MATCH($B40,DATABASE!$U$4:$U$2003,0))&amp;"","")</f>
        <v/>
      </c>
      <c r="H40" s="50" t="str">
        <f aca="false">IFERROR(INDEX(DATABASE!$H$4:$H$2003,MATCH($B40,DATABASE!$U$4:$U$2003,0))&amp;"","")</f>
        <v/>
      </c>
      <c r="I40" s="51" t="str">
        <f aca="false">IFERROR(INDEX(DATABASE!$I$4:$I$2003,MATCH($B40,DATABASE!$U$4:$U$2003,0))&amp;"","")</f>
        <v/>
      </c>
      <c r="J40" s="49" t="str">
        <f aca="false">IFERROR(INDEX(DATABASE!$O$4:$O$2003,MATCH($B40,DATABASE!$U$4:$U$2003,0))&amp;"","")</f>
        <v/>
      </c>
      <c r="K40" s="50" t="str">
        <f aca="false">IFERROR(INDEX(DATABASE!$J$4:$J$2003,MATCH($B40,DATABASE!$U$4:$U$2003,0))&amp;"","")</f>
        <v/>
      </c>
    </row>
    <row r="41" customFormat="false" ht="15" hidden="false" customHeight="false" outlineLevel="0" collapsed="false">
      <c r="B41" s="46" t="n">
        <v>29</v>
      </c>
      <c r="C41" s="47" t="str">
        <f aca="false">IFERROR(INDEX(DATABASE!$B$4:$B$2003,MATCH($B41,DATABASE!$U$4:$U$2003,0))&amp;"","")</f>
        <v/>
      </c>
      <c r="D41" s="48" t="str">
        <f aca="false">IFERROR(INDEX(DATABASE!$C$4:$C$2003,MATCH($B41,DATABASE!$U$4:$U$2003,0))&amp;"","")</f>
        <v/>
      </c>
      <c r="E41" s="46" t="str">
        <f aca="false">IFERROR(INDEX(DATABASE!$D$4:$D$2003,MATCH($B41,DATABASE!$U$4:$U$2003,0))&amp;"","")</f>
        <v/>
      </c>
      <c r="F41" s="46" t="str">
        <f aca="false">IFERROR(INDEX(DATABASE!$E$4:$E$2003,MATCH($B41,DATABASE!$U$4:$U$2003,0))&amp;"","")</f>
        <v/>
      </c>
      <c r="G41" s="48" t="str">
        <f aca="false">IFERROR(INDEX(DATABASE!$F$4:$F$2003,MATCH($B41,DATABASE!$U$4:$U$2003,0))&amp;"","")</f>
        <v/>
      </c>
      <c r="H41" s="47" t="str">
        <f aca="false">IFERROR(INDEX(DATABASE!$H$4:$H$2003,MATCH($B41,DATABASE!$U$4:$U$2003,0))&amp;"","")</f>
        <v/>
      </c>
      <c r="I41" s="48" t="str">
        <f aca="false">IFERROR(INDEX(DATABASE!$I$4:$I$2003,MATCH($B41,DATABASE!$U$4:$U$2003,0))&amp;"","")</f>
        <v/>
      </c>
      <c r="J41" s="46" t="str">
        <f aca="false">IFERROR(INDEX(DATABASE!$O$4:$O$2003,MATCH($B41,DATABASE!$U$4:$U$2003,0))&amp;"","")</f>
        <v/>
      </c>
      <c r="K41" s="47" t="str">
        <f aca="false">IFERROR(INDEX(DATABASE!$J$4:$J$2003,MATCH($B41,DATABASE!$U$4:$U$2003,0))&amp;"","")</f>
        <v/>
      </c>
    </row>
    <row r="42" customFormat="false" ht="15" hidden="false" customHeight="false" outlineLevel="0" collapsed="false">
      <c r="B42" s="49" t="n">
        <v>30</v>
      </c>
      <c r="C42" s="50" t="str">
        <f aca="false">IFERROR(INDEX(DATABASE!$B$4:$B$2003,MATCH($B42,DATABASE!$U$4:$U$2003,0))&amp;"","")</f>
        <v/>
      </c>
      <c r="D42" s="51" t="str">
        <f aca="false">IFERROR(INDEX(DATABASE!$C$4:$C$2003,MATCH($B42,DATABASE!$U$4:$U$2003,0))&amp;"","")</f>
        <v/>
      </c>
      <c r="E42" s="49" t="str">
        <f aca="false">IFERROR(INDEX(DATABASE!$D$4:$D$2003,MATCH($B42,DATABASE!$U$4:$U$2003,0))&amp;"","")</f>
        <v/>
      </c>
      <c r="F42" s="49" t="str">
        <f aca="false">IFERROR(INDEX(DATABASE!$E$4:$E$2003,MATCH($B42,DATABASE!$U$4:$U$2003,0))&amp;"","")</f>
        <v/>
      </c>
      <c r="G42" s="51" t="str">
        <f aca="false">IFERROR(INDEX(DATABASE!$F$4:$F$2003,MATCH($B42,DATABASE!$U$4:$U$2003,0))&amp;"","")</f>
        <v/>
      </c>
      <c r="H42" s="50" t="str">
        <f aca="false">IFERROR(INDEX(DATABASE!$H$4:$H$2003,MATCH($B42,DATABASE!$U$4:$U$2003,0))&amp;"","")</f>
        <v/>
      </c>
      <c r="I42" s="51" t="str">
        <f aca="false">IFERROR(INDEX(DATABASE!$I$4:$I$2003,MATCH($B42,DATABASE!$U$4:$U$2003,0))&amp;"","")</f>
        <v/>
      </c>
      <c r="J42" s="49" t="str">
        <f aca="false">IFERROR(INDEX(DATABASE!$O$4:$O$2003,MATCH($B42,DATABASE!$U$4:$U$2003,0))&amp;"","")</f>
        <v/>
      </c>
      <c r="K42" s="50" t="str">
        <f aca="false">IFERROR(INDEX(DATABASE!$J$4:$J$2003,MATCH($B42,DATABASE!$U$4:$U$2003,0))&amp;"","")</f>
        <v/>
      </c>
    </row>
    <row r="43" customFormat="false" ht="15" hidden="false" customHeight="false" outlineLevel="0" collapsed="false">
      <c r="B43" s="46" t="n">
        <v>31</v>
      </c>
      <c r="C43" s="47" t="str">
        <f aca="false">IFERROR(INDEX(DATABASE!$B$4:$B$2003,MATCH($B43,DATABASE!$U$4:$U$2003,0))&amp;"","")</f>
        <v/>
      </c>
      <c r="D43" s="48" t="str">
        <f aca="false">IFERROR(INDEX(DATABASE!$C$4:$C$2003,MATCH($B43,DATABASE!$U$4:$U$2003,0))&amp;"","")</f>
        <v/>
      </c>
      <c r="E43" s="46" t="str">
        <f aca="false">IFERROR(INDEX(DATABASE!$D$4:$D$2003,MATCH($B43,DATABASE!$U$4:$U$2003,0))&amp;"","")</f>
        <v/>
      </c>
      <c r="F43" s="46" t="str">
        <f aca="false">IFERROR(INDEX(DATABASE!$E$4:$E$2003,MATCH($B43,DATABASE!$U$4:$U$2003,0))&amp;"","")</f>
        <v/>
      </c>
      <c r="G43" s="48" t="str">
        <f aca="false">IFERROR(INDEX(DATABASE!$F$4:$F$2003,MATCH($B43,DATABASE!$U$4:$U$2003,0))&amp;"","")</f>
        <v/>
      </c>
      <c r="H43" s="47" t="str">
        <f aca="false">IFERROR(INDEX(DATABASE!$H$4:$H$2003,MATCH($B43,DATABASE!$U$4:$U$2003,0))&amp;"","")</f>
        <v/>
      </c>
      <c r="I43" s="48" t="str">
        <f aca="false">IFERROR(INDEX(DATABASE!$I$4:$I$2003,MATCH($B43,DATABASE!$U$4:$U$2003,0))&amp;"","")</f>
        <v/>
      </c>
      <c r="J43" s="46" t="str">
        <f aca="false">IFERROR(INDEX(DATABASE!$O$4:$O$2003,MATCH($B43,DATABASE!$U$4:$U$2003,0))&amp;"","")</f>
        <v/>
      </c>
      <c r="K43" s="47" t="str">
        <f aca="false">IFERROR(INDEX(DATABASE!$J$4:$J$2003,MATCH($B43,DATABASE!$U$4:$U$2003,0))&amp;"","")</f>
        <v/>
      </c>
    </row>
    <row r="44" customFormat="false" ht="15" hidden="false" customHeight="false" outlineLevel="0" collapsed="false">
      <c r="B44" s="49" t="n">
        <v>32</v>
      </c>
      <c r="C44" s="50" t="str">
        <f aca="false">IFERROR(INDEX(DATABASE!$B$4:$B$2003,MATCH($B44,DATABASE!$U$4:$U$2003,0))&amp;"","")</f>
        <v/>
      </c>
      <c r="D44" s="51" t="str">
        <f aca="false">IFERROR(INDEX(DATABASE!$C$4:$C$2003,MATCH($B44,DATABASE!$U$4:$U$2003,0))&amp;"","")</f>
        <v/>
      </c>
      <c r="E44" s="49" t="str">
        <f aca="false">IFERROR(INDEX(DATABASE!$D$4:$D$2003,MATCH($B44,DATABASE!$U$4:$U$2003,0))&amp;"","")</f>
        <v/>
      </c>
      <c r="F44" s="49" t="str">
        <f aca="false">IFERROR(INDEX(DATABASE!$E$4:$E$2003,MATCH($B44,DATABASE!$U$4:$U$2003,0))&amp;"","")</f>
        <v/>
      </c>
      <c r="G44" s="51" t="str">
        <f aca="false">IFERROR(INDEX(DATABASE!$F$4:$F$2003,MATCH($B44,DATABASE!$U$4:$U$2003,0))&amp;"","")</f>
        <v/>
      </c>
      <c r="H44" s="50" t="str">
        <f aca="false">IFERROR(INDEX(DATABASE!$H$4:$H$2003,MATCH($B44,DATABASE!$U$4:$U$2003,0))&amp;"","")</f>
        <v/>
      </c>
      <c r="I44" s="51" t="str">
        <f aca="false">IFERROR(INDEX(DATABASE!$I$4:$I$2003,MATCH($B44,DATABASE!$U$4:$U$2003,0))&amp;"","")</f>
        <v/>
      </c>
      <c r="J44" s="49" t="str">
        <f aca="false">IFERROR(INDEX(DATABASE!$O$4:$O$2003,MATCH($B44,DATABASE!$U$4:$U$2003,0))&amp;"","")</f>
        <v/>
      </c>
      <c r="K44" s="50" t="str">
        <f aca="false">IFERROR(INDEX(DATABASE!$J$4:$J$2003,MATCH($B44,DATABASE!$U$4:$U$2003,0))&amp;"","")</f>
        <v/>
      </c>
    </row>
    <row r="45" customFormat="false" ht="15" hidden="false" customHeight="false" outlineLevel="0" collapsed="false">
      <c r="B45" s="46" t="n">
        <v>33</v>
      </c>
      <c r="C45" s="47" t="str">
        <f aca="false">IFERROR(INDEX(DATABASE!$B$4:$B$2003,MATCH($B45,DATABASE!$U$4:$U$2003,0))&amp;"","")</f>
        <v/>
      </c>
      <c r="D45" s="48" t="str">
        <f aca="false">IFERROR(INDEX(DATABASE!$C$4:$C$2003,MATCH($B45,DATABASE!$U$4:$U$2003,0))&amp;"","")</f>
        <v/>
      </c>
      <c r="E45" s="46" t="str">
        <f aca="false">IFERROR(INDEX(DATABASE!$D$4:$D$2003,MATCH($B45,DATABASE!$U$4:$U$2003,0))&amp;"","")</f>
        <v/>
      </c>
      <c r="F45" s="46" t="str">
        <f aca="false">IFERROR(INDEX(DATABASE!$E$4:$E$2003,MATCH($B45,DATABASE!$U$4:$U$2003,0))&amp;"","")</f>
        <v/>
      </c>
      <c r="G45" s="48" t="str">
        <f aca="false">IFERROR(INDEX(DATABASE!$F$4:$F$2003,MATCH($B45,DATABASE!$U$4:$U$2003,0))&amp;"","")</f>
        <v/>
      </c>
      <c r="H45" s="47" t="str">
        <f aca="false">IFERROR(INDEX(DATABASE!$H$4:$H$2003,MATCH($B45,DATABASE!$U$4:$U$2003,0))&amp;"","")</f>
        <v/>
      </c>
      <c r="I45" s="48" t="str">
        <f aca="false">IFERROR(INDEX(DATABASE!$I$4:$I$2003,MATCH($B45,DATABASE!$U$4:$U$2003,0))&amp;"","")</f>
        <v/>
      </c>
      <c r="J45" s="46" t="str">
        <f aca="false">IFERROR(INDEX(DATABASE!$O$4:$O$2003,MATCH($B45,DATABASE!$U$4:$U$2003,0))&amp;"","")</f>
        <v/>
      </c>
      <c r="K45" s="47" t="str">
        <f aca="false">IFERROR(INDEX(DATABASE!$J$4:$J$2003,MATCH($B45,DATABASE!$U$4:$U$2003,0))&amp;"","")</f>
        <v/>
      </c>
    </row>
    <row r="46" customFormat="false" ht="15" hidden="false" customHeight="false" outlineLevel="0" collapsed="false">
      <c r="B46" s="49" t="n">
        <v>34</v>
      </c>
      <c r="C46" s="50" t="str">
        <f aca="false">IFERROR(INDEX(DATABASE!$B$4:$B$2003,MATCH($B46,DATABASE!$U$4:$U$2003,0))&amp;"","")</f>
        <v/>
      </c>
      <c r="D46" s="51" t="str">
        <f aca="false">IFERROR(INDEX(DATABASE!$C$4:$C$2003,MATCH($B46,DATABASE!$U$4:$U$2003,0))&amp;"","")</f>
        <v/>
      </c>
      <c r="E46" s="49" t="str">
        <f aca="false">IFERROR(INDEX(DATABASE!$D$4:$D$2003,MATCH($B46,DATABASE!$U$4:$U$2003,0))&amp;"","")</f>
        <v/>
      </c>
      <c r="F46" s="49" t="str">
        <f aca="false">IFERROR(INDEX(DATABASE!$E$4:$E$2003,MATCH($B46,DATABASE!$U$4:$U$2003,0))&amp;"","")</f>
        <v/>
      </c>
      <c r="G46" s="51" t="str">
        <f aca="false">IFERROR(INDEX(DATABASE!$F$4:$F$2003,MATCH($B46,DATABASE!$U$4:$U$2003,0))&amp;"","")</f>
        <v/>
      </c>
      <c r="H46" s="50" t="str">
        <f aca="false">IFERROR(INDEX(DATABASE!$H$4:$H$2003,MATCH($B46,DATABASE!$U$4:$U$2003,0))&amp;"","")</f>
        <v/>
      </c>
      <c r="I46" s="51" t="str">
        <f aca="false">IFERROR(INDEX(DATABASE!$I$4:$I$2003,MATCH($B46,DATABASE!$U$4:$U$2003,0))&amp;"","")</f>
        <v/>
      </c>
      <c r="J46" s="49" t="str">
        <f aca="false">IFERROR(INDEX(DATABASE!$O$4:$O$2003,MATCH($B46,DATABASE!$U$4:$U$2003,0))&amp;"","")</f>
        <v/>
      </c>
      <c r="K46" s="50" t="str">
        <f aca="false">IFERROR(INDEX(DATABASE!$J$4:$J$2003,MATCH($B46,DATABASE!$U$4:$U$2003,0))&amp;"","")</f>
        <v/>
      </c>
    </row>
    <row r="47" customFormat="false" ht="15" hidden="false" customHeight="false" outlineLevel="0" collapsed="false">
      <c r="B47" s="46" t="n">
        <v>35</v>
      </c>
      <c r="C47" s="47" t="str">
        <f aca="false">IFERROR(INDEX(DATABASE!$B$4:$B$2003,MATCH($B47,DATABASE!$U$4:$U$2003,0))&amp;"","")</f>
        <v/>
      </c>
      <c r="D47" s="48" t="str">
        <f aca="false">IFERROR(INDEX(DATABASE!$C$4:$C$2003,MATCH($B47,DATABASE!$U$4:$U$2003,0))&amp;"","")</f>
        <v/>
      </c>
      <c r="E47" s="46" t="str">
        <f aca="false">IFERROR(INDEX(DATABASE!$D$4:$D$2003,MATCH($B47,DATABASE!$U$4:$U$2003,0))&amp;"","")</f>
        <v/>
      </c>
      <c r="F47" s="46" t="str">
        <f aca="false">IFERROR(INDEX(DATABASE!$E$4:$E$2003,MATCH($B47,DATABASE!$U$4:$U$2003,0))&amp;"","")</f>
        <v/>
      </c>
      <c r="G47" s="48" t="str">
        <f aca="false">IFERROR(INDEX(DATABASE!$F$4:$F$2003,MATCH($B47,DATABASE!$U$4:$U$2003,0))&amp;"","")</f>
        <v/>
      </c>
      <c r="H47" s="47" t="str">
        <f aca="false">IFERROR(INDEX(DATABASE!$H$4:$H$2003,MATCH($B47,DATABASE!$U$4:$U$2003,0))&amp;"","")</f>
        <v/>
      </c>
      <c r="I47" s="48" t="str">
        <f aca="false">IFERROR(INDEX(DATABASE!$I$4:$I$2003,MATCH($B47,DATABASE!$U$4:$U$2003,0))&amp;"","")</f>
        <v/>
      </c>
      <c r="J47" s="46" t="str">
        <f aca="false">IFERROR(INDEX(DATABASE!$O$4:$O$2003,MATCH($B47,DATABASE!$U$4:$U$2003,0))&amp;"","")</f>
        <v/>
      </c>
      <c r="K47" s="47" t="str">
        <f aca="false">IFERROR(INDEX(DATABASE!$J$4:$J$2003,MATCH($B47,DATABASE!$U$4:$U$2003,0))&amp;"","")</f>
        <v/>
      </c>
    </row>
    <row r="48" customFormat="false" ht="15" hidden="false" customHeight="false" outlineLevel="0" collapsed="false">
      <c r="B48" s="49" t="n">
        <v>36</v>
      </c>
      <c r="C48" s="50" t="str">
        <f aca="false">IFERROR(INDEX(DATABASE!$B$4:$B$2003,MATCH($B48,DATABASE!$U$4:$U$2003,0))&amp;"","")</f>
        <v/>
      </c>
      <c r="D48" s="51" t="str">
        <f aca="false">IFERROR(INDEX(DATABASE!$C$4:$C$2003,MATCH($B48,DATABASE!$U$4:$U$2003,0))&amp;"","")</f>
        <v/>
      </c>
      <c r="E48" s="49" t="str">
        <f aca="false">IFERROR(INDEX(DATABASE!$D$4:$D$2003,MATCH($B48,DATABASE!$U$4:$U$2003,0))&amp;"","")</f>
        <v/>
      </c>
      <c r="F48" s="49" t="str">
        <f aca="false">IFERROR(INDEX(DATABASE!$E$4:$E$2003,MATCH($B48,DATABASE!$U$4:$U$2003,0))&amp;"","")</f>
        <v/>
      </c>
      <c r="G48" s="51" t="str">
        <f aca="false">IFERROR(INDEX(DATABASE!$F$4:$F$2003,MATCH($B48,DATABASE!$U$4:$U$2003,0))&amp;"","")</f>
        <v/>
      </c>
      <c r="H48" s="50" t="str">
        <f aca="false">IFERROR(INDEX(DATABASE!$H$4:$H$2003,MATCH($B48,DATABASE!$U$4:$U$2003,0))&amp;"","")</f>
        <v/>
      </c>
      <c r="I48" s="51" t="str">
        <f aca="false">IFERROR(INDEX(DATABASE!$I$4:$I$2003,MATCH($B48,DATABASE!$U$4:$U$2003,0))&amp;"","")</f>
        <v/>
      </c>
      <c r="J48" s="49" t="str">
        <f aca="false">IFERROR(INDEX(DATABASE!$O$4:$O$2003,MATCH($B48,DATABASE!$U$4:$U$2003,0))&amp;"","")</f>
        <v/>
      </c>
      <c r="K48" s="50" t="str">
        <f aca="false">IFERROR(INDEX(DATABASE!$J$4:$J$2003,MATCH($B48,DATABASE!$U$4:$U$2003,0))&amp;"","")</f>
        <v/>
      </c>
    </row>
    <row r="49" customFormat="false" ht="15" hidden="false" customHeight="false" outlineLevel="0" collapsed="false">
      <c r="B49" s="46" t="n">
        <v>37</v>
      </c>
      <c r="C49" s="47" t="str">
        <f aca="false">IFERROR(INDEX(DATABASE!$B$4:$B$2003,MATCH($B49,DATABASE!$U$4:$U$2003,0))&amp;"","")</f>
        <v/>
      </c>
      <c r="D49" s="48" t="str">
        <f aca="false">IFERROR(INDEX(DATABASE!$C$4:$C$2003,MATCH($B49,DATABASE!$U$4:$U$2003,0))&amp;"","")</f>
        <v/>
      </c>
      <c r="E49" s="46" t="str">
        <f aca="false">IFERROR(INDEX(DATABASE!$D$4:$D$2003,MATCH($B49,DATABASE!$U$4:$U$2003,0))&amp;"","")</f>
        <v/>
      </c>
      <c r="F49" s="46" t="str">
        <f aca="false">IFERROR(INDEX(DATABASE!$E$4:$E$2003,MATCH($B49,DATABASE!$U$4:$U$2003,0))&amp;"","")</f>
        <v/>
      </c>
      <c r="G49" s="48" t="str">
        <f aca="false">IFERROR(INDEX(DATABASE!$F$4:$F$2003,MATCH($B49,DATABASE!$U$4:$U$2003,0))&amp;"","")</f>
        <v/>
      </c>
      <c r="H49" s="47" t="str">
        <f aca="false">IFERROR(INDEX(DATABASE!$H$4:$H$2003,MATCH($B49,DATABASE!$U$4:$U$2003,0))&amp;"","")</f>
        <v/>
      </c>
      <c r="I49" s="48" t="str">
        <f aca="false">IFERROR(INDEX(DATABASE!$I$4:$I$2003,MATCH($B49,DATABASE!$U$4:$U$2003,0))&amp;"","")</f>
        <v/>
      </c>
      <c r="J49" s="46" t="str">
        <f aca="false">IFERROR(INDEX(DATABASE!$O$4:$O$2003,MATCH($B49,DATABASE!$U$4:$U$2003,0))&amp;"","")</f>
        <v/>
      </c>
      <c r="K49" s="47" t="str">
        <f aca="false">IFERROR(INDEX(DATABASE!$J$4:$J$2003,MATCH($B49,DATABASE!$U$4:$U$2003,0))&amp;"","")</f>
        <v/>
      </c>
    </row>
    <row r="50" customFormat="false" ht="15" hidden="false" customHeight="false" outlineLevel="0" collapsed="false">
      <c r="B50" s="49" t="n">
        <v>38</v>
      </c>
      <c r="C50" s="50" t="str">
        <f aca="false">IFERROR(INDEX(DATABASE!$B$4:$B$2003,MATCH($B50,DATABASE!$U$4:$U$2003,0))&amp;"","")</f>
        <v/>
      </c>
      <c r="D50" s="51" t="str">
        <f aca="false">IFERROR(INDEX(DATABASE!$C$4:$C$2003,MATCH($B50,DATABASE!$U$4:$U$2003,0))&amp;"","")</f>
        <v/>
      </c>
      <c r="E50" s="49" t="str">
        <f aca="false">IFERROR(INDEX(DATABASE!$D$4:$D$2003,MATCH($B50,DATABASE!$U$4:$U$2003,0))&amp;"","")</f>
        <v/>
      </c>
      <c r="F50" s="49" t="str">
        <f aca="false">IFERROR(INDEX(DATABASE!$E$4:$E$2003,MATCH($B50,DATABASE!$U$4:$U$2003,0))&amp;"","")</f>
        <v/>
      </c>
      <c r="G50" s="51" t="str">
        <f aca="false">IFERROR(INDEX(DATABASE!$F$4:$F$2003,MATCH($B50,DATABASE!$U$4:$U$2003,0))&amp;"","")</f>
        <v/>
      </c>
      <c r="H50" s="50" t="str">
        <f aca="false">IFERROR(INDEX(DATABASE!$H$4:$H$2003,MATCH($B50,DATABASE!$U$4:$U$2003,0))&amp;"","")</f>
        <v/>
      </c>
      <c r="I50" s="51" t="str">
        <f aca="false">IFERROR(INDEX(DATABASE!$I$4:$I$2003,MATCH($B50,DATABASE!$U$4:$U$2003,0))&amp;"","")</f>
        <v/>
      </c>
      <c r="J50" s="49" t="str">
        <f aca="false">IFERROR(INDEX(DATABASE!$O$4:$O$2003,MATCH($B50,DATABASE!$U$4:$U$2003,0))&amp;"","")</f>
        <v/>
      </c>
      <c r="K50" s="50" t="str">
        <f aca="false">IFERROR(INDEX(DATABASE!$J$4:$J$2003,MATCH($B50,DATABASE!$U$4:$U$2003,0))&amp;"","")</f>
        <v/>
      </c>
    </row>
    <row r="51" customFormat="false" ht="15" hidden="false" customHeight="false" outlineLevel="0" collapsed="false">
      <c r="B51" s="46" t="n">
        <v>39</v>
      </c>
      <c r="C51" s="47" t="str">
        <f aca="false">IFERROR(INDEX(DATABASE!$B$4:$B$2003,MATCH($B51,DATABASE!$U$4:$U$2003,0))&amp;"","")</f>
        <v/>
      </c>
      <c r="D51" s="48" t="str">
        <f aca="false">IFERROR(INDEX(DATABASE!$C$4:$C$2003,MATCH($B51,DATABASE!$U$4:$U$2003,0))&amp;"","")</f>
        <v/>
      </c>
      <c r="E51" s="46" t="str">
        <f aca="false">IFERROR(INDEX(DATABASE!$D$4:$D$2003,MATCH($B51,DATABASE!$U$4:$U$2003,0))&amp;"","")</f>
        <v/>
      </c>
      <c r="F51" s="46" t="str">
        <f aca="false">IFERROR(INDEX(DATABASE!$E$4:$E$2003,MATCH($B51,DATABASE!$U$4:$U$2003,0))&amp;"","")</f>
        <v/>
      </c>
      <c r="G51" s="48" t="str">
        <f aca="false">IFERROR(INDEX(DATABASE!$F$4:$F$2003,MATCH($B51,DATABASE!$U$4:$U$2003,0))&amp;"","")</f>
        <v/>
      </c>
      <c r="H51" s="47" t="str">
        <f aca="false">IFERROR(INDEX(DATABASE!$H$4:$H$2003,MATCH($B51,DATABASE!$U$4:$U$2003,0))&amp;"","")</f>
        <v/>
      </c>
      <c r="I51" s="48" t="str">
        <f aca="false">IFERROR(INDEX(DATABASE!$I$4:$I$2003,MATCH($B51,DATABASE!$U$4:$U$2003,0))&amp;"","")</f>
        <v/>
      </c>
      <c r="J51" s="46" t="str">
        <f aca="false">IFERROR(INDEX(DATABASE!$O$4:$O$2003,MATCH($B51,DATABASE!$U$4:$U$2003,0))&amp;"","")</f>
        <v/>
      </c>
      <c r="K51" s="47" t="str">
        <f aca="false">IFERROR(INDEX(DATABASE!$J$4:$J$2003,MATCH($B51,DATABASE!$U$4:$U$2003,0))&amp;"","")</f>
        <v/>
      </c>
    </row>
    <row r="52" customFormat="false" ht="15" hidden="false" customHeight="false" outlineLevel="0" collapsed="false">
      <c r="B52" s="49" t="n">
        <v>40</v>
      </c>
      <c r="C52" s="50" t="str">
        <f aca="false">IFERROR(INDEX(DATABASE!$B$4:$B$2003,MATCH($B52,DATABASE!$U$4:$U$2003,0))&amp;"","")</f>
        <v/>
      </c>
      <c r="D52" s="51" t="str">
        <f aca="false">IFERROR(INDEX(DATABASE!$C$4:$C$2003,MATCH($B52,DATABASE!$U$4:$U$2003,0))&amp;"","")</f>
        <v/>
      </c>
      <c r="E52" s="49" t="str">
        <f aca="false">IFERROR(INDEX(DATABASE!$D$4:$D$2003,MATCH($B52,DATABASE!$U$4:$U$2003,0))&amp;"","")</f>
        <v/>
      </c>
      <c r="F52" s="49" t="str">
        <f aca="false">IFERROR(INDEX(DATABASE!$E$4:$E$2003,MATCH($B52,DATABASE!$U$4:$U$2003,0))&amp;"","")</f>
        <v/>
      </c>
      <c r="G52" s="51" t="str">
        <f aca="false">IFERROR(INDEX(DATABASE!$F$4:$F$2003,MATCH($B52,DATABASE!$U$4:$U$2003,0))&amp;"","")</f>
        <v/>
      </c>
      <c r="H52" s="50" t="str">
        <f aca="false">IFERROR(INDEX(DATABASE!$H$4:$H$2003,MATCH($B52,DATABASE!$U$4:$U$2003,0))&amp;"","")</f>
        <v/>
      </c>
      <c r="I52" s="51" t="str">
        <f aca="false">IFERROR(INDEX(DATABASE!$I$4:$I$2003,MATCH($B52,DATABASE!$U$4:$U$2003,0))&amp;"","")</f>
        <v/>
      </c>
      <c r="J52" s="49" t="str">
        <f aca="false">IFERROR(INDEX(DATABASE!$O$4:$O$2003,MATCH($B52,DATABASE!$U$4:$U$2003,0))&amp;"","")</f>
        <v/>
      </c>
      <c r="K52" s="50" t="str">
        <f aca="false">IFERROR(INDEX(DATABASE!$J$4:$J$2003,MATCH($B52,DATABASE!$U$4:$U$2003,0))&amp;"","")</f>
        <v/>
      </c>
    </row>
    <row r="53" customFormat="false" ht="15" hidden="false" customHeight="false" outlineLevel="0" collapsed="false">
      <c r="B53" s="46" t="n">
        <v>41</v>
      </c>
      <c r="C53" s="47" t="str">
        <f aca="false">IFERROR(INDEX(DATABASE!$B$4:$B$2003,MATCH($B53,DATABASE!$U$4:$U$2003,0))&amp;"","")</f>
        <v/>
      </c>
      <c r="D53" s="48" t="str">
        <f aca="false">IFERROR(INDEX(DATABASE!$C$4:$C$2003,MATCH($B53,DATABASE!$U$4:$U$2003,0))&amp;"","")</f>
        <v/>
      </c>
      <c r="E53" s="46" t="str">
        <f aca="false">IFERROR(INDEX(DATABASE!$D$4:$D$2003,MATCH($B53,DATABASE!$U$4:$U$2003,0))&amp;"","")</f>
        <v/>
      </c>
      <c r="F53" s="46" t="str">
        <f aca="false">IFERROR(INDEX(DATABASE!$E$4:$E$2003,MATCH($B53,DATABASE!$U$4:$U$2003,0))&amp;"","")</f>
        <v/>
      </c>
      <c r="G53" s="48" t="str">
        <f aca="false">IFERROR(INDEX(DATABASE!$F$4:$F$2003,MATCH($B53,DATABASE!$U$4:$U$2003,0))&amp;"","")</f>
        <v/>
      </c>
      <c r="H53" s="47" t="str">
        <f aca="false">IFERROR(INDEX(DATABASE!$H$4:$H$2003,MATCH($B53,DATABASE!$U$4:$U$2003,0))&amp;"","")</f>
        <v/>
      </c>
      <c r="I53" s="48" t="str">
        <f aca="false">IFERROR(INDEX(DATABASE!$I$4:$I$2003,MATCH($B53,DATABASE!$U$4:$U$2003,0))&amp;"","")</f>
        <v/>
      </c>
      <c r="J53" s="46" t="str">
        <f aca="false">IFERROR(INDEX(DATABASE!$O$4:$O$2003,MATCH($B53,DATABASE!$U$4:$U$2003,0))&amp;"","")</f>
        <v/>
      </c>
      <c r="K53" s="47" t="str">
        <f aca="false">IFERROR(INDEX(DATABASE!$J$4:$J$2003,MATCH($B53,DATABASE!$U$4:$U$2003,0))&amp;"","")</f>
        <v/>
      </c>
    </row>
    <row r="54" customFormat="false" ht="15" hidden="false" customHeight="false" outlineLevel="0" collapsed="false">
      <c r="B54" s="49" t="n">
        <v>42</v>
      </c>
      <c r="C54" s="50" t="str">
        <f aca="false">IFERROR(INDEX(DATABASE!$B$4:$B$2003,MATCH($B54,DATABASE!$U$4:$U$2003,0))&amp;"","")</f>
        <v/>
      </c>
      <c r="D54" s="51" t="str">
        <f aca="false">IFERROR(INDEX(DATABASE!$C$4:$C$2003,MATCH($B54,DATABASE!$U$4:$U$2003,0))&amp;"","")</f>
        <v/>
      </c>
      <c r="E54" s="49" t="str">
        <f aca="false">IFERROR(INDEX(DATABASE!$D$4:$D$2003,MATCH($B54,DATABASE!$U$4:$U$2003,0))&amp;"","")</f>
        <v/>
      </c>
      <c r="F54" s="49" t="str">
        <f aca="false">IFERROR(INDEX(DATABASE!$E$4:$E$2003,MATCH($B54,DATABASE!$U$4:$U$2003,0))&amp;"","")</f>
        <v/>
      </c>
      <c r="G54" s="51" t="str">
        <f aca="false">IFERROR(INDEX(DATABASE!$F$4:$F$2003,MATCH($B54,DATABASE!$U$4:$U$2003,0))&amp;"","")</f>
        <v/>
      </c>
      <c r="H54" s="50" t="str">
        <f aca="false">IFERROR(INDEX(DATABASE!$H$4:$H$2003,MATCH($B54,DATABASE!$U$4:$U$2003,0))&amp;"","")</f>
        <v/>
      </c>
      <c r="I54" s="51" t="str">
        <f aca="false">IFERROR(INDEX(DATABASE!$I$4:$I$2003,MATCH($B54,DATABASE!$U$4:$U$2003,0))&amp;"","")</f>
        <v/>
      </c>
      <c r="J54" s="49" t="str">
        <f aca="false">IFERROR(INDEX(DATABASE!$O$4:$O$2003,MATCH($B54,DATABASE!$U$4:$U$2003,0))&amp;"","")</f>
        <v/>
      </c>
      <c r="K54" s="50" t="str">
        <f aca="false">IFERROR(INDEX(DATABASE!$J$4:$J$2003,MATCH($B54,DATABASE!$U$4:$U$2003,0))&amp;"","")</f>
        <v/>
      </c>
    </row>
    <row r="55" customFormat="false" ht="15" hidden="false" customHeight="false" outlineLevel="0" collapsed="false">
      <c r="B55" s="46" t="n">
        <v>43</v>
      </c>
      <c r="C55" s="47" t="str">
        <f aca="false">IFERROR(INDEX(DATABASE!$B$4:$B$2003,MATCH($B55,DATABASE!$U$4:$U$2003,0))&amp;"","")</f>
        <v/>
      </c>
      <c r="D55" s="48" t="str">
        <f aca="false">IFERROR(INDEX(DATABASE!$C$4:$C$2003,MATCH($B55,DATABASE!$U$4:$U$2003,0))&amp;"","")</f>
        <v/>
      </c>
      <c r="E55" s="46" t="str">
        <f aca="false">IFERROR(INDEX(DATABASE!$D$4:$D$2003,MATCH($B55,DATABASE!$U$4:$U$2003,0))&amp;"","")</f>
        <v/>
      </c>
      <c r="F55" s="46" t="str">
        <f aca="false">IFERROR(INDEX(DATABASE!$E$4:$E$2003,MATCH($B55,DATABASE!$U$4:$U$2003,0))&amp;"","")</f>
        <v/>
      </c>
      <c r="G55" s="48" t="str">
        <f aca="false">IFERROR(INDEX(DATABASE!$F$4:$F$2003,MATCH($B55,DATABASE!$U$4:$U$2003,0))&amp;"","")</f>
        <v/>
      </c>
      <c r="H55" s="47" t="str">
        <f aca="false">IFERROR(INDEX(DATABASE!$H$4:$H$2003,MATCH($B55,DATABASE!$U$4:$U$2003,0))&amp;"","")</f>
        <v/>
      </c>
      <c r="I55" s="48" t="str">
        <f aca="false">IFERROR(INDEX(DATABASE!$I$4:$I$2003,MATCH($B55,DATABASE!$U$4:$U$2003,0))&amp;"","")</f>
        <v/>
      </c>
      <c r="J55" s="46" t="str">
        <f aca="false">IFERROR(INDEX(DATABASE!$O$4:$O$2003,MATCH($B55,DATABASE!$U$4:$U$2003,0))&amp;"","")</f>
        <v/>
      </c>
      <c r="K55" s="47" t="str">
        <f aca="false">IFERROR(INDEX(DATABASE!$J$4:$J$2003,MATCH($B55,DATABASE!$U$4:$U$2003,0))&amp;"","")</f>
        <v/>
      </c>
    </row>
    <row r="56" customFormat="false" ht="15" hidden="false" customHeight="false" outlineLevel="0" collapsed="false">
      <c r="B56" s="49" t="n">
        <v>44</v>
      </c>
      <c r="C56" s="50" t="str">
        <f aca="false">IFERROR(INDEX(DATABASE!$B$4:$B$2003,MATCH($B56,DATABASE!$U$4:$U$2003,0))&amp;"","")</f>
        <v/>
      </c>
      <c r="D56" s="51" t="str">
        <f aca="false">IFERROR(INDEX(DATABASE!$C$4:$C$2003,MATCH($B56,DATABASE!$U$4:$U$2003,0))&amp;"","")</f>
        <v/>
      </c>
      <c r="E56" s="49" t="str">
        <f aca="false">IFERROR(INDEX(DATABASE!$D$4:$D$2003,MATCH($B56,DATABASE!$U$4:$U$2003,0))&amp;"","")</f>
        <v/>
      </c>
      <c r="F56" s="49" t="str">
        <f aca="false">IFERROR(INDEX(DATABASE!$E$4:$E$2003,MATCH($B56,DATABASE!$U$4:$U$2003,0))&amp;"","")</f>
        <v/>
      </c>
      <c r="G56" s="51" t="str">
        <f aca="false">IFERROR(INDEX(DATABASE!$F$4:$F$2003,MATCH($B56,DATABASE!$U$4:$U$2003,0))&amp;"","")</f>
        <v/>
      </c>
      <c r="H56" s="50" t="str">
        <f aca="false">IFERROR(INDEX(DATABASE!$H$4:$H$2003,MATCH($B56,DATABASE!$U$4:$U$2003,0))&amp;"","")</f>
        <v/>
      </c>
      <c r="I56" s="51" t="str">
        <f aca="false">IFERROR(INDEX(DATABASE!$I$4:$I$2003,MATCH($B56,DATABASE!$U$4:$U$2003,0))&amp;"","")</f>
        <v/>
      </c>
      <c r="J56" s="49" t="str">
        <f aca="false">IFERROR(INDEX(DATABASE!$O$4:$O$2003,MATCH($B56,DATABASE!$U$4:$U$2003,0))&amp;"","")</f>
        <v/>
      </c>
      <c r="K56" s="50" t="str">
        <f aca="false">IFERROR(INDEX(DATABASE!$J$4:$J$2003,MATCH($B56,DATABASE!$U$4:$U$2003,0))&amp;"","")</f>
        <v/>
      </c>
    </row>
    <row r="57" customFormat="false" ht="15" hidden="false" customHeight="false" outlineLevel="0" collapsed="false">
      <c r="B57" s="46" t="n">
        <v>45</v>
      </c>
      <c r="C57" s="47" t="str">
        <f aca="false">IFERROR(INDEX(DATABASE!$B$4:$B$2003,MATCH($B57,DATABASE!$U$4:$U$2003,0))&amp;"","")</f>
        <v/>
      </c>
      <c r="D57" s="48" t="str">
        <f aca="false">IFERROR(INDEX(DATABASE!$C$4:$C$2003,MATCH($B57,DATABASE!$U$4:$U$2003,0))&amp;"","")</f>
        <v/>
      </c>
      <c r="E57" s="46" t="str">
        <f aca="false">IFERROR(INDEX(DATABASE!$D$4:$D$2003,MATCH($B57,DATABASE!$U$4:$U$2003,0))&amp;"","")</f>
        <v/>
      </c>
      <c r="F57" s="46" t="str">
        <f aca="false">IFERROR(INDEX(DATABASE!$E$4:$E$2003,MATCH($B57,DATABASE!$U$4:$U$2003,0))&amp;"","")</f>
        <v/>
      </c>
      <c r="G57" s="48" t="str">
        <f aca="false">IFERROR(INDEX(DATABASE!$F$4:$F$2003,MATCH($B57,DATABASE!$U$4:$U$2003,0))&amp;"","")</f>
        <v/>
      </c>
      <c r="H57" s="47" t="str">
        <f aca="false">IFERROR(INDEX(DATABASE!$H$4:$H$2003,MATCH($B57,DATABASE!$U$4:$U$2003,0))&amp;"","")</f>
        <v/>
      </c>
      <c r="I57" s="48" t="str">
        <f aca="false">IFERROR(INDEX(DATABASE!$I$4:$I$2003,MATCH($B57,DATABASE!$U$4:$U$2003,0))&amp;"","")</f>
        <v/>
      </c>
      <c r="J57" s="46" t="str">
        <f aca="false">IFERROR(INDEX(DATABASE!$O$4:$O$2003,MATCH($B57,DATABASE!$U$4:$U$2003,0))&amp;"","")</f>
        <v/>
      </c>
      <c r="K57" s="47" t="str">
        <f aca="false">IFERROR(INDEX(DATABASE!$J$4:$J$2003,MATCH($B57,DATABASE!$U$4:$U$2003,0))&amp;"","")</f>
        <v/>
      </c>
    </row>
    <row r="58" customFormat="false" ht="15" hidden="false" customHeight="false" outlineLevel="0" collapsed="false">
      <c r="B58" s="49" t="n">
        <v>46</v>
      </c>
      <c r="C58" s="50" t="str">
        <f aca="false">IFERROR(INDEX(DATABASE!$B$4:$B$2003,MATCH($B58,DATABASE!$U$4:$U$2003,0))&amp;"","")</f>
        <v/>
      </c>
      <c r="D58" s="51" t="str">
        <f aca="false">IFERROR(INDEX(DATABASE!$C$4:$C$2003,MATCH($B58,DATABASE!$U$4:$U$2003,0))&amp;"","")</f>
        <v/>
      </c>
      <c r="E58" s="49" t="str">
        <f aca="false">IFERROR(INDEX(DATABASE!$D$4:$D$2003,MATCH($B58,DATABASE!$U$4:$U$2003,0))&amp;"","")</f>
        <v/>
      </c>
      <c r="F58" s="49" t="str">
        <f aca="false">IFERROR(INDEX(DATABASE!$E$4:$E$2003,MATCH($B58,DATABASE!$U$4:$U$2003,0))&amp;"","")</f>
        <v/>
      </c>
      <c r="G58" s="51" t="str">
        <f aca="false">IFERROR(INDEX(DATABASE!$F$4:$F$2003,MATCH($B58,DATABASE!$U$4:$U$2003,0))&amp;"","")</f>
        <v/>
      </c>
      <c r="H58" s="50" t="str">
        <f aca="false">IFERROR(INDEX(DATABASE!$H$4:$H$2003,MATCH($B58,DATABASE!$U$4:$U$2003,0))&amp;"","")</f>
        <v/>
      </c>
      <c r="I58" s="51" t="str">
        <f aca="false">IFERROR(INDEX(DATABASE!$I$4:$I$2003,MATCH($B58,DATABASE!$U$4:$U$2003,0))&amp;"","")</f>
        <v/>
      </c>
      <c r="J58" s="49" t="str">
        <f aca="false">IFERROR(INDEX(DATABASE!$O$4:$O$2003,MATCH($B58,DATABASE!$U$4:$U$2003,0))&amp;"","")</f>
        <v/>
      </c>
      <c r="K58" s="50" t="str">
        <f aca="false">IFERROR(INDEX(DATABASE!$J$4:$J$2003,MATCH($B58,DATABASE!$U$4:$U$2003,0))&amp;"","")</f>
        <v/>
      </c>
    </row>
    <row r="59" customFormat="false" ht="15" hidden="false" customHeight="false" outlineLevel="0" collapsed="false">
      <c r="B59" s="46" t="n">
        <v>47</v>
      </c>
      <c r="C59" s="47" t="str">
        <f aca="false">IFERROR(INDEX(DATABASE!$B$4:$B$2003,MATCH($B59,DATABASE!$U$4:$U$2003,0))&amp;"","")</f>
        <v/>
      </c>
      <c r="D59" s="48" t="str">
        <f aca="false">IFERROR(INDEX(DATABASE!$C$4:$C$2003,MATCH($B59,DATABASE!$U$4:$U$2003,0))&amp;"","")</f>
        <v/>
      </c>
      <c r="E59" s="46" t="str">
        <f aca="false">IFERROR(INDEX(DATABASE!$D$4:$D$2003,MATCH($B59,DATABASE!$U$4:$U$2003,0))&amp;"","")</f>
        <v/>
      </c>
      <c r="F59" s="46" t="str">
        <f aca="false">IFERROR(INDEX(DATABASE!$E$4:$E$2003,MATCH($B59,DATABASE!$U$4:$U$2003,0))&amp;"","")</f>
        <v/>
      </c>
      <c r="G59" s="48" t="str">
        <f aca="false">IFERROR(INDEX(DATABASE!$F$4:$F$2003,MATCH($B59,DATABASE!$U$4:$U$2003,0))&amp;"","")</f>
        <v/>
      </c>
      <c r="H59" s="47" t="str">
        <f aca="false">IFERROR(INDEX(DATABASE!$H$4:$H$2003,MATCH($B59,DATABASE!$U$4:$U$2003,0))&amp;"","")</f>
        <v/>
      </c>
      <c r="I59" s="48" t="str">
        <f aca="false">IFERROR(INDEX(DATABASE!$I$4:$I$2003,MATCH($B59,DATABASE!$U$4:$U$2003,0))&amp;"","")</f>
        <v/>
      </c>
      <c r="J59" s="46" t="str">
        <f aca="false">IFERROR(INDEX(DATABASE!$O$4:$O$2003,MATCH($B59,DATABASE!$U$4:$U$2003,0))&amp;"","")</f>
        <v/>
      </c>
      <c r="K59" s="47" t="str">
        <f aca="false">IFERROR(INDEX(DATABASE!$J$4:$J$2003,MATCH($B59,DATABASE!$U$4:$U$2003,0))&amp;"","")</f>
        <v/>
      </c>
    </row>
    <row r="60" customFormat="false" ht="15" hidden="false" customHeight="false" outlineLevel="0" collapsed="false">
      <c r="B60" s="49" t="n">
        <v>48</v>
      </c>
      <c r="C60" s="50" t="str">
        <f aca="false">IFERROR(INDEX(DATABASE!$B$4:$B$2003,MATCH($B60,DATABASE!$U$4:$U$2003,0))&amp;"","")</f>
        <v/>
      </c>
      <c r="D60" s="51" t="str">
        <f aca="false">IFERROR(INDEX(DATABASE!$C$4:$C$2003,MATCH($B60,DATABASE!$U$4:$U$2003,0))&amp;"","")</f>
        <v/>
      </c>
      <c r="E60" s="49" t="str">
        <f aca="false">IFERROR(INDEX(DATABASE!$D$4:$D$2003,MATCH($B60,DATABASE!$U$4:$U$2003,0))&amp;"","")</f>
        <v/>
      </c>
      <c r="F60" s="49" t="str">
        <f aca="false">IFERROR(INDEX(DATABASE!$E$4:$E$2003,MATCH($B60,DATABASE!$U$4:$U$2003,0))&amp;"","")</f>
        <v/>
      </c>
      <c r="G60" s="51" t="str">
        <f aca="false">IFERROR(INDEX(DATABASE!$F$4:$F$2003,MATCH($B60,DATABASE!$U$4:$U$2003,0))&amp;"","")</f>
        <v/>
      </c>
      <c r="H60" s="50" t="str">
        <f aca="false">IFERROR(INDEX(DATABASE!$H$4:$H$2003,MATCH($B60,DATABASE!$U$4:$U$2003,0))&amp;"","")</f>
        <v/>
      </c>
      <c r="I60" s="51" t="str">
        <f aca="false">IFERROR(INDEX(DATABASE!$I$4:$I$2003,MATCH($B60,DATABASE!$U$4:$U$2003,0))&amp;"","")</f>
        <v/>
      </c>
      <c r="J60" s="49" t="str">
        <f aca="false">IFERROR(INDEX(DATABASE!$O$4:$O$2003,MATCH($B60,DATABASE!$U$4:$U$2003,0))&amp;"","")</f>
        <v/>
      </c>
      <c r="K60" s="50" t="str">
        <f aca="false">IFERROR(INDEX(DATABASE!$J$4:$J$2003,MATCH($B60,DATABASE!$U$4:$U$2003,0))&amp;"","")</f>
        <v/>
      </c>
    </row>
    <row r="61" customFormat="false" ht="15" hidden="false" customHeight="false" outlineLevel="0" collapsed="false">
      <c r="B61" s="46" t="n">
        <v>49</v>
      </c>
      <c r="C61" s="47" t="str">
        <f aca="false">IFERROR(INDEX(DATABASE!$B$4:$B$2003,MATCH($B61,DATABASE!$U$4:$U$2003,0))&amp;"","")</f>
        <v/>
      </c>
      <c r="D61" s="48" t="str">
        <f aca="false">IFERROR(INDEX(DATABASE!$C$4:$C$2003,MATCH($B61,DATABASE!$U$4:$U$2003,0))&amp;"","")</f>
        <v/>
      </c>
      <c r="E61" s="46" t="str">
        <f aca="false">IFERROR(INDEX(DATABASE!$D$4:$D$2003,MATCH($B61,DATABASE!$U$4:$U$2003,0))&amp;"","")</f>
        <v/>
      </c>
      <c r="F61" s="46" t="str">
        <f aca="false">IFERROR(INDEX(DATABASE!$E$4:$E$2003,MATCH($B61,DATABASE!$U$4:$U$2003,0))&amp;"","")</f>
        <v/>
      </c>
      <c r="G61" s="48" t="str">
        <f aca="false">IFERROR(INDEX(DATABASE!$F$4:$F$2003,MATCH($B61,DATABASE!$U$4:$U$2003,0))&amp;"","")</f>
        <v/>
      </c>
      <c r="H61" s="47" t="str">
        <f aca="false">IFERROR(INDEX(DATABASE!$H$4:$H$2003,MATCH($B61,DATABASE!$U$4:$U$2003,0))&amp;"","")</f>
        <v/>
      </c>
      <c r="I61" s="48" t="str">
        <f aca="false">IFERROR(INDEX(DATABASE!$I$4:$I$2003,MATCH($B61,DATABASE!$U$4:$U$2003,0))&amp;"","")</f>
        <v/>
      </c>
      <c r="J61" s="46" t="str">
        <f aca="false">IFERROR(INDEX(DATABASE!$O$4:$O$2003,MATCH($B61,DATABASE!$U$4:$U$2003,0))&amp;"","")</f>
        <v/>
      </c>
      <c r="K61" s="47" t="str">
        <f aca="false">IFERROR(INDEX(DATABASE!$J$4:$J$2003,MATCH($B61,DATABASE!$U$4:$U$2003,0))&amp;"","")</f>
        <v/>
      </c>
    </row>
    <row r="62" customFormat="false" ht="15" hidden="false" customHeight="false" outlineLevel="0" collapsed="false">
      <c r="B62" s="49" t="n">
        <v>50</v>
      </c>
      <c r="C62" s="50" t="str">
        <f aca="false">IFERROR(INDEX(DATABASE!$B$4:$B$2003,MATCH($B62,DATABASE!$U$4:$U$2003,0))&amp;"","")</f>
        <v/>
      </c>
      <c r="D62" s="51" t="str">
        <f aca="false">IFERROR(INDEX(DATABASE!$C$4:$C$2003,MATCH($B62,DATABASE!$U$4:$U$2003,0))&amp;"","")</f>
        <v/>
      </c>
      <c r="E62" s="49" t="str">
        <f aca="false">IFERROR(INDEX(DATABASE!$D$4:$D$2003,MATCH($B62,DATABASE!$U$4:$U$2003,0))&amp;"","")</f>
        <v/>
      </c>
      <c r="F62" s="49" t="str">
        <f aca="false">IFERROR(INDEX(DATABASE!$E$4:$E$2003,MATCH($B62,DATABASE!$U$4:$U$2003,0))&amp;"","")</f>
        <v/>
      </c>
      <c r="G62" s="51" t="str">
        <f aca="false">IFERROR(INDEX(DATABASE!$F$4:$F$2003,MATCH($B62,DATABASE!$U$4:$U$2003,0))&amp;"","")</f>
        <v/>
      </c>
      <c r="H62" s="50" t="str">
        <f aca="false">IFERROR(INDEX(DATABASE!$H$4:$H$2003,MATCH($B62,DATABASE!$U$4:$U$2003,0))&amp;"","")</f>
        <v/>
      </c>
      <c r="I62" s="51" t="str">
        <f aca="false">IFERROR(INDEX(DATABASE!$I$4:$I$2003,MATCH($B62,DATABASE!$U$4:$U$2003,0))&amp;"","")</f>
        <v/>
      </c>
      <c r="J62" s="49" t="str">
        <f aca="false">IFERROR(INDEX(DATABASE!$O$4:$O$2003,MATCH($B62,DATABASE!$U$4:$U$2003,0))&amp;"","")</f>
        <v/>
      </c>
      <c r="K62" s="50" t="str">
        <f aca="false">IFERROR(INDEX(DATABASE!$J$4:$J$2003,MATCH($B62,DATABASE!$U$4:$U$2003,0))&amp;"","")</f>
        <v/>
      </c>
    </row>
    <row r="63" customFormat="false" ht="15" hidden="false" customHeight="false" outlineLevel="0" collapsed="false">
      <c r="B63" s="46" t="n">
        <v>51</v>
      </c>
      <c r="C63" s="47" t="str">
        <f aca="false">IFERROR(INDEX(DATABASE!$B$4:$B$2003,MATCH($B63,DATABASE!$U$4:$U$2003,0))&amp;"","")</f>
        <v/>
      </c>
      <c r="D63" s="48" t="str">
        <f aca="false">IFERROR(INDEX(DATABASE!$C$4:$C$2003,MATCH($B63,DATABASE!$U$4:$U$2003,0))&amp;"","")</f>
        <v/>
      </c>
      <c r="E63" s="46" t="str">
        <f aca="false">IFERROR(INDEX(DATABASE!$D$4:$D$2003,MATCH($B63,DATABASE!$U$4:$U$2003,0))&amp;"","")</f>
        <v/>
      </c>
      <c r="F63" s="46" t="str">
        <f aca="false">IFERROR(INDEX(DATABASE!$E$4:$E$2003,MATCH($B63,DATABASE!$U$4:$U$2003,0))&amp;"","")</f>
        <v/>
      </c>
      <c r="G63" s="48" t="str">
        <f aca="false">IFERROR(INDEX(DATABASE!$F$4:$F$2003,MATCH($B63,DATABASE!$U$4:$U$2003,0))&amp;"","")</f>
        <v/>
      </c>
      <c r="H63" s="47" t="str">
        <f aca="false">IFERROR(INDEX(DATABASE!$H$4:$H$2003,MATCH($B63,DATABASE!$U$4:$U$2003,0))&amp;"","")</f>
        <v/>
      </c>
      <c r="I63" s="48" t="str">
        <f aca="false">IFERROR(INDEX(DATABASE!$I$4:$I$2003,MATCH($B63,DATABASE!$U$4:$U$2003,0))&amp;"","")</f>
        <v/>
      </c>
      <c r="J63" s="46" t="str">
        <f aca="false">IFERROR(INDEX(DATABASE!$O$4:$O$2003,MATCH($B63,DATABASE!$U$4:$U$2003,0))&amp;"","")</f>
        <v/>
      </c>
      <c r="K63" s="47" t="str">
        <f aca="false">IFERROR(INDEX(DATABASE!$J$4:$J$2003,MATCH($B63,DATABASE!$U$4:$U$2003,0))&amp;"","")</f>
        <v/>
      </c>
    </row>
    <row r="64" customFormat="false" ht="15" hidden="false" customHeight="false" outlineLevel="0" collapsed="false">
      <c r="B64" s="49" t="n">
        <v>52</v>
      </c>
      <c r="C64" s="50" t="str">
        <f aca="false">IFERROR(INDEX(DATABASE!$B$4:$B$2003,MATCH($B64,DATABASE!$U$4:$U$2003,0))&amp;"","")</f>
        <v/>
      </c>
      <c r="D64" s="51" t="str">
        <f aca="false">IFERROR(INDEX(DATABASE!$C$4:$C$2003,MATCH($B64,DATABASE!$U$4:$U$2003,0))&amp;"","")</f>
        <v/>
      </c>
      <c r="E64" s="49" t="str">
        <f aca="false">IFERROR(INDEX(DATABASE!$D$4:$D$2003,MATCH($B64,DATABASE!$U$4:$U$2003,0))&amp;"","")</f>
        <v/>
      </c>
      <c r="F64" s="49" t="str">
        <f aca="false">IFERROR(INDEX(DATABASE!$E$4:$E$2003,MATCH($B64,DATABASE!$U$4:$U$2003,0))&amp;"","")</f>
        <v/>
      </c>
      <c r="G64" s="51" t="str">
        <f aca="false">IFERROR(INDEX(DATABASE!$F$4:$F$2003,MATCH($B64,DATABASE!$U$4:$U$2003,0))&amp;"","")</f>
        <v/>
      </c>
      <c r="H64" s="50" t="str">
        <f aca="false">IFERROR(INDEX(DATABASE!$H$4:$H$2003,MATCH($B64,DATABASE!$U$4:$U$2003,0))&amp;"","")</f>
        <v/>
      </c>
      <c r="I64" s="51" t="str">
        <f aca="false">IFERROR(INDEX(DATABASE!$I$4:$I$2003,MATCH($B64,DATABASE!$U$4:$U$2003,0))&amp;"","")</f>
        <v/>
      </c>
      <c r="J64" s="49" t="str">
        <f aca="false">IFERROR(INDEX(DATABASE!$O$4:$O$2003,MATCH($B64,DATABASE!$U$4:$U$2003,0))&amp;"","")</f>
        <v/>
      </c>
      <c r="K64" s="50" t="str">
        <f aca="false">IFERROR(INDEX(DATABASE!$J$4:$J$2003,MATCH($B64,DATABASE!$U$4:$U$2003,0))&amp;"","")</f>
        <v/>
      </c>
    </row>
    <row r="65" customFormat="false" ht="15" hidden="false" customHeight="false" outlineLevel="0" collapsed="false">
      <c r="B65" s="46" t="n">
        <v>53</v>
      </c>
      <c r="C65" s="47" t="str">
        <f aca="false">IFERROR(INDEX(DATABASE!$B$4:$B$2003,MATCH($B65,DATABASE!$U$4:$U$2003,0))&amp;"","")</f>
        <v/>
      </c>
      <c r="D65" s="48" t="str">
        <f aca="false">IFERROR(INDEX(DATABASE!$C$4:$C$2003,MATCH($B65,DATABASE!$U$4:$U$2003,0))&amp;"","")</f>
        <v/>
      </c>
      <c r="E65" s="46" t="str">
        <f aca="false">IFERROR(INDEX(DATABASE!$D$4:$D$2003,MATCH($B65,DATABASE!$U$4:$U$2003,0))&amp;"","")</f>
        <v/>
      </c>
      <c r="F65" s="46" t="str">
        <f aca="false">IFERROR(INDEX(DATABASE!$E$4:$E$2003,MATCH($B65,DATABASE!$U$4:$U$2003,0))&amp;"","")</f>
        <v/>
      </c>
      <c r="G65" s="48" t="str">
        <f aca="false">IFERROR(INDEX(DATABASE!$F$4:$F$2003,MATCH($B65,DATABASE!$U$4:$U$2003,0))&amp;"","")</f>
        <v/>
      </c>
      <c r="H65" s="47" t="str">
        <f aca="false">IFERROR(INDEX(DATABASE!$H$4:$H$2003,MATCH($B65,DATABASE!$U$4:$U$2003,0))&amp;"","")</f>
        <v/>
      </c>
      <c r="I65" s="48" t="str">
        <f aca="false">IFERROR(INDEX(DATABASE!$I$4:$I$2003,MATCH($B65,DATABASE!$U$4:$U$2003,0))&amp;"","")</f>
        <v/>
      </c>
      <c r="J65" s="46" t="str">
        <f aca="false">IFERROR(INDEX(DATABASE!$O$4:$O$2003,MATCH($B65,DATABASE!$U$4:$U$2003,0))&amp;"","")</f>
        <v/>
      </c>
      <c r="K65" s="47" t="str">
        <f aca="false">IFERROR(INDEX(DATABASE!$J$4:$J$2003,MATCH($B65,DATABASE!$U$4:$U$2003,0))&amp;"","")</f>
        <v/>
      </c>
    </row>
    <row r="66" customFormat="false" ht="15" hidden="false" customHeight="false" outlineLevel="0" collapsed="false">
      <c r="B66" s="49" t="n">
        <v>54</v>
      </c>
      <c r="C66" s="50" t="str">
        <f aca="false">IFERROR(INDEX(DATABASE!$B$4:$B$2003,MATCH($B66,DATABASE!$U$4:$U$2003,0))&amp;"","")</f>
        <v/>
      </c>
      <c r="D66" s="51" t="str">
        <f aca="false">IFERROR(INDEX(DATABASE!$C$4:$C$2003,MATCH($B66,DATABASE!$U$4:$U$2003,0))&amp;"","")</f>
        <v/>
      </c>
      <c r="E66" s="49" t="str">
        <f aca="false">IFERROR(INDEX(DATABASE!$D$4:$D$2003,MATCH($B66,DATABASE!$U$4:$U$2003,0))&amp;"","")</f>
        <v/>
      </c>
      <c r="F66" s="49" t="str">
        <f aca="false">IFERROR(INDEX(DATABASE!$E$4:$E$2003,MATCH($B66,DATABASE!$U$4:$U$2003,0))&amp;"","")</f>
        <v/>
      </c>
      <c r="G66" s="51" t="str">
        <f aca="false">IFERROR(INDEX(DATABASE!$F$4:$F$2003,MATCH($B66,DATABASE!$U$4:$U$2003,0))&amp;"","")</f>
        <v/>
      </c>
      <c r="H66" s="50" t="str">
        <f aca="false">IFERROR(INDEX(DATABASE!$H$4:$H$2003,MATCH($B66,DATABASE!$U$4:$U$2003,0))&amp;"","")</f>
        <v/>
      </c>
      <c r="I66" s="51" t="str">
        <f aca="false">IFERROR(INDEX(DATABASE!$I$4:$I$2003,MATCH($B66,DATABASE!$U$4:$U$2003,0))&amp;"","")</f>
        <v/>
      </c>
      <c r="J66" s="49" t="str">
        <f aca="false">IFERROR(INDEX(DATABASE!$O$4:$O$2003,MATCH($B66,DATABASE!$U$4:$U$2003,0))&amp;"","")</f>
        <v/>
      </c>
      <c r="K66" s="50" t="str">
        <f aca="false">IFERROR(INDEX(DATABASE!$J$4:$J$2003,MATCH($B66,DATABASE!$U$4:$U$2003,0))&amp;"","")</f>
        <v/>
      </c>
    </row>
    <row r="67" customFormat="false" ht="15" hidden="false" customHeight="false" outlineLevel="0" collapsed="false">
      <c r="B67" s="46" t="n">
        <v>55</v>
      </c>
      <c r="C67" s="47" t="str">
        <f aca="false">IFERROR(INDEX(DATABASE!$B$4:$B$2003,MATCH($B67,DATABASE!$U$4:$U$2003,0))&amp;"","")</f>
        <v/>
      </c>
      <c r="D67" s="48" t="str">
        <f aca="false">IFERROR(INDEX(DATABASE!$C$4:$C$2003,MATCH($B67,DATABASE!$U$4:$U$2003,0))&amp;"","")</f>
        <v/>
      </c>
      <c r="E67" s="46" t="str">
        <f aca="false">IFERROR(INDEX(DATABASE!$D$4:$D$2003,MATCH($B67,DATABASE!$U$4:$U$2003,0))&amp;"","")</f>
        <v/>
      </c>
      <c r="F67" s="46" t="str">
        <f aca="false">IFERROR(INDEX(DATABASE!$E$4:$E$2003,MATCH($B67,DATABASE!$U$4:$U$2003,0))&amp;"","")</f>
        <v/>
      </c>
      <c r="G67" s="48" t="str">
        <f aca="false">IFERROR(INDEX(DATABASE!$F$4:$F$2003,MATCH($B67,DATABASE!$U$4:$U$2003,0))&amp;"","")</f>
        <v/>
      </c>
      <c r="H67" s="47" t="str">
        <f aca="false">IFERROR(INDEX(DATABASE!$H$4:$H$2003,MATCH($B67,DATABASE!$U$4:$U$2003,0))&amp;"","")</f>
        <v/>
      </c>
      <c r="I67" s="48" t="str">
        <f aca="false">IFERROR(INDEX(DATABASE!$I$4:$I$2003,MATCH($B67,DATABASE!$U$4:$U$2003,0))&amp;"","")</f>
        <v/>
      </c>
      <c r="J67" s="46" t="str">
        <f aca="false">IFERROR(INDEX(DATABASE!$O$4:$O$2003,MATCH($B67,DATABASE!$U$4:$U$2003,0))&amp;"","")</f>
        <v/>
      </c>
      <c r="K67" s="47" t="str">
        <f aca="false">IFERROR(INDEX(DATABASE!$J$4:$J$2003,MATCH($B67,DATABASE!$U$4:$U$2003,0))&amp;"","")</f>
        <v/>
      </c>
    </row>
    <row r="68" customFormat="false" ht="15" hidden="false" customHeight="false" outlineLevel="0" collapsed="false">
      <c r="B68" s="49" t="n">
        <v>56</v>
      </c>
      <c r="C68" s="50" t="str">
        <f aca="false">IFERROR(INDEX(DATABASE!$B$4:$B$2003,MATCH($B68,DATABASE!$U$4:$U$2003,0))&amp;"","")</f>
        <v/>
      </c>
      <c r="D68" s="51" t="str">
        <f aca="false">IFERROR(INDEX(DATABASE!$C$4:$C$2003,MATCH($B68,DATABASE!$U$4:$U$2003,0))&amp;"","")</f>
        <v/>
      </c>
      <c r="E68" s="49" t="str">
        <f aca="false">IFERROR(INDEX(DATABASE!$D$4:$D$2003,MATCH($B68,DATABASE!$U$4:$U$2003,0))&amp;"","")</f>
        <v/>
      </c>
      <c r="F68" s="49" t="str">
        <f aca="false">IFERROR(INDEX(DATABASE!$E$4:$E$2003,MATCH($B68,DATABASE!$U$4:$U$2003,0))&amp;"","")</f>
        <v/>
      </c>
      <c r="G68" s="51" t="str">
        <f aca="false">IFERROR(INDEX(DATABASE!$F$4:$F$2003,MATCH($B68,DATABASE!$U$4:$U$2003,0))&amp;"","")</f>
        <v/>
      </c>
      <c r="H68" s="50" t="str">
        <f aca="false">IFERROR(INDEX(DATABASE!$H$4:$H$2003,MATCH($B68,DATABASE!$U$4:$U$2003,0))&amp;"","")</f>
        <v/>
      </c>
      <c r="I68" s="51" t="str">
        <f aca="false">IFERROR(INDEX(DATABASE!$I$4:$I$2003,MATCH($B68,DATABASE!$U$4:$U$2003,0))&amp;"","")</f>
        <v/>
      </c>
      <c r="J68" s="49" t="str">
        <f aca="false">IFERROR(INDEX(DATABASE!$O$4:$O$2003,MATCH($B68,DATABASE!$U$4:$U$2003,0))&amp;"","")</f>
        <v/>
      </c>
      <c r="K68" s="50" t="str">
        <f aca="false">IFERROR(INDEX(DATABASE!$J$4:$J$2003,MATCH($B68,DATABASE!$U$4:$U$2003,0))&amp;"","")</f>
        <v/>
      </c>
    </row>
    <row r="69" customFormat="false" ht="15" hidden="false" customHeight="false" outlineLevel="0" collapsed="false">
      <c r="B69" s="46" t="n">
        <v>57</v>
      </c>
      <c r="C69" s="47" t="str">
        <f aca="false">IFERROR(INDEX(DATABASE!$B$4:$B$2003,MATCH($B69,DATABASE!$U$4:$U$2003,0))&amp;"","")</f>
        <v/>
      </c>
      <c r="D69" s="48" t="str">
        <f aca="false">IFERROR(INDEX(DATABASE!$C$4:$C$2003,MATCH($B69,DATABASE!$U$4:$U$2003,0))&amp;"","")</f>
        <v/>
      </c>
      <c r="E69" s="46" t="str">
        <f aca="false">IFERROR(INDEX(DATABASE!$D$4:$D$2003,MATCH($B69,DATABASE!$U$4:$U$2003,0))&amp;"","")</f>
        <v/>
      </c>
      <c r="F69" s="46" t="str">
        <f aca="false">IFERROR(INDEX(DATABASE!$E$4:$E$2003,MATCH($B69,DATABASE!$U$4:$U$2003,0))&amp;"","")</f>
        <v/>
      </c>
      <c r="G69" s="48" t="str">
        <f aca="false">IFERROR(INDEX(DATABASE!$F$4:$F$2003,MATCH($B69,DATABASE!$U$4:$U$2003,0))&amp;"","")</f>
        <v/>
      </c>
      <c r="H69" s="47" t="str">
        <f aca="false">IFERROR(INDEX(DATABASE!$H$4:$H$2003,MATCH($B69,DATABASE!$U$4:$U$2003,0))&amp;"","")</f>
        <v/>
      </c>
      <c r="I69" s="48" t="str">
        <f aca="false">IFERROR(INDEX(DATABASE!$I$4:$I$2003,MATCH($B69,DATABASE!$U$4:$U$2003,0))&amp;"","")</f>
        <v/>
      </c>
      <c r="J69" s="46" t="str">
        <f aca="false">IFERROR(INDEX(DATABASE!$O$4:$O$2003,MATCH($B69,DATABASE!$U$4:$U$2003,0))&amp;"","")</f>
        <v/>
      </c>
      <c r="K69" s="47" t="str">
        <f aca="false">IFERROR(INDEX(DATABASE!$J$4:$J$2003,MATCH($B69,DATABASE!$U$4:$U$2003,0))&amp;"","")</f>
        <v/>
      </c>
    </row>
    <row r="70" customFormat="false" ht="15" hidden="false" customHeight="false" outlineLevel="0" collapsed="false">
      <c r="B70" s="49" t="n">
        <v>58</v>
      </c>
      <c r="C70" s="50" t="str">
        <f aca="false">IFERROR(INDEX(DATABASE!$B$4:$B$2003,MATCH($B70,DATABASE!$U$4:$U$2003,0))&amp;"","")</f>
        <v/>
      </c>
      <c r="D70" s="51" t="str">
        <f aca="false">IFERROR(INDEX(DATABASE!$C$4:$C$2003,MATCH($B70,DATABASE!$U$4:$U$2003,0))&amp;"","")</f>
        <v/>
      </c>
      <c r="E70" s="49" t="str">
        <f aca="false">IFERROR(INDEX(DATABASE!$D$4:$D$2003,MATCH($B70,DATABASE!$U$4:$U$2003,0))&amp;"","")</f>
        <v/>
      </c>
      <c r="F70" s="49" t="str">
        <f aca="false">IFERROR(INDEX(DATABASE!$E$4:$E$2003,MATCH($B70,DATABASE!$U$4:$U$2003,0))&amp;"","")</f>
        <v/>
      </c>
      <c r="G70" s="51" t="str">
        <f aca="false">IFERROR(INDEX(DATABASE!$F$4:$F$2003,MATCH($B70,DATABASE!$U$4:$U$2003,0))&amp;"","")</f>
        <v/>
      </c>
      <c r="H70" s="50" t="str">
        <f aca="false">IFERROR(INDEX(DATABASE!$H$4:$H$2003,MATCH($B70,DATABASE!$U$4:$U$2003,0))&amp;"","")</f>
        <v/>
      </c>
      <c r="I70" s="51" t="str">
        <f aca="false">IFERROR(INDEX(DATABASE!$I$4:$I$2003,MATCH($B70,DATABASE!$U$4:$U$2003,0))&amp;"","")</f>
        <v/>
      </c>
      <c r="J70" s="49" t="str">
        <f aca="false">IFERROR(INDEX(DATABASE!$O$4:$O$2003,MATCH($B70,DATABASE!$U$4:$U$2003,0))&amp;"","")</f>
        <v/>
      </c>
      <c r="K70" s="50" t="str">
        <f aca="false">IFERROR(INDEX(DATABASE!$J$4:$J$2003,MATCH($B70,DATABASE!$U$4:$U$2003,0))&amp;"","")</f>
        <v/>
      </c>
    </row>
    <row r="71" customFormat="false" ht="15" hidden="false" customHeight="false" outlineLevel="0" collapsed="false">
      <c r="B71" s="46" t="n">
        <v>59</v>
      </c>
      <c r="C71" s="47" t="str">
        <f aca="false">IFERROR(INDEX(DATABASE!$B$4:$B$2003,MATCH($B71,DATABASE!$U$4:$U$2003,0))&amp;"","")</f>
        <v/>
      </c>
      <c r="D71" s="48" t="str">
        <f aca="false">IFERROR(INDEX(DATABASE!$C$4:$C$2003,MATCH($B71,DATABASE!$U$4:$U$2003,0))&amp;"","")</f>
        <v/>
      </c>
      <c r="E71" s="46" t="str">
        <f aca="false">IFERROR(INDEX(DATABASE!$D$4:$D$2003,MATCH($B71,DATABASE!$U$4:$U$2003,0))&amp;"","")</f>
        <v/>
      </c>
      <c r="F71" s="46" t="str">
        <f aca="false">IFERROR(INDEX(DATABASE!$E$4:$E$2003,MATCH($B71,DATABASE!$U$4:$U$2003,0))&amp;"","")</f>
        <v/>
      </c>
      <c r="G71" s="48" t="str">
        <f aca="false">IFERROR(INDEX(DATABASE!$F$4:$F$2003,MATCH($B71,DATABASE!$U$4:$U$2003,0))&amp;"","")</f>
        <v/>
      </c>
      <c r="H71" s="47" t="str">
        <f aca="false">IFERROR(INDEX(DATABASE!$H$4:$H$2003,MATCH($B71,DATABASE!$U$4:$U$2003,0))&amp;"","")</f>
        <v/>
      </c>
      <c r="I71" s="48" t="str">
        <f aca="false">IFERROR(INDEX(DATABASE!$I$4:$I$2003,MATCH($B71,DATABASE!$U$4:$U$2003,0))&amp;"","")</f>
        <v/>
      </c>
      <c r="J71" s="46" t="str">
        <f aca="false">IFERROR(INDEX(DATABASE!$O$4:$O$2003,MATCH($B71,DATABASE!$U$4:$U$2003,0))&amp;"","")</f>
        <v/>
      </c>
      <c r="K71" s="47" t="str">
        <f aca="false">IFERROR(INDEX(DATABASE!$J$4:$J$2003,MATCH($B71,DATABASE!$U$4:$U$2003,0))&amp;"","")</f>
        <v/>
      </c>
    </row>
    <row r="72" customFormat="false" ht="15" hidden="false" customHeight="false" outlineLevel="0" collapsed="false">
      <c r="B72" s="49" t="n">
        <v>60</v>
      </c>
      <c r="C72" s="50" t="str">
        <f aca="false">IFERROR(INDEX(DATABASE!$B$4:$B$2003,MATCH($B72,DATABASE!$U$4:$U$2003,0))&amp;"","")</f>
        <v/>
      </c>
      <c r="D72" s="51" t="str">
        <f aca="false">IFERROR(INDEX(DATABASE!$C$4:$C$2003,MATCH($B72,DATABASE!$U$4:$U$2003,0))&amp;"","")</f>
        <v/>
      </c>
      <c r="E72" s="49" t="str">
        <f aca="false">IFERROR(INDEX(DATABASE!$D$4:$D$2003,MATCH($B72,DATABASE!$U$4:$U$2003,0))&amp;"","")</f>
        <v/>
      </c>
      <c r="F72" s="49" t="str">
        <f aca="false">IFERROR(INDEX(DATABASE!$E$4:$E$2003,MATCH($B72,DATABASE!$U$4:$U$2003,0))&amp;"","")</f>
        <v/>
      </c>
      <c r="G72" s="51" t="str">
        <f aca="false">IFERROR(INDEX(DATABASE!$F$4:$F$2003,MATCH($B72,DATABASE!$U$4:$U$2003,0))&amp;"","")</f>
        <v/>
      </c>
      <c r="H72" s="50" t="str">
        <f aca="false">IFERROR(INDEX(DATABASE!$H$4:$H$2003,MATCH($B72,DATABASE!$U$4:$U$2003,0))&amp;"","")</f>
        <v/>
      </c>
      <c r="I72" s="51" t="str">
        <f aca="false">IFERROR(INDEX(DATABASE!$I$4:$I$2003,MATCH($B72,DATABASE!$U$4:$U$2003,0))&amp;"","")</f>
        <v/>
      </c>
      <c r="J72" s="49" t="str">
        <f aca="false">IFERROR(INDEX(DATABASE!$O$4:$O$2003,MATCH($B72,DATABASE!$U$4:$U$2003,0))&amp;"","")</f>
        <v/>
      </c>
      <c r="K72" s="50" t="str">
        <f aca="false">IFERROR(INDEX(DATABASE!$J$4:$J$2003,MATCH($B72,DATABASE!$U$4:$U$2003,0))&amp;"","")</f>
        <v/>
      </c>
    </row>
    <row r="73" customFormat="false" ht="15" hidden="false" customHeight="false" outlineLevel="0" collapsed="false">
      <c r="B73" s="46" t="n">
        <v>61</v>
      </c>
      <c r="C73" s="47" t="str">
        <f aca="false">IFERROR(INDEX(DATABASE!$B$4:$B$2003,MATCH($B73,DATABASE!$U$4:$U$2003,0))&amp;"","")</f>
        <v/>
      </c>
      <c r="D73" s="48" t="str">
        <f aca="false">IFERROR(INDEX(DATABASE!$C$4:$C$2003,MATCH($B73,DATABASE!$U$4:$U$2003,0))&amp;"","")</f>
        <v/>
      </c>
      <c r="E73" s="46" t="str">
        <f aca="false">IFERROR(INDEX(DATABASE!$D$4:$D$2003,MATCH($B73,DATABASE!$U$4:$U$2003,0))&amp;"","")</f>
        <v/>
      </c>
      <c r="F73" s="46" t="str">
        <f aca="false">IFERROR(INDEX(DATABASE!$E$4:$E$2003,MATCH($B73,DATABASE!$U$4:$U$2003,0))&amp;"","")</f>
        <v/>
      </c>
      <c r="G73" s="48" t="str">
        <f aca="false">IFERROR(INDEX(DATABASE!$F$4:$F$2003,MATCH($B73,DATABASE!$U$4:$U$2003,0))&amp;"","")</f>
        <v/>
      </c>
      <c r="H73" s="47" t="str">
        <f aca="false">IFERROR(INDEX(DATABASE!$H$4:$H$2003,MATCH($B73,DATABASE!$U$4:$U$2003,0))&amp;"","")</f>
        <v/>
      </c>
      <c r="I73" s="48" t="str">
        <f aca="false">IFERROR(INDEX(DATABASE!$I$4:$I$2003,MATCH($B73,DATABASE!$U$4:$U$2003,0))&amp;"","")</f>
        <v/>
      </c>
      <c r="J73" s="46" t="str">
        <f aca="false">IFERROR(INDEX(DATABASE!$O$4:$O$2003,MATCH($B73,DATABASE!$U$4:$U$2003,0))&amp;"","")</f>
        <v/>
      </c>
      <c r="K73" s="47" t="str">
        <f aca="false">IFERROR(INDEX(DATABASE!$J$4:$J$2003,MATCH($B73,DATABASE!$U$4:$U$2003,0))&amp;"","")</f>
        <v/>
      </c>
    </row>
    <row r="74" customFormat="false" ht="15" hidden="false" customHeight="false" outlineLevel="0" collapsed="false">
      <c r="B74" s="49" t="n">
        <v>62</v>
      </c>
      <c r="C74" s="50" t="str">
        <f aca="false">IFERROR(INDEX(DATABASE!$B$4:$B$2003,MATCH($B74,DATABASE!$U$4:$U$2003,0))&amp;"","")</f>
        <v/>
      </c>
      <c r="D74" s="51" t="str">
        <f aca="false">IFERROR(INDEX(DATABASE!$C$4:$C$2003,MATCH($B74,DATABASE!$U$4:$U$2003,0))&amp;"","")</f>
        <v/>
      </c>
      <c r="E74" s="49" t="str">
        <f aca="false">IFERROR(INDEX(DATABASE!$D$4:$D$2003,MATCH($B74,DATABASE!$U$4:$U$2003,0))&amp;"","")</f>
        <v/>
      </c>
      <c r="F74" s="49" t="str">
        <f aca="false">IFERROR(INDEX(DATABASE!$E$4:$E$2003,MATCH($B74,DATABASE!$U$4:$U$2003,0))&amp;"","")</f>
        <v/>
      </c>
      <c r="G74" s="51" t="str">
        <f aca="false">IFERROR(INDEX(DATABASE!$F$4:$F$2003,MATCH($B74,DATABASE!$U$4:$U$2003,0))&amp;"","")</f>
        <v/>
      </c>
      <c r="H74" s="50" t="str">
        <f aca="false">IFERROR(INDEX(DATABASE!$H$4:$H$2003,MATCH($B74,DATABASE!$U$4:$U$2003,0))&amp;"","")</f>
        <v/>
      </c>
      <c r="I74" s="51" t="str">
        <f aca="false">IFERROR(INDEX(DATABASE!$I$4:$I$2003,MATCH($B74,DATABASE!$U$4:$U$2003,0))&amp;"","")</f>
        <v/>
      </c>
      <c r="J74" s="49" t="str">
        <f aca="false">IFERROR(INDEX(DATABASE!$O$4:$O$2003,MATCH($B74,DATABASE!$U$4:$U$2003,0))&amp;"","")</f>
        <v/>
      </c>
      <c r="K74" s="50" t="str">
        <f aca="false">IFERROR(INDEX(DATABASE!$J$4:$J$2003,MATCH($B74,DATABASE!$U$4:$U$2003,0))&amp;"","")</f>
        <v/>
      </c>
    </row>
    <row r="75" customFormat="false" ht="15" hidden="false" customHeight="false" outlineLevel="0" collapsed="false">
      <c r="B75" s="46" t="n">
        <v>63</v>
      </c>
      <c r="C75" s="47" t="str">
        <f aca="false">IFERROR(INDEX(DATABASE!$B$4:$B$2003,MATCH($B75,DATABASE!$U$4:$U$2003,0))&amp;"","")</f>
        <v/>
      </c>
      <c r="D75" s="48" t="str">
        <f aca="false">IFERROR(INDEX(DATABASE!$C$4:$C$2003,MATCH($B75,DATABASE!$U$4:$U$2003,0))&amp;"","")</f>
        <v/>
      </c>
      <c r="E75" s="46" t="str">
        <f aca="false">IFERROR(INDEX(DATABASE!$D$4:$D$2003,MATCH($B75,DATABASE!$U$4:$U$2003,0))&amp;"","")</f>
        <v/>
      </c>
      <c r="F75" s="46" t="str">
        <f aca="false">IFERROR(INDEX(DATABASE!$E$4:$E$2003,MATCH($B75,DATABASE!$U$4:$U$2003,0))&amp;"","")</f>
        <v/>
      </c>
      <c r="G75" s="48" t="str">
        <f aca="false">IFERROR(INDEX(DATABASE!$F$4:$F$2003,MATCH($B75,DATABASE!$U$4:$U$2003,0))&amp;"","")</f>
        <v/>
      </c>
      <c r="H75" s="47" t="str">
        <f aca="false">IFERROR(INDEX(DATABASE!$H$4:$H$2003,MATCH($B75,DATABASE!$U$4:$U$2003,0))&amp;"","")</f>
        <v/>
      </c>
      <c r="I75" s="48" t="str">
        <f aca="false">IFERROR(INDEX(DATABASE!$I$4:$I$2003,MATCH($B75,DATABASE!$U$4:$U$2003,0))&amp;"","")</f>
        <v/>
      </c>
      <c r="J75" s="46" t="str">
        <f aca="false">IFERROR(INDEX(DATABASE!$O$4:$O$2003,MATCH($B75,DATABASE!$U$4:$U$2003,0))&amp;"","")</f>
        <v/>
      </c>
      <c r="K75" s="47" t="str">
        <f aca="false">IFERROR(INDEX(DATABASE!$J$4:$J$2003,MATCH($B75,DATABASE!$U$4:$U$2003,0))&amp;"","")</f>
        <v/>
      </c>
    </row>
    <row r="76" customFormat="false" ht="15" hidden="false" customHeight="false" outlineLevel="0" collapsed="false">
      <c r="B76" s="49" t="n">
        <v>64</v>
      </c>
      <c r="C76" s="50" t="str">
        <f aca="false">IFERROR(INDEX(DATABASE!$B$4:$B$2003,MATCH($B76,DATABASE!$U$4:$U$2003,0))&amp;"","")</f>
        <v/>
      </c>
      <c r="D76" s="51" t="str">
        <f aca="false">IFERROR(INDEX(DATABASE!$C$4:$C$2003,MATCH($B76,DATABASE!$U$4:$U$2003,0))&amp;"","")</f>
        <v/>
      </c>
      <c r="E76" s="49" t="str">
        <f aca="false">IFERROR(INDEX(DATABASE!$D$4:$D$2003,MATCH($B76,DATABASE!$U$4:$U$2003,0))&amp;"","")</f>
        <v/>
      </c>
      <c r="F76" s="49" t="str">
        <f aca="false">IFERROR(INDEX(DATABASE!$E$4:$E$2003,MATCH($B76,DATABASE!$U$4:$U$2003,0))&amp;"","")</f>
        <v/>
      </c>
      <c r="G76" s="51" t="str">
        <f aca="false">IFERROR(INDEX(DATABASE!$F$4:$F$2003,MATCH($B76,DATABASE!$U$4:$U$2003,0))&amp;"","")</f>
        <v/>
      </c>
      <c r="H76" s="50" t="str">
        <f aca="false">IFERROR(INDEX(DATABASE!$H$4:$H$2003,MATCH($B76,DATABASE!$U$4:$U$2003,0))&amp;"","")</f>
        <v/>
      </c>
      <c r="I76" s="51" t="str">
        <f aca="false">IFERROR(INDEX(DATABASE!$I$4:$I$2003,MATCH($B76,DATABASE!$U$4:$U$2003,0))&amp;"","")</f>
        <v/>
      </c>
      <c r="J76" s="49" t="str">
        <f aca="false">IFERROR(INDEX(DATABASE!$O$4:$O$2003,MATCH($B76,DATABASE!$U$4:$U$2003,0))&amp;"","")</f>
        <v/>
      </c>
      <c r="K76" s="50" t="str">
        <f aca="false">IFERROR(INDEX(DATABASE!$J$4:$J$2003,MATCH($B76,DATABASE!$U$4:$U$2003,0))&amp;"","")</f>
        <v/>
      </c>
    </row>
    <row r="77" customFormat="false" ht="15" hidden="false" customHeight="false" outlineLevel="0" collapsed="false">
      <c r="B77" s="46" t="n">
        <v>65</v>
      </c>
      <c r="C77" s="47" t="str">
        <f aca="false">IFERROR(INDEX(DATABASE!$B$4:$B$2003,MATCH($B77,DATABASE!$U$4:$U$2003,0))&amp;"","")</f>
        <v/>
      </c>
      <c r="D77" s="48" t="str">
        <f aca="false">IFERROR(INDEX(DATABASE!$C$4:$C$2003,MATCH($B77,DATABASE!$U$4:$U$2003,0))&amp;"","")</f>
        <v/>
      </c>
      <c r="E77" s="46" t="str">
        <f aca="false">IFERROR(INDEX(DATABASE!$D$4:$D$2003,MATCH($B77,DATABASE!$U$4:$U$2003,0))&amp;"","")</f>
        <v/>
      </c>
      <c r="F77" s="46" t="str">
        <f aca="false">IFERROR(INDEX(DATABASE!$E$4:$E$2003,MATCH($B77,DATABASE!$U$4:$U$2003,0))&amp;"","")</f>
        <v/>
      </c>
      <c r="G77" s="48" t="str">
        <f aca="false">IFERROR(INDEX(DATABASE!$F$4:$F$2003,MATCH($B77,DATABASE!$U$4:$U$2003,0))&amp;"","")</f>
        <v/>
      </c>
      <c r="H77" s="47" t="str">
        <f aca="false">IFERROR(INDEX(DATABASE!$H$4:$H$2003,MATCH($B77,DATABASE!$U$4:$U$2003,0))&amp;"","")</f>
        <v/>
      </c>
      <c r="I77" s="48" t="str">
        <f aca="false">IFERROR(INDEX(DATABASE!$I$4:$I$2003,MATCH($B77,DATABASE!$U$4:$U$2003,0))&amp;"","")</f>
        <v/>
      </c>
      <c r="J77" s="46" t="str">
        <f aca="false">IFERROR(INDEX(DATABASE!$O$4:$O$2003,MATCH($B77,DATABASE!$U$4:$U$2003,0))&amp;"","")</f>
        <v/>
      </c>
      <c r="K77" s="47" t="str">
        <f aca="false">IFERROR(INDEX(DATABASE!$J$4:$J$2003,MATCH($B77,DATABASE!$U$4:$U$2003,0))&amp;"","")</f>
        <v/>
      </c>
    </row>
    <row r="78" customFormat="false" ht="15" hidden="false" customHeight="false" outlineLevel="0" collapsed="false">
      <c r="B78" s="49" t="n">
        <v>66</v>
      </c>
      <c r="C78" s="50" t="str">
        <f aca="false">IFERROR(INDEX(DATABASE!$B$4:$B$2003,MATCH($B78,DATABASE!$U$4:$U$2003,0))&amp;"","")</f>
        <v/>
      </c>
      <c r="D78" s="51" t="str">
        <f aca="false">IFERROR(INDEX(DATABASE!$C$4:$C$2003,MATCH($B78,DATABASE!$U$4:$U$2003,0))&amp;"","")</f>
        <v/>
      </c>
      <c r="E78" s="49" t="str">
        <f aca="false">IFERROR(INDEX(DATABASE!$D$4:$D$2003,MATCH($B78,DATABASE!$U$4:$U$2003,0))&amp;"","")</f>
        <v/>
      </c>
      <c r="F78" s="49" t="str">
        <f aca="false">IFERROR(INDEX(DATABASE!$E$4:$E$2003,MATCH($B78,DATABASE!$U$4:$U$2003,0))&amp;"","")</f>
        <v/>
      </c>
      <c r="G78" s="51" t="str">
        <f aca="false">IFERROR(INDEX(DATABASE!$F$4:$F$2003,MATCH($B78,DATABASE!$U$4:$U$2003,0))&amp;"","")</f>
        <v/>
      </c>
      <c r="H78" s="50" t="str">
        <f aca="false">IFERROR(INDEX(DATABASE!$H$4:$H$2003,MATCH($B78,DATABASE!$U$4:$U$2003,0))&amp;"","")</f>
        <v/>
      </c>
      <c r="I78" s="51" t="str">
        <f aca="false">IFERROR(INDEX(DATABASE!$I$4:$I$2003,MATCH($B78,DATABASE!$U$4:$U$2003,0))&amp;"","")</f>
        <v/>
      </c>
      <c r="J78" s="49" t="str">
        <f aca="false">IFERROR(INDEX(DATABASE!$O$4:$O$2003,MATCH($B78,DATABASE!$U$4:$U$2003,0))&amp;"","")</f>
        <v/>
      </c>
      <c r="K78" s="50" t="str">
        <f aca="false">IFERROR(INDEX(DATABASE!$J$4:$J$2003,MATCH($B78,DATABASE!$U$4:$U$2003,0))&amp;"","")</f>
        <v/>
      </c>
    </row>
    <row r="79" customFormat="false" ht="15" hidden="false" customHeight="false" outlineLevel="0" collapsed="false">
      <c r="B79" s="46" t="n">
        <v>67</v>
      </c>
      <c r="C79" s="47" t="str">
        <f aca="false">IFERROR(INDEX(DATABASE!$B$4:$B$2003,MATCH($B79,DATABASE!$U$4:$U$2003,0))&amp;"","")</f>
        <v/>
      </c>
      <c r="D79" s="48" t="str">
        <f aca="false">IFERROR(INDEX(DATABASE!$C$4:$C$2003,MATCH($B79,DATABASE!$U$4:$U$2003,0))&amp;"","")</f>
        <v/>
      </c>
      <c r="E79" s="46" t="str">
        <f aca="false">IFERROR(INDEX(DATABASE!$D$4:$D$2003,MATCH($B79,DATABASE!$U$4:$U$2003,0))&amp;"","")</f>
        <v/>
      </c>
      <c r="F79" s="46" t="str">
        <f aca="false">IFERROR(INDEX(DATABASE!$E$4:$E$2003,MATCH($B79,DATABASE!$U$4:$U$2003,0))&amp;"","")</f>
        <v/>
      </c>
      <c r="G79" s="48" t="str">
        <f aca="false">IFERROR(INDEX(DATABASE!$F$4:$F$2003,MATCH($B79,DATABASE!$U$4:$U$2003,0))&amp;"","")</f>
        <v/>
      </c>
      <c r="H79" s="47" t="str">
        <f aca="false">IFERROR(INDEX(DATABASE!$H$4:$H$2003,MATCH($B79,DATABASE!$U$4:$U$2003,0))&amp;"","")</f>
        <v/>
      </c>
      <c r="I79" s="48" t="str">
        <f aca="false">IFERROR(INDEX(DATABASE!$I$4:$I$2003,MATCH($B79,DATABASE!$U$4:$U$2003,0))&amp;"","")</f>
        <v/>
      </c>
      <c r="J79" s="46" t="str">
        <f aca="false">IFERROR(INDEX(DATABASE!$O$4:$O$2003,MATCH($B79,DATABASE!$U$4:$U$2003,0))&amp;"","")</f>
        <v/>
      </c>
      <c r="K79" s="47" t="str">
        <f aca="false">IFERROR(INDEX(DATABASE!$J$4:$J$2003,MATCH($B79,DATABASE!$U$4:$U$2003,0))&amp;"","")</f>
        <v/>
      </c>
    </row>
    <row r="80" customFormat="false" ht="15" hidden="false" customHeight="false" outlineLevel="0" collapsed="false">
      <c r="B80" s="49" t="n">
        <v>68</v>
      </c>
      <c r="C80" s="50" t="str">
        <f aca="false">IFERROR(INDEX(DATABASE!$B$4:$B$2003,MATCH($B80,DATABASE!$U$4:$U$2003,0))&amp;"","")</f>
        <v/>
      </c>
      <c r="D80" s="51" t="str">
        <f aca="false">IFERROR(INDEX(DATABASE!$C$4:$C$2003,MATCH($B80,DATABASE!$U$4:$U$2003,0))&amp;"","")</f>
        <v/>
      </c>
      <c r="E80" s="49" t="str">
        <f aca="false">IFERROR(INDEX(DATABASE!$D$4:$D$2003,MATCH($B80,DATABASE!$U$4:$U$2003,0))&amp;"","")</f>
        <v/>
      </c>
      <c r="F80" s="49" t="str">
        <f aca="false">IFERROR(INDEX(DATABASE!$E$4:$E$2003,MATCH($B80,DATABASE!$U$4:$U$2003,0))&amp;"","")</f>
        <v/>
      </c>
      <c r="G80" s="51" t="str">
        <f aca="false">IFERROR(INDEX(DATABASE!$F$4:$F$2003,MATCH($B80,DATABASE!$U$4:$U$2003,0))&amp;"","")</f>
        <v/>
      </c>
      <c r="H80" s="50" t="str">
        <f aca="false">IFERROR(INDEX(DATABASE!$H$4:$H$2003,MATCH($B80,DATABASE!$U$4:$U$2003,0))&amp;"","")</f>
        <v/>
      </c>
      <c r="I80" s="51" t="str">
        <f aca="false">IFERROR(INDEX(DATABASE!$I$4:$I$2003,MATCH($B80,DATABASE!$U$4:$U$2003,0))&amp;"","")</f>
        <v/>
      </c>
      <c r="J80" s="49" t="str">
        <f aca="false">IFERROR(INDEX(DATABASE!$O$4:$O$2003,MATCH($B80,DATABASE!$U$4:$U$2003,0))&amp;"","")</f>
        <v/>
      </c>
      <c r="K80" s="50" t="str">
        <f aca="false">IFERROR(INDEX(DATABASE!$J$4:$J$2003,MATCH($B80,DATABASE!$U$4:$U$2003,0))&amp;"","")</f>
        <v/>
      </c>
    </row>
    <row r="81" customFormat="false" ht="15" hidden="false" customHeight="false" outlineLevel="0" collapsed="false">
      <c r="B81" s="46" t="n">
        <v>69</v>
      </c>
      <c r="C81" s="47" t="str">
        <f aca="false">IFERROR(INDEX(DATABASE!$B$4:$B$2003,MATCH($B81,DATABASE!$U$4:$U$2003,0))&amp;"","")</f>
        <v/>
      </c>
      <c r="D81" s="48" t="str">
        <f aca="false">IFERROR(INDEX(DATABASE!$C$4:$C$2003,MATCH($B81,DATABASE!$U$4:$U$2003,0))&amp;"","")</f>
        <v/>
      </c>
      <c r="E81" s="46" t="str">
        <f aca="false">IFERROR(INDEX(DATABASE!$D$4:$D$2003,MATCH($B81,DATABASE!$U$4:$U$2003,0))&amp;"","")</f>
        <v/>
      </c>
      <c r="F81" s="46" t="str">
        <f aca="false">IFERROR(INDEX(DATABASE!$E$4:$E$2003,MATCH($B81,DATABASE!$U$4:$U$2003,0))&amp;"","")</f>
        <v/>
      </c>
      <c r="G81" s="48" t="str">
        <f aca="false">IFERROR(INDEX(DATABASE!$F$4:$F$2003,MATCH($B81,DATABASE!$U$4:$U$2003,0))&amp;"","")</f>
        <v/>
      </c>
      <c r="H81" s="47" t="str">
        <f aca="false">IFERROR(INDEX(DATABASE!$H$4:$H$2003,MATCH($B81,DATABASE!$U$4:$U$2003,0))&amp;"","")</f>
        <v/>
      </c>
      <c r="I81" s="48" t="str">
        <f aca="false">IFERROR(INDEX(DATABASE!$I$4:$I$2003,MATCH($B81,DATABASE!$U$4:$U$2003,0))&amp;"","")</f>
        <v/>
      </c>
      <c r="J81" s="46" t="str">
        <f aca="false">IFERROR(INDEX(DATABASE!$O$4:$O$2003,MATCH($B81,DATABASE!$U$4:$U$2003,0))&amp;"","")</f>
        <v/>
      </c>
      <c r="K81" s="47" t="str">
        <f aca="false">IFERROR(INDEX(DATABASE!$J$4:$J$2003,MATCH($B81,DATABASE!$U$4:$U$2003,0))&amp;"","")</f>
        <v/>
      </c>
    </row>
    <row r="82" customFormat="false" ht="15" hidden="false" customHeight="false" outlineLevel="0" collapsed="false">
      <c r="B82" s="49" t="n">
        <v>70</v>
      </c>
      <c r="C82" s="50" t="str">
        <f aca="false">IFERROR(INDEX(DATABASE!$B$4:$B$2003,MATCH($B82,DATABASE!$U$4:$U$2003,0))&amp;"","")</f>
        <v/>
      </c>
      <c r="D82" s="51" t="str">
        <f aca="false">IFERROR(INDEX(DATABASE!$C$4:$C$2003,MATCH($B82,DATABASE!$U$4:$U$2003,0))&amp;"","")</f>
        <v/>
      </c>
      <c r="E82" s="49" t="str">
        <f aca="false">IFERROR(INDEX(DATABASE!$D$4:$D$2003,MATCH($B82,DATABASE!$U$4:$U$2003,0))&amp;"","")</f>
        <v/>
      </c>
      <c r="F82" s="49" t="str">
        <f aca="false">IFERROR(INDEX(DATABASE!$E$4:$E$2003,MATCH($B82,DATABASE!$U$4:$U$2003,0))&amp;"","")</f>
        <v/>
      </c>
      <c r="G82" s="51" t="str">
        <f aca="false">IFERROR(INDEX(DATABASE!$F$4:$F$2003,MATCH($B82,DATABASE!$U$4:$U$2003,0))&amp;"","")</f>
        <v/>
      </c>
      <c r="H82" s="50" t="str">
        <f aca="false">IFERROR(INDEX(DATABASE!$H$4:$H$2003,MATCH($B82,DATABASE!$U$4:$U$2003,0))&amp;"","")</f>
        <v/>
      </c>
      <c r="I82" s="51" t="str">
        <f aca="false">IFERROR(INDEX(DATABASE!$I$4:$I$2003,MATCH($B82,DATABASE!$U$4:$U$2003,0))&amp;"","")</f>
        <v/>
      </c>
      <c r="J82" s="49" t="str">
        <f aca="false">IFERROR(INDEX(DATABASE!$O$4:$O$2003,MATCH($B82,DATABASE!$U$4:$U$2003,0))&amp;"","")</f>
        <v/>
      </c>
      <c r="K82" s="50" t="str">
        <f aca="false">IFERROR(INDEX(DATABASE!$J$4:$J$2003,MATCH($B82,DATABASE!$U$4:$U$2003,0))&amp;"","")</f>
        <v/>
      </c>
    </row>
    <row r="83" customFormat="false" ht="15" hidden="false" customHeight="false" outlineLevel="0" collapsed="false">
      <c r="B83" s="46" t="n">
        <v>71</v>
      </c>
      <c r="C83" s="47" t="str">
        <f aca="false">IFERROR(INDEX(DATABASE!$B$4:$B$2003,MATCH($B83,DATABASE!$U$4:$U$2003,0))&amp;"","")</f>
        <v/>
      </c>
      <c r="D83" s="48" t="str">
        <f aca="false">IFERROR(INDEX(DATABASE!$C$4:$C$2003,MATCH($B83,DATABASE!$U$4:$U$2003,0))&amp;"","")</f>
        <v/>
      </c>
      <c r="E83" s="46" t="str">
        <f aca="false">IFERROR(INDEX(DATABASE!$D$4:$D$2003,MATCH($B83,DATABASE!$U$4:$U$2003,0))&amp;"","")</f>
        <v/>
      </c>
      <c r="F83" s="46" t="str">
        <f aca="false">IFERROR(INDEX(DATABASE!$E$4:$E$2003,MATCH($B83,DATABASE!$U$4:$U$2003,0))&amp;"","")</f>
        <v/>
      </c>
      <c r="G83" s="48" t="str">
        <f aca="false">IFERROR(INDEX(DATABASE!$F$4:$F$2003,MATCH($B83,DATABASE!$U$4:$U$2003,0))&amp;"","")</f>
        <v/>
      </c>
      <c r="H83" s="47" t="str">
        <f aca="false">IFERROR(INDEX(DATABASE!$H$4:$H$2003,MATCH($B83,DATABASE!$U$4:$U$2003,0))&amp;"","")</f>
        <v/>
      </c>
      <c r="I83" s="48" t="str">
        <f aca="false">IFERROR(INDEX(DATABASE!$I$4:$I$2003,MATCH($B83,DATABASE!$U$4:$U$2003,0))&amp;"","")</f>
        <v/>
      </c>
      <c r="J83" s="46" t="str">
        <f aca="false">IFERROR(INDEX(DATABASE!$O$4:$O$2003,MATCH($B83,DATABASE!$U$4:$U$2003,0))&amp;"","")</f>
        <v/>
      </c>
      <c r="K83" s="47" t="str">
        <f aca="false">IFERROR(INDEX(DATABASE!$J$4:$J$2003,MATCH($B83,DATABASE!$U$4:$U$2003,0))&amp;"","")</f>
        <v/>
      </c>
    </row>
    <row r="84" customFormat="false" ht="15" hidden="false" customHeight="false" outlineLevel="0" collapsed="false">
      <c r="B84" s="49" t="n">
        <v>72</v>
      </c>
      <c r="C84" s="50" t="str">
        <f aca="false">IFERROR(INDEX(DATABASE!$B$4:$B$2003,MATCH($B84,DATABASE!$U$4:$U$2003,0))&amp;"","")</f>
        <v/>
      </c>
      <c r="D84" s="51" t="str">
        <f aca="false">IFERROR(INDEX(DATABASE!$C$4:$C$2003,MATCH($B84,DATABASE!$U$4:$U$2003,0))&amp;"","")</f>
        <v/>
      </c>
      <c r="E84" s="49" t="str">
        <f aca="false">IFERROR(INDEX(DATABASE!$D$4:$D$2003,MATCH($B84,DATABASE!$U$4:$U$2003,0))&amp;"","")</f>
        <v/>
      </c>
      <c r="F84" s="49" t="str">
        <f aca="false">IFERROR(INDEX(DATABASE!$E$4:$E$2003,MATCH($B84,DATABASE!$U$4:$U$2003,0))&amp;"","")</f>
        <v/>
      </c>
      <c r="G84" s="51" t="str">
        <f aca="false">IFERROR(INDEX(DATABASE!$F$4:$F$2003,MATCH($B84,DATABASE!$U$4:$U$2003,0))&amp;"","")</f>
        <v/>
      </c>
      <c r="H84" s="50" t="str">
        <f aca="false">IFERROR(INDEX(DATABASE!$H$4:$H$2003,MATCH($B84,DATABASE!$U$4:$U$2003,0))&amp;"","")</f>
        <v/>
      </c>
      <c r="I84" s="51" t="str">
        <f aca="false">IFERROR(INDEX(DATABASE!$I$4:$I$2003,MATCH($B84,DATABASE!$U$4:$U$2003,0))&amp;"","")</f>
        <v/>
      </c>
      <c r="J84" s="49" t="str">
        <f aca="false">IFERROR(INDEX(DATABASE!$O$4:$O$2003,MATCH($B84,DATABASE!$U$4:$U$2003,0))&amp;"","")</f>
        <v/>
      </c>
      <c r="K84" s="50" t="str">
        <f aca="false">IFERROR(INDEX(DATABASE!$J$4:$J$2003,MATCH($B84,DATABASE!$U$4:$U$2003,0))&amp;"","")</f>
        <v/>
      </c>
    </row>
    <row r="85" customFormat="false" ht="15" hidden="false" customHeight="false" outlineLevel="0" collapsed="false">
      <c r="B85" s="46" t="n">
        <v>73</v>
      </c>
      <c r="C85" s="47" t="str">
        <f aca="false">IFERROR(INDEX(DATABASE!$B$4:$B$2003,MATCH($B85,DATABASE!$U$4:$U$2003,0))&amp;"","")</f>
        <v/>
      </c>
      <c r="D85" s="48" t="str">
        <f aca="false">IFERROR(INDEX(DATABASE!$C$4:$C$2003,MATCH($B85,DATABASE!$U$4:$U$2003,0))&amp;"","")</f>
        <v/>
      </c>
      <c r="E85" s="46" t="str">
        <f aca="false">IFERROR(INDEX(DATABASE!$D$4:$D$2003,MATCH($B85,DATABASE!$U$4:$U$2003,0))&amp;"","")</f>
        <v/>
      </c>
      <c r="F85" s="46" t="str">
        <f aca="false">IFERROR(INDEX(DATABASE!$E$4:$E$2003,MATCH($B85,DATABASE!$U$4:$U$2003,0))&amp;"","")</f>
        <v/>
      </c>
      <c r="G85" s="48" t="str">
        <f aca="false">IFERROR(INDEX(DATABASE!$F$4:$F$2003,MATCH($B85,DATABASE!$U$4:$U$2003,0))&amp;"","")</f>
        <v/>
      </c>
      <c r="H85" s="47" t="str">
        <f aca="false">IFERROR(INDEX(DATABASE!$H$4:$H$2003,MATCH($B85,DATABASE!$U$4:$U$2003,0))&amp;"","")</f>
        <v/>
      </c>
      <c r="I85" s="48" t="str">
        <f aca="false">IFERROR(INDEX(DATABASE!$I$4:$I$2003,MATCH($B85,DATABASE!$U$4:$U$2003,0))&amp;"","")</f>
        <v/>
      </c>
      <c r="J85" s="46" t="str">
        <f aca="false">IFERROR(INDEX(DATABASE!$O$4:$O$2003,MATCH($B85,DATABASE!$U$4:$U$2003,0))&amp;"","")</f>
        <v/>
      </c>
      <c r="K85" s="47" t="str">
        <f aca="false">IFERROR(INDEX(DATABASE!$J$4:$J$2003,MATCH($B85,DATABASE!$U$4:$U$2003,0))&amp;"","")</f>
        <v/>
      </c>
    </row>
    <row r="86" customFormat="false" ht="15" hidden="false" customHeight="false" outlineLevel="0" collapsed="false">
      <c r="B86" s="49" t="n">
        <v>74</v>
      </c>
      <c r="C86" s="50" t="str">
        <f aca="false">IFERROR(INDEX(DATABASE!$B$4:$B$2003,MATCH($B86,DATABASE!$U$4:$U$2003,0))&amp;"","")</f>
        <v/>
      </c>
      <c r="D86" s="51" t="str">
        <f aca="false">IFERROR(INDEX(DATABASE!$C$4:$C$2003,MATCH($B86,DATABASE!$U$4:$U$2003,0))&amp;"","")</f>
        <v/>
      </c>
      <c r="E86" s="49" t="str">
        <f aca="false">IFERROR(INDEX(DATABASE!$D$4:$D$2003,MATCH($B86,DATABASE!$U$4:$U$2003,0))&amp;"","")</f>
        <v/>
      </c>
      <c r="F86" s="49" t="str">
        <f aca="false">IFERROR(INDEX(DATABASE!$E$4:$E$2003,MATCH($B86,DATABASE!$U$4:$U$2003,0))&amp;"","")</f>
        <v/>
      </c>
      <c r="G86" s="51" t="str">
        <f aca="false">IFERROR(INDEX(DATABASE!$F$4:$F$2003,MATCH($B86,DATABASE!$U$4:$U$2003,0))&amp;"","")</f>
        <v/>
      </c>
      <c r="H86" s="50" t="str">
        <f aca="false">IFERROR(INDEX(DATABASE!$H$4:$H$2003,MATCH($B86,DATABASE!$U$4:$U$2003,0))&amp;"","")</f>
        <v/>
      </c>
      <c r="I86" s="51" t="str">
        <f aca="false">IFERROR(INDEX(DATABASE!$I$4:$I$2003,MATCH($B86,DATABASE!$U$4:$U$2003,0))&amp;"","")</f>
        <v/>
      </c>
      <c r="J86" s="49" t="str">
        <f aca="false">IFERROR(INDEX(DATABASE!$O$4:$O$2003,MATCH($B86,DATABASE!$U$4:$U$2003,0))&amp;"","")</f>
        <v/>
      </c>
      <c r="K86" s="50" t="str">
        <f aca="false">IFERROR(INDEX(DATABASE!$J$4:$J$2003,MATCH($B86,DATABASE!$U$4:$U$2003,0))&amp;"","")</f>
        <v/>
      </c>
    </row>
    <row r="87" customFormat="false" ht="15" hidden="false" customHeight="false" outlineLevel="0" collapsed="false">
      <c r="B87" s="46" t="n">
        <v>75</v>
      </c>
      <c r="C87" s="47" t="str">
        <f aca="false">IFERROR(INDEX(DATABASE!$B$4:$B$2003,MATCH($B87,DATABASE!$U$4:$U$2003,0))&amp;"","")</f>
        <v/>
      </c>
      <c r="D87" s="48" t="str">
        <f aca="false">IFERROR(INDEX(DATABASE!$C$4:$C$2003,MATCH($B87,DATABASE!$U$4:$U$2003,0))&amp;"","")</f>
        <v/>
      </c>
      <c r="E87" s="46" t="str">
        <f aca="false">IFERROR(INDEX(DATABASE!$D$4:$D$2003,MATCH($B87,DATABASE!$U$4:$U$2003,0))&amp;"","")</f>
        <v/>
      </c>
      <c r="F87" s="46" t="str">
        <f aca="false">IFERROR(INDEX(DATABASE!$E$4:$E$2003,MATCH($B87,DATABASE!$U$4:$U$2003,0))&amp;"","")</f>
        <v/>
      </c>
      <c r="G87" s="48" t="str">
        <f aca="false">IFERROR(INDEX(DATABASE!$F$4:$F$2003,MATCH($B87,DATABASE!$U$4:$U$2003,0))&amp;"","")</f>
        <v/>
      </c>
      <c r="H87" s="47" t="str">
        <f aca="false">IFERROR(INDEX(DATABASE!$H$4:$H$2003,MATCH($B87,DATABASE!$U$4:$U$2003,0))&amp;"","")</f>
        <v/>
      </c>
      <c r="I87" s="48" t="str">
        <f aca="false">IFERROR(INDEX(DATABASE!$I$4:$I$2003,MATCH($B87,DATABASE!$U$4:$U$2003,0))&amp;"","")</f>
        <v/>
      </c>
      <c r="J87" s="46" t="str">
        <f aca="false">IFERROR(INDEX(DATABASE!$O$4:$O$2003,MATCH($B87,DATABASE!$U$4:$U$2003,0))&amp;"","")</f>
        <v/>
      </c>
      <c r="K87" s="47" t="str">
        <f aca="false">IFERROR(INDEX(DATABASE!$J$4:$J$2003,MATCH($B87,DATABASE!$U$4:$U$2003,0))&amp;"","")</f>
        <v/>
      </c>
    </row>
    <row r="88" customFormat="false" ht="15" hidden="false" customHeight="false" outlineLevel="0" collapsed="false">
      <c r="B88" s="49" t="n">
        <v>76</v>
      </c>
      <c r="C88" s="50" t="str">
        <f aca="false">IFERROR(INDEX(DATABASE!$B$4:$B$2003,MATCH($B88,DATABASE!$U$4:$U$2003,0))&amp;"","")</f>
        <v/>
      </c>
      <c r="D88" s="51" t="str">
        <f aca="false">IFERROR(INDEX(DATABASE!$C$4:$C$2003,MATCH($B88,DATABASE!$U$4:$U$2003,0))&amp;"","")</f>
        <v/>
      </c>
      <c r="E88" s="49" t="str">
        <f aca="false">IFERROR(INDEX(DATABASE!$D$4:$D$2003,MATCH($B88,DATABASE!$U$4:$U$2003,0))&amp;"","")</f>
        <v/>
      </c>
      <c r="F88" s="49" t="str">
        <f aca="false">IFERROR(INDEX(DATABASE!$E$4:$E$2003,MATCH($B88,DATABASE!$U$4:$U$2003,0))&amp;"","")</f>
        <v/>
      </c>
      <c r="G88" s="51" t="str">
        <f aca="false">IFERROR(INDEX(DATABASE!$F$4:$F$2003,MATCH($B88,DATABASE!$U$4:$U$2003,0))&amp;"","")</f>
        <v/>
      </c>
      <c r="H88" s="50" t="str">
        <f aca="false">IFERROR(INDEX(DATABASE!$H$4:$H$2003,MATCH($B88,DATABASE!$U$4:$U$2003,0))&amp;"","")</f>
        <v/>
      </c>
      <c r="I88" s="51" t="str">
        <f aca="false">IFERROR(INDEX(DATABASE!$I$4:$I$2003,MATCH($B88,DATABASE!$U$4:$U$2003,0))&amp;"","")</f>
        <v/>
      </c>
      <c r="J88" s="49" t="str">
        <f aca="false">IFERROR(INDEX(DATABASE!$O$4:$O$2003,MATCH($B88,DATABASE!$U$4:$U$2003,0))&amp;"","")</f>
        <v/>
      </c>
      <c r="K88" s="50" t="str">
        <f aca="false">IFERROR(INDEX(DATABASE!$J$4:$J$2003,MATCH($B88,DATABASE!$U$4:$U$2003,0))&amp;"","")</f>
        <v/>
      </c>
    </row>
    <row r="89" customFormat="false" ht="15" hidden="false" customHeight="false" outlineLevel="0" collapsed="false">
      <c r="B89" s="46" t="n">
        <v>77</v>
      </c>
      <c r="C89" s="47" t="str">
        <f aca="false">IFERROR(INDEX(DATABASE!$B$4:$B$2003,MATCH($B89,DATABASE!$U$4:$U$2003,0))&amp;"","")</f>
        <v/>
      </c>
      <c r="D89" s="48" t="str">
        <f aca="false">IFERROR(INDEX(DATABASE!$C$4:$C$2003,MATCH($B89,DATABASE!$U$4:$U$2003,0))&amp;"","")</f>
        <v/>
      </c>
      <c r="E89" s="46" t="str">
        <f aca="false">IFERROR(INDEX(DATABASE!$D$4:$D$2003,MATCH($B89,DATABASE!$U$4:$U$2003,0))&amp;"","")</f>
        <v/>
      </c>
      <c r="F89" s="46" t="str">
        <f aca="false">IFERROR(INDEX(DATABASE!$E$4:$E$2003,MATCH($B89,DATABASE!$U$4:$U$2003,0))&amp;"","")</f>
        <v/>
      </c>
      <c r="G89" s="48" t="str">
        <f aca="false">IFERROR(INDEX(DATABASE!$F$4:$F$2003,MATCH($B89,DATABASE!$U$4:$U$2003,0))&amp;"","")</f>
        <v/>
      </c>
      <c r="H89" s="47" t="str">
        <f aca="false">IFERROR(INDEX(DATABASE!$H$4:$H$2003,MATCH($B89,DATABASE!$U$4:$U$2003,0))&amp;"","")</f>
        <v/>
      </c>
      <c r="I89" s="48" t="str">
        <f aca="false">IFERROR(INDEX(DATABASE!$I$4:$I$2003,MATCH($B89,DATABASE!$U$4:$U$2003,0))&amp;"","")</f>
        <v/>
      </c>
      <c r="J89" s="46" t="str">
        <f aca="false">IFERROR(INDEX(DATABASE!$O$4:$O$2003,MATCH($B89,DATABASE!$U$4:$U$2003,0))&amp;"","")</f>
        <v/>
      </c>
      <c r="K89" s="47" t="str">
        <f aca="false">IFERROR(INDEX(DATABASE!$J$4:$J$2003,MATCH($B89,DATABASE!$U$4:$U$2003,0))&amp;"","")</f>
        <v/>
      </c>
    </row>
    <row r="90" customFormat="false" ht="15" hidden="false" customHeight="false" outlineLevel="0" collapsed="false">
      <c r="B90" s="49" t="n">
        <v>78</v>
      </c>
      <c r="C90" s="50" t="str">
        <f aca="false">IFERROR(INDEX(DATABASE!$B$4:$B$2003,MATCH($B90,DATABASE!$U$4:$U$2003,0))&amp;"","")</f>
        <v/>
      </c>
      <c r="D90" s="51" t="str">
        <f aca="false">IFERROR(INDEX(DATABASE!$C$4:$C$2003,MATCH($B90,DATABASE!$U$4:$U$2003,0))&amp;"","")</f>
        <v/>
      </c>
      <c r="E90" s="49" t="str">
        <f aca="false">IFERROR(INDEX(DATABASE!$D$4:$D$2003,MATCH($B90,DATABASE!$U$4:$U$2003,0))&amp;"","")</f>
        <v/>
      </c>
      <c r="F90" s="49" t="str">
        <f aca="false">IFERROR(INDEX(DATABASE!$E$4:$E$2003,MATCH($B90,DATABASE!$U$4:$U$2003,0))&amp;"","")</f>
        <v/>
      </c>
      <c r="G90" s="51" t="str">
        <f aca="false">IFERROR(INDEX(DATABASE!$F$4:$F$2003,MATCH($B90,DATABASE!$U$4:$U$2003,0))&amp;"","")</f>
        <v/>
      </c>
      <c r="H90" s="50" t="str">
        <f aca="false">IFERROR(INDEX(DATABASE!$H$4:$H$2003,MATCH($B90,DATABASE!$U$4:$U$2003,0))&amp;"","")</f>
        <v/>
      </c>
      <c r="I90" s="51" t="str">
        <f aca="false">IFERROR(INDEX(DATABASE!$I$4:$I$2003,MATCH($B90,DATABASE!$U$4:$U$2003,0))&amp;"","")</f>
        <v/>
      </c>
      <c r="J90" s="49" t="str">
        <f aca="false">IFERROR(INDEX(DATABASE!$O$4:$O$2003,MATCH($B90,DATABASE!$U$4:$U$2003,0))&amp;"","")</f>
        <v/>
      </c>
      <c r="K90" s="50" t="str">
        <f aca="false">IFERROR(INDEX(DATABASE!$J$4:$J$2003,MATCH($B90,DATABASE!$U$4:$U$2003,0))&amp;"","")</f>
        <v/>
      </c>
    </row>
    <row r="91" customFormat="false" ht="15" hidden="false" customHeight="false" outlineLevel="0" collapsed="false">
      <c r="B91" s="46" t="n">
        <v>79</v>
      </c>
      <c r="C91" s="47" t="str">
        <f aca="false">IFERROR(INDEX(DATABASE!$B$4:$B$2003,MATCH($B91,DATABASE!$U$4:$U$2003,0))&amp;"","")</f>
        <v/>
      </c>
      <c r="D91" s="48" t="str">
        <f aca="false">IFERROR(INDEX(DATABASE!$C$4:$C$2003,MATCH($B91,DATABASE!$U$4:$U$2003,0))&amp;"","")</f>
        <v/>
      </c>
      <c r="E91" s="46" t="str">
        <f aca="false">IFERROR(INDEX(DATABASE!$D$4:$D$2003,MATCH($B91,DATABASE!$U$4:$U$2003,0))&amp;"","")</f>
        <v/>
      </c>
      <c r="F91" s="46" t="str">
        <f aca="false">IFERROR(INDEX(DATABASE!$E$4:$E$2003,MATCH($B91,DATABASE!$U$4:$U$2003,0))&amp;"","")</f>
        <v/>
      </c>
      <c r="G91" s="48" t="str">
        <f aca="false">IFERROR(INDEX(DATABASE!$F$4:$F$2003,MATCH($B91,DATABASE!$U$4:$U$2003,0))&amp;"","")</f>
        <v/>
      </c>
      <c r="H91" s="47" t="str">
        <f aca="false">IFERROR(INDEX(DATABASE!$H$4:$H$2003,MATCH($B91,DATABASE!$U$4:$U$2003,0))&amp;"","")</f>
        <v/>
      </c>
      <c r="I91" s="48" t="str">
        <f aca="false">IFERROR(INDEX(DATABASE!$I$4:$I$2003,MATCH($B91,DATABASE!$U$4:$U$2003,0))&amp;"","")</f>
        <v/>
      </c>
      <c r="J91" s="46" t="str">
        <f aca="false">IFERROR(INDEX(DATABASE!$O$4:$O$2003,MATCH($B91,DATABASE!$U$4:$U$2003,0))&amp;"","")</f>
        <v/>
      </c>
      <c r="K91" s="47" t="str">
        <f aca="false">IFERROR(INDEX(DATABASE!$J$4:$J$2003,MATCH($B91,DATABASE!$U$4:$U$2003,0))&amp;"","")</f>
        <v/>
      </c>
    </row>
    <row r="92" customFormat="false" ht="15" hidden="false" customHeight="false" outlineLevel="0" collapsed="false">
      <c r="B92" s="49" t="n">
        <v>80</v>
      </c>
      <c r="C92" s="50" t="str">
        <f aca="false">IFERROR(INDEX(DATABASE!$B$4:$B$2003,MATCH($B92,DATABASE!$U$4:$U$2003,0))&amp;"","")</f>
        <v/>
      </c>
      <c r="D92" s="51" t="str">
        <f aca="false">IFERROR(INDEX(DATABASE!$C$4:$C$2003,MATCH($B92,DATABASE!$U$4:$U$2003,0))&amp;"","")</f>
        <v/>
      </c>
      <c r="E92" s="49" t="str">
        <f aca="false">IFERROR(INDEX(DATABASE!$D$4:$D$2003,MATCH($B92,DATABASE!$U$4:$U$2003,0))&amp;"","")</f>
        <v/>
      </c>
      <c r="F92" s="49" t="str">
        <f aca="false">IFERROR(INDEX(DATABASE!$E$4:$E$2003,MATCH($B92,DATABASE!$U$4:$U$2003,0))&amp;"","")</f>
        <v/>
      </c>
      <c r="G92" s="51" t="str">
        <f aca="false">IFERROR(INDEX(DATABASE!$F$4:$F$2003,MATCH($B92,DATABASE!$U$4:$U$2003,0))&amp;"","")</f>
        <v/>
      </c>
      <c r="H92" s="50" t="str">
        <f aca="false">IFERROR(INDEX(DATABASE!$H$4:$H$2003,MATCH($B92,DATABASE!$U$4:$U$2003,0))&amp;"","")</f>
        <v/>
      </c>
      <c r="I92" s="51" t="str">
        <f aca="false">IFERROR(INDEX(DATABASE!$I$4:$I$2003,MATCH($B92,DATABASE!$U$4:$U$2003,0))&amp;"","")</f>
        <v/>
      </c>
      <c r="J92" s="49" t="str">
        <f aca="false">IFERROR(INDEX(DATABASE!$O$4:$O$2003,MATCH($B92,DATABASE!$U$4:$U$2003,0))&amp;"","")</f>
        <v/>
      </c>
      <c r="K92" s="50" t="str">
        <f aca="false">IFERROR(INDEX(DATABASE!$J$4:$J$2003,MATCH($B92,DATABASE!$U$4:$U$2003,0))&amp;"","")</f>
        <v/>
      </c>
    </row>
    <row r="93" customFormat="false" ht="15" hidden="false" customHeight="false" outlineLevel="0" collapsed="false">
      <c r="B93" s="46" t="n">
        <v>81</v>
      </c>
      <c r="C93" s="47" t="str">
        <f aca="false">IFERROR(INDEX(DATABASE!$B$4:$B$2003,MATCH($B93,DATABASE!$U$4:$U$2003,0))&amp;"","")</f>
        <v/>
      </c>
      <c r="D93" s="48" t="str">
        <f aca="false">IFERROR(INDEX(DATABASE!$C$4:$C$2003,MATCH($B93,DATABASE!$U$4:$U$2003,0))&amp;"","")</f>
        <v/>
      </c>
      <c r="E93" s="46" t="str">
        <f aca="false">IFERROR(INDEX(DATABASE!$D$4:$D$2003,MATCH($B93,DATABASE!$U$4:$U$2003,0))&amp;"","")</f>
        <v/>
      </c>
      <c r="F93" s="46" t="str">
        <f aca="false">IFERROR(INDEX(DATABASE!$E$4:$E$2003,MATCH($B93,DATABASE!$U$4:$U$2003,0))&amp;"","")</f>
        <v/>
      </c>
      <c r="G93" s="48" t="str">
        <f aca="false">IFERROR(INDEX(DATABASE!$F$4:$F$2003,MATCH($B93,DATABASE!$U$4:$U$2003,0))&amp;"","")</f>
        <v/>
      </c>
      <c r="H93" s="47" t="str">
        <f aca="false">IFERROR(INDEX(DATABASE!$H$4:$H$2003,MATCH($B93,DATABASE!$U$4:$U$2003,0))&amp;"","")</f>
        <v/>
      </c>
      <c r="I93" s="48" t="str">
        <f aca="false">IFERROR(INDEX(DATABASE!$I$4:$I$2003,MATCH($B93,DATABASE!$U$4:$U$2003,0))&amp;"","")</f>
        <v/>
      </c>
      <c r="J93" s="46" t="str">
        <f aca="false">IFERROR(INDEX(DATABASE!$O$4:$O$2003,MATCH($B93,DATABASE!$U$4:$U$2003,0))&amp;"","")</f>
        <v/>
      </c>
      <c r="K93" s="47" t="str">
        <f aca="false">IFERROR(INDEX(DATABASE!$J$4:$J$2003,MATCH($B93,DATABASE!$U$4:$U$2003,0))&amp;"","")</f>
        <v/>
      </c>
    </row>
    <row r="94" customFormat="false" ht="15" hidden="false" customHeight="false" outlineLevel="0" collapsed="false">
      <c r="B94" s="49" t="n">
        <v>82</v>
      </c>
      <c r="C94" s="50" t="str">
        <f aca="false">IFERROR(INDEX(DATABASE!$B$4:$B$2003,MATCH($B94,DATABASE!$U$4:$U$2003,0))&amp;"","")</f>
        <v/>
      </c>
      <c r="D94" s="51" t="str">
        <f aca="false">IFERROR(INDEX(DATABASE!$C$4:$C$2003,MATCH($B94,DATABASE!$U$4:$U$2003,0))&amp;"","")</f>
        <v/>
      </c>
      <c r="E94" s="49" t="str">
        <f aca="false">IFERROR(INDEX(DATABASE!$D$4:$D$2003,MATCH($B94,DATABASE!$U$4:$U$2003,0))&amp;"","")</f>
        <v/>
      </c>
      <c r="F94" s="49" t="str">
        <f aca="false">IFERROR(INDEX(DATABASE!$E$4:$E$2003,MATCH($B94,DATABASE!$U$4:$U$2003,0))&amp;"","")</f>
        <v/>
      </c>
      <c r="G94" s="51" t="str">
        <f aca="false">IFERROR(INDEX(DATABASE!$F$4:$F$2003,MATCH($B94,DATABASE!$U$4:$U$2003,0))&amp;"","")</f>
        <v/>
      </c>
      <c r="H94" s="50" t="str">
        <f aca="false">IFERROR(INDEX(DATABASE!$H$4:$H$2003,MATCH($B94,DATABASE!$U$4:$U$2003,0))&amp;"","")</f>
        <v/>
      </c>
      <c r="I94" s="51" t="str">
        <f aca="false">IFERROR(INDEX(DATABASE!$I$4:$I$2003,MATCH($B94,DATABASE!$U$4:$U$2003,0))&amp;"","")</f>
        <v/>
      </c>
      <c r="J94" s="49" t="str">
        <f aca="false">IFERROR(INDEX(DATABASE!$O$4:$O$2003,MATCH($B94,DATABASE!$U$4:$U$2003,0))&amp;"","")</f>
        <v/>
      </c>
      <c r="K94" s="50" t="str">
        <f aca="false">IFERROR(INDEX(DATABASE!$J$4:$J$2003,MATCH($B94,DATABASE!$U$4:$U$2003,0))&amp;"","")</f>
        <v/>
      </c>
    </row>
    <row r="95" customFormat="false" ht="15" hidden="false" customHeight="false" outlineLevel="0" collapsed="false">
      <c r="B95" s="46" t="n">
        <v>83</v>
      </c>
      <c r="C95" s="47" t="str">
        <f aca="false">IFERROR(INDEX(DATABASE!$B$4:$B$2003,MATCH($B95,DATABASE!$U$4:$U$2003,0))&amp;"","")</f>
        <v/>
      </c>
      <c r="D95" s="48" t="str">
        <f aca="false">IFERROR(INDEX(DATABASE!$C$4:$C$2003,MATCH($B95,DATABASE!$U$4:$U$2003,0))&amp;"","")</f>
        <v/>
      </c>
      <c r="E95" s="46" t="str">
        <f aca="false">IFERROR(INDEX(DATABASE!$D$4:$D$2003,MATCH($B95,DATABASE!$U$4:$U$2003,0))&amp;"","")</f>
        <v/>
      </c>
      <c r="F95" s="46" t="str">
        <f aca="false">IFERROR(INDEX(DATABASE!$E$4:$E$2003,MATCH($B95,DATABASE!$U$4:$U$2003,0))&amp;"","")</f>
        <v/>
      </c>
      <c r="G95" s="48" t="str">
        <f aca="false">IFERROR(INDEX(DATABASE!$F$4:$F$2003,MATCH($B95,DATABASE!$U$4:$U$2003,0))&amp;"","")</f>
        <v/>
      </c>
      <c r="H95" s="47" t="str">
        <f aca="false">IFERROR(INDEX(DATABASE!$H$4:$H$2003,MATCH($B95,DATABASE!$U$4:$U$2003,0))&amp;"","")</f>
        <v/>
      </c>
      <c r="I95" s="48" t="str">
        <f aca="false">IFERROR(INDEX(DATABASE!$I$4:$I$2003,MATCH($B95,DATABASE!$U$4:$U$2003,0))&amp;"","")</f>
        <v/>
      </c>
      <c r="J95" s="46" t="str">
        <f aca="false">IFERROR(INDEX(DATABASE!$O$4:$O$2003,MATCH($B95,DATABASE!$U$4:$U$2003,0))&amp;"","")</f>
        <v/>
      </c>
      <c r="K95" s="47" t="str">
        <f aca="false">IFERROR(INDEX(DATABASE!$J$4:$J$2003,MATCH($B95,DATABASE!$U$4:$U$2003,0))&amp;"","")</f>
        <v/>
      </c>
    </row>
    <row r="96" customFormat="false" ht="15" hidden="false" customHeight="false" outlineLevel="0" collapsed="false">
      <c r="B96" s="49" t="n">
        <v>84</v>
      </c>
      <c r="C96" s="50" t="str">
        <f aca="false">IFERROR(INDEX(DATABASE!$B$4:$B$2003,MATCH($B96,DATABASE!$U$4:$U$2003,0))&amp;"","")</f>
        <v/>
      </c>
      <c r="D96" s="51" t="str">
        <f aca="false">IFERROR(INDEX(DATABASE!$C$4:$C$2003,MATCH($B96,DATABASE!$U$4:$U$2003,0))&amp;"","")</f>
        <v/>
      </c>
      <c r="E96" s="49" t="str">
        <f aca="false">IFERROR(INDEX(DATABASE!$D$4:$D$2003,MATCH($B96,DATABASE!$U$4:$U$2003,0))&amp;"","")</f>
        <v/>
      </c>
      <c r="F96" s="49" t="str">
        <f aca="false">IFERROR(INDEX(DATABASE!$E$4:$E$2003,MATCH($B96,DATABASE!$U$4:$U$2003,0))&amp;"","")</f>
        <v/>
      </c>
      <c r="G96" s="51" t="str">
        <f aca="false">IFERROR(INDEX(DATABASE!$F$4:$F$2003,MATCH($B96,DATABASE!$U$4:$U$2003,0))&amp;"","")</f>
        <v/>
      </c>
      <c r="H96" s="50" t="str">
        <f aca="false">IFERROR(INDEX(DATABASE!$H$4:$H$2003,MATCH($B96,DATABASE!$U$4:$U$2003,0))&amp;"","")</f>
        <v/>
      </c>
      <c r="I96" s="51" t="str">
        <f aca="false">IFERROR(INDEX(DATABASE!$I$4:$I$2003,MATCH($B96,DATABASE!$U$4:$U$2003,0))&amp;"","")</f>
        <v/>
      </c>
      <c r="J96" s="49" t="str">
        <f aca="false">IFERROR(INDEX(DATABASE!$O$4:$O$2003,MATCH($B96,DATABASE!$U$4:$U$2003,0))&amp;"","")</f>
        <v/>
      </c>
      <c r="K96" s="50" t="str">
        <f aca="false">IFERROR(INDEX(DATABASE!$J$4:$J$2003,MATCH($B96,DATABASE!$U$4:$U$2003,0))&amp;"","")</f>
        <v/>
      </c>
    </row>
    <row r="97" customFormat="false" ht="15" hidden="false" customHeight="false" outlineLevel="0" collapsed="false">
      <c r="B97" s="46" t="n">
        <v>85</v>
      </c>
      <c r="C97" s="47" t="str">
        <f aca="false">IFERROR(INDEX(DATABASE!$B$4:$B$2003,MATCH($B97,DATABASE!$U$4:$U$2003,0))&amp;"","")</f>
        <v/>
      </c>
      <c r="D97" s="48" t="str">
        <f aca="false">IFERROR(INDEX(DATABASE!$C$4:$C$2003,MATCH($B97,DATABASE!$U$4:$U$2003,0))&amp;"","")</f>
        <v/>
      </c>
      <c r="E97" s="46" t="str">
        <f aca="false">IFERROR(INDEX(DATABASE!$D$4:$D$2003,MATCH($B97,DATABASE!$U$4:$U$2003,0))&amp;"","")</f>
        <v/>
      </c>
      <c r="F97" s="46" t="str">
        <f aca="false">IFERROR(INDEX(DATABASE!$E$4:$E$2003,MATCH($B97,DATABASE!$U$4:$U$2003,0))&amp;"","")</f>
        <v/>
      </c>
      <c r="G97" s="48" t="str">
        <f aca="false">IFERROR(INDEX(DATABASE!$F$4:$F$2003,MATCH($B97,DATABASE!$U$4:$U$2003,0))&amp;"","")</f>
        <v/>
      </c>
      <c r="H97" s="47" t="str">
        <f aca="false">IFERROR(INDEX(DATABASE!$H$4:$H$2003,MATCH($B97,DATABASE!$U$4:$U$2003,0))&amp;"","")</f>
        <v/>
      </c>
      <c r="I97" s="48" t="str">
        <f aca="false">IFERROR(INDEX(DATABASE!$I$4:$I$2003,MATCH($B97,DATABASE!$U$4:$U$2003,0))&amp;"","")</f>
        <v/>
      </c>
      <c r="J97" s="46" t="str">
        <f aca="false">IFERROR(INDEX(DATABASE!$O$4:$O$2003,MATCH($B97,DATABASE!$U$4:$U$2003,0))&amp;"","")</f>
        <v/>
      </c>
      <c r="K97" s="47" t="str">
        <f aca="false">IFERROR(INDEX(DATABASE!$J$4:$J$2003,MATCH($B97,DATABASE!$U$4:$U$2003,0))&amp;"","")</f>
        <v/>
      </c>
    </row>
    <row r="98" customFormat="false" ht="15" hidden="false" customHeight="false" outlineLevel="0" collapsed="false">
      <c r="B98" s="49" t="n">
        <v>86</v>
      </c>
      <c r="C98" s="50" t="str">
        <f aca="false">IFERROR(INDEX(DATABASE!$B$4:$B$2003,MATCH($B98,DATABASE!$U$4:$U$2003,0))&amp;"","")</f>
        <v/>
      </c>
      <c r="D98" s="51" t="str">
        <f aca="false">IFERROR(INDEX(DATABASE!$C$4:$C$2003,MATCH($B98,DATABASE!$U$4:$U$2003,0))&amp;"","")</f>
        <v/>
      </c>
      <c r="E98" s="49" t="str">
        <f aca="false">IFERROR(INDEX(DATABASE!$D$4:$D$2003,MATCH($B98,DATABASE!$U$4:$U$2003,0))&amp;"","")</f>
        <v/>
      </c>
      <c r="F98" s="49" t="str">
        <f aca="false">IFERROR(INDEX(DATABASE!$E$4:$E$2003,MATCH($B98,DATABASE!$U$4:$U$2003,0))&amp;"","")</f>
        <v/>
      </c>
      <c r="G98" s="51" t="str">
        <f aca="false">IFERROR(INDEX(DATABASE!$F$4:$F$2003,MATCH($B98,DATABASE!$U$4:$U$2003,0))&amp;"","")</f>
        <v/>
      </c>
      <c r="H98" s="50" t="str">
        <f aca="false">IFERROR(INDEX(DATABASE!$H$4:$H$2003,MATCH($B98,DATABASE!$U$4:$U$2003,0))&amp;"","")</f>
        <v/>
      </c>
      <c r="I98" s="51" t="str">
        <f aca="false">IFERROR(INDEX(DATABASE!$I$4:$I$2003,MATCH($B98,DATABASE!$U$4:$U$2003,0))&amp;"","")</f>
        <v/>
      </c>
      <c r="J98" s="49" t="str">
        <f aca="false">IFERROR(INDEX(DATABASE!$O$4:$O$2003,MATCH($B98,DATABASE!$U$4:$U$2003,0))&amp;"","")</f>
        <v/>
      </c>
      <c r="K98" s="50" t="str">
        <f aca="false">IFERROR(INDEX(DATABASE!$J$4:$J$2003,MATCH($B98,DATABASE!$U$4:$U$2003,0))&amp;"","")</f>
        <v/>
      </c>
    </row>
    <row r="99" customFormat="false" ht="15" hidden="false" customHeight="false" outlineLevel="0" collapsed="false">
      <c r="B99" s="46" t="n">
        <v>87</v>
      </c>
      <c r="C99" s="47" t="str">
        <f aca="false">IFERROR(INDEX(DATABASE!$B$4:$B$2003,MATCH($B99,DATABASE!$U$4:$U$2003,0))&amp;"","")</f>
        <v/>
      </c>
      <c r="D99" s="48" t="str">
        <f aca="false">IFERROR(INDEX(DATABASE!$C$4:$C$2003,MATCH($B99,DATABASE!$U$4:$U$2003,0))&amp;"","")</f>
        <v/>
      </c>
      <c r="E99" s="46" t="str">
        <f aca="false">IFERROR(INDEX(DATABASE!$D$4:$D$2003,MATCH($B99,DATABASE!$U$4:$U$2003,0))&amp;"","")</f>
        <v/>
      </c>
      <c r="F99" s="46" t="str">
        <f aca="false">IFERROR(INDEX(DATABASE!$E$4:$E$2003,MATCH($B99,DATABASE!$U$4:$U$2003,0))&amp;"","")</f>
        <v/>
      </c>
      <c r="G99" s="48" t="str">
        <f aca="false">IFERROR(INDEX(DATABASE!$F$4:$F$2003,MATCH($B99,DATABASE!$U$4:$U$2003,0))&amp;"","")</f>
        <v/>
      </c>
      <c r="H99" s="47" t="str">
        <f aca="false">IFERROR(INDEX(DATABASE!$H$4:$H$2003,MATCH($B99,DATABASE!$U$4:$U$2003,0))&amp;"","")</f>
        <v/>
      </c>
      <c r="I99" s="48" t="str">
        <f aca="false">IFERROR(INDEX(DATABASE!$I$4:$I$2003,MATCH($B99,DATABASE!$U$4:$U$2003,0))&amp;"","")</f>
        <v/>
      </c>
      <c r="J99" s="46" t="str">
        <f aca="false">IFERROR(INDEX(DATABASE!$O$4:$O$2003,MATCH($B99,DATABASE!$U$4:$U$2003,0))&amp;"","")</f>
        <v/>
      </c>
      <c r="K99" s="47" t="str">
        <f aca="false">IFERROR(INDEX(DATABASE!$J$4:$J$2003,MATCH($B99,DATABASE!$U$4:$U$2003,0))&amp;"","")</f>
        <v/>
      </c>
    </row>
    <row r="100" customFormat="false" ht="15" hidden="false" customHeight="false" outlineLevel="0" collapsed="false">
      <c r="B100" s="49" t="n">
        <v>88</v>
      </c>
      <c r="C100" s="50" t="str">
        <f aca="false">IFERROR(INDEX(DATABASE!$B$4:$B$2003,MATCH($B100,DATABASE!$U$4:$U$2003,0))&amp;"","")</f>
        <v/>
      </c>
      <c r="D100" s="51" t="str">
        <f aca="false">IFERROR(INDEX(DATABASE!$C$4:$C$2003,MATCH($B100,DATABASE!$U$4:$U$2003,0))&amp;"","")</f>
        <v/>
      </c>
      <c r="E100" s="49" t="str">
        <f aca="false">IFERROR(INDEX(DATABASE!$D$4:$D$2003,MATCH($B100,DATABASE!$U$4:$U$2003,0))&amp;"","")</f>
        <v/>
      </c>
      <c r="F100" s="49" t="str">
        <f aca="false">IFERROR(INDEX(DATABASE!$E$4:$E$2003,MATCH($B100,DATABASE!$U$4:$U$2003,0))&amp;"","")</f>
        <v/>
      </c>
      <c r="G100" s="51" t="str">
        <f aca="false">IFERROR(INDEX(DATABASE!$F$4:$F$2003,MATCH($B100,DATABASE!$U$4:$U$2003,0))&amp;"","")</f>
        <v/>
      </c>
      <c r="H100" s="50" t="str">
        <f aca="false">IFERROR(INDEX(DATABASE!$H$4:$H$2003,MATCH($B100,DATABASE!$U$4:$U$2003,0))&amp;"","")</f>
        <v/>
      </c>
      <c r="I100" s="51" t="str">
        <f aca="false">IFERROR(INDEX(DATABASE!$I$4:$I$2003,MATCH($B100,DATABASE!$U$4:$U$2003,0))&amp;"","")</f>
        <v/>
      </c>
      <c r="J100" s="49" t="str">
        <f aca="false">IFERROR(INDEX(DATABASE!$O$4:$O$2003,MATCH($B100,DATABASE!$U$4:$U$2003,0))&amp;"","")</f>
        <v/>
      </c>
      <c r="K100" s="50" t="str">
        <f aca="false">IFERROR(INDEX(DATABASE!$J$4:$J$2003,MATCH($B100,DATABASE!$U$4:$U$2003,0))&amp;"","")</f>
        <v/>
      </c>
    </row>
    <row r="101" customFormat="false" ht="15" hidden="false" customHeight="false" outlineLevel="0" collapsed="false">
      <c r="B101" s="46" t="n">
        <v>89</v>
      </c>
      <c r="C101" s="47" t="str">
        <f aca="false">IFERROR(INDEX(DATABASE!$B$4:$B$2003,MATCH($B101,DATABASE!$U$4:$U$2003,0))&amp;"","")</f>
        <v/>
      </c>
      <c r="D101" s="48" t="str">
        <f aca="false">IFERROR(INDEX(DATABASE!$C$4:$C$2003,MATCH($B101,DATABASE!$U$4:$U$2003,0))&amp;"","")</f>
        <v/>
      </c>
      <c r="E101" s="46" t="str">
        <f aca="false">IFERROR(INDEX(DATABASE!$D$4:$D$2003,MATCH($B101,DATABASE!$U$4:$U$2003,0))&amp;"","")</f>
        <v/>
      </c>
      <c r="F101" s="46" t="str">
        <f aca="false">IFERROR(INDEX(DATABASE!$E$4:$E$2003,MATCH($B101,DATABASE!$U$4:$U$2003,0))&amp;"","")</f>
        <v/>
      </c>
      <c r="G101" s="48" t="str">
        <f aca="false">IFERROR(INDEX(DATABASE!$F$4:$F$2003,MATCH($B101,DATABASE!$U$4:$U$2003,0))&amp;"","")</f>
        <v/>
      </c>
      <c r="H101" s="47" t="str">
        <f aca="false">IFERROR(INDEX(DATABASE!$H$4:$H$2003,MATCH($B101,DATABASE!$U$4:$U$2003,0))&amp;"","")</f>
        <v/>
      </c>
      <c r="I101" s="48" t="str">
        <f aca="false">IFERROR(INDEX(DATABASE!$I$4:$I$2003,MATCH($B101,DATABASE!$U$4:$U$2003,0))&amp;"","")</f>
        <v/>
      </c>
      <c r="J101" s="46" t="str">
        <f aca="false">IFERROR(INDEX(DATABASE!$O$4:$O$2003,MATCH($B101,DATABASE!$U$4:$U$2003,0))&amp;"","")</f>
        <v/>
      </c>
      <c r="K101" s="47" t="str">
        <f aca="false">IFERROR(INDEX(DATABASE!$J$4:$J$2003,MATCH($B101,DATABASE!$U$4:$U$2003,0))&amp;"","")</f>
        <v/>
      </c>
    </row>
    <row r="102" customFormat="false" ht="15" hidden="false" customHeight="false" outlineLevel="0" collapsed="false">
      <c r="B102" s="49" t="n">
        <v>90</v>
      </c>
      <c r="C102" s="50" t="str">
        <f aca="false">IFERROR(INDEX(DATABASE!$B$4:$B$2003,MATCH($B102,DATABASE!$U$4:$U$2003,0))&amp;"","")</f>
        <v/>
      </c>
      <c r="D102" s="51" t="str">
        <f aca="false">IFERROR(INDEX(DATABASE!$C$4:$C$2003,MATCH($B102,DATABASE!$U$4:$U$2003,0))&amp;"","")</f>
        <v/>
      </c>
      <c r="E102" s="49" t="str">
        <f aca="false">IFERROR(INDEX(DATABASE!$D$4:$D$2003,MATCH($B102,DATABASE!$U$4:$U$2003,0))&amp;"","")</f>
        <v/>
      </c>
      <c r="F102" s="49" t="str">
        <f aca="false">IFERROR(INDEX(DATABASE!$E$4:$E$2003,MATCH($B102,DATABASE!$U$4:$U$2003,0))&amp;"","")</f>
        <v/>
      </c>
      <c r="G102" s="51" t="str">
        <f aca="false">IFERROR(INDEX(DATABASE!$F$4:$F$2003,MATCH($B102,DATABASE!$U$4:$U$2003,0))&amp;"","")</f>
        <v/>
      </c>
      <c r="H102" s="50" t="str">
        <f aca="false">IFERROR(INDEX(DATABASE!$H$4:$H$2003,MATCH($B102,DATABASE!$U$4:$U$2003,0))&amp;"","")</f>
        <v/>
      </c>
      <c r="I102" s="51" t="str">
        <f aca="false">IFERROR(INDEX(DATABASE!$I$4:$I$2003,MATCH($B102,DATABASE!$U$4:$U$2003,0))&amp;"","")</f>
        <v/>
      </c>
      <c r="J102" s="49" t="str">
        <f aca="false">IFERROR(INDEX(DATABASE!$O$4:$O$2003,MATCH($B102,DATABASE!$U$4:$U$2003,0))&amp;"","")</f>
        <v/>
      </c>
      <c r="K102" s="50" t="str">
        <f aca="false">IFERROR(INDEX(DATABASE!$J$4:$J$2003,MATCH($B102,DATABASE!$U$4:$U$2003,0))&amp;"","")</f>
        <v/>
      </c>
    </row>
    <row r="103" customFormat="false" ht="15" hidden="false" customHeight="false" outlineLevel="0" collapsed="false">
      <c r="B103" s="46" t="n">
        <v>91</v>
      </c>
      <c r="C103" s="47" t="str">
        <f aca="false">IFERROR(INDEX(DATABASE!$B$4:$B$2003,MATCH($B103,DATABASE!$U$4:$U$2003,0))&amp;"","")</f>
        <v/>
      </c>
      <c r="D103" s="48" t="str">
        <f aca="false">IFERROR(INDEX(DATABASE!$C$4:$C$2003,MATCH($B103,DATABASE!$U$4:$U$2003,0))&amp;"","")</f>
        <v/>
      </c>
      <c r="E103" s="46" t="str">
        <f aca="false">IFERROR(INDEX(DATABASE!$D$4:$D$2003,MATCH($B103,DATABASE!$U$4:$U$2003,0))&amp;"","")</f>
        <v/>
      </c>
      <c r="F103" s="46" t="str">
        <f aca="false">IFERROR(INDEX(DATABASE!$E$4:$E$2003,MATCH($B103,DATABASE!$U$4:$U$2003,0))&amp;"","")</f>
        <v/>
      </c>
      <c r="G103" s="48" t="str">
        <f aca="false">IFERROR(INDEX(DATABASE!$F$4:$F$2003,MATCH($B103,DATABASE!$U$4:$U$2003,0))&amp;"","")</f>
        <v/>
      </c>
      <c r="H103" s="47" t="str">
        <f aca="false">IFERROR(INDEX(DATABASE!$H$4:$H$2003,MATCH($B103,DATABASE!$U$4:$U$2003,0))&amp;"","")</f>
        <v/>
      </c>
      <c r="I103" s="48" t="str">
        <f aca="false">IFERROR(INDEX(DATABASE!$I$4:$I$2003,MATCH($B103,DATABASE!$U$4:$U$2003,0))&amp;"","")</f>
        <v/>
      </c>
      <c r="J103" s="46" t="str">
        <f aca="false">IFERROR(INDEX(DATABASE!$O$4:$O$2003,MATCH($B103,DATABASE!$U$4:$U$2003,0))&amp;"","")</f>
        <v/>
      </c>
      <c r="K103" s="47" t="str">
        <f aca="false">IFERROR(INDEX(DATABASE!$J$4:$J$2003,MATCH($B103,DATABASE!$U$4:$U$2003,0))&amp;"","")</f>
        <v/>
      </c>
    </row>
    <row r="104" customFormat="false" ht="15" hidden="false" customHeight="false" outlineLevel="0" collapsed="false">
      <c r="B104" s="49" t="n">
        <v>92</v>
      </c>
      <c r="C104" s="50" t="str">
        <f aca="false">IFERROR(INDEX(DATABASE!$B$4:$B$2003,MATCH($B104,DATABASE!$U$4:$U$2003,0))&amp;"","")</f>
        <v/>
      </c>
      <c r="D104" s="51" t="str">
        <f aca="false">IFERROR(INDEX(DATABASE!$C$4:$C$2003,MATCH($B104,DATABASE!$U$4:$U$2003,0))&amp;"","")</f>
        <v/>
      </c>
      <c r="E104" s="49" t="str">
        <f aca="false">IFERROR(INDEX(DATABASE!$D$4:$D$2003,MATCH($B104,DATABASE!$U$4:$U$2003,0))&amp;"","")</f>
        <v/>
      </c>
      <c r="F104" s="49" t="str">
        <f aca="false">IFERROR(INDEX(DATABASE!$E$4:$E$2003,MATCH($B104,DATABASE!$U$4:$U$2003,0))&amp;"","")</f>
        <v/>
      </c>
      <c r="G104" s="51" t="str">
        <f aca="false">IFERROR(INDEX(DATABASE!$F$4:$F$2003,MATCH($B104,DATABASE!$U$4:$U$2003,0))&amp;"","")</f>
        <v/>
      </c>
      <c r="H104" s="50" t="str">
        <f aca="false">IFERROR(INDEX(DATABASE!$H$4:$H$2003,MATCH($B104,DATABASE!$U$4:$U$2003,0))&amp;"","")</f>
        <v/>
      </c>
      <c r="I104" s="51" t="str">
        <f aca="false">IFERROR(INDEX(DATABASE!$I$4:$I$2003,MATCH($B104,DATABASE!$U$4:$U$2003,0))&amp;"","")</f>
        <v/>
      </c>
      <c r="J104" s="49" t="str">
        <f aca="false">IFERROR(INDEX(DATABASE!$O$4:$O$2003,MATCH($B104,DATABASE!$U$4:$U$2003,0))&amp;"","")</f>
        <v/>
      </c>
      <c r="K104" s="50" t="str">
        <f aca="false">IFERROR(INDEX(DATABASE!$J$4:$J$2003,MATCH($B104,DATABASE!$U$4:$U$2003,0))&amp;"","")</f>
        <v/>
      </c>
    </row>
    <row r="105" customFormat="false" ht="15" hidden="false" customHeight="false" outlineLevel="0" collapsed="false">
      <c r="B105" s="46" t="n">
        <v>93</v>
      </c>
      <c r="C105" s="47" t="str">
        <f aca="false">IFERROR(INDEX(DATABASE!$B$4:$B$2003,MATCH($B105,DATABASE!$U$4:$U$2003,0))&amp;"","")</f>
        <v/>
      </c>
      <c r="D105" s="48" t="str">
        <f aca="false">IFERROR(INDEX(DATABASE!$C$4:$C$2003,MATCH($B105,DATABASE!$U$4:$U$2003,0))&amp;"","")</f>
        <v/>
      </c>
      <c r="E105" s="46" t="str">
        <f aca="false">IFERROR(INDEX(DATABASE!$D$4:$D$2003,MATCH($B105,DATABASE!$U$4:$U$2003,0))&amp;"","")</f>
        <v/>
      </c>
      <c r="F105" s="46" t="str">
        <f aca="false">IFERROR(INDEX(DATABASE!$E$4:$E$2003,MATCH($B105,DATABASE!$U$4:$U$2003,0))&amp;"","")</f>
        <v/>
      </c>
      <c r="G105" s="48" t="str">
        <f aca="false">IFERROR(INDEX(DATABASE!$F$4:$F$2003,MATCH($B105,DATABASE!$U$4:$U$2003,0))&amp;"","")</f>
        <v/>
      </c>
      <c r="H105" s="47" t="str">
        <f aca="false">IFERROR(INDEX(DATABASE!$H$4:$H$2003,MATCH($B105,DATABASE!$U$4:$U$2003,0))&amp;"","")</f>
        <v/>
      </c>
      <c r="I105" s="48" t="str">
        <f aca="false">IFERROR(INDEX(DATABASE!$I$4:$I$2003,MATCH($B105,DATABASE!$U$4:$U$2003,0))&amp;"","")</f>
        <v/>
      </c>
      <c r="J105" s="46" t="str">
        <f aca="false">IFERROR(INDEX(DATABASE!$O$4:$O$2003,MATCH($B105,DATABASE!$U$4:$U$2003,0))&amp;"","")</f>
        <v/>
      </c>
      <c r="K105" s="47" t="str">
        <f aca="false">IFERROR(INDEX(DATABASE!$J$4:$J$2003,MATCH($B105,DATABASE!$U$4:$U$2003,0))&amp;"","")</f>
        <v/>
      </c>
    </row>
    <row r="106" customFormat="false" ht="15" hidden="false" customHeight="false" outlineLevel="0" collapsed="false">
      <c r="B106" s="49" t="n">
        <v>94</v>
      </c>
      <c r="C106" s="50" t="str">
        <f aca="false">IFERROR(INDEX(DATABASE!$B$4:$B$2003,MATCH($B106,DATABASE!$U$4:$U$2003,0))&amp;"","")</f>
        <v/>
      </c>
      <c r="D106" s="51" t="str">
        <f aca="false">IFERROR(INDEX(DATABASE!$C$4:$C$2003,MATCH($B106,DATABASE!$U$4:$U$2003,0))&amp;"","")</f>
        <v/>
      </c>
      <c r="E106" s="49" t="str">
        <f aca="false">IFERROR(INDEX(DATABASE!$D$4:$D$2003,MATCH($B106,DATABASE!$U$4:$U$2003,0))&amp;"","")</f>
        <v/>
      </c>
      <c r="F106" s="49" t="str">
        <f aca="false">IFERROR(INDEX(DATABASE!$E$4:$E$2003,MATCH($B106,DATABASE!$U$4:$U$2003,0))&amp;"","")</f>
        <v/>
      </c>
      <c r="G106" s="51" t="str">
        <f aca="false">IFERROR(INDEX(DATABASE!$F$4:$F$2003,MATCH($B106,DATABASE!$U$4:$U$2003,0))&amp;"","")</f>
        <v/>
      </c>
      <c r="H106" s="50" t="str">
        <f aca="false">IFERROR(INDEX(DATABASE!$H$4:$H$2003,MATCH($B106,DATABASE!$U$4:$U$2003,0))&amp;"","")</f>
        <v/>
      </c>
      <c r="I106" s="51" t="str">
        <f aca="false">IFERROR(INDEX(DATABASE!$I$4:$I$2003,MATCH($B106,DATABASE!$U$4:$U$2003,0))&amp;"","")</f>
        <v/>
      </c>
      <c r="J106" s="49" t="str">
        <f aca="false">IFERROR(INDEX(DATABASE!$O$4:$O$2003,MATCH($B106,DATABASE!$U$4:$U$2003,0))&amp;"","")</f>
        <v/>
      </c>
      <c r="K106" s="50" t="str">
        <f aca="false">IFERROR(INDEX(DATABASE!$J$4:$J$2003,MATCH($B106,DATABASE!$U$4:$U$2003,0))&amp;"","")</f>
        <v/>
      </c>
    </row>
    <row r="107" customFormat="false" ht="15" hidden="false" customHeight="false" outlineLevel="0" collapsed="false">
      <c r="B107" s="46" t="n">
        <v>95</v>
      </c>
      <c r="C107" s="47" t="str">
        <f aca="false">IFERROR(INDEX(DATABASE!$B$4:$B$2003,MATCH($B107,DATABASE!$U$4:$U$2003,0))&amp;"","")</f>
        <v/>
      </c>
      <c r="D107" s="48" t="str">
        <f aca="false">IFERROR(INDEX(DATABASE!$C$4:$C$2003,MATCH($B107,DATABASE!$U$4:$U$2003,0))&amp;"","")</f>
        <v/>
      </c>
      <c r="E107" s="46" t="str">
        <f aca="false">IFERROR(INDEX(DATABASE!$D$4:$D$2003,MATCH($B107,DATABASE!$U$4:$U$2003,0))&amp;"","")</f>
        <v/>
      </c>
      <c r="F107" s="46" t="str">
        <f aca="false">IFERROR(INDEX(DATABASE!$E$4:$E$2003,MATCH($B107,DATABASE!$U$4:$U$2003,0))&amp;"","")</f>
        <v/>
      </c>
      <c r="G107" s="48" t="str">
        <f aca="false">IFERROR(INDEX(DATABASE!$F$4:$F$2003,MATCH($B107,DATABASE!$U$4:$U$2003,0))&amp;"","")</f>
        <v/>
      </c>
      <c r="H107" s="47" t="str">
        <f aca="false">IFERROR(INDEX(DATABASE!$H$4:$H$2003,MATCH($B107,DATABASE!$U$4:$U$2003,0))&amp;"","")</f>
        <v/>
      </c>
      <c r="I107" s="48" t="str">
        <f aca="false">IFERROR(INDEX(DATABASE!$I$4:$I$2003,MATCH($B107,DATABASE!$U$4:$U$2003,0))&amp;"","")</f>
        <v/>
      </c>
      <c r="J107" s="46" t="str">
        <f aca="false">IFERROR(INDEX(DATABASE!$O$4:$O$2003,MATCH($B107,DATABASE!$U$4:$U$2003,0))&amp;"","")</f>
        <v/>
      </c>
      <c r="K107" s="47" t="str">
        <f aca="false">IFERROR(INDEX(DATABASE!$J$4:$J$2003,MATCH($B107,DATABASE!$U$4:$U$2003,0))&amp;"","")</f>
        <v/>
      </c>
    </row>
    <row r="108" customFormat="false" ht="15" hidden="false" customHeight="false" outlineLevel="0" collapsed="false">
      <c r="B108" s="49" t="n">
        <v>96</v>
      </c>
      <c r="C108" s="50" t="str">
        <f aca="false">IFERROR(INDEX(DATABASE!$B$4:$B$2003,MATCH($B108,DATABASE!$U$4:$U$2003,0))&amp;"","")</f>
        <v/>
      </c>
      <c r="D108" s="51" t="str">
        <f aca="false">IFERROR(INDEX(DATABASE!$C$4:$C$2003,MATCH($B108,DATABASE!$U$4:$U$2003,0))&amp;"","")</f>
        <v/>
      </c>
      <c r="E108" s="49" t="str">
        <f aca="false">IFERROR(INDEX(DATABASE!$D$4:$D$2003,MATCH($B108,DATABASE!$U$4:$U$2003,0))&amp;"","")</f>
        <v/>
      </c>
      <c r="F108" s="49" t="str">
        <f aca="false">IFERROR(INDEX(DATABASE!$E$4:$E$2003,MATCH($B108,DATABASE!$U$4:$U$2003,0))&amp;"","")</f>
        <v/>
      </c>
      <c r="G108" s="51" t="str">
        <f aca="false">IFERROR(INDEX(DATABASE!$F$4:$F$2003,MATCH($B108,DATABASE!$U$4:$U$2003,0))&amp;"","")</f>
        <v/>
      </c>
      <c r="H108" s="50" t="str">
        <f aca="false">IFERROR(INDEX(DATABASE!$H$4:$H$2003,MATCH($B108,DATABASE!$U$4:$U$2003,0))&amp;"","")</f>
        <v/>
      </c>
      <c r="I108" s="51" t="str">
        <f aca="false">IFERROR(INDEX(DATABASE!$I$4:$I$2003,MATCH($B108,DATABASE!$U$4:$U$2003,0))&amp;"","")</f>
        <v/>
      </c>
      <c r="J108" s="49" t="str">
        <f aca="false">IFERROR(INDEX(DATABASE!$O$4:$O$2003,MATCH($B108,DATABASE!$U$4:$U$2003,0))&amp;"","")</f>
        <v/>
      </c>
      <c r="K108" s="50" t="str">
        <f aca="false">IFERROR(INDEX(DATABASE!$J$4:$J$2003,MATCH($B108,DATABASE!$U$4:$U$2003,0))&amp;"","")</f>
        <v/>
      </c>
    </row>
    <row r="109" customFormat="false" ht="15" hidden="false" customHeight="false" outlineLevel="0" collapsed="false">
      <c r="B109" s="46" t="n">
        <v>97</v>
      </c>
      <c r="C109" s="47" t="str">
        <f aca="false">IFERROR(INDEX(DATABASE!$B$4:$B$2003,MATCH($B109,DATABASE!$U$4:$U$2003,0))&amp;"","")</f>
        <v/>
      </c>
      <c r="D109" s="48" t="str">
        <f aca="false">IFERROR(INDEX(DATABASE!$C$4:$C$2003,MATCH($B109,DATABASE!$U$4:$U$2003,0))&amp;"","")</f>
        <v/>
      </c>
      <c r="E109" s="46" t="str">
        <f aca="false">IFERROR(INDEX(DATABASE!$D$4:$D$2003,MATCH($B109,DATABASE!$U$4:$U$2003,0))&amp;"","")</f>
        <v/>
      </c>
      <c r="F109" s="46" t="str">
        <f aca="false">IFERROR(INDEX(DATABASE!$E$4:$E$2003,MATCH($B109,DATABASE!$U$4:$U$2003,0))&amp;"","")</f>
        <v/>
      </c>
      <c r="G109" s="48" t="str">
        <f aca="false">IFERROR(INDEX(DATABASE!$F$4:$F$2003,MATCH($B109,DATABASE!$U$4:$U$2003,0))&amp;"","")</f>
        <v/>
      </c>
      <c r="H109" s="47" t="str">
        <f aca="false">IFERROR(INDEX(DATABASE!$H$4:$H$2003,MATCH($B109,DATABASE!$U$4:$U$2003,0))&amp;"","")</f>
        <v/>
      </c>
      <c r="I109" s="48" t="str">
        <f aca="false">IFERROR(INDEX(DATABASE!$I$4:$I$2003,MATCH($B109,DATABASE!$U$4:$U$2003,0))&amp;"","")</f>
        <v/>
      </c>
      <c r="J109" s="46" t="str">
        <f aca="false">IFERROR(INDEX(DATABASE!$O$4:$O$2003,MATCH($B109,DATABASE!$U$4:$U$2003,0))&amp;"","")</f>
        <v/>
      </c>
      <c r="K109" s="47" t="str">
        <f aca="false">IFERROR(INDEX(DATABASE!$J$4:$J$2003,MATCH($B109,DATABASE!$U$4:$U$2003,0))&amp;"","")</f>
        <v/>
      </c>
    </row>
    <row r="110" customFormat="false" ht="15" hidden="false" customHeight="false" outlineLevel="0" collapsed="false">
      <c r="B110" s="49" t="n">
        <v>98</v>
      </c>
      <c r="C110" s="50" t="str">
        <f aca="false">IFERROR(INDEX(DATABASE!$B$4:$B$2003,MATCH($B110,DATABASE!$U$4:$U$2003,0))&amp;"","")</f>
        <v/>
      </c>
      <c r="D110" s="51" t="str">
        <f aca="false">IFERROR(INDEX(DATABASE!$C$4:$C$2003,MATCH($B110,DATABASE!$U$4:$U$2003,0))&amp;"","")</f>
        <v/>
      </c>
      <c r="E110" s="49" t="str">
        <f aca="false">IFERROR(INDEX(DATABASE!$D$4:$D$2003,MATCH($B110,DATABASE!$U$4:$U$2003,0))&amp;"","")</f>
        <v/>
      </c>
      <c r="F110" s="49" t="str">
        <f aca="false">IFERROR(INDEX(DATABASE!$E$4:$E$2003,MATCH($B110,DATABASE!$U$4:$U$2003,0))&amp;"","")</f>
        <v/>
      </c>
      <c r="G110" s="51" t="str">
        <f aca="false">IFERROR(INDEX(DATABASE!$F$4:$F$2003,MATCH($B110,DATABASE!$U$4:$U$2003,0))&amp;"","")</f>
        <v/>
      </c>
      <c r="H110" s="50" t="str">
        <f aca="false">IFERROR(INDEX(DATABASE!$H$4:$H$2003,MATCH($B110,DATABASE!$U$4:$U$2003,0))&amp;"","")</f>
        <v/>
      </c>
      <c r="I110" s="51" t="str">
        <f aca="false">IFERROR(INDEX(DATABASE!$I$4:$I$2003,MATCH($B110,DATABASE!$U$4:$U$2003,0))&amp;"","")</f>
        <v/>
      </c>
      <c r="J110" s="49" t="str">
        <f aca="false">IFERROR(INDEX(DATABASE!$O$4:$O$2003,MATCH($B110,DATABASE!$U$4:$U$2003,0))&amp;"","")</f>
        <v/>
      </c>
      <c r="K110" s="50" t="str">
        <f aca="false">IFERROR(INDEX(DATABASE!$J$4:$J$2003,MATCH($B110,DATABASE!$U$4:$U$2003,0))&amp;"","")</f>
        <v/>
      </c>
    </row>
    <row r="111" customFormat="false" ht="15" hidden="false" customHeight="false" outlineLevel="0" collapsed="false">
      <c r="B111" s="46" t="n">
        <v>99</v>
      </c>
      <c r="C111" s="47" t="str">
        <f aca="false">IFERROR(INDEX(DATABASE!$B$4:$B$2003,MATCH($B111,DATABASE!$U$4:$U$2003,0))&amp;"","")</f>
        <v/>
      </c>
      <c r="D111" s="48" t="str">
        <f aca="false">IFERROR(INDEX(DATABASE!$C$4:$C$2003,MATCH($B111,DATABASE!$U$4:$U$2003,0))&amp;"","")</f>
        <v/>
      </c>
      <c r="E111" s="46" t="str">
        <f aca="false">IFERROR(INDEX(DATABASE!$D$4:$D$2003,MATCH($B111,DATABASE!$U$4:$U$2003,0))&amp;"","")</f>
        <v/>
      </c>
      <c r="F111" s="46" t="str">
        <f aca="false">IFERROR(INDEX(DATABASE!$E$4:$E$2003,MATCH($B111,DATABASE!$U$4:$U$2003,0))&amp;"","")</f>
        <v/>
      </c>
      <c r="G111" s="48" t="str">
        <f aca="false">IFERROR(INDEX(DATABASE!$F$4:$F$2003,MATCH($B111,DATABASE!$U$4:$U$2003,0))&amp;"","")</f>
        <v/>
      </c>
      <c r="H111" s="47" t="str">
        <f aca="false">IFERROR(INDEX(DATABASE!$H$4:$H$2003,MATCH($B111,DATABASE!$U$4:$U$2003,0))&amp;"","")</f>
        <v/>
      </c>
      <c r="I111" s="48" t="str">
        <f aca="false">IFERROR(INDEX(DATABASE!$I$4:$I$2003,MATCH($B111,DATABASE!$U$4:$U$2003,0))&amp;"","")</f>
        <v/>
      </c>
      <c r="J111" s="46" t="str">
        <f aca="false">IFERROR(INDEX(DATABASE!$O$4:$O$2003,MATCH($B111,DATABASE!$U$4:$U$2003,0))&amp;"","")</f>
        <v/>
      </c>
      <c r="K111" s="47" t="str">
        <f aca="false">IFERROR(INDEX(DATABASE!$J$4:$J$2003,MATCH($B111,DATABASE!$U$4:$U$2003,0))&amp;"","")</f>
        <v/>
      </c>
    </row>
    <row r="112" customFormat="false" ht="15" hidden="false" customHeight="false" outlineLevel="0" collapsed="false">
      <c r="B112" s="49" t="n">
        <v>100</v>
      </c>
      <c r="C112" s="50" t="str">
        <f aca="false">IFERROR(INDEX(DATABASE!$B$4:$B$2003,MATCH($B112,DATABASE!$U$4:$U$2003,0))&amp;"","")</f>
        <v/>
      </c>
      <c r="D112" s="51" t="str">
        <f aca="false">IFERROR(INDEX(DATABASE!$C$4:$C$2003,MATCH($B112,DATABASE!$U$4:$U$2003,0))&amp;"","")</f>
        <v/>
      </c>
      <c r="E112" s="49" t="str">
        <f aca="false">IFERROR(INDEX(DATABASE!$D$4:$D$2003,MATCH($B112,DATABASE!$U$4:$U$2003,0))&amp;"","")</f>
        <v/>
      </c>
      <c r="F112" s="49" t="str">
        <f aca="false">IFERROR(INDEX(DATABASE!$E$4:$E$2003,MATCH($B112,DATABASE!$U$4:$U$2003,0))&amp;"","")</f>
        <v/>
      </c>
      <c r="G112" s="51" t="str">
        <f aca="false">IFERROR(INDEX(DATABASE!$F$4:$F$2003,MATCH($B112,DATABASE!$U$4:$U$2003,0))&amp;"","")</f>
        <v/>
      </c>
      <c r="H112" s="50" t="str">
        <f aca="false">IFERROR(INDEX(DATABASE!$H$4:$H$2003,MATCH($B112,DATABASE!$U$4:$U$2003,0))&amp;"","")</f>
        <v/>
      </c>
      <c r="I112" s="51" t="str">
        <f aca="false">IFERROR(INDEX(DATABASE!$I$4:$I$2003,MATCH($B112,DATABASE!$U$4:$U$2003,0))&amp;"","")</f>
        <v/>
      </c>
      <c r="J112" s="49" t="str">
        <f aca="false">IFERROR(INDEX(DATABASE!$O$4:$O$2003,MATCH($B112,DATABASE!$U$4:$U$2003,0))&amp;"","")</f>
        <v/>
      </c>
      <c r="K112" s="50" t="str">
        <f aca="false">IFERROR(INDEX(DATABASE!$J$4:$J$2003,MATCH($B112,DATABASE!$U$4:$U$2003,0))&amp;"","")</f>
        <v/>
      </c>
    </row>
    <row r="113" customFormat="false" ht="15" hidden="false" customHeight="false" outlineLevel="0" collapsed="false">
      <c r="B113" s="46" t="n">
        <v>101</v>
      </c>
      <c r="C113" s="47" t="str">
        <f aca="false">IFERROR(INDEX(DATABASE!$B$4:$B$2003,MATCH($B113,DATABASE!$U$4:$U$2003,0))&amp;"","")</f>
        <v/>
      </c>
      <c r="D113" s="48" t="str">
        <f aca="false">IFERROR(INDEX(DATABASE!$C$4:$C$2003,MATCH($B113,DATABASE!$U$4:$U$2003,0))&amp;"","")</f>
        <v/>
      </c>
      <c r="E113" s="46" t="str">
        <f aca="false">IFERROR(INDEX(DATABASE!$D$4:$D$2003,MATCH($B113,DATABASE!$U$4:$U$2003,0))&amp;"","")</f>
        <v/>
      </c>
      <c r="F113" s="46" t="str">
        <f aca="false">IFERROR(INDEX(DATABASE!$E$4:$E$2003,MATCH($B113,DATABASE!$U$4:$U$2003,0))&amp;"","")</f>
        <v/>
      </c>
      <c r="G113" s="48" t="str">
        <f aca="false">IFERROR(INDEX(DATABASE!$F$4:$F$2003,MATCH($B113,DATABASE!$U$4:$U$2003,0))&amp;"","")</f>
        <v/>
      </c>
      <c r="H113" s="47" t="str">
        <f aca="false">IFERROR(INDEX(DATABASE!$H$4:$H$2003,MATCH($B113,DATABASE!$U$4:$U$2003,0))&amp;"","")</f>
        <v/>
      </c>
      <c r="I113" s="48" t="str">
        <f aca="false">IFERROR(INDEX(DATABASE!$I$4:$I$2003,MATCH($B113,DATABASE!$U$4:$U$2003,0))&amp;"","")</f>
        <v/>
      </c>
      <c r="J113" s="46" t="str">
        <f aca="false">IFERROR(INDEX(DATABASE!$O$4:$O$2003,MATCH($B113,DATABASE!$U$4:$U$2003,0))&amp;"","")</f>
        <v/>
      </c>
      <c r="K113" s="47" t="str">
        <f aca="false">IFERROR(INDEX(DATABASE!$J$4:$J$2003,MATCH($B113,DATABASE!$U$4:$U$2003,0))&amp;"","")</f>
        <v/>
      </c>
    </row>
    <row r="114" customFormat="false" ht="15" hidden="false" customHeight="false" outlineLevel="0" collapsed="false">
      <c r="B114" s="49" t="n">
        <v>102</v>
      </c>
      <c r="C114" s="50" t="str">
        <f aca="false">IFERROR(INDEX(DATABASE!$B$4:$B$2003,MATCH($B114,DATABASE!$U$4:$U$2003,0))&amp;"","")</f>
        <v/>
      </c>
      <c r="D114" s="51" t="str">
        <f aca="false">IFERROR(INDEX(DATABASE!$C$4:$C$2003,MATCH($B114,DATABASE!$U$4:$U$2003,0))&amp;"","")</f>
        <v/>
      </c>
      <c r="E114" s="49" t="str">
        <f aca="false">IFERROR(INDEX(DATABASE!$D$4:$D$2003,MATCH($B114,DATABASE!$U$4:$U$2003,0))&amp;"","")</f>
        <v/>
      </c>
      <c r="F114" s="49" t="str">
        <f aca="false">IFERROR(INDEX(DATABASE!$E$4:$E$2003,MATCH($B114,DATABASE!$U$4:$U$2003,0))&amp;"","")</f>
        <v/>
      </c>
      <c r="G114" s="51" t="str">
        <f aca="false">IFERROR(INDEX(DATABASE!$F$4:$F$2003,MATCH($B114,DATABASE!$U$4:$U$2003,0))&amp;"","")</f>
        <v/>
      </c>
      <c r="H114" s="50" t="str">
        <f aca="false">IFERROR(INDEX(DATABASE!$H$4:$H$2003,MATCH($B114,DATABASE!$U$4:$U$2003,0))&amp;"","")</f>
        <v/>
      </c>
      <c r="I114" s="51" t="str">
        <f aca="false">IFERROR(INDEX(DATABASE!$I$4:$I$2003,MATCH($B114,DATABASE!$U$4:$U$2003,0))&amp;"","")</f>
        <v/>
      </c>
      <c r="J114" s="49" t="str">
        <f aca="false">IFERROR(INDEX(DATABASE!$O$4:$O$2003,MATCH($B114,DATABASE!$U$4:$U$2003,0))&amp;"","")</f>
        <v/>
      </c>
      <c r="K114" s="50" t="str">
        <f aca="false">IFERROR(INDEX(DATABASE!$J$4:$J$2003,MATCH($B114,DATABASE!$U$4:$U$2003,0))&amp;"","")</f>
        <v/>
      </c>
    </row>
    <row r="115" customFormat="false" ht="15" hidden="false" customHeight="false" outlineLevel="0" collapsed="false">
      <c r="B115" s="46" t="n">
        <v>103</v>
      </c>
      <c r="C115" s="47" t="str">
        <f aca="false">IFERROR(INDEX(DATABASE!$B$4:$B$2003,MATCH($B115,DATABASE!$U$4:$U$2003,0))&amp;"","")</f>
        <v/>
      </c>
      <c r="D115" s="48" t="str">
        <f aca="false">IFERROR(INDEX(DATABASE!$C$4:$C$2003,MATCH($B115,DATABASE!$U$4:$U$2003,0))&amp;"","")</f>
        <v/>
      </c>
      <c r="E115" s="46" t="str">
        <f aca="false">IFERROR(INDEX(DATABASE!$D$4:$D$2003,MATCH($B115,DATABASE!$U$4:$U$2003,0))&amp;"","")</f>
        <v/>
      </c>
      <c r="F115" s="46" t="str">
        <f aca="false">IFERROR(INDEX(DATABASE!$E$4:$E$2003,MATCH($B115,DATABASE!$U$4:$U$2003,0))&amp;"","")</f>
        <v/>
      </c>
      <c r="G115" s="48" t="str">
        <f aca="false">IFERROR(INDEX(DATABASE!$F$4:$F$2003,MATCH($B115,DATABASE!$U$4:$U$2003,0))&amp;"","")</f>
        <v/>
      </c>
      <c r="H115" s="47" t="str">
        <f aca="false">IFERROR(INDEX(DATABASE!$H$4:$H$2003,MATCH($B115,DATABASE!$U$4:$U$2003,0))&amp;"","")</f>
        <v/>
      </c>
      <c r="I115" s="48" t="str">
        <f aca="false">IFERROR(INDEX(DATABASE!$I$4:$I$2003,MATCH($B115,DATABASE!$U$4:$U$2003,0))&amp;"","")</f>
        <v/>
      </c>
      <c r="J115" s="46" t="str">
        <f aca="false">IFERROR(INDEX(DATABASE!$O$4:$O$2003,MATCH($B115,DATABASE!$U$4:$U$2003,0))&amp;"","")</f>
        <v/>
      </c>
      <c r="K115" s="47" t="str">
        <f aca="false">IFERROR(INDEX(DATABASE!$J$4:$J$2003,MATCH($B115,DATABASE!$U$4:$U$2003,0))&amp;"","")</f>
        <v/>
      </c>
    </row>
    <row r="116" customFormat="false" ht="15" hidden="false" customHeight="false" outlineLevel="0" collapsed="false">
      <c r="B116" s="49" t="n">
        <v>104</v>
      </c>
      <c r="C116" s="50" t="str">
        <f aca="false">IFERROR(INDEX(DATABASE!$B$4:$B$2003,MATCH($B116,DATABASE!$U$4:$U$2003,0))&amp;"","")</f>
        <v/>
      </c>
      <c r="D116" s="51" t="str">
        <f aca="false">IFERROR(INDEX(DATABASE!$C$4:$C$2003,MATCH($B116,DATABASE!$U$4:$U$2003,0))&amp;"","")</f>
        <v/>
      </c>
      <c r="E116" s="49" t="str">
        <f aca="false">IFERROR(INDEX(DATABASE!$D$4:$D$2003,MATCH($B116,DATABASE!$U$4:$U$2003,0))&amp;"","")</f>
        <v/>
      </c>
      <c r="F116" s="49" t="str">
        <f aca="false">IFERROR(INDEX(DATABASE!$E$4:$E$2003,MATCH($B116,DATABASE!$U$4:$U$2003,0))&amp;"","")</f>
        <v/>
      </c>
      <c r="G116" s="51" t="str">
        <f aca="false">IFERROR(INDEX(DATABASE!$F$4:$F$2003,MATCH($B116,DATABASE!$U$4:$U$2003,0))&amp;"","")</f>
        <v/>
      </c>
      <c r="H116" s="50" t="str">
        <f aca="false">IFERROR(INDEX(DATABASE!$H$4:$H$2003,MATCH($B116,DATABASE!$U$4:$U$2003,0))&amp;"","")</f>
        <v/>
      </c>
      <c r="I116" s="51" t="str">
        <f aca="false">IFERROR(INDEX(DATABASE!$I$4:$I$2003,MATCH($B116,DATABASE!$U$4:$U$2003,0))&amp;"","")</f>
        <v/>
      </c>
      <c r="J116" s="49" t="str">
        <f aca="false">IFERROR(INDEX(DATABASE!$O$4:$O$2003,MATCH($B116,DATABASE!$U$4:$U$2003,0))&amp;"","")</f>
        <v/>
      </c>
      <c r="K116" s="50" t="str">
        <f aca="false">IFERROR(INDEX(DATABASE!$J$4:$J$2003,MATCH($B116,DATABASE!$U$4:$U$2003,0))&amp;"","")</f>
        <v/>
      </c>
    </row>
    <row r="117" customFormat="false" ht="15" hidden="false" customHeight="false" outlineLevel="0" collapsed="false">
      <c r="B117" s="46" t="n">
        <v>105</v>
      </c>
      <c r="C117" s="47" t="str">
        <f aca="false">IFERROR(INDEX(DATABASE!$B$4:$B$2003,MATCH($B117,DATABASE!$U$4:$U$2003,0))&amp;"","")</f>
        <v/>
      </c>
      <c r="D117" s="48" t="str">
        <f aca="false">IFERROR(INDEX(DATABASE!$C$4:$C$2003,MATCH($B117,DATABASE!$U$4:$U$2003,0))&amp;"","")</f>
        <v/>
      </c>
      <c r="E117" s="46" t="str">
        <f aca="false">IFERROR(INDEX(DATABASE!$D$4:$D$2003,MATCH($B117,DATABASE!$U$4:$U$2003,0))&amp;"","")</f>
        <v/>
      </c>
      <c r="F117" s="46" t="str">
        <f aca="false">IFERROR(INDEX(DATABASE!$E$4:$E$2003,MATCH($B117,DATABASE!$U$4:$U$2003,0))&amp;"","")</f>
        <v/>
      </c>
      <c r="G117" s="48" t="str">
        <f aca="false">IFERROR(INDEX(DATABASE!$F$4:$F$2003,MATCH($B117,DATABASE!$U$4:$U$2003,0))&amp;"","")</f>
        <v/>
      </c>
      <c r="H117" s="47" t="str">
        <f aca="false">IFERROR(INDEX(DATABASE!$H$4:$H$2003,MATCH($B117,DATABASE!$U$4:$U$2003,0))&amp;"","")</f>
        <v/>
      </c>
      <c r="I117" s="48" t="str">
        <f aca="false">IFERROR(INDEX(DATABASE!$I$4:$I$2003,MATCH($B117,DATABASE!$U$4:$U$2003,0))&amp;"","")</f>
        <v/>
      </c>
      <c r="J117" s="46" t="str">
        <f aca="false">IFERROR(INDEX(DATABASE!$O$4:$O$2003,MATCH($B117,DATABASE!$U$4:$U$2003,0))&amp;"","")</f>
        <v/>
      </c>
      <c r="K117" s="47" t="str">
        <f aca="false">IFERROR(INDEX(DATABASE!$J$4:$J$2003,MATCH($B117,DATABASE!$U$4:$U$2003,0))&amp;"","")</f>
        <v/>
      </c>
    </row>
    <row r="118" customFormat="false" ht="15" hidden="false" customHeight="false" outlineLevel="0" collapsed="false">
      <c r="B118" s="49" t="n">
        <v>106</v>
      </c>
      <c r="C118" s="50" t="str">
        <f aca="false">IFERROR(INDEX(DATABASE!$B$4:$B$2003,MATCH($B118,DATABASE!$U$4:$U$2003,0))&amp;"","")</f>
        <v/>
      </c>
      <c r="D118" s="51" t="str">
        <f aca="false">IFERROR(INDEX(DATABASE!$C$4:$C$2003,MATCH($B118,DATABASE!$U$4:$U$2003,0))&amp;"","")</f>
        <v/>
      </c>
      <c r="E118" s="49" t="str">
        <f aca="false">IFERROR(INDEX(DATABASE!$D$4:$D$2003,MATCH($B118,DATABASE!$U$4:$U$2003,0))&amp;"","")</f>
        <v/>
      </c>
      <c r="F118" s="49" t="str">
        <f aca="false">IFERROR(INDEX(DATABASE!$E$4:$E$2003,MATCH($B118,DATABASE!$U$4:$U$2003,0))&amp;"","")</f>
        <v/>
      </c>
      <c r="G118" s="51" t="str">
        <f aca="false">IFERROR(INDEX(DATABASE!$F$4:$F$2003,MATCH($B118,DATABASE!$U$4:$U$2003,0))&amp;"","")</f>
        <v/>
      </c>
      <c r="H118" s="50" t="str">
        <f aca="false">IFERROR(INDEX(DATABASE!$H$4:$H$2003,MATCH($B118,DATABASE!$U$4:$U$2003,0))&amp;"","")</f>
        <v/>
      </c>
      <c r="I118" s="51" t="str">
        <f aca="false">IFERROR(INDEX(DATABASE!$I$4:$I$2003,MATCH($B118,DATABASE!$U$4:$U$2003,0))&amp;"","")</f>
        <v/>
      </c>
      <c r="J118" s="49" t="str">
        <f aca="false">IFERROR(INDEX(DATABASE!$O$4:$O$2003,MATCH($B118,DATABASE!$U$4:$U$2003,0))&amp;"","")</f>
        <v/>
      </c>
      <c r="K118" s="50" t="str">
        <f aca="false">IFERROR(INDEX(DATABASE!$J$4:$J$2003,MATCH($B118,DATABASE!$U$4:$U$2003,0))&amp;"","")</f>
        <v/>
      </c>
    </row>
    <row r="119" customFormat="false" ht="15" hidden="false" customHeight="false" outlineLevel="0" collapsed="false">
      <c r="B119" s="46" t="n">
        <v>107</v>
      </c>
      <c r="C119" s="47" t="str">
        <f aca="false">IFERROR(INDEX(DATABASE!$B$4:$B$2003,MATCH($B119,DATABASE!$U$4:$U$2003,0))&amp;"","")</f>
        <v/>
      </c>
      <c r="D119" s="48" t="str">
        <f aca="false">IFERROR(INDEX(DATABASE!$C$4:$C$2003,MATCH($B119,DATABASE!$U$4:$U$2003,0))&amp;"","")</f>
        <v/>
      </c>
      <c r="E119" s="46" t="str">
        <f aca="false">IFERROR(INDEX(DATABASE!$D$4:$D$2003,MATCH($B119,DATABASE!$U$4:$U$2003,0))&amp;"","")</f>
        <v/>
      </c>
      <c r="F119" s="46" t="str">
        <f aca="false">IFERROR(INDEX(DATABASE!$E$4:$E$2003,MATCH($B119,DATABASE!$U$4:$U$2003,0))&amp;"","")</f>
        <v/>
      </c>
      <c r="G119" s="48" t="str">
        <f aca="false">IFERROR(INDEX(DATABASE!$F$4:$F$2003,MATCH($B119,DATABASE!$U$4:$U$2003,0))&amp;"","")</f>
        <v/>
      </c>
      <c r="H119" s="47" t="str">
        <f aca="false">IFERROR(INDEX(DATABASE!$H$4:$H$2003,MATCH($B119,DATABASE!$U$4:$U$2003,0))&amp;"","")</f>
        <v/>
      </c>
      <c r="I119" s="48" t="str">
        <f aca="false">IFERROR(INDEX(DATABASE!$I$4:$I$2003,MATCH($B119,DATABASE!$U$4:$U$2003,0))&amp;"","")</f>
        <v/>
      </c>
      <c r="J119" s="46" t="str">
        <f aca="false">IFERROR(INDEX(DATABASE!$O$4:$O$2003,MATCH($B119,DATABASE!$U$4:$U$2003,0))&amp;"","")</f>
        <v/>
      </c>
      <c r="K119" s="47" t="str">
        <f aca="false">IFERROR(INDEX(DATABASE!$J$4:$J$2003,MATCH($B119,DATABASE!$U$4:$U$2003,0))&amp;"","")</f>
        <v/>
      </c>
    </row>
    <row r="120" customFormat="false" ht="15" hidden="false" customHeight="false" outlineLevel="0" collapsed="false">
      <c r="B120" s="49" t="n">
        <v>108</v>
      </c>
      <c r="C120" s="50" t="str">
        <f aca="false">IFERROR(INDEX(DATABASE!$B$4:$B$2003,MATCH($B120,DATABASE!$U$4:$U$2003,0))&amp;"","")</f>
        <v/>
      </c>
      <c r="D120" s="51" t="str">
        <f aca="false">IFERROR(INDEX(DATABASE!$C$4:$C$2003,MATCH($B120,DATABASE!$U$4:$U$2003,0))&amp;"","")</f>
        <v/>
      </c>
      <c r="E120" s="49" t="str">
        <f aca="false">IFERROR(INDEX(DATABASE!$D$4:$D$2003,MATCH($B120,DATABASE!$U$4:$U$2003,0))&amp;"","")</f>
        <v/>
      </c>
      <c r="F120" s="49" t="str">
        <f aca="false">IFERROR(INDEX(DATABASE!$E$4:$E$2003,MATCH($B120,DATABASE!$U$4:$U$2003,0))&amp;"","")</f>
        <v/>
      </c>
      <c r="G120" s="51" t="str">
        <f aca="false">IFERROR(INDEX(DATABASE!$F$4:$F$2003,MATCH($B120,DATABASE!$U$4:$U$2003,0))&amp;"","")</f>
        <v/>
      </c>
      <c r="H120" s="50" t="str">
        <f aca="false">IFERROR(INDEX(DATABASE!$H$4:$H$2003,MATCH($B120,DATABASE!$U$4:$U$2003,0))&amp;"","")</f>
        <v/>
      </c>
      <c r="I120" s="51" t="str">
        <f aca="false">IFERROR(INDEX(DATABASE!$I$4:$I$2003,MATCH($B120,DATABASE!$U$4:$U$2003,0))&amp;"","")</f>
        <v/>
      </c>
      <c r="J120" s="49" t="str">
        <f aca="false">IFERROR(INDEX(DATABASE!$O$4:$O$2003,MATCH($B120,DATABASE!$U$4:$U$2003,0))&amp;"","")</f>
        <v/>
      </c>
      <c r="K120" s="50" t="str">
        <f aca="false">IFERROR(INDEX(DATABASE!$J$4:$J$2003,MATCH($B120,DATABASE!$U$4:$U$2003,0))&amp;"","")</f>
        <v/>
      </c>
    </row>
    <row r="121" customFormat="false" ht="15" hidden="false" customHeight="false" outlineLevel="0" collapsed="false">
      <c r="B121" s="46" t="n">
        <v>109</v>
      </c>
      <c r="C121" s="47" t="str">
        <f aca="false">IFERROR(INDEX(DATABASE!$B$4:$B$2003,MATCH($B121,DATABASE!$U$4:$U$2003,0))&amp;"","")</f>
        <v/>
      </c>
      <c r="D121" s="48" t="str">
        <f aca="false">IFERROR(INDEX(DATABASE!$C$4:$C$2003,MATCH($B121,DATABASE!$U$4:$U$2003,0))&amp;"","")</f>
        <v/>
      </c>
      <c r="E121" s="46" t="str">
        <f aca="false">IFERROR(INDEX(DATABASE!$D$4:$D$2003,MATCH($B121,DATABASE!$U$4:$U$2003,0))&amp;"","")</f>
        <v/>
      </c>
      <c r="F121" s="46" t="str">
        <f aca="false">IFERROR(INDEX(DATABASE!$E$4:$E$2003,MATCH($B121,DATABASE!$U$4:$U$2003,0))&amp;"","")</f>
        <v/>
      </c>
      <c r="G121" s="48" t="str">
        <f aca="false">IFERROR(INDEX(DATABASE!$F$4:$F$2003,MATCH($B121,DATABASE!$U$4:$U$2003,0))&amp;"","")</f>
        <v/>
      </c>
      <c r="H121" s="47" t="str">
        <f aca="false">IFERROR(INDEX(DATABASE!$H$4:$H$2003,MATCH($B121,DATABASE!$U$4:$U$2003,0))&amp;"","")</f>
        <v/>
      </c>
      <c r="I121" s="48" t="str">
        <f aca="false">IFERROR(INDEX(DATABASE!$I$4:$I$2003,MATCH($B121,DATABASE!$U$4:$U$2003,0))&amp;"","")</f>
        <v/>
      </c>
      <c r="J121" s="46" t="str">
        <f aca="false">IFERROR(INDEX(DATABASE!$O$4:$O$2003,MATCH($B121,DATABASE!$U$4:$U$2003,0))&amp;"","")</f>
        <v/>
      </c>
      <c r="K121" s="47" t="str">
        <f aca="false">IFERROR(INDEX(DATABASE!$J$4:$J$2003,MATCH($B121,DATABASE!$U$4:$U$2003,0))&amp;"","")</f>
        <v/>
      </c>
    </row>
    <row r="122" customFormat="false" ht="15" hidden="false" customHeight="false" outlineLevel="0" collapsed="false">
      <c r="B122" s="49" t="n">
        <v>110</v>
      </c>
      <c r="C122" s="50" t="str">
        <f aca="false">IFERROR(INDEX(DATABASE!$B$4:$B$2003,MATCH($B122,DATABASE!$U$4:$U$2003,0))&amp;"","")</f>
        <v/>
      </c>
      <c r="D122" s="51" t="str">
        <f aca="false">IFERROR(INDEX(DATABASE!$C$4:$C$2003,MATCH($B122,DATABASE!$U$4:$U$2003,0))&amp;"","")</f>
        <v/>
      </c>
      <c r="E122" s="49" t="str">
        <f aca="false">IFERROR(INDEX(DATABASE!$D$4:$D$2003,MATCH($B122,DATABASE!$U$4:$U$2003,0))&amp;"","")</f>
        <v/>
      </c>
      <c r="F122" s="49" t="str">
        <f aca="false">IFERROR(INDEX(DATABASE!$E$4:$E$2003,MATCH($B122,DATABASE!$U$4:$U$2003,0))&amp;"","")</f>
        <v/>
      </c>
      <c r="G122" s="51" t="str">
        <f aca="false">IFERROR(INDEX(DATABASE!$F$4:$F$2003,MATCH($B122,DATABASE!$U$4:$U$2003,0))&amp;"","")</f>
        <v/>
      </c>
      <c r="H122" s="50" t="str">
        <f aca="false">IFERROR(INDEX(DATABASE!$H$4:$H$2003,MATCH($B122,DATABASE!$U$4:$U$2003,0))&amp;"","")</f>
        <v/>
      </c>
      <c r="I122" s="51" t="str">
        <f aca="false">IFERROR(INDEX(DATABASE!$I$4:$I$2003,MATCH($B122,DATABASE!$U$4:$U$2003,0))&amp;"","")</f>
        <v/>
      </c>
      <c r="J122" s="49" t="str">
        <f aca="false">IFERROR(INDEX(DATABASE!$O$4:$O$2003,MATCH($B122,DATABASE!$U$4:$U$2003,0))&amp;"","")</f>
        <v/>
      </c>
      <c r="K122" s="50" t="str">
        <f aca="false">IFERROR(INDEX(DATABASE!$J$4:$J$2003,MATCH($B122,DATABASE!$U$4:$U$2003,0))&amp;"","")</f>
        <v/>
      </c>
    </row>
    <row r="123" customFormat="false" ht="15" hidden="false" customHeight="false" outlineLevel="0" collapsed="false">
      <c r="B123" s="46" t="n">
        <v>111</v>
      </c>
      <c r="C123" s="47" t="str">
        <f aca="false">IFERROR(INDEX(DATABASE!$B$4:$B$2003,MATCH($B123,DATABASE!$U$4:$U$2003,0))&amp;"","")</f>
        <v/>
      </c>
      <c r="D123" s="48" t="str">
        <f aca="false">IFERROR(INDEX(DATABASE!$C$4:$C$2003,MATCH($B123,DATABASE!$U$4:$U$2003,0))&amp;"","")</f>
        <v/>
      </c>
      <c r="E123" s="46" t="str">
        <f aca="false">IFERROR(INDEX(DATABASE!$D$4:$D$2003,MATCH($B123,DATABASE!$U$4:$U$2003,0))&amp;"","")</f>
        <v/>
      </c>
      <c r="F123" s="46" t="str">
        <f aca="false">IFERROR(INDEX(DATABASE!$E$4:$E$2003,MATCH($B123,DATABASE!$U$4:$U$2003,0))&amp;"","")</f>
        <v/>
      </c>
      <c r="G123" s="48" t="str">
        <f aca="false">IFERROR(INDEX(DATABASE!$F$4:$F$2003,MATCH($B123,DATABASE!$U$4:$U$2003,0))&amp;"","")</f>
        <v/>
      </c>
      <c r="H123" s="47" t="str">
        <f aca="false">IFERROR(INDEX(DATABASE!$H$4:$H$2003,MATCH($B123,DATABASE!$U$4:$U$2003,0))&amp;"","")</f>
        <v/>
      </c>
      <c r="I123" s="48" t="str">
        <f aca="false">IFERROR(INDEX(DATABASE!$I$4:$I$2003,MATCH($B123,DATABASE!$U$4:$U$2003,0))&amp;"","")</f>
        <v/>
      </c>
      <c r="J123" s="46" t="str">
        <f aca="false">IFERROR(INDEX(DATABASE!$O$4:$O$2003,MATCH($B123,DATABASE!$U$4:$U$2003,0))&amp;"","")</f>
        <v/>
      </c>
      <c r="K123" s="47" t="str">
        <f aca="false">IFERROR(INDEX(DATABASE!$J$4:$J$2003,MATCH($B123,DATABASE!$U$4:$U$2003,0))&amp;"","")</f>
        <v/>
      </c>
    </row>
    <row r="124" customFormat="false" ht="15" hidden="false" customHeight="false" outlineLevel="0" collapsed="false">
      <c r="B124" s="49" t="n">
        <v>112</v>
      </c>
      <c r="C124" s="50" t="str">
        <f aca="false">IFERROR(INDEX(DATABASE!$B$4:$B$2003,MATCH($B124,DATABASE!$U$4:$U$2003,0))&amp;"","")</f>
        <v/>
      </c>
      <c r="D124" s="51" t="str">
        <f aca="false">IFERROR(INDEX(DATABASE!$C$4:$C$2003,MATCH($B124,DATABASE!$U$4:$U$2003,0))&amp;"","")</f>
        <v/>
      </c>
      <c r="E124" s="49" t="str">
        <f aca="false">IFERROR(INDEX(DATABASE!$D$4:$D$2003,MATCH($B124,DATABASE!$U$4:$U$2003,0))&amp;"","")</f>
        <v/>
      </c>
      <c r="F124" s="49" t="str">
        <f aca="false">IFERROR(INDEX(DATABASE!$E$4:$E$2003,MATCH($B124,DATABASE!$U$4:$U$2003,0))&amp;"","")</f>
        <v/>
      </c>
      <c r="G124" s="51" t="str">
        <f aca="false">IFERROR(INDEX(DATABASE!$F$4:$F$2003,MATCH($B124,DATABASE!$U$4:$U$2003,0))&amp;"","")</f>
        <v/>
      </c>
      <c r="H124" s="50" t="str">
        <f aca="false">IFERROR(INDEX(DATABASE!$H$4:$H$2003,MATCH($B124,DATABASE!$U$4:$U$2003,0))&amp;"","")</f>
        <v/>
      </c>
      <c r="I124" s="51" t="str">
        <f aca="false">IFERROR(INDEX(DATABASE!$I$4:$I$2003,MATCH($B124,DATABASE!$U$4:$U$2003,0))&amp;"","")</f>
        <v/>
      </c>
      <c r="J124" s="49" t="str">
        <f aca="false">IFERROR(INDEX(DATABASE!$O$4:$O$2003,MATCH($B124,DATABASE!$U$4:$U$2003,0))&amp;"","")</f>
        <v/>
      </c>
      <c r="K124" s="50" t="str">
        <f aca="false">IFERROR(INDEX(DATABASE!$J$4:$J$2003,MATCH($B124,DATABASE!$U$4:$U$2003,0))&amp;"","")</f>
        <v/>
      </c>
    </row>
    <row r="125" customFormat="false" ht="15" hidden="false" customHeight="false" outlineLevel="0" collapsed="false">
      <c r="B125" s="46" t="n">
        <v>113</v>
      </c>
      <c r="C125" s="47" t="str">
        <f aca="false">IFERROR(INDEX(DATABASE!$B$4:$B$2003,MATCH($B125,DATABASE!$U$4:$U$2003,0))&amp;"","")</f>
        <v/>
      </c>
      <c r="D125" s="48" t="str">
        <f aca="false">IFERROR(INDEX(DATABASE!$C$4:$C$2003,MATCH($B125,DATABASE!$U$4:$U$2003,0))&amp;"","")</f>
        <v/>
      </c>
      <c r="E125" s="46" t="str">
        <f aca="false">IFERROR(INDEX(DATABASE!$D$4:$D$2003,MATCH($B125,DATABASE!$U$4:$U$2003,0))&amp;"","")</f>
        <v/>
      </c>
      <c r="F125" s="46" t="str">
        <f aca="false">IFERROR(INDEX(DATABASE!$E$4:$E$2003,MATCH($B125,DATABASE!$U$4:$U$2003,0))&amp;"","")</f>
        <v/>
      </c>
      <c r="G125" s="48" t="str">
        <f aca="false">IFERROR(INDEX(DATABASE!$F$4:$F$2003,MATCH($B125,DATABASE!$U$4:$U$2003,0))&amp;"","")</f>
        <v/>
      </c>
      <c r="H125" s="47" t="str">
        <f aca="false">IFERROR(INDEX(DATABASE!$H$4:$H$2003,MATCH($B125,DATABASE!$U$4:$U$2003,0))&amp;"","")</f>
        <v/>
      </c>
      <c r="I125" s="48" t="str">
        <f aca="false">IFERROR(INDEX(DATABASE!$I$4:$I$2003,MATCH($B125,DATABASE!$U$4:$U$2003,0))&amp;"","")</f>
        <v/>
      </c>
      <c r="J125" s="46" t="str">
        <f aca="false">IFERROR(INDEX(DATABASE!$O$4:$O$2003,MATCH($B125,DATABASE!$U$4:$U$2003,0))&amp;"","")</f>
        <v/>
      </c>
      <c r="K125" s="47" t="str">
        <f aca="false">IFERROR(INDEX(DATABASE!$J$4:$J$2003,MATCH($B125,DATABASE!$U$4:$U$2003,0))&amp;"","")</f>
        <v/>
      </c>
    </row>
    <row r="126" customFormat="false" ht="15" hidden="false" customHeight="false" outlineLevel="0" collapsed="false">
      <c r="B126" s="49" t="n">
        <v>114</v>
      </c>
      <c r="C126" s="50" t="str">
        <f aca="false">IFERROR(INDEX(DATABASE!$B$4:$B$2003,MATCH($B126,DATABASE!$U$4:$U$2003,0))&amp;"","")</f>
        <v/>
      </c>
      <c r="D126" s="51" t="str">
        <f aca="false">IFERROR(INDEX(DATABASE!$C$4:$C$2003,MATCH($B126,DATABASE!$U$4:$U$2003,0))&amp;"","")</f>
        <v/>
      </c>
      <c r="E126" s="49" t="str">
        <f aca="false">IFERROR(INDEX(DATABASE!$D$4:$D$2003,MATCH($B126,DATABASE!$U$4:$U$2003,0))&amp;"","")</f>
        <v/>
      </c>
      <c r="F126" s="49" t="str">
        <f aca="false">IFERROR(INDEX(DATABASE!$E$4:$E$2003,MATCH($B126,DATABASE!$U$4:$U$2003,0))&amp;"","")</f>
        <v/>
      </c>
      <c r="G126" s="51" t="str">
        <f aca="false">IFERROR(INDEX(DATABASE!$F$4:$F$2003,MATCH($B126,DATABASE!$U$4:$U$2003,0))&amp;"","")</f>
        <v/>
      </c>
      <c r="H126" s="50" t="str">
        <f aca="false">IFERROR(INDEX(DATABASE!$H$4:$H$2003,MATCH($B126,DATABASE!$U$4:$U$2003,0))&amp;"","")</f>
        <v/>
      </c>
      <c r="I126" s="51" t="str">
        <f aca="false">IFERROR(INDEX(DATABASE!$I$4:$I$2003,MATCH($B126,DATABASE!$U$4:$U$2003,0))&amp;"","")</f>
        <v/>
      </c>
      <c r="J126" s="49" t="str">
        <f aca="false">IFERROR(INDEX(DATABASE!$O$4:$O$2003,MATCH($B126,DATABASE!$U$4:$U$2003,0))&amp;"","")</f>
        <v/>
      </c>
      <c r="K126" s="50" t="str">
        <f aca="false">IFERROR(INDEX(DATABASE!$J$4:$J$2003,MATCH($B126,DATABASE!$U$4:$U$2003,0))&amp;"","")</f>
        <v/>
      </c>
    </row>
    <row r="127" customFormat="false" ht="15" hidden="false" customHeight="false" outlineLevel="0" collapsed="false">
      <c r="B127" s="46" t="n">
        <v>115</v>
      </c>
      <c r="C127" s="47" t="str">
        <f aca="false">IFERROR(INDEX(DATABASE!$B$4:$B$2003,MATCH($B127,DATABASE!$U$4:$U$2003,0))&amp;"","")</f>
        <v/>
      </c>
      <c r="D127" s="48" t="str">
        <f aca="false">IFERROR(INDEX(DATABASE!$C$4:$C$2003,MATCH($B127,DATABASE!$U$4:$U$2003,0))&amp;"","")</f>
        <v/>
      </c>
      <c r="E127" s="46" t="str">
        <f aca="false">IFERROR(INDEX(DATABASE!$D$4:$D$2003,MATCH($B127,DATABASE!$U$4:$U$2003,0))&amp;"","")</f>
        <v/>
      </c>
      <c r="F127" s="46" t="str">
        <f aca="false">IFERROR(INDEX(DATABASE!$E$4:$E$2003,MATCH($B127,DATABASE!$U$4:$U$2003,0))&amp;"","")</f>
        <v/>
      </c>
      <c r="G127" s="48" t="str">
        <f aca="false">IFERROR(INDEX(DATABASE!$F$4:$F$2003,MATCH($B127,DATABASE!$U$4:$U$2003,0))&amp;"","")</f>
        <v/>
      </c>
      <c r="H127" s="47" t="str">
        <f aca="false">IFERROR(INDEX(DATABASE!$H$4:$H$2003,MATCH($B127,DATABASE!$U$4:$U$2003,0))&amp;"","")</f>
        <v/>
      </c>
      <c r="I127" s="48" t="str">
        <f aca="false">IFERROR(INDEX(DATABASE!$I$4:$I$2003,MATCH($B127,DATABASE!$U$4:$U$2003,0))&amp;"","")</f>
        <v/>
      </c>
      <c r="J127" s="46" t="str">
        <f aca="false">IFERROR(INDEX(DATABASE!$O$4:$O$2003,MATCH($B127,DATABASE!$U$4:$U$2003,0))&amp;"","")</f>
        <v/>
      </c>
      <c r="K127" s="47" t="str">
        <f aca="false">IFERROR(INDEX(DATABASE!$J$4:$J$2003,MATCH($B127,DATABASE!$U$4:$U$2003,0))&amp;"","")</f>
        <v/>
      </c>
    </row>
    <row r="128" customFormat="false" ht="15" hidden="false" customHeight="false" outlineLevel="0" collapsed="false">
      <c r="B128" s="49" t="n">
        <v>116</v>
      </c>
      <c r="C128" s="50" t="str">
        <f aca="false">IFERROR(INDEX(DATABASE!$B$4:$B$2003,MATCH($B128,DATABASE!$U$4:$U$2003,0))&amp;"","")</f>
        <v/>
      </c>
      <c r="D128" s="51" t="str">
        <f aca="false">IFERROR(INDEX(DATABASE!$C$4:$C$2003,MATCH($B128,DATABASE!$U$4:$U$2003,0))&amp;"","")</f>
        <v/>
      </c>
      <c r="E128" s="49" t="str">
        <f aca="false">IFERROR(INDEX(DATABASE!$D$4:$D$2003,MATCH($B128,DATABASE!$U$4:$U$2003,0))&amp;"","")</f>
        <v/>
      </c>
      <c r="F128" s="49" t="str">
        <f aca="false">IFERROR(INDEX(DATABASE!$E$4:$E$2003,MATCH($B128,DATABASE!$U$4:$U$2003,0))&amp;"","")</f>
        <v/>
      </c>
      <c r="G128" s="51" t="str">
        <f aca="false">IFERROR(INDEX(DATABASE!$F$4:$F$2003,MATCH($B128,DATABASE!$U$4:$U$2003,0))&amp;"","")</f>
        <v/>
      </c>
      <c r="H128" s="50" t="str">
        <f aca="false">IFERROR(INDEX(DATABASE!$H$4:$H$2003,MATCH($B128,DATABASE!$U$4:$U$2003,0))&amp;"","")</f>
        <v/>
      </c>
      <c r="I128" s="51" t="str">
        <f aca="false">IFERROR(INDEX(DATABASE!$I$4:$I$2003,MATCH($B128,DATABASE!$U$4:$U$2003,0))&amp;"","")</f>
        <v/>
      </c>
      <c r="J128" s="49" t="str">
        <f aca="false">IFERROR(INDEX(DATABASE!$O$4:$O$2003,MATCH($B128,DATABASE!$U$4:$U$2003,0))&amp;"","")</f>
        <v/>
      </c>
      <c r="K128" s="50" t="str">
        <f aca="false">IFERROR(INDEX(DATABASE!$J$4:$J$2003,MATCH($B128,DATABASE!$U$4:$U$2003,0))&amp;"","")</f>
        <v/>
      </c>
    </row>
    <row r="129" customFormat="false" ht="15" hidden="false" customHeight="false" outlineLevel="0" collapsed="false">
      <c r="B129" s="46" t="n">
        <v>117</v>
      </c>
      <c r="C129" s="47" t="str">
        <f aca="false">IFERROR(INDEX(DATABASE!$B$4:$B$2003,MATCH($B129,DATABASE!$U$4:$U$2003,0))&amp;"","")</f>
        <v/>
      </c>
      <c r="D129" s="48" t="str">
        <f aca="false">IFERROR(INDEX(DATABASE!$C$4:$C$2003,MATCH($B129,DATABASE!$U$4:$U$2003,0))&amp;"","")</f>
        <v/>
      </c>
      <c r="E129" s="46" t="str">
        <f aca="false">IFERROR(INDEX(DATABASE!$D$4:$D$2003,MATCH($B129,DATABASE!$U$4:$U$2003,0))&amp;"","")</f>
        <v/>
      </c>
      <c r="F129" s="46" t="str">
        <f aca="false">IFERROR(INDEX(DATABASE!$E$4:$E$2003,MATCH($B129,DATABASE!$U$4:$U$2003,0))&amp;"","")</f>
        <v/>
      </c>
      <c r="G129" s="48" t="str">
        <f aca="false">IFERROR(INDEX(DATABASE!$F$4:$F$2003,MATCH($B129,DATABASE!$U$4:$U$2003,0))&amp;"","")</f>
        <v/>
      </c>
      <c r="H129" s="47" t="str">
        <f aca="false">IFERROR(INDEX(DATABASE!$H$4:$H$2003,MATCH($B129,DATABASE!$U$4:$U$2003,0))&amp;"","")</f>
        <v/>
      </c>
      <c r="I129" s="48" t="str">
        <f aca="false">IFERROR(INDEX(DATABASE!$I$4:$I$2003,MATCH($B129,DATABASE!$U$4:$U$2003,0))&amp;"","")</f>
        <v/>
      </c>
      <c r="J129" s="46" t="str">
        <f aca="false">IFERROR(INDEX(DATABASE!$O$4:$O$2003,MATCH($B129,DATABASE!$U$4:$U$2003,0))&amp;"","")</f>
        <v/>
      </c>
      <c r="K129" s="47" t="str">
        <f aca="false">IFERROR(INDEX(DATABASE!$J$4:$J$2003,MATCH($B129,DATABASE!$U$4:$U$2003,0))&amp;"","")</f>
        <v/>
      </c>
    </row>
    <row r="130" customFormat="false" ht="15" hidden="false" customHeight="false" outlineLevel="0" collapsed="false">
      <c r="B130" s="49" t="n">
        <v>118</v>
      </c>
      <c r="C130" s="50" t="str">
        <f aca="false">IFERROR(INDEX(DATABASE!$B$4:$B$2003,MATCH($B130,DATABASE!$U$4:$U$2003,0))&amp;"","")</f>
        <v/>
      </c>
      <c r="D130" s="51" t="str">
        <f aca="false">IFERROR(INDEX(DATABASE!$C$4:$C$2003,MATCH($B130,DATABASE!$U$4:$U$2003,0))&amp;"","")</f>
        <v/>
      </c>
      <c r="E130" s="49" t="str">
        <f aca="false">IFERROR(INDEX(DATABASE!$D$4:$D$2003,MATCH($B130,DATABASE!$U$4:$U$2003,0))&amp;"","")</f>
        <v/>
      </c>
      <c r="F130" s="49" t="str">
        <f aca="false">IFERROR(INDEX(DATABASE!$E$4:$E$2003,MATCH($B130,DATABASE!$U$4:$U$2003,0))&amp;"","")</f>
        <v/>
      </c>
      <c r="G130" s="51" t="str">
        <f aca="false">IFERROR(INDEX(DATABASE!$F$4:$F$2003,MATCH($B130,DATABASE!$U$4:$U$2003,0))&amp;"","")</f>
        <v/>
      </c>
      <c r="H130" s="50" t="str">
        <f aca="false">IFERROR(INDEX(DATABASE!$H$4:$H$2003,MATCH($B130,DATABASE!$U$4:$U$2003,0))&amp;"","")</f>
        <v/>
      </c>
      <c r="I130" s="51" t="str">
        <f aca="false">IFERROR(INDEX(DATABASE!$I$4:$I$2003,MATCH($B130,DATABASE!$U$4:$U$2003,0))&amp;"","")</f>
        <v/>
      </c>
      <c r="J130" s="49" t="str">
        <f aca="false">IFERROR(INDEX(DATABASE!$O$4:$O$2003,MATCH($B130,DATABASE!$U$4:$U$2003,0))&amp;"","")</f>
        <v/>
      </c>
      <c r="K130" s="50" t="str">
        <f aca="false">IFERROR(INDEX(DATABASE!$J$4:$J$2003,MATCH($B130,DATABASE!$U$4:$U$2003,0))&amp;"","")</f>
        <v/>
      </c>
    </row>
    <row r="131" customFormat="false" ht="15" hidden="false" customHeight="false" outlineLevel="0" collapsed="false">
      <c r="B131" s="46" t="n">
        <v>119</v>
      </c>
      <c r="C131" s="47" t="str">
        <f aca="false">IFERROR(INDEX(DATABASE!$B$4:$B$2003,MATCH($B131,DATABASE!$U$4:$U$2003,0))&amp;"","")</f>
        <v/>
      </c>
      <c r="D131" s="48" t="str">
        <f aca="false">IFERROR(INDEX(DATABASE!$C$4:$C$2003,MATCH($B131,DATABASE!$U$4:$U$2003,0))&amp;"","")</f>
        <v/>
      </c>
      <c r="E131" s="46" t="str">
        <f aca="false">IFERROR(INDEX(DATABASE!$D$4:$D$2003,MATCH($B131,DATABASE!$U$4:$U$2003,0))&amp;"","")</f>
        <v/>
      </c>
      <c r="F131" s="46" t="str">
        <f aca="false">IFERROR(INDEX(DATABASE!$E$4:$E$2003,MATCH($B131,DATABASE!$U$4:$U$2003,0))&amp;"","")</f>
        <v/>
      </c>
      <c r="G131" s="48" t="str">
        <f aca="false">IFERROR(INDEX(DATABASE!$F$4:$F$2003,MATCH($B131,DATABASE!$U$4:$U$2003,0))&amp;"","")</f>
        <v/>
      </c>
      <c r="H131" s="47" t="str">
        <f aca="false">IFERROR(INDEX(DATABASE!$H$4:$H$2003,MATCH($B131,DATABASE!$U$4:$U$2003,0))&amp;"","")</f>
        <v/>
      </c>
      <c r="I131" s="48" t="str">
        <f aca="false">IFERROR(INDEX(DATABASE!$I$4:$I$2003,MATCH($B131,DATABASE!$U$4:$U$2003,0))&amp;"","")</f>
        <v/>
      </c>
      <c r="J131" s="46" t="str">
        <f aca="false">IFERROR(INDEX(DATABASE!$O$4:$O$2003,MATCH($B131,DATABASE!$U$4:$U$2003,0))&amp;"","")</f>
        <v/>
      </c>
      <c r="K131" s="47" t="str">
        <f aca="false">IFERROR(INDEX(DATABASE!$J$4:$J$2003,MATCH($B131,DATABASE!$U$4:$U$2003,0))&amp;"","")</f>
        <v/>
      </c>
    </row>
    <row r="132" customFormat="false" ht="15" hidden="false" customHeight="false" outlineLevel="0" collapsed="false">
      <c r="B132" s="49" t="n">
        <v>120</v>
      </c>
      <c r="C132" s="50" t="str">
        <f aca="false">IFERROR(INDEX(DATABASE!$B$4:$B$2003,MATCH($B132,DATABASE!$U$4:$U$2003,0))&amp;"","")</f>
        <v/>
      </c>
      <c r="D132" s="51" t="str">
        <f aca="false">IFERROR(INDEX(DATABASE!$C$4:$C$2003,MATCH($B132,DATABASE!$U$4:$U$2003,0))&amp;"","")</f>
        <v/>
      </c>
      <c r="E132" s="49" t="str">
        <f aca="false">IFERROR(INDEX(DATABASE!$D$4:$D$2003,MATCH($B132,DATABASE!$U$4:$U$2003,0))&amp;"","")</f>
        <v/>
      </c>
      <c r="F132" s="49" t="str">
        <f aca="false">IFERROR(INDEX(DATABASE!$E$4:$E$2003,MATCH($B132,DATABASE!$U$4:$U$2003,0))&amp;"","")</f>
        <v/>
      </c>
      <c r="G132" s="51" t="str">
        <f aca="false">IFERROR(INDEX(DATABASE!$F$4:$F$2003,MATCH($B132,DATABASE!$U$4:$U$2003,0))&amp;"","")</f>
        <v/>
      </c>
      <c r="H132" s="50" t="str">
        <f aca="false">IFERROR(INDEX(DATABASE!$H$4:$H$2003,MATCH($B132,DATABASE!$U$4:$U$2003,0))&amp;"","")</f>
        <v/>
      </c>
      <c r="I132" s="51" t="str">
        <f aca="false">IFERROR(INDEX(DATABASE!$I$4:$I$2003,MATCH($B132,DATABASE!$U$4:$U$2003,0))&amp;"","")</f>
        <v/>
      </c>
      <c r="J132" s="49" t="str">
        <f aca="false">IFERROR(INDEX(DATABASE!$O$4:$O$2003,MATCH($B132,DATABASE!$U$4:$U$2003,0))&amp;"","")</f>
        <v/>
      </c>
      <c r="K132" s="50" t="str">
        <f aca="false">IFERROR(INDEX(DATABASE!$J$4:$J$2003,MATCH($B132,DATABASE!$U$4:$U$2003,0))&amp;"","")</f>
        <v/>
      </c>
    </row>
    <row r="133" customFormat="false" ht="15" hidden="false" customHeight="false" outlineLevel="0" collapsed="false">
      <c r="B133" s="46" t="n">
        <v>121</v>
      </c>
      <c r="C133" s="47" t="str">
        <f aca="false">IFERROR(INDEX(DATABASE!$B$4:$B$2003,MATCH($B133,DATABASE!$U$4:$U$2003,0))&amp;"","")</f>
        <v/>
      </c>
      <c r="D133" s="48" t="str">
        <f aca="false">IFERROR(INDEX(DATABASE!$C$4:$C$2003,MATCH($B133,DATABASE!$U$4:$U$2003,0))&amp;"","")</f>
        <v/>
      </c>
      <c r="E133" s="46" t="str">
        <f aca="false">IFERROR(INDEX(DATABASE!$D$4:$D$2003,MATCH($B133,DATABASE!$U$4:$U$2003,0))&amp;"","")</f>
        <v/>
      </c>
      <c r="F133" s="46" t="str">
        <f aca="false">IFERROR(INDEX(DATABASE!$E$4:$E$2003,MATCH($B133,DATABASE!$U$4:$U$2003,0))&amp;"","")</f>
        <v/>
      </c>
      <c r="G133" s="48" t="str">
        <f aca="false">IFERROR(INDEX(DATABASE!$F$4:$F$2003,MATCH($B133,DATABASE!$U$4:$U$2003,0))&amp;"","")</f>
        <v/>
      </c>
      <c r="H133" s="47" t="str">
        <f aca="false">IFERROR(INDEX(DATABASE!$H$4:$H$2003,MATCH($B133,DATABASE!$U$4:$U$2003,0))&amp;"","")</f>
        <v/>
      </c>
      <c r="I133" s="48" t="str">
        <f aca="false">IFERROR(INDEX(DATABASE!$I$4:$I$2003,MATCH($B133,DATABASE!$U$4:$U$2003,0))&amp;"","")</f>
        <v/>
      </c>
      <c r="J133" s="46" t="str">
        <f aca="false">IFERROR(INDEX(DATABASE!$O$4:$O$2003,MATCH($B133,DATABASE!$U$4:$U$2003,0))&amp;"","")</f>
        <v/>
      </c>
      <c r="K133" s="47" t="str">
        <f aca="false">IFERROR(INDEX(DATABASE!$J$4:$J$2003,MATCH($B133,DATABASE!$U$4:$U$2003,0))&amp;"","")</f>
        <v/>
      </c>
    </row>
    <row r="134" customFormat="false" ht="15" hidden="false" customHeight="false" outlineLevel="0" collapsed="false">
      <c r="B134" s="49" t="n">
        <v>122</v>
      </c>
      <c r="C134" s="50" t="str">
        <f aca="false">IFERROR(INDEX(DATABASE!$B$4:$B$2003,MATCH($B134,DATABASE!$U$4:$U$2003,0))&amp;"","")</f>
        <v/>
      </c>
      <c r="D134" s="51" t="str">
        <f aca="false">IFERROR(INDEX(DATABASE!$C$4:$C$2003,MATCH($B134,DATABASE!$U$4:$U$2003,0))&amp;"","")</f>
        <v/>
      </c>
      <c r="E134" s="49" t="str">
        <f aca="false">IFERROR(INDEX(DATABASE!$D$4:$D$2003,MATCH($B134,DATABASE!$U$4:$U$2003,0))&amp;"","")</f>
        <v/>
      </c>
      <c r="F134" s="49" t="str">
        <f aca="false">IFERROR(INDEX(DATABASE!$E$4:$E$2003,MATCH($B134,DATABASE!$U$4:$U$2003,0))&amp;"","")</f>
        <v/>
      </c>
      <c r="G134" s="51" t="str">
        <f aca="false">IFERROR(INDEX(DATABASE!$F$4:$F$2003,MATCH($B134,DATABASE!$U$4:$U$2003,0))&amp;"","")</f>
        <v/>
      </c>
      <c r="H134" s="50" t="str">
        <f aca="false">IFERROR(INDEX(DATABASE!$H$4:$H$2003,MATCH($B134,DATABASE!$U$4:$U$2003,0))&amp;"","")</f>
        <v/>
      </c>
      <c r="I134" s="51" t="str">
        <f aca="false">IFERROR(INDEX(DATABASE!$I$4:$I$2003,MATCH($B134,DATABASE!$U$4:$U$2003,0))&amp;"","")</f>
        <v/>
      </c>
      <c r="J134" s="49" t="str">
        <f aca="false">IFERROR(INDEX(DATABASE!$O$4:$O$2003,MATCH($B134,DATABASE!$U$4:$U$2003,0))&amp;"","")</f>
        <v/>
      </c>
      <c r="K134" s="50" t="str">
        <f aca="false">IFERROR(INDEX(DATABASE!$J$4:$J$2003,MATCH($B134,DATABASE!$U$4:$U$2003,0))&amp;"","")</f>
        <v/>
      </c>
    </row>
    <row r="135" customFormat="false" ht="15" hidden="false" customHeight="false" outlineLevel="0" collapsed="false">
      <c r="B135" s="46" t="n">
        <v>123</v>
      </c>
      <c r="C135" s="47" t="str">
        <f aca="false">IFERROR(INDEX(DATABASE!$B$4:$B$2003,MATCH($B135,DATABASE!$U$4:$U$2003,0))&amp;"","")</f>
        <v/>
      </c>
      <c r="D135" s="48" t="str">
        <f aca="false">IFERROR(INDEX(DATABASE!$C$4:$C$2003,MATCH($B135,DATABASE!$U$4:$U$2003,0))&amp;"","")</f>
        <v/>
      </c>
      <c r="E135" s="46" t="str">
        <f aca="false">IFERROR(INDEX(DATABASE!$D$4:$D$2003,MATCH($B135,DATABASE!$U$4:$U$2003,0))&amp;"","")</f>
        <v/>
      </c>
      <c r="F135" s="46" t="str">
        <f aca="false">IFERROR(INDEX(DATABASE!$E$4:$E$2003,MATCH($B135,DATABASE!$U$4:$U$2003,0))&amp;"","")</f>
        <v/>
      </c>
      <c r="G135" s="48" t="str">
        <f aca="false">IFERROR(INDEX(DATABASE!$F$4:$F$2003,MATCH($B135,DATABASE!$U$4:$U$2003,0))&amp;"","")</f>
        <v/>
      </c>
      <c r="H135" s="47" t="str">
        <f aca="false">IFERROR(INDEX(DATABASE!$H$4:$H$2003,MATCH($B135,DATABASE!$U$4:$U$2003,0))&amp;"","")</f>
        <v/>
      </c>
      <c r="I135" s="48" t="str">
        <f aca="false">IFERROR(INDEX(DATABASE!$I$4:$I$2003,MATCH($B135,DATABASE!$U$4:$U$2003,0))&amp;"","")</f>
        <v/>
      </c>
      <c r="J135" s="46" t="str">
        <f aca="false">IFERROR(INDEX(DATABASE!$O$4:$O$2003,MATCH($B135,DATABASE!$U$4:$U$2003,0))&amp;"","")</f>
        <v/>
      </c>
      <c r="K135" s="47" t="str">
        <f aca="false">IFERROR(INDEX(DATABASE!$J$4:$J$2003,MATCH($B135,DATABASE!$U$4:$U$2003,0))&amp;"","")</f>
        <v/>
      </c>
    </row>
    <row r="136" customFormat="false" ht="15" hidden="false" customHeight="false" outlineLevel="0" collapsed="false">
      <c r="B136" s="49" t="n">
        <v>124</v>
      </c>
      <c r="C136" s="50" t="str">
        <f aca="false">IFERROR(INDEX(DATABASE!$B$4:$B$2003,MATCH($B136,DATABASE!$U$4:$U$2003,0))&amp;"","")</f>
        <v/>
      </c>
      <c r="D136" s="51" t="str">
        <f aca="false">IFERROR(INDEX(DATABASE!$C$4:$C$2003,MATCH($B136,DATABASE!$U$4:$U$2003,0))&amp;"","")</f>
        <v/>
      </c>
      <c r="E136" s="49" t="str">
        <f aca="false">IFERROR(INDEX(DATABASE!$D$4:$D$2003,MATCH($B136,DATABASE!$U$4:$U$2003,0))&amp;"","")</f>
        <v/>
      </c>
      <c r="F136" s="49" t="str">
        <f aca="false">IFERROR(INDEX(DATABASE!$E$4:$E$2003,MATCH($B136,DATABASE!$U$4:$U$2003,0))&amp;"","")</f>
        <v/>
      </c>
      <c r="G136" s="51" t="str">
        <f aca="false">IFERROR(INDEX(DATABASE!$F$4:$F$2003,MATCH($B136,DATABASE!$U$4:$U$2003,0))&amp;"","")</f>
        <v/>
      </c>
      <c r="H136" s="50" t="str">
        <f aca="false">IFERROR(INDEX(DATABASE!$H$4:$H$2003,MATCH($B136,DATABASE!$U$4:$U$2003,0))&amp;"","")</f>
        <v/>
      </c>
      <c r="I136" s="51" t="str">
        <f aca="false">IFERROR(INDEX(DATABASE!$I$4:$I$2003,MATCH($B136,DATABASE!$U$4:$U$2003,0))&amp;"","")</f>
        <v/>
      </c>
      <c r="J136" s="49" t="str">
        <f aca="false">IFERROR(INDEX(DATABASE!$O$4:$O$2003,MATCH($B136,DATABASE!$U$4:$U$2003,0))&amp;"","")</f>
        <v/>
      </c>
      <c r="K136" s="50" t="str">
        <f aca="false">IFERROR(INDEX(DATABASE!$J$4:$J$2003,MATCH($B136,DATABASE!$U$4:$U$2003,0))&amp;"","")</f>
        <v/>
      </c>
    </row>
    <row r="137" customFormat="false" ht="15" hidden="false" customHeight="false" outlineLevel="0" collapsed="false">
      <c r="B137" s="46" t="n">
        <v>125</v>
      </c>
      <c r="C137" s="47" t="str">
        <f aca="false">IFERROR(INDEX(DATABASE!$B$4:$B$2003,MATCH($B137,DATABASE!$U$4:$U$2003,0))&amp;"","")</f>
        <v/>
      </c>
      <c r="D137" s="48" t="str">
        <f aca="false">IFERROR(INDEX(DATABASE!$C$4:$C$2003,MATCH($B137,DATABASE!$U$4:$U$2003,0))&amp;"","")</f>
        <v/>
      </c>
      <c r="E137" s="46" t="str">
        <f aca="false">IFERROR(INDEX(DATABASE!$D$4:$D$2003,MATCH($B137,DATABASE!$U$4:$U$2003,0))&amp;"","")</f>
        <v/>
      </c>
      <c r="F137" s="46" t="str">
        <f aca="false">IFERROR(INDEX(DATABASE!$E$4:$E$2003,MATCH($B137,DATABASE!$U$4:$U$2003,0))&amp;"","")</f>
        <v/>
      </c>
      <c r="G137" s="48" t="str">
        <f aca="false">IFERROR(INDEX(DATABASE!$F$4:$F$2003,MATCH($B137,DATABASE!$U$4:$U$2003,0))&amp;"","")</f>
        <v/>
      </c>
      <c r="H137" s="47" t="str">
        <f aca="false">IFERROR(INDEX(DATABASE!$H$4:$H$2003,MATCH($B137,DATABASE!$U$4:$U$2003,0))&amp;"","")</f>
        <v/>
      </c>
      <c r="I137" s="48" t="str">
        <f aca="false">IFERROR(INDEX(DATABASE!$I$4:$I$2003,MATCH($B137,DATABASE!$U$4:$U$2003,0))&amp;"","")</f>
        <v/>
      </c>
      <c r="J137" s="46" t="str">
        <f aca="false">IFERROR(INDEX(DATABASE!$O$4:$O$2003,MATCH($B137,DATABASE!$U$4:$U$2003,0))&amp;"","")</f>
        <v/>
      </c>
      <c r="K137" s="47" t="str">
        <f aca="false">IFERROR(INDEX(DATABASE!$J$4:$J$2003,MATCH($B137,DATABASE!$U$4:$U$2003,0))&amp;"","")</f>
        <v/>
      </c>
    </row>
    <row r="138" customFormat="false" ht="15" hidden="false" customHeight="false" outlineLevel="0" collapsed="false">
      <c r="B138" s="49" t="n">
        <v>126</v>
      </c>
      <c r="C138" s="50" t="str">
        <f aca="false">IFERROR(INDEX(DATABASE!$B$4:$B$2003,MATCH($B138,DATABASE!$U$4:$U$2003,0))&amp;"","")</f>
        <v/>
      </c>
      <c r="D138" s="51" t="str">
        <f aca="false">IFERROR(INDEX(DATABASE!$C$4:$C$2003,MATCH($B138,DATABASE!$U$4:$U$2003,0))&amp;"","")</f>
        <v/>
      </c>
      <c r="E138" s="49" t="str">
        <f aca="false">IFERROR(INDEX(DATABASE!$D$4:$D$2003,MATCH($B138,DATABASE!$U$4:$U$2003,0))&amp;"","")</f>
        <v/>
      </c>
      <c r="F138" s="49" t="str">
        <f aca="false">IFERROR(INDEX(DATABASE!$E$4:$E$2003,MATCH($B138,DATABASE!$U$4:$U$2003,0))&amp;"","")</f>
        <v/>
      </c>
      <c r="G138" s="51" t="str">
        <f aca="false">IFERROR(INDEX(DATABASE!$F$4:$F$2003,MATCH($B138,DATABASE!$U$4:$U$2003,0))&amp;"","")</f>
        <v/>
      </c>
      <c r="H138" s="50" t="str">
        <f aca="false">IFERROR(INDEX(DATABASE!$H$4:$H$2003,MATCH($B138,DATABASE!$U$4:$U$2003,0))&amp;"","")</f>
        <v/>
      </c>
      <c r="I138" s="51" t="str">
        <f aca="false">IFERROR(INDEX(DATABASE!$I$4:$I$2003,MATCH($B138,DATABASE!$U$4:$U$2003,0))&amp;"","")</f>
        <v/>
      </c>
      <c r="J138" s="49" t="str">
        <f aca="false">IFERROR(INDEX(DATABASE!$O$4:$O$2003,MATCH($B138,DATABASE!$U$4:$U$2003,0))&amp;"","")</f>
        <v/>
      </c>
      <c r="K138" s="50" t="str">
        <f aca="false">IFERROR(INDEX(DATABASE!$J$4:$J$2003,MATCH($B138,DATABASE!$U$4:$U$2003,0))&amp;"","")</f>
        <v/>
      </c>
    </row>
    <row r="139" customFormat="false" ht="15" hidden="false" customHeight="false" outlineLevel="0" collapsed="false">
      <c r="B139" s="46" t="n">
        <v>127</v>
      </c>
      <c r="C139" s="47" t="str">
        <f aca="false">IFERROR(INDEX(DATABASE!$B$4:$B$2003,MATCH($B139,DATABASE!$U$4:$U$2003,0))&amp;"","")</f>
        <v/>
      </c>
      <c r="D139" s="48" t="str">
        <f aca="false">IFERROR(INDEX(DATABASE!$C$4:$C$2003,MATCH($B139,DATABASE!$U$4:$U$2003,0))&amp;"","")</f>
        <v/>
      </c>
      <c r="E139" s="46" t="str">
        <f aca="false">IFERROR(INDEX(DATABASE!$D$4:$D$2003,MATCH($B139,DATABASE!$U$4:$U$2003,0))&amp;"","")</f>
        <v/>
      </c>
      <c r="F139" s="46" t="str">
        <f aca="false">IFERROR(INDEX(DATABASE!$E$4:$E$2003,MATCH($B139,DATABASE!$U$4:$U$2003,0))&amp;"","")</f>
        <v/>
      </c>
      <c r="G139" s="48" t="str">
        <f aca="false">IFERROR(INDEX(DATABASE!$F$4:$F$2003,MATCH($B139,DATABASE!$U$4:$U$2003,0))&amp;"","")</f>
        <v/>
      </c>
      <c r="H139" s="47" t="str">
        <f aca="false">IFERROR(INDEX(DATABASE!$H$4:$H$2003,MATCH($B139,DATABASE!$U$4:$U$2003,0))&amp;"","")</f>
        <v/>
      </c>
      <c r="I139" s="48" t="str">
        <f aca="false">IFERROR(INDEX(DATABASE!$I$4:$I$2003,MATCH($B139,DATABASE!$U$4:$U$2003,0))&amp;"","")</f>
        <v/>
      </c>
      <c r="J139" s="46" t="str">
        <f aca="false">IFERROR(INDEX(DATABASE!$O$4:$O$2003,MATCH($B139,DATABASE!$U$4:$U$2003,0))&amp;"","")</f>
        <v/>
      </c>
      <c r="K139" s="47" t="str">
        <f aca="false">IFERROR(INDEX(DATABASE!$J$4:$J$2003,MATCH($B139,DATABASE!$U$4:$U$2003,0))&amp;"","")</f>
        <v/>
      </c>
    </row>
    <row r="140" customFormat="false" ht="15" hidden="false" customHeight="false" outlineLevel="0" collapsed="false">
      <c r="B140" s="49" t="n">
        <v>128</v>
      </c>
      <c r="C140" s="50" t="str">
        <f aca="false">IFERROR(INDEX(DATABASE!$B$4:$B$2003,MATCH($B140,DATABASE!$U$4:$U$2003,0))&amp;"","")</f>
        <v/>
      </c>
      <c r="D140" s="51" t="str">
        <f aca="false">IFERROR(INDEX(DATABASE!$C$4:$C$2003,MATCH($B140,DATABASE!$U$4:$U$2003,0))&amp;"","")</f>
        <v/>
      </c>
      <c r="E140" s="49" t="str">
        <f aca="false">IFERROR(INDEX(DATABASE!$D$4:$D$2003,MATCH($B140,DATABASE!$U$4:$U$2003,0))&amp;"","")</f>
        <v/>
      </c>
      <c r="F140" s="49" t="str">
        <f aca="false">IFERROR(INDEX(DATABASE!$E$4:$E$2003,MATCH($B140,DATABASE!$U$4:$U$2003,0))&amp;"","")</f>
        <v/>
      </c>
      <c r="G140" s="51" t="str">
        <f aca="false">IFERROR(INDEX(DATABASE!$F$4:$F$2003,MATCH($B140,DATABASE!$U$4:$U$2003,0))&amp;"","")</f>
        <v/>
      </c>
      <c r="H140" s="50" t="str">
        <f aca="false">IFERROR(INDEX(DATABASE!$H$4:$H$2003,MATCH($B140,DATABASE!$U$4:$U$2003,0))&amp;"","")</f>
        <v/>
      </c>
      <c r="I140" s="51" t="str">
        <f aca="false">IFERROR(INDEX(DATABASE!$I$4:$I$2003,MATCH($B140,DATABASE!$U$4:$U$2003,0))&amp;"","")</f>
        <v/>
      </c>
      <c r="J140" s="49" t="str">
        <f aca="false">IFERROR(INDEX(DATABASE!$O$4:$O$2003,MATCH($B140,DATABASE!$U$4:$U$2003,0))&amp;"","")</f>
        <v/>
      </c>
      <c r="K140" s="50" t="str">
        <f aca="false">IFERROR(INDEX(DATABASE!$J$4:$J$2003,MATCH($B140,DATABASE!$U$4:$U$2003,0))&amp;"","")</f>
        <v/>
      </c>
    </row>
    <row r="141" customFormat="false" ht="15" hidden="false" customHeight="false" outlineLevel="0" collapsed="false">
      <c r="B141" s="46" t="n">
        <v>129</v>
      </c>
      <c r="C141" s="47" t="str">
        <f aca="false">IFERROR(INDEX(DATABASE!$B$4:$B$2003,MATCH($B141,DATABASE!$U$4:$U$2003,0))&amp;"","")</f>
        <v/>
      </c>
      <c r="D141" s="48" t="str">
        <f aca="false">IFERROR(INDEX(DATABASE!$C$4:$C$2003,MATCH($B141,DATABASE!$U$4:$U$2003,0))&amp;"","")</f>
        <v/>
      </c>
      <c r="E141" s="46" t="str">
        <f aca="false">IFERROR(INDEX(DATABASE!$D$4:$D$2003,MATCH($B141,DATABASE!$U$4:$U$2003,0))&amp;"","")</f>
        <v/>
      </c>
      <c r="F141" s="46" t="str">
        <f aca="false">IFERROR(INDEX(DATABASE!$E$4:$E$2003,MATCH($B141,DATABASE!$U$4:$U$2003,0))&amp;"","")</f>
        <v/>
      </c>
      <c r="G141" s="48" t="str">
        <f aca="false">IFERROR(INDEX(DATABASE!$F$4:$F$2003,MATCH($B141,DATABASE!$U$4:$U$2003,0))&amp;"","")</f>
        <v/>
      </c>
      <c r="H141" s="47" t="str">
        <f aca="false">IFERROR(INDEX(DATABASE!$H$4:$H$2003,MATCH($B141,DATABASE!$U$4:$U$2003,0))&amp;"","")</f>
        <v/>
      </c>
      <c r="I141" s="48" t="str">
        <f aca="false">IFERROR(INDEX(DATABASE!$I$4:$I$2003,MATCH($B141,DATABASE!$U$4:$U$2003,0))&amp;"","")</f>
        <v/>
      </c>
      <c r="J141" s="46" t="str">
        <f aca="false">IFERROR(INDEX(DATABASE!$O$4:$O$2003,MATCH($B141,DATABASE!$U$4:$U$2003,0))&amp;"","")</f>
        <v/>
      </c>
      <c r="K141" s="47" t="str">
        <f aca="false">IFERROR(INDEX(DATABASE!$J$4:$J$2003,MATCH($B141,DATABASE!$U$4:$U$2003,0))&amp;"","")</f>
        <v/>
      </c>
    </row>
    <row r="142" customFormat="false" ht="15" hidden="false" customHeight="false" outlineLevel="0" collapsed="false">
      <c r="B142" s="49" t="n">
        <v>130</v>
      </c>
      <c r="C142" s="50" t="str">
        <f aca="false">IFERROR(INDEX(DATABASE!$B$4:$B$2003,MATCH($B142,DATABASE!$U$4:$U$2003,0))&amp;"","")</f>
        <v/>
      </c>
      <c r="D142" s="51" t="str">
        <f aca="false">IFERROR(INDEX(DATABASE!$C$4:$C$2003,MATCH($B142,DATABASE!$U$4:$U$2003,0))&amp;"","")</f>
        <v/>
      </c>
      <c r="E142" s="49" t="str">
        <f aca="false">IFERROR(INDEX(DATABASE!$D$4:$D$2003,MATCH($B142,DATABASE!$U$4:$U$2003,0))&amp;"","")</f>
        <v/>
      </c>
      <c r="F142" s="49" t="str">
        <f aca="false">IFERROR(INDEX(DATABASE!$E$4:$E$2003,MATCH($B142,DATABASE!$U$4:$U$2003,0))&amp;"","")</f>
        <v/>
      </c>
      <c r="G142" s="51" t="str">
        <f aca="false">IFERROR(INDEX(DATABASE!$F$4:$F$2003,MATCH($B142,DATABASE!$U$4:$U$2003,0))&amp;"","")</f>
        <v/>
      </c>
      <c r="H142" s="50" t="str">
        <f aca="false">IFERROR(INDEX(DATABASE!$H$4:$H$2003,MATCH($B142,DATABASE!$U$4:$U$2003,0))&amp;"","")</f>
        <v/>
      </c>
      <c r="I142" s="51" t="str">
        <f aca="false">IFERROR(INDEX(DATABASE!$I$4:$I$2003,MATCH($B142,DATABASE!$U$4:$U$2003,0))&amp;"","")</f>
        <v/>
      </c>
      <c r="J142" s="49" t="str">
        <f aca="false">IFERROR(INDEX(DATABASE!$O$4:$O$2003,MATCH($B142,DATABASE!$U$4:$U$2003,0))&amp;"","")</f>
        <v/>
      </c>
      <c r="K142" s="50" t="str">
        <f aca="false">IFERROR(INDEX(DATABASE!$J$4:$J$2003,MATCH($B142,DATABASE!$U$4:$U$2003,0))&amp;"","")</f>
        <v/>
      </c>
    </row>
    <row r="143" customFormat="false" ht="15" hidden="false" customHeight="false" outlineLevel="0" collapsed="false">
      <c r="B143" s="46" t="n">
        <v>131</v>
      </c>
      <c r="C143" s="47" t="str">
        <f aca="false">IFERROR(INDEX(DATABASE!$B$4:$B$2003,MATCH($B143,DATABASE!$U$4:$U$2003,0))&amp;"","")</f>
        <v/>
      </c>
      <c r="D143" s="48" t="str">
        <f aca="false">IFERROR(INDEX(DATABASE!$C$4:$C$2003,MATCH($B143,DATABASE!$U$4:$U$2003,0))&amp;"","")</f>
        <v/>
      </c>
      <c r="E143" s="46" t="str">
        <f aca="false">IFERROR(INDEX(DATABASE!$D$4:$D$2003,MATCH($B143,DATABASE!$U$4:$U$2003,0))&amp;"","")</f>
        <v/>
      </c>
      <c r="F143" s="46" t="str">
        <f aca="false">IFERROR(INDEX(DATABASE!$E$4:$E$2003,MATCH($B143,DATABASE!$U$4:$U$2003,0))&amp;"","")</f>
        <v/>
      </c>
      <c r="G143" s="48" t="str">
        <f aca="false">IFERROR(INDEX(DATABASE!$F$4:$F$2003,MATCH($B143,DATABASE!$U$4:$U$2003,0))&amp;"","")</f>
        <v/>
      </c>
      <c r="H143" s="47" t="str">
        <f aca="false">IFERROR(INDEX(DATABASE!$H$4:$H$2003,MATCH($B143,DATABASE!$U$4:$U$2003,0))&amp;"","")</f>
        <v/>
      </c>
      <c r="I143" s="48" t="str">
        <f aca="false">IFERROR(INDEX(DATABASE!$I$4:$I$2003,MATCH($B143,DATABASE!$U$4:$U$2003,0))&amp;"","")</f>
        <v/>
      </c>
      <c r="J143" s="46" t="str">
        <f aca="false">IFERROR(INDEX(DATABASE!$O$4:$O$2003,MATCH($B143,DATABASE!$U$4:$U$2003,0))&amp;"","")</f>
        <v/>
      </c>
      <c r="K143" s="47" t="str">
        <f aca="false">IFERROR(INDEX(DATABASE!$J$4:$J$2003,MATCH($B143,DATABASE!$U$4:$U$2003,0))&amp;"","")</f>
        <v/>
      </c>
    </row>
    <row r="144" customFormat="false" ht="15" hidden="false" customHeight="false" outlineLevel="0" collapsed="false">
      <c r="B144" s="49" t="n">
        <v>132</v>
      </c>
      <c r="C144" s="50" t="str">
        <f aca="false">IFERROR(INDEX(DATABASE!$B$4:$B$2003,MATCH($B144,DATABASE!$U$4:$U$2003,0))&amp;"","")</f>
        <v/>
      </c>
      <c r="D144" s="51" t="str">
        <f aca="false">IFERROR(INDEX(DATABASE!$C$4:$C$2003,MATCH($B144,DATABASE!$U$4:$U$2003,0))&amp;"","")</f>
        <v/>
      </c>
      <c r="E144" s="49" t="str">
        <f aca="false">IFERROR(INDEX(DATABASE!$D$4:$D$2003,MATCH($B144,DATABASE!$U$4:$U$2003,0))&amp;"","")</f>
        <v/>
      </c>
      <c r="F144" s="49" t="str">
        <f aca="false">IFERROR(INDEX(DATABASE!$E$4:$E$2003,MATCH($B144,DATABASE!$U$4:$U$2003,0))&amp;"","")</f>
        <v/>
      </c>
      <c r="G144" s="51" t="str">
        <f aca="false">IFERROR(INDEX(DATABASE!$F$4:$F$2003,MATCH($B144,DATABASE!$U$4:$U$2003,0))&amp;"","")</f>
        <v/>
      </c>
      <c r="H144" s="50" t="str">
        <f aca="false">IFERROR(INDEX(DATABASE!$H$4:$H$2003,MATCH($B144,DATABASE!$U$4:$U$2003,0))&amp;"","")</f>
        <v/>
      </c>
      <c r="I144" s="51" t="str">
        <f aca="false">IFERROR(INDEX(DATABASE!$I$4:$I$2003,MATCH($B144,DATABASE!$U$4:$U$2003,0))&amp;"","")</f>
        <v/>
      </c>
      <c r="J144" s="49" t="str">
        <f aca="false">IFERROR(INDEX(DATABASE!$O$4:$O$2003,MATCH($B144,DATABASE!$U$4:$U$2003,0))&amp;"","")</f>
        <v/>
      </c>
      <c r="K144" s="50" t="str">
        <f aca="false">IFERROR(INDEX(DATABASE!$J$4:$J$2003,MATCH($B144,DATABASE!$U$4:$U$2003,0))&amp;"","")</f>
        <v/>
      </c>
    </row>
    <row r="145" customFormat="false" ht="15" hidden="false" customHeight="false" outlineLevel="0" collapsed="false">
      <c r="B145" s="46" t="n">
        <v>133</v>
      </c>
      <c r="C145" s="47" t="str">
        <f aca="false">IFERROR(INDEX(DATABASE!$B$4:$B$2003,MATCH($B145,DATABASE!$U$4:$U$2003,0))&amp;"","")</f>
        <v/>
      </c>
      <c r="D145" s="48" t="str">
        <f aca="false">IFERROR(INDEX(DATABASE!$C$4:$C$2003,MATCH($B145,DATABASE!$U$4:$U$2003,0))&amp;"","")</f>
        <v/>
      </c>
      <c r="E145" s="46" t="str">
        <f aca="false">IFERROR(INDEX(DATABASE!$D$4:$D$2003,MATCH($B145,DATABASE!$U$4:$U$2003,0))&amp;"","")</f>
        <v/>
      </c>
      <c r="F145" s="46" t="str">
        <f aca="false">IFERROR(INDEX(DATABASE!$E$4:$E$2003,MATCH($B145,DATABASE!$U$4:$U$2003,0))&amp;"","")</f>
        <v/>
      </c>
      <c r="G145" s="48" t="str">
        <f aca="false">IFERROR(INDEX(DATABASE!$F$4:$F$2003,MATCH($B145,DATABASE!$U$4:$U$2003,0))&amp;"","")</f>
        <v/>
      </c>
      <c r="H145" s="47" t="str">
        <f aca="false">IFERROR(INDEX(DATABASE!$H$4:$H$2003,MATCH($B145,DATABASE!$U$4:$U$2003,0))&amp;"","")</f>
        <v/>
      </c>
      <c r="I145" s="48" t="str">
        <f aca="false">IFERROR(INDEX(DATABASE!$I$4:$I$2003,MATCH($B145,DATABASE!$U$4:$U$2003,0))&amp;"","")</f>
        <v/>
      </c>
      <c r="J145" s="46" t="str">
        <f aca="false">IFERROR(INDEX(DATABASE!$O$4:$O$2003,MATCH($B145,DATABASE!$U$4:$U$2003,0))&amp;"","")</f>
        <v/>
      </c>
      <c r="K145" s="47" t="str">
        <f aca="false">IFERROR(INDEX(DATABASE!$J$4:$J$2003,MATCH($B145,DATABASE!$U$4:$U$2003,0))&amp;"","")</f>
        <v/>
      </c>
    </row>
    <row r="146" customFormat="false" ht="15" hidden="false" customHeight="false" outlineLevel="0" collapsed="false">
      <c r="B146" s="49" t="n">
        <v>134</v>
      </c>
      <c r="C146" s="50" t="str">
        <f aca="false">IFERROR(INDEX(DATABASE!$B$4:$B$2003,MATCH($B146,DATABASE!$U$4:$U$2003,0))&amp;"","")</f>
        <v/>
      </c>
      <c r="D146" s="51" t="str">
        <f aca="false">IFERROR(INDEX(DATABASE!$C$4:$C$2003,MATCH($B146,DATABASE!$U$4:$U$2003,0))&amp;"","")</f>
        <v/>
      </c>
      <c r="E146" s="49" t="str">
        <f aca="false">IFERROR(INDEX(DATABASE!$D$4:$D$2003,MATCH($B146,DATABASE!$U$4:$U$2003,0))&amp;"","")</f>
        <v/>
      </c>
      <c r="F146" s="49" t="str">
        <f aca="false">IFERROR(INDEX(DATABASE!$E$4:$E$2003,MATCH($B146,DATABASE!$U$4:$U$2003,0))&amp;"","")</f>
        <v/>
      </c>
      <c r="G146" s="51" t="str">
        <f aca="false">IFERROR(INDEX(DATABASE!$F$4:$F$2003,MATCH($B146,DATABASE!$U$4:$U$2003,0))&amp;"","")</f>
        <v/>
      </c>
      <c r="H146" s="50" t="str">
        <f aca="false">IFERROR(INDEX(DATABASE!$H$4:$H$2003,MATCH($B146,DATABASE!$U$4:$U$2003,0))&amp;"","")</f>
        <v/>
      </c>
      <c r="I146" s="51" t="str">
        <f aca="false">IFERROR(INDEX(DATABASE!$I$4:$I$2003,MATCH($B146,DATABASE!$U$4:$U$2003,0))&amp;"","")</f>
        <v/>
      </c>
      <c r="J146" s="49" t="str">
        <f aca="false">IFERROR(INDEX(DATABASE!$O$4:$O$2003,MATCH($B146,DATABASE!$U$4:$U$2003,0))&amp;"","")</f>
        <v/>
      </c>
      <c r="K146" s="50" t="str">
        <f aca="false">IFERROR(INDEX(DATABASE!$J$4:$J$2003,MATCH($B146,DATABASE!$U$4:$U$2003,0))&amp;"","")</f>
        <v/>
      </c>
    </row>
    <row r="147" customFormat="false" ht="15" hidden="false" customHeight="false" outlineLevel="0" collapsed="false">
      <c r="B147" s="46" t="n">
        <v>135</v>
      </c>
      <c r="C147" s="47" t="str">
        <f aca="false">IFERROR(INDEX(DATABASE!$B$4:$B$2003,MATCH($B147,DATABASE!$U$4:$U$2003,0))&amp;"","")</f>
        <v/>
      </c>
      <c r="D147" s="48" t="str">
        <f aca="false">IFERROR(INDEX(DATABASE!$C$4:$C$2003,MATCH($B147,DATABASE!$U$4:$U$2003,0))&amp;"","")</f>
        <v/>
      </c>
      <c r="E147" s="46" t="str">
        <f aca="false">IFERROR(INDEX(DATABASE!$D$4:$D$2003,MATCH($B147,DATABASE!$U$4:$U$2003,0))&amp;"","")</f>
        <v/>
      </c>
      <c r="F147" s="46" t="str">
        <f aca="false">IFERROR(INDEX(DATABASE!$E$4:$E$2003,MATCH($B147,DATABASE!$U$4:$U$2003,0))&amp;"","")</f>
        <v/>
      </c>
      <c r="G147" s="48" t="str">
        <f aca="false">IFERROR(INDEX(DATABASE!$F$4:$F$2003,MATCH($B147,DATABASE!$U$4:$U$2003,0))&amp;"","")</f>
        <v/>
      </c>
      <c r="H147" s="47" t="str">
        <f aca="false">IFERROR(INDEX(DATABASE!$H$4:$H$2003,MATCH($B147,DATABASE!$U$4:$U$2003,0))&amp;"","")</f>
        <v/>
      </c>
      <c r="I147" s="48" t="str">
        <f aca="false">IFERROR(INDEX(DATABASE!$I$4:$I$2003,MATCH($B147,DATABASE!$U$4:$U$2003,0))&amp;"","")</f>
        <v/>
      </c>
      <c r="J147" s="46" t="str">
        <f aca="false">IFERROR(INDEX(DATABASE!$O$4:$O$2003,MATCH($B147,DATABASE!$U$4:$U$2003,0))&amp;"","")</f>
        <v/>
      </c>
      <c r="K147" s="47" t="str">
        <f aca="false">IFERROR(INDEX(DATABASE!$J$4:$J$2003,MATCH($B147,DATABASE!$U$4:$U$2003,0))&amp;"","")</f>
        <v/>
      </c>
    </row>
    <row r="148" customFormat="false" ht="15" hidden="false" customHeight="false" outlineLevel="0" collapsed="false">
      <c r="B148" s="49" t="n">
        <v>136</v>
      </c>
      <c r="C148" s="50" t="str">
        <f aca="false">IFERROR(INDEX(DATABASE!$B$4:$B$2003,MATCH($B148,DATABASE!$U$4:$U$2003,0))&amp;"","")</f>
        <v/>
      </c>
      <c r="D148" s="51" t="str">
        <f aca="false">IFERROR(INDEX(DATABASE!$C$4:$C$2003,MATCH($B148,DATABASE!$U$4:$U$2003,0))&amp;"","")</f>
        <v/>
      </c>
      <c r="E148" s="49" t="str">
        <f aca="false">IFERROR(INDEX(DATABASE!$D$4:$D$2003,MATCH($B148,DATABASE!$U$4:$U$2003,0))&amp;"","")</f>
        <v/>
      </c>
      <c r="F148" s="49" t="str">
        <f aca="false">IFERROR(INDEX(DATABASE!$E$4:$E$2003,MATCH($B148,DATABASE!$U$4:$U$2003,0))&amp;"","")</f>
        <v/>
      </c>
      <c r="G148" s="51" t="str">
        <f aca="false">IFERROR(INDEX(DATABASE!$F$4:$F$2003,MATCH($B148,DATABASE!$U$4:$U$2003,0))&amp;"","")</f>
        <v/>
      </c>
      <c r="H148" s="50" t="str">
        <f aca="false">IFERROR(INDEX(DATABASE!$H$4:$H$2003,MATCH($B148,DATABASE!$U$4:$U$2003,0))&amp;"","")</f>
        <v/>
      </c>
      <c r="I148" s="51" t="str">
        <f aca="false">IFERROR(INDEX(DATABASE!$I$4:$I$2003,MATCH($B148,DATABASE!$U$4:$U$2003,0))&amp;"","")</f>
        <v/>
      </c>
      <c r="J148" s="49" t="str">
        <f aca="false">IFERROR(INDEX(DATABASE!$O$4:$O$2003,MATCH($B148,DATABASE!$U$4:$U$2003,0))&amp;"","")</f>
        <v/>
      </c>
      <c r="K148" s="50" t="str">
        <f aca="false">IFERROR(INDEX(DATABASE!$J$4:$J$2003,MATCH($B148,DATABASE!$U$4:$U$2003,0))&amp;"","")</f>
        <v/>
      </c>
    </row>
    <row r="149" customFormat="false" ht="15" hidden="false" customHeight="false" outlineLevel="0" collapsed="false">
      <c r="B149" s="46" t="n">
        <v>137</v>
      </c>
      <c r="C149" s="47" t="str">
        <f aca="false">IFERROR(INDEX(DATABASE!$B$4:$B$2003,MATCH($B149,DATABASE!$U$4:$U$2003,0))&amp;"","")</f>
        <v/>
      </c>
      <c r="D149" s="48" t="str">
        <f aca="false">IFERROR(INDEX(DATABASE!$C$4:$C$2003,MATCH($B149,DATABASE!$U$4:$U$2003,0))&amp;"","")</f>
        <v/>
      </c>
      <c r="E149" s="46" t="str">
        <f aca="false">IFERROR(INDEX(DATABASE!$D$4:$D$2003,MATCH($B149,DATABASE!$U$4:$U$2003,0))&amp;"","")</f>
        <v/>
      </c>
      <c r="F149" s="46" t="str">
        <f aca="false">IFERROR(INDEX(DATABASE!$E$4:$E$2003,MATCH($B149,DATABASE!$U$4:$U$2003,0))&amp;"","")</f>
        <v/>
      </c>
      <c r="G149" s="48" t="str">
        <f aca="false">IFERROR(INDEX(DATABASE!$F$4:$F$2003,MATCH($B149,DATABASE!$U$4:$U$2003,0))&amp;"","")</f>
        <v/>
      </c>
      <c r="H149" s="47" t="str">
        <f aca="false">IFERROR(INDEX(DATABASE!$H$4:$H$2003,MATCH($B149,DATABASE!$U$4:$U$2003,0))&amp;"","")</f>
        <v/>
      </c>
      <c r="I149" s="48" t="str">
        <f aca="false">IFERROR(INDEX(DATABASE!$I$4:$I$2003,MATCH($B149,DATABASE!$U$4:$U$2003,0))&amp;"","")</f>
        <v/>
      </c>
      <c r="J149" s="46" t="str">
        <f aca="false">IFERROR(INDEX(DATABASE!$O$4:$O$2003,MATCH($B149,DATABASE!$U$4:$U$2003,0))&amp;"","")</f>
        <v/>
      </c>
      <c r="K149" s="47" t="str">
        <f aca="false">IFERROR(INDEX(DATABASE!$J$4:$J$2003,MATCH($B149,DATABASE!$U$4:$U$2003,0))&amp;"","")</f>
        <v/>
      </c>
    </row>
    <row r="150" customFormat="false" ht="15" hidden="false" customHeight="false" outlineLevel="0" collapsed="false">
      <c r="B150" s="49" t="n">
        <v>138</v>
      </c>
      <c r="C150" s="50" t="str">
        <f aca="false">IFERROR(INDEX(DATABASE!$B$4:$B$2003,MATCH($B150,DATABASE!$U$4:$U$2003,0))&amp;"","")</f>
        <v/>
      </c>
      <c r="D150" s="51" t="str">
        <f aca="false">IFERROR(INDEX(DATABASE!$C$4:$C$2003,MATCH($B150,DATABASE!$U$4:$U$2003,0))&amp;"","")</f>
        <v/>
      </c>
      <c r="E150" s="49" t="str">
        <f aca="false">IFERROR(INDEX(DATABASE!$D$4:$D$2003,MATCH($B150,DATABASE!$U$4:$U$2003,0))&amp;"","")</f>
        <v/>
      </c>
      <c r="F150" s="49" t="str">
        <f aca="false">IFERROR(INDEX(DATABASE!$E$4:$E$2003,MATCH($B150,DATABASE!$U$4:$U$2003,0))&amp;"","")</f>
        <v/>
      </c>
      <c r="G150" s="51" t="str">
        <f aca="false">IFERROR(INDEX(DATABASE!$F$4:$F$2003,MATCH($B150,DATABASE!$U$4:$U$2003,0))&amp;"","")</f>
        <v/>
      </c>
      <c r="H150" s="50" t="str">
        <f aca="false">IFERROR(INDEX(DATABASE!$H$4:$H$2003,MATCH($B150,DATABASE!$U$4:$U$2003,0))&amp;"","")</f>
        <v/>
      </c>
      <c r="I150" s="51" t="str">
        <f aca="false">IFERROR(INDEX(DATABASE!$I$4:$I$2003,MATCH($B150,DATABASE!$U$4:$U$2003,0))&amp;"","")</f>
        <v/>
      </c>
      <c r="J150" s="49" t="str">
        <f aca="false">IFERROR(INDEX(DATABASE!$O$4:$O$2003,MATCH($B150,DATABASE!$U$4:$U$2003,0))&amp;"","")</f>
        <v/>
      </c>
      <c r="K150" s="50" t="str">
        <f aca="false">IFERROR(INDEX(DATABASE!$J$4:$J$2003,MATCH($B150,DATABASE!$U$4:$U$2003,0))&amp;"","")</f>
        <v/>
      </c>
    </row>
    <row r="151" customFormat="false" ht="15" hidden="false" customHeight="false" outlineLevel="0" collapsed="false">
      <c r="B151" s="46" t="n">
        <v>139</v>
      </c>
      <c r="C151" s="47" t="str">
        <f aca="false">IFERROR(INDEX(DATABASE!$B$4:$B$2003,MATCH($B151,DATABASE!$U$4:$U$2003,0))&amp;"","")</f>
        <v/>
      </c>
      <c r="D151" s="48" t="str">
        <f aca="false">IFERROR(INDEX(DATABASE!$C$4:$C$2003,MATCH($B151,DATABASE!$U$4:$U$2003,0))&amp;"","")</f>
        <v/>
      </c>
      <c r="E151" s="46" t="str">
        <f aca="false">IFERROR(INDEX(DATABASE!$D$4:$D$2003,MATCH($B151,DATABASE!$U$4:$U$2003,0))&amp;"","")</f>
        <v/>
      </c>
      <c r="F151" s="46" t="str">
        <f aca="false">IFERROR(INDEX(DATABASE!$E$4:$E$2003,MATCH($B151,DATABASE!$U$4:$U$2003,0))&amp;"","")</f>
        <v/>
      </c>
      <c r="G151" s="48" t="str">
        <f aca="false">IFERROR(INDEX(DATABASE!$F$4:$F$2003,MATCH($B151,DATABASE!$U$4:$U$2003,0))&amp;"","")</f>
        <v/>
      </c>
      <c r="H151" s="47" t="str">
        <f aca="false">IFERROR(INDEX(DATABASE!$H$4:$H$2003,MATCH($B151,DATABASE!$U$4:$U$2003,0))&amp;"","")</f>
        <v/>
      </c>
      <c r="I151" s="48" t="str">
        <f aca="false">IFERROR(INDEX(DATABASE!$I$4:$I$2003,MATCH($B151,DATABASE!$U$4:$U$2003,0))&amp;"","")</f>
        <v/>
      </c>
      <c r="J151" s="46" t="str">
        <f aca="false">IFERROR(INDEX(DATABASE!$O$4:$O$2003,MATCH($B151,DATABASE!$U$4:$U$2003,0))&amp;"","")</f>
        <v/>
      </c>
      <c r="K151" s="47" t="str">
        <f aca="false">IFERROR(INDEX(DATABASE!$J$4:$J$2003,MATCH($B151,DATABASE!$U$4:$U$2003,0))&amp;"","")</f>
        <v/>
      </c>
    </row>
    <row r="152" customFormat="false" ht="15" hidden="false" customHeight="false" outlineLevel="0" collapsed="false">
      <c r="B152" s="49" t="n">
        <v>140</v>
      </c>
      <c r="C152" s="50" t="str">
        <f aca="false">IFERROR(INDEX(DATABASE!$B$4:$B$2003,MATCH($B152,DATABASE!$U$4:$U$2003,0))&amp;"","")</f>
        <v/>
      </c>
      <c r="D152" s="51" t="str">
        <f aca="false">IFERROR(INDEX(DATABASE!$C$4:$C$2003,MATCH($B152,DATABASE!$U$4:$U$2003,0))&amp;"","")</f>
        <v/>
      </c>
      <c r="E152" s="49" t="str">
        <f aca="false">IFERROR(INDEX(DATABASE!$D$4:$D$2003,MATCH($B152,DATABASE!$U$4:$U$2003,0))&amp;"","")</f>
        <v/>
      </c>
      <c r="F152" s="49" t="str">
        <f aca="false">IFERROR(INDEX(DATABASE!$E$4:$E$2003,MATCH($B152,DATABASE!$U$4:$U$2003,0))&amp;"","")</f>
        <v/>
      </c>
      <c r="G152" s="51" t="str">
        <f aca="false">IFERROR(INDEX(DATABASE!$F$4:$F$2003,MATCH($B152,DATABASE!$U$4:$U$2003,0))&amp;"","")</f>
        <v/>
      </c>
      <c r="H152" s="50" t="str">
        <f aca="false">IFERROR(INDEX(DATABASE!$H$4:$H$2003,MATCH($B152,DATABASE!$U$4:$U$2003,0))&amp;"","")</f>
        <v/>
      </c>
      <c r="I152" s="51" t="str">
        <f aca="false">IFERROR(INDEX(DATABASE!$I$4:$I$2003,MATCH($B152,DATABASE!$U$4:$U$2003,0))&amp;"","")</f>
        <v/>
      </c>
      <c r="J152" s="49" t="str">
        <f aca="false">IFERROR(INDEX(DATABASE!$O$4:$O$2003,MATCH($B152,DATABASE!$U$4:$U$2003,0))&amp;"","")</f>
        <v/>
      </c>
      <c r="K152" s="50" t="str">
        <f aca="false">IFERROR(INDEX(DATABASE!$J$4:$J$2003,MATCH($B152,DATABASE!$U$4:$U$2003,0))&amp;"","")</f>
        <v/>
      </c>
    </row>
    <row r="153" customFormat="false" ht="15" hidden="false" customHeight="false" outlineLevel="0" collapsed="false">
      <c r="B153" s="46" t="n">
        <v>141</v>
      </c>
      <c r="C153" s="47" t="str">
        <f aca="false">IFERROR(INDEX(DATABASE!$B$4:$B$2003,MATCH($B153,DATABASE!$U$4:$U$2003,0))&amp;"","")</f>
        <v/>
      </c>
      <c r="D153" s="48" t="str">
        <f aca="false">IFERROR(INDEX(DATABASE!$C$4:$C$2003,MATCH($B153,DATABASE!$U$4:$U$2003,0))&amp;"","")</f>
        <v/>
      </c>
      <c r="E153" s="46" t="str">
        <f aca="false">IFERROR(INDEX(DATABASE!$D$4:$D$2003,MATCH($B153,DATABASE!$U$4:$U$2003,0))&amp;"","")</f>
        <v/>
      </c>
      <c r="F153" s="46" t="str">
        <f aca="false">IFERROR(INDEX(DATABASE!$E$4:$E$2003,MATCH($B153,DATABASE!$U$4:$U$2003,0))&amp;"","")</f>
        <v/>
      </c>
      <c r="G153" s="48" t="str">
        <f aca="false">IFERROR(INDEX(DATABASE!$F$4:$F$2003,MATCH($B153,DATABASE!$U$4:$U$2003,0))&amp;"","")</f>
        <v/>
      </c>
      <c r="H153" s="47" t="str">
        <f aca="false">IFERROR(INDEX(DATABASE!$H$4:$H$2003,MATCH($B153,DATABASE!$U$4:$U$2003,0))&amp;"","")</f>
        <v/>
      </c>
      <c r="I153" s="48" t="str">
        <f aca="false">IFERROR(INDEX(DATABASE!$I$4:$I$2003,MATCH($B153,DATABASE!$U$4:$U$2003,0))&amp;"","")</f>
        <v/>
      </c>
      <c r="J153" s="46" t="str">
        <f aca="false">IFERROR(INDEX(DATABASE!$O$4:$O$2003,MATCH($B153,DATABASE!$U$4:$U$2003,0))&amp;"","")</f>
        <v/>
      </c>
      <c r="K153" s="47" t="str">
        <f aca="false">IFERROR(INDEX(DATABASE!$J$4:$J$2003,MATCH($B153,DATABASE!$U$4:$U$2003,0))&amp;"","")</f>
        <v/>
      </c>
    </row>
    <row r="154" customFormat="false" ht="15" hidden="false" customHeight="false" outlineLevel="0" collapsed="false">
      <c r="B154" s="49" t="n">
        <v>142</v>
      </c>
      <c r="C154" s="50" t="str">
        <f aca="false">IFERROR(INDEX(DATABASE!$B$4:$B$2003,MATCH($B154,DATABASE!$U$4:$U$2003,0))&amp;"","")</f>
        <v/>
      </c>
      <c r="D154" s="51" t="str">
        <f aca="false">IFERROR(INDEX(DATABASE!$C$4:$C$2003,MATCH($B154,DATABASE!$U$4:$U$2003,0))&amp;"","")</f>
        <v/>
      </c>
      <c r="E154" s="49" t="str">
        <f aca="false">IFERROR(INDEX(DATABASE!$D$4:$D$2003,MATCH($B154,DATABASE!$U$4:$U$2003,0))&amp;"","")</f>
        <v/>
      </c>
      <c r="F154" s="49" t="str">
        <f aca="false">IFERROR(INDEX(DATABASE!$E$4:$E$2003,MATCH($B154,DATABASE!$U$4:$U$2003,0))&amp;"","")</f>
        <v/>
      </c>
      <c r="G154" s="51" t="str">
        <f aca="false">IFERROR(INDEX(DATABASE!$F$4:$F$2003,MATCH($B154,DATABASE!$U$4:$U$2003,0))&amp;"","")</f>
        <v/>
      </c>
      <c r="H154" s="50" t="str">
        <f aca="false">IFERROR(INDEX(DATABASE!$H$4:$H$2003,MATCH($B154,DATABASE!$U$4:$U$2003,0))&amp;"","")</f>
        <v/>
      </c>
      <c r="I154" s="51" t="str">
        <f aca="false">IFERROR(INDEX(DATABASE!$I$4:$I$2003,MATCH($B154,DATABASE!$U$4:$U$2003,0))&amp;"","")</f>
        <v/>
      </c>
      <c r="J154" s="49" t="str">
        <f aca="false">IFERROR(INDEX(DATABASE!$O$4:$O$2003,MATCH($B154,DATABASE!$U$4:$U$2003,0))&amp;"","")</f>
        <v/>
      </c>
      <c r="K154" s="50" t="str">
        <f aca="false">IFERROR(INDEX(DATABASE!$J$4:$J$2003,MATCH($B154,DATABASE!$U$4:$U$2003,0))&amp;"","")</f>
        <v/>
      </c>
    </row>
    <row r="155" customFormat="false" ht="15" hidden="false" customHeight="false" outlineLevel="0" collapsed="false">
      <c r="B155" s="46" t="n">
        <v>143</v>
      </c>
      <c r="C155" s="47" t="str">
        <f aca="false">IFERROR(INDEX(DATABASE!$B$4:$B$2003,MATCH($B155,DATABASE!$U$4:$U$2003,0))&amp;"","")</f>
        <v/>
      </c>
      <c r="D155" s="48" t="str">
        <f aca="false">IFERROR(INDEX(DATABASE!$C$4:$C$2003,MATCH($B155,DATABASE!$U$4:$U$2003,0))&amp;"","")</f>
        <v/>
      </c>
      <c r="E155" s="46" t="str">
        <f aca="false">IFERROR(INDEX(DATABASE!$D$4:$D$2003,MATCH($B155,DATABASE!$U$4:$U$2003,0))&amp;"","")</f>
        <v/>
      </c>
      <c r="F155" s="46" t="str">
        <f aca="false">IFERROR(INDEX(DATABASE!$E$4:$E$2003,MATCH($B155,DATABASE!$U$4:$U$2003,0))&amp;"","")</f>
        <v/>
      </c>
      <c r="G155" s="48" t="str">
        <f aca="false">IFERROR(INDEX(DATABASE!$F$4:$F$2003,MATCH($B155,DATABASE!$U$4:$U$2003,0))&amp;"","")</f>
        <v/>
      </c>
      <c r="H155" s="47" t="str">
        <f aca="false">IFERROR(INDEX(DATABASE!$H$4:$H$2003,MATCH($B155,DATABASE!$U$4:$U$2003,0))&amp;"","")</f>
        <v/>
      </c>
      <c r="I155" s="48" t="str">
        <f aca="false">IFERROR(INDEX(DATABASE!$I$4:$I$2003,MATCH($B155,DATABASE!$U$4:$U$2003,0))&amp;"","")</f>
        <v/>
      </c>
      <c r="J155" s="46" t="str">
        <f aca="false">IFERROR(INDEX(DATABASE!$O$4:$O$2003,MATCH($B155,DATABASE!$U$4:$U$2003,0))&amp;"","")</f>
        <v/>
      </c>
      <c r="K155" s="47" t="str">
        <f aca="false">IFERROR(INDEX(DATABASE!$J$4:$J$2003,MATCH($B155,DATABASE!$U$4:$U$2003,0))&amp;"","")</f>
        <v/>
      </c>
    </row>
    <row r="156" customFormat="false" ht="15" hidden="false" customHeight="false" outlineLevel="0" collapsed="false">
      <c r="B156" s="49" t="n">
        <v>144</v>
      </c>
      <c r="C156" s="50" t="str">
        <f aca="false">IFERROR(INDEX(DATABASE!$B$4:$B$2003,MATCH($B156,DATABASE!$U$4:$U$2003,0))&amp;"","")</f>
        <v/>
      </c>
      <c r="D156" s="51" t="str">
        <f aca="false">IFERROR(INDEX(DATABASE!$C$4:$C$2003,MATCH($B156,DATABASE!$U$4:$U$2003,0))&amp;"","")</f>
        <v/>
      </c>
      <c r="E156" s="49" t="str">
        <f aca="false">IFERROR(INDEX(DATABASE!$D$4:$D$2003,MATCH($B156,DATABASE!$U$4:$U$2003,0))&amp;"","")</f>
        <v/>
      </c>
      <c r="F156" s="49" t="str">
        <f aca="false">IFERROR(INDEX(DATABASE!$E$4:$E$2003,MATCH($B156,DATABASE!$U$4:$U$2003,0))&amp;"","")</f>
        <v/>
      </c>
      <c r="G156" s="51" t="str">
        <f aca="false">IFERROR(INDEX(DATABASE!$F$4:$F$2003,MATCH($B156,DATABASE!$U$4:$U$2003,0))&amp;"","")</f>
        <v/>
      </c>
      <c r="H156" s="50" t="str">
        <f aca="false">IFERROR(INDEX(DATABASE!$H$4:$H$2003,MATCH($B156,DATABASE!$U$4:$U$2003,0))&amp;"","")</f>
        <v/>
      </c>
      <c r="I156" s="51" t="str">
        <f aca="false">IFERROR(INDEX(DATABASE!$I$4:$I$2003,MATCH($B156,DATABASE!$U$4:$U$2003,0))&amp;"","")</f>
        <v/>
      </c>
      <c r="J156" s="49" t="str">
        <f aca="false">IFERROR(INDEX(DATABASE!$O$4:$O$2003,MATCH($B156,DATABASE!$U$4:$U$2003,0))&amp;"","")</f>
        <v/>
      </c>
      <c r="K156" s="50" t="str">
        <f aca="false">IFERROR(INDEX(DATABASE!$J$4:$J$2003,MATCH($B156,DATABASE!$U$4:$U$2003,0))&amp;"","")</f>
        <v/>
      </c>
    </row>
    <row r="157" customFormat="false" ht="15" hidden="false" customHeight="false" outlineLevel="0" collapsed="false">
      <c r="B157" s="46" t="n">
        <v>145</v>
      </c>
      <c r="C157" s="47" t="str">
        <f aca="false">IFERROR(INDEX(DATABASE!$B$4:$B$2003,MATCH($B157,DATABASE!$U$4:$U$2003,0))&amp;"","")</f>
        <v/>
      </c>
      <c r="D157" s="48" t="str">
        <f aca="false">IFERROR(INDEX(DATABASE!$C$4:$C$2003,MATCH($B157,DATABASE!$U$4:$U$2003,0))&amp;"","")</f>
        <v/>
      </c>
      <c r="E157" s="46" t="str">
        <f aca="false">IFERROR(INDEX(DATABASE!$D$4:$D$2003,MATCH($B157,DATABASE!$U$4:$U$2003,0))&amp;"","")</f>
        <v/>
      </c>
      <c r="F157" s="46" t="str">
        <f aca="false">IFERROR(INDEX(DATABASE!$E$4:$E$2003,MATCH($B157,DATABASE!$U$4:$U$2003,0))&amp;"","")</f>
        <v/>
      </c>
      <c r="G157" s="48" t="str">
        <f aca="false">IFERROR(INDEX(DATABASE!$F$4:$F$2003,MATCH($B157,DATABASE!$U$4:$U$2003,0))&amp;"","")</f>
        <v/>
      </c>
      <c r="H157" s="47" t="str">
        <f aca="false">IFERROR(INDEX(DATABASE!$H$4:$H$2003,MATCH($B157,DATABASE!$U$4:$U$2003,0))&amp;"","")</f>
        <v/>
      </c>
      <c r="I157" s="48" t="str">
        <f aca="false">IFERROR(INDEX(DATABASE!$I$4:$I$2003,MATCH($B157,DATABASE!$U$4:$U$2003,0))&amp;"","")</f>
        <v/>
      </c>
      <c r="J157" s="46" t="str">
        <f aca="false">IFERROR(INDEX(DATABASE!$O$4:$O$2003,MATCH($B157,DATABASE!$U$4:$U$2003,0))&amp;"","")</f>
        <v/>
      </c>
      <c r="K157" s="47" t="str">
        <f aca="false">IFERROR(INDEX(DATABASE!$J$4:$J$2003,MATCH($B157,DATABASE!$U$4:$U$2003,0))&amp;"","")</f>
        <v/>
      </c>
    </row>
    <row r="158" customFormat="false" ht="15" hidden="false" customHeight="false" outlineLevel="0" collapsed="false">
      <c r="B158" s="49" t="n">
        <v>146</v>
      </c>
      <c r="C158" s="50" t="str">
        <f aca="false">IFERROR(INDEX(DATABASE!$B$4:$B$2003,MATCH($B158,DATABASE!$U$4:$U$2003,0))&amp;"","")</f>
        <v/>
      </c>
      <c r="D158" s="51" t="str">
        <f aca="false">IFERROR(INDEX(DATABASE!$C$4:$C$2003,MATCH($B158,DATABASE!$U$4:$U$2003,0))&amp;"","")</f>
        <v/>
      </c>
      <c r="E158" s="49" t="str">
        <f aca="false">IFERROR(INDEX(DATABASE!$D$4:$D$2003,MATCH($B158,DATABASE!$U$4:$U$2003,0))&amp;"","")</f>
        <v/>
      </c>
      <c r="F158" s="49" t="str">
        <f aca="false">IFERROR(INDEX(DATABASE!$E$4:$E$2003,MATCH($B158,DATABASE!$U$4:$U$2003,0))&amp;"","")</f>
        <v/>
      </c>
      <c r="G158" s="51" t="str">
        <f aca="false">IFERROR(INDEX(DATABASE!$F$4:$F$2003,MATCH($B158,DATABASE!$U$4:$U$2003,0))&amp;"","")</f>
        <v/>
      </c>
      <c r="H158" s="50" t="str">
        <f aca="false">IFERROR(INDEX(DATABASE!$H$4:$H$2003,MATCH($B158,DATABASE!$U$4:$U$2003,0))&amp;"","")</f>
        <v/>
      </c>
      <c r="I158" s="51" t="str">
        <f aca="false">IFERROR(INDEX(DATABASE!$I$4:$I$2003,MATCH($B158,DATABASE!$U$4:$U$2003,0))&amp;"","")</f>
        <v/>
      </c>
      <c r="J158" s="49" t="str">
        <f aca="false">IFERROR(INDEX(DATABASE!$O$4:$O$2003,MATCH($B158,DATABASE!$U$4:$U$2003,0))&amp;"","")</f>
        <v/>
      </c>
      <c r="K158" s="50" t="str">
        <f aca="false">IFERROR(INDEX(DATABASE!$J$4:$J$2003,MATCH($B158,DATABASE!$U$4:$U$2003,0))&amp;"","")</f>
        <v/>
      </c>
    </row>
    <row r="159" customFormat="false" ht="15" hidden="false" customHeight="false" outlineLevel="0" collapsed="false">
      <c r="B159" s="46" t="n">
        <v>147</v>
      </c>
      <c r="C159" s="47" t="str">
        <f aca="false">IFERROR(INDEX(DATABASE!$B$4:$B$2003,MATCH($B159,DATABASE!$U$4:$U$2003,0))&amp;"","")</f>
        <v/>
      </c>
      <c r="D159" s="48" t="str">
        <f aca="false">IFERROR(INDEX(DATABASE!$C$4:$C$2003,MATCH($B159,DATABASE!$U$4:$U$2003,0))&amp;"","")</f>
        <v/>
      </c>
      <c r="E159" s="46" t="str">
        <f aca="false">IFERROR(INDEX(DATABASE!$D$4:$D$2003,MATCH($B159,DATABASE!$U$4:$U$2003,0))&amp;"","")</f>
        <v/>
      </c>
      <c r="F159" s="46" t="str">
        <f aca="false">IFERROR(INDEX(DATABASE!$E$4:$E$2003,MATCH($B159,DATABASE!$U$4:$U$2003,0))&amp;"","")</f>
        <v/>
      </c>
      <c r="G159" s="48" t="str">
        <f aca="false">IFERROR(INDEX(DATABASE!$F$4:$F$2003,MATCH($B159,DATABASE!$U$4:$U$2003,0))&amp;"","")</f>
        <v/>
      </c>
      <c r="H159" s="47" t="str">
        <f aca="false">IFERROR(INDEX(DATABASE!$H$4:$H$2003,MATCH($B159,DATABASE!$U$4:$U$2003,0))&amp;"","")</f>
        <v/>
      </c>
      <c r="I159" s="48" t="str">
        <f aca="false">IFERROR(INDEX(DATABASE!$I$4:$I$2003,MATCH($B159,DATABASE!$U$4:$U$2003,0))&amp;"","")</f>
        <v/>
      </c>
      <c r="J159" s="46" t="str">
        <f aca="false">IFERROR(INDEX(DATABASE!$O$4:$O$2003,MATCH($B159,DATABASE!$U$4:$U$2003,0))&amp;"","")</f>
        <v/>
      </c>
      <c r="K159" s="47" t="str">
        <f aca="false">IFERROR(INDEX(DATABASE!$J$4:$J$2003,MATCH($B159,DATABASE!$U$4:$U$2003,0))&amp;"","")</f>
        <v/>
      </c>
    </row>
    <row r="160" customFormat="false" ht="15" hidden="false" customHeight="false" outlineLevel="0" collapsed="false">
      <c r="B160" s="49" t="n">
        <v>148</v>
      </c>
      <c r="C160" s="50" t="str">
        <f aca="false">IFERROR(INDEX(DATABASE!$B$4:$B$2003,MATCH($B160,DATABASE!$U$4:$U$2003,0))&amp;"","")</f>
        <v/>
      </c>
      <c r="D160" s="51" t="str">
        <f aca="false">IFERROR(INDEX(DATABASE!$C$4:$C$2003,MATCH($B160,DATABASE!$U$4:$U$2003,0))&amp;"","")</f>
        <v/>
      </c>
      <c r="E160" s="49" t="str">
        <f aca="false">IFERROR(INDEX(DATABASE!$D$4:$D$2003,MATCH($B160,DATABASE!$U$4:$U$2003,0))&amp;"","")</f>
        <v/>
      </c>
      <c r="F160" s="49" t="str">
        <f aca="false">IFERROR(INDEX(DATABASE!$E$4:$E$2003,MATCH($B160,DATABASE!$U$4:$U$2003,0))&amp;"","")</f>
        <v/>
      </c>
      <c r="G160" s="51" t="str">
        <f aca="false">IFERROR(INDEX(DATABASE!$F$4:$F$2003,MATCH($B160,DATABASE!$U$4:$U$2003,0))&amp;"","")</f>
        <v/>
      </c>
      <c r="H160" s="50" t="str">
        <f aca="false">IFERROR(INDEX(DATABASE!$H$4:$H$2003,MATCH($B160,DATABASE!$U$4:$U$2003,0))&amp;"","")</f>
        <v/>
      </c>
      <c r="I160" s="51" t="str">
        <f aca="false">IFERROR(INDEX(DATABASE!$I$4:$I$2003,MATCH($B160,DATABASE!$U$4:$U$2003,0))&amp;"","")</f>
        <v/>
      </c>
      <c r="J160" s="49" t="str">
        <f aca="false">IFERROR(INDEX(DATABASE!$O$4:$O$2003,MATCH($B160,DATABASE!$U$4:$U$2003,0))&amp;"","")</f>
        <v/>
      </c>
      <c r="K160" s="50" t="str">
        <f aca="false">IFERROR(INDEX(DATABASE!$J$4:$J$2003,MATCH($B160,DATABASE!$U$4:$U$2003,0))&amp;"","")</f>
        <v/>
      </c>
    </row>
    <row r="161" customFormat="false" ht="15" hidden="false" customHeight="false" outlineLevel="0" collapsed="false">
      <c r="B161" s="46" t="n">
        <v>149</v>
      </c>
      <c r="C161" s="47" t="str">
        <f aca="false">IFERROR(INDEX(DATABASE!$B$4:$B$2003,MATCH($B161,DATABASE!$U$4:$U$2003,0))&amp;"","")</f>
        <v/>
      </c>
      <c r="D161" s="48" t="str">
        <f aca="false">IFERROR(INDEX(DATABASE!$C$4:$C$2003,MATCH($B161,DATABASE!$U$4:$U$2003,0))&amp;"","")</f>
        <v/>
      </c>
      <c r="E161" s="46" t="str">
        <f aca="false">IFERROR(INDEX(DATABASE!$D$4:$D$2003,MATCH($B161,DATABASE!$U$4:$U$2003,0))&amp;"","")</f>
        <v/>
      </c>
      <c r="F161" s="46" t="str">
        <f aca="false">IFERROR(INDEX(DATABASE!$E$4:$E$2003,MATCH($B161,DATABASE!$U$4:$U$2003,0))&amp;"","")</f>
        <v/>
      </c>
      <c r="G161" s="48" t="str">
        <f aca="false">IFERROR(INDEX(DATABASE!$F$4:$F$2003,MATCH($B161,DATABASE!$U$4:$U$2003,0))&amp;"","")</f>
        <v/>
      </c>
      <c r="H161" s="47" t="str">
        <f aca="false">IFERROR(INDEX(DATABASE!$H$4:$H$2003,MATCH($B161,DATABASE!$U$4:$U$2003,0))&amp;"","")</f>
        <v/>
      </c>
      <c r="I161" s="48" t="str">
        <f aca="false">IFERROR(INDEX(DATABASE!$I$4:$I$2003,MATCH($B161,DATABASE!$U$4:$U$2003,0))&amp;"","")</f>
        <v/>
      </c>
      <c r="J161" s="46" t="str">
        <f aca="false">IFERROR(INDEX(DATABASE!$O$4:$O$2003,MATCH($B161,DATABASE!$U$4:$U$2003,0))&amp;"","")</f>
        <v/>
      </c>
      <c r="K161" s="47" t="str">
        <f aca="false">IFERROR(INDEX(DATABASE!$J$4:$J$2003,MATCH($B161,DATABASE!$U$4:$U$2003,0))&amp;"","")</f>
        <v/>
      </c>
    </row>
    <row r="162" customFormat="false" ht="15" hidden="false" customHeight="false" outlineLevel="0" collapsed="false">
      <c r="B162" s="49" t="n">
        <v>150</v>
      </c>
      <c r="C162" s="50" t="str">
        <f aca="false">IFERROR(INDEX(DATABASE!$B$4:$B$2003,MATCH($B162,DATABASE!$U$4:$U$2003,0))&amp;"","")</f>
        <v/>
      </c>
      <c r="D162" s="51" t="str">
        <f aca="false">IFERROR(INDEX(DATABASE!$C$4:$C$2003,MATCH($B162,DATABASE!$U$4:$U$2003,0))&amp;"","")</f>
        <v/>
      </c>
      <c r="E162" s="49" t="str">
        <f aca="false">IFERROR(INDEX(DATABASE!$D$4:$D$2003,MATCH($B162,DATABASE!$U$4:$U$2003,0))&amp;"","")</f>
        <v/>
      </c>
      <c r="F162" s="49" t="str">
        <f aca="false">IFERROR(INDEX(DATABASE!$E$4:$E$2003,MATCH($B162,DATABASE!$U$4:$U$2003,0))&amp;"","")</f>
        <v/>
      </c>
      <c r="G162" s="51" t="str">
        <f aca="false">IFERROR(INDEX(DATABASE!$F$4:$F$2003,MATCH($B162,DATABASE!$U$4:$U$2003,0))&amp;"","")</f>
        <v/>
      </c>
      <c r="H162" s="50" t="str">
        <f aca="false">IFERROR(INDEX(DATABASE!$H$4:$H$2003,MATCH($B162,DATABASE!$U$4:$U$2003,0))&amp;"","")</f>
        <v/>
      </c>
      <c r="I162" s="51" t="str">
        <f aca="false">IFERROR(INDEX(DATABASE!$I$4:$I$2003,MATCH($B162,DATABASE!$U$4:$U$2003,0))&amp;"","")</f>
        <v/>
      </c>
      <c r="J162" s="49" t="str">
        <f aca="false">IFERROR(INDEX(DATABASE!$O$4:$O$2003,MATCH($B162,DATABASE!$U$4:$U$2003,0))&amp;"","")</f>
        <v/>
      </c>
      <c r="K162" s="50" t="str">
        <f aca="false">IFERROR(INDEX(DATABASE!$J$4:$J$2003,MATCH($B162,DATABASE!$U$4:$U$2003,0))&amp;"","")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daftar_kadus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30" t="s">
        <v>77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AA1" s="52" t="str">
        <f aca="false">IF(OR($D$82="",$F$82=""),"~",$D$82&amp;" - RT "&amp;$F$82)</f>
        <v>~</v>
      </c>
    </row>
    <row r="2" customFormat="false" ht="15" hidden="false" customHeight="false" outlineLevel="0" collapsed="false">
      <c r="A2" s="31" t="s">
        <v>34</v>
      </c>
      <c r="C2" s="32" t="s">
        <v>78</v>
      </c>
    </row>
    <row r="4" customFormat="false" ht="19.5" hidden="false" customHeight="true" outlineLevel="0" collapsed="false">
      <c r="B4" s="5" t="s">
        <v>79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B5" s="53" t="s">
        <v>24</v>
      </c>
      <c r="C5" s="54" t="str">
        <f aca="false">REFERENSI!$D$6</f>
        <v>001</v>
      </c>
      <c r="D5" s="54" t="str">
        <f aca="false">REFERENSI!$D$7</f>
        <v>002</v>
      </c>
      <c r="E5" s="54" t="str">
        <f aca="false">REFERENSI!$D$8</f>
        <v>003</v>
      </c>
      <c r="F5" s="54" t="str">
        <f aca="false">REFERENSI!$D$9</f>
        <v>004</v>
      </c>
      <c r="G5" s="54" t="str">
        <f aca="false">REFERENSI!$D$10</f>
        <v>005</v>
      </c>
      <c r="H5" s="54" t="str">
        <f aca="false">REFERENSI!$D$11</f>
        <v>006</v>
      </c>
      <c r="I5" s="54" t="str">
        <f aca="false">REFERENSI!$D$12</f>
        <v>007</v>
      </c>
      <c r="J5" s="54" t="str">
        <f aca="false">REFERENSI!$D$13</f>
        <v>008</v>
      </c>
      <c r="K5" s="54" t="str">
        <f aca="false">REFERENSI!$D$14</f>
        <v>009</v>
      </c>
      <c r="L5" s="54" t="str">
        <f aca="false">REFERENSI!$D$15</f>
        <v>010</v>
      </c>
      <c r="M5" s="54" t="str">
        <f aca="false">REFERENSI!$D$16</f>
        <v>011</v>
      </c>
      <c r="N5" s="54" t="str">
        <f aca="false">REFERENSI!$D$17</f>
        <v>012</v>
      </c>
      <c r="O5" s="54" t="str">
        <f aca="false">REFERENSI!$D$18</f>
        <v>013</v>
      </c>
      <c r="P5" s="54" t="str">
        <f aca="false">REFERENSI!$D$19</f>
        <v>014</v>
      </c>
      <c r="Q5" s="54" t="str">
        <f aca="false">REFERENSI!$D$20</f>
        <v>015</v>
      </c>
      <c r="R5" s="54" t="n">
        <f aca="false">REFERENSI!$D$21</f>
        <v>0</v>
      </c>
      <c r="S5" s="54" t="n">
        <f aca="false">REFERENSI!$D$22</f>
        <v>0</v>
      </c>
      <c r="T5" s="54" t="n">
        <f aca="false">REFERENSI!$D$23</f>
        <v>0</v>
      </c>
      <c r="U5" s="54" t="n">
        <f aca="false">REFERENSI!$D$24</f>
        <v>0</v>
      </c>
      <c r="V5" s="54" t="n">
        <f aca="false">REFERENSI!$D$25</f>
        <v>0</v>
      </c>
      <c r="W5" s="16" t="s">
        <v>36</v>
      </c>
    </row>
    <row r="6" customFormat="false" ht="15" hidden="false" customHeight="false" outlineLevel="0" collapsed="false">
      <c r="B6" s="8" t="str">
        <f aca="true">IFERROR(INDEX(daftar_kadus,1),"")</f>
        <v>Kadus I</v>
      </c>
      <c r="C6" s="46" t="n">
        <f aca="false">IF(OR($B6="",C$5=""),"",COUNTIFS(DATABASE!$E$4:$E$2003,$B6,DATABASE!$F$4:$F$2003,C$5))</f>
        <v>0</v>
      </c>
      <c r="D6" s="46" t="n">
        <f aca="false">IF(OR($B6="",D$5=""),"",COUNTIFS(DATABASE!$E$4:$E$2003,$B6,DATABASE!$F$4:$F$2003,D$5))</f>
        <v>0</v>
      </c>
      <c r="E6" s="46" t="n">
        <f aca="false">IF(OR($B6="",E$5=""),"",COUNTIFS(DATABASE!$E$4:$E$2003,$B6,DATABASE!$F$4:$F$2003,E$5))</f>
        <v>0</v>
      </c>
      <c r="F6" s="46" t="n">
        <f aca="false">IF(OR($B6="",F$5=""),"",COUNTIFS(DATABASE!$E$4:$E$2003,$B6,DATABASE!$F$4:$F$2003,F$5))</f>
        <v>0</v>
      </c>
      <c r="G6" s="46" t="n">
        <f aca="false">IF(OR($B6="",G$5=""),"",COUNTIFS(DATABASE!$E$4:$E$2003,$B6,DATABASE!$F$4:$F$2003,G$5))</f>
        <v>0</v>
      </c>
      <c r="H6" s="46" t="n">
        <f aca="false">IF(OR($B6="",H$5=""),"",COUNTIFS(DATABASE!$E$4:$E$2003,$B6,DATABASE!$F$4:$F$2003,H$5))</f>
        <v>0</v>
      </c>
      <c r="I6" s="46" t="n">
        <f aca="false">IF(OR($B6="",I$5=""),"",COUNTIFS(DATABASE!$E$4:$E$2003,$B6,DATABASE!$F$4:$F$2003,I$5))</f>
        <v>0</v>
      </c>
      <c r="J6" s="46" t="n">
        <f aca="false">IF(OR($B6="",J$5=""),"",COUNTIFS(DATABASE!$E$4:$E$2003,$B6,DATABASE!$F$4:$F$2003,J$5))</f>
        <v>0</v>
      </c>
      <c r="K6" s="46" t="n">
        <f aca="false">IF(OR($B6="",K$5=""),"",COUNTIFS(DATABASE!$E$4:$E$2003,$B6,DATABASE!$F$4:$F$2003,K$5))</f>
        <v>0</v>
      </c>
      <c r="L6" s="46" t="n">
        <f aca="false">IF(OR($B6="",L$5=""),"",COUNTIFS(DATABASE!$E$4:$E$2003,$B6,DATABASE!$F$4:$F$2003,L$5))</f>
        <v>0</v>
      </c>
      <c r="M6" s="46" t="n">
        <f aca="false">IF(OR($B6="",M$5=""),"",COUNTIFS(DATABASE!$E$4:$E$2003,$B6,DATABASE!$F$4:$F$2003,M$5))</f>
        <v>0</v>
      </c>
      <c r="N6" s="46" t="n">
        <f aca="false">IF(OR($B6="",N$5=""),"",COUNTIFS(DATABASE!$E$4:$E$2003,$B6,DATABASE!$F$4:$F$2003,N$5))</f>
        <v>0</v>
      </c>
      <c r="O6" s="46" t="n">
        <f aca="false">IF(OR($B6="",O$5=""),"",COUNTIFS(DATABASE!$E$4:$E$2003,$B6,DATABASE!$F$4:$F$2003,O$5))</f>
        <v>0</v>
      </c>
      <c r="P6" s="46" t="n">
        <f aca="false">IF(OR($B6="",P$5=""),"",COUNTIFS(DATABASE!$E$4:$E$2003,$B6,DATABASE!$F$4:$F$2003,P$5))</f>
        <v>0</v>
      </c>
      <c r="Q6" s="46" t="n">
        <f aca="false">IF(OR($B6="",Q$5=""),"",COUNTIFS(DATABASE!$E$4:$E$2003,$B6,DATABASE!$F$4:$F$2003,Q$5))</f>
        <v>0</v>
      </c>
      <c r="R6" s="46" t="str">
        <f aca="false">IF(OR($B6="",R$5=""),"",COUNTIFS(DATABASE!$E$4:$E$2003,$B6,DATABASE!$F$4:$F$2003,R$5))</f>
        <v/>
      </c>
      <c r="S6" s="46" t="str">
        <f aca="false">IF(OR($B6="",S$5=""),"",COUNTIFS(DATABASE!$E$4:$E$2003,$B6,DATABASE!$F$4:$F$2003,S$5))</f>
        <v/>
      </c>
      <c r="T6" s="46" t="str">
        <f aca="false">IF(OR($B6="",T$5=""),"",COUNTIFS(DATABASE!$E$4:$E$2003,$B6,DATABASE!$F$4:$F$2003,T$5))</f>
        <v/>
      </c>
      <c r="U6" s="46" t="str">
        <f aca="false">IF(OR($B6="",U$5=""),"",COUNTIFS(DATABASE!$E$4:$E$2003,$B6,DATABASE!$F$4:$F$2003,U$5))</f>
        <v/>
      </c>
      <c r="V6" s="46" t="str">
        <f aca="false">IF(OR($B6="",V$5=""),"",COUNTIFS(DATABASE!$E$4:$E$2003,$B6,DATABASE!$F$4:$F$2003,V$5))</f>
        <v/>
      </c>
      <c r="W6" s="55" t="n">
        <f aca="false">IF($B6="","",COUNTIF(DATABASE!$E$4:$E$2003,$B6))</f>
        <v>0</v>
      </c>
    </row>
    <row r="7" customFormat="false" ht="15" hidden="false" customHeight="false" outlineLevel="0" collapsed="false">
      <c r="B7" s="12" t="str">
        <f aca="true">IFERROR(INDEX(daftar_kadus,2),"")</f>
        <v>Kadus II</v>
      </c>
      <c r="C7" s="49" t="n">
        <f aca="false">IF(OR($B7="",C$5=""),"",COUNTIFS(DATABASE!$E$4:$E$2003,$B7,DATABASE!$F$4:$F$2003,C$5))</f>
        <v>0</v>
      </c>
      <c r="D7" s="49" t="n">
        <f aca="false">IF(OR($B7="",D$5=""),"",COUNTIFS(DATABASE!$E$4:$E$2003,$B7,DATABASE!$F$4:$F$2003,D$5))</f>
        <v>0</v>
      </c>
      <c r="E7" s="49" t="n">
        <f aca="false">IF(OR($B7="",E$5=""),"",COUNTIFS(DATABASE!$E$4:$E$2003,$B7,DATABASE!$F$4:$F$2003,E$5))</f>
        <v>0</v>
      </c>
      <c r="F7" s="49" t="n">
        <f aca="false">IF(OR($B7="",F$5=""),"",COUNTIFS(DATABASE!$E$4:$E$2003,$B7,DATABASE!$F$4:$F$2003,F$5))</f>
        <v>0</v>
      </c>
      <c r="G7" s="49" t="n">
        <f aca="false">IF(OR($B7="",G$5=""),"",COUNTIFS(DATABASE!$E$4:$E$2003,$B7,DATABASE!$F$4:$F$2003,G$5))</f>
        <v>0</v>
      </c>
      <c r="H7" s="49" t="n">
        <f aca="false">IF(OR($B7="",H$5=""),"",COUNTIFS(DATABASE!$E$4:$E$2003,$B7,DATABASE!$F$4:$F$2003,H$5))</f>
        <v>0</v>
      </c>
      <c r="I7" s="49" t="n">
        <f aca="false">IF(OR($B7="",I$5=""),"",COUNTIFS(DATABASE!$E$4:$E$2003,$B7,DATABASE!$F$4:$F$2003,I$5))</f>
        <v>0</v>
      </c>
      <c r="J7" s="49" t="n">
        <f aca="false">IF(OR($B7="",J$5=""),"",COUNTIFS(DATABASE!$E$4:$E$2003,$B7,DATABASE!$F$4:$F$2003,J$5))</f>
        <v>0</v>
      </c>
      <c r="K7" s="49" t="n">
        <f aca="false">IF(OR($B7="",K$5=""),"",COUNTIFS(DATABASE!$E$4:$E$2003,$B7,DATABASE!$F$4:$F$2003,K$5))</f>
        <v>0</v>
      </c>
      <c r="L7" s="49" t="n">
        <f aca="false">IF(OR($B7="",L$5=""),"",COUNTIFS(DATABASE!$E$4:$E$2003,$B7,DATABASE!$F$4:$F$2003,L$5))</f>
        <v>0</v>
      </c>
      <c r="M7" s="49" t="n">
        <f aca="false">IF(OR($B7="",M$5=""),"",COUNTIFS(DATABASE!$E$4:$E$2003,$B7,DATABASE!$F$4:$F$2003,M$5))</f>
        <v>0</v>
      </c>
      <c r="N7" s="49" t="n">
        <f aca="false">IF(OR($B7="",N$5=""),"",COUNTIFS(DATABASE!$E$4:$E$2003,$B7,DATABASE!$F$4:$F$2003,N$5))</f>
        <v>0</v>
      </c>
      <c r="O7" s="49" t="n">
        <f aca="false">IF(OR($B7="",O$5=""),"",COUNTIFS(DATABASE!$E$4:$E$2003,$B7,DATABASE!$F$4:$F$2003,O$5))</f>
        <v>0</v>
      </c>
      <c r="P7" s="49" t="n">
        <f aca="false">IF(OR($B7="",P$5=""),"",COUNTIFS(DATABASE!$E$4:$E$2003,$B7,DATABASE!$F$4:$F$2003,P$5))</f>
        <v>0</v>
      </c>
      <c r="Q7" s="49" t="n">
        <f aca="false">IF(OR($B7="",Q$5=""),"",COUNTIFS(DATABASE!$E$4:$E$2003,$B7,DATABASE!$F$4:$F$2003,Q$5))</f>
        <v>0</v>
      </c>
      <c r="R7" s="49" t="str">
        <f aca="false">IF(OR($B7="",R$5=""),"",COUNTIFS(DATABASE!$E$4:$E$2003,$B7,DATABASE!$F$4:$F$2003,R$5))</f>
        <v/>
      </c>
      <c r="S7" s="49" t="str">
        <f aca="false">IF(OR($B7="",S$5=""),"",COUNTIFS(DATABASE!$E$4:$E$2003,$B7,DATABASE!$F$4:$F$2003,S$5))</f>
        <v/>
      </c>
      <c r="T7" s="49" t="str">
        <f aca="false">IF(OR($B7="",T$5=""),"",COUNTIFS(DATABASE!$E$4:$E$2003,$B7,DATABASE!$F$4:$F$2003,T$5))</f>
        <v/>
      </c>
      <c r="U7" s="49" t="str">
        <f aca="false">IF(OR($B7="",U$5=""),"",COUNTIFS(DATABASE!$E$4:$E$2003,$B7,DATABASE!$F$4:$F$2003,U$5))</f>
        <v/>
      </c>
      <c r="V7" s="49" t="str">
        <f aca="false">IF(OR($B7="",V$5=""),"",COUNTIFS(DATABASE!$E$4:$E$2003,$B7,DATABASE!$F$4:$F$2003,V$5))</f>
        <v/>
      </c>
      <c r="W7" s="56" t="n">
        <f aca="false">IF($B7="","",COUNTIF(DATABASE!$E$4:$E$2003,$B7))</f>
        <v>0</v>
      </c>
    </row>
    <row r="8" customFormat="false" ht="15" hidden="false" customHeight="false" outlineLevel="0" collapsed="false">
      <c r="B8" s="8" t="str">
        <f aca="true">IFERROR(INDEX(daftar_kadus,3),"")</f>
        <v>Kadus III</v>
      </c>
      <c r="C8" s="46" t="n">
        <f aca="false">IF(OR($B8="",C$5=""),"",COUNTIFS(DATABASE!$E$4:$E$2003,$B8,DATABASE!$F$4:$F$2003,C$5))</f>
        <v>0</v>
      </c>
      <c r="D8" s="46" t="n">
        <f aca="false">IF(OR($B8="",D$5=""),"",COUNTIFS(DATABASE!$E$4:$E$2003,$B8,DATABASE!$F$4:$F$2003,D$5))</f>
        <v>0</v>
      </c>
      <c r="E8" s="46" t="n">
        <f aca="false">IF(OR($B8="",E$5=""),"",COUNTIFS(DATABASE!$E$4:$E$2003,$B8,DATABASE!$F$4:$F$2003,E$5))</f>
        <v>0</v>
      </c>
      <c r="F8" s="46" t="n">
        <f aca="false">IF(OR($B8="",F$5=""),"",COUNTIFS(DATABASE!$E$4:$E$2003,$B8,DATABASE!$F$4:$F$2003,F$5))</f>
        <v>0</v>
      </c>
      <c r="G8" s="46" t="n">
        <f aca="false">IF(OR($B8="",G$5=""),"",COUNTIFS(DATABASE!$E$4:$E$2003,$B8,DATABASE!$F$4:$F$2003,G$5))</f>
        <v>0</v>
      </c>
      <c r="H8" s="46" t="n">
        <f aca="false">IF(OR($B8="",H$5=""),"",COUNTIFS(DATABASE!$E$4:$E$2003,$B8,DATABASE!$F$4:$F$2003,H$5))</f>
        <v>0</v>
      </c>
      <c r="I8" s="46" t="n">
        <f aca="false">IF(OR($B8="",I$5=""),"",COUNTIFS(DATABASE!$E$4:$E$2003,$B8,DATABASE!$F$4:$F$2003,I$5))</f>
        <v>0</v>
      </c>
      <c r="J8" s="46" t="n">
        <f aca="false">IF(OR($B8="",J$5=""),"",COUNTIFS(DATABASE!$E$4:$E$2003,$B8,DATABASE!$F$4:$F$2003,J$5))</f>
        <v>0</v>
      </c>
      <c r="K8" s="46" t="n">
        <f aca="false">IF(OR($B8="",K$5=""),"",COUNTIFS(DATABASE!$E$4:$E$2003,$B8,DATABASE!$F$4:$F$2003,K$5))</f>
        <v>0</v>
      </c>
      <c r="L8" s="46" t="n">
        <f aca="false">IF(OR($B8="",L$5=""),"",COUNTIFS(DATABASE!$E$4:$E$2003,$B8,DATABASE!$F$4:$F$2003,L$5))</f>
        <v>0</v>
      </c>
      <c r="M8" s="46" t="n">
        <f aca="false">IF(OR($B8="",M$5=""),"",COUNTIFS(DATABASE!$E$4:$E$2003,$B8,DATABASE!$F$4:$F$2003,M$5))</f>
        <v>0</v>
      </c>
      <c r="N8" s="46" t="n">
        <f aca="false">IF(OR($B8="",N$5=""),"",COUNTIFS(DATABASE!$E$4:$E$2003,$B8,DATABASE!$F$4:$F$2003,N$5))</f>
        <v>0</v>
      </c>
      <c r="O8" s="46" t="n">
        <f aca="false">IF(OR($B8="",O$5=""),"",COUNTIFS(DATABASE!$E$4:$E$2003,$B8,DATABASE!$F$4:$F$2003,O$5))</f>
        <v>0</v>
      </c>
      <c r="P8" s="46" t="n">
        <f aca="false">IF(OR($B8="",P$5=""),"",COUNTIFS(DATABASE!$E$4:$E$2003,$B8,DATABASE!$F$4:$F$2003,P$5))</f>
        <v>0</v>
      </c>
      <c r="Q8" s="46" t="n">
        <f aca="false">IF(OR($B8="",Q$5=""),"",COUNTIFS(DATABASE!$E$4:$E$2003,$B8,DATABASE!$F$4:$F$2003,Q$5))</f>
        <v>0</v>
      </c>
      <c r="R8" s="46" t="str">
        <f aca="false">IF(OR($B8="",R$5=""),"",COUNTIFS(DATABASE!$E$4:$E$2003,$B8,DATABASE!$F$4:$F$2003,R$5))</f>
        <v/>
      </c>
      <c r="S8" s="46" t="str">
        <f aca="false">IF(OR($B8="",S$5=""),"",COUNTIFS(DATABASE!$E$4:$E$2003,$B8,DATABASE!$F$4:$F$2003,S$5))</f>
        <v/>
      </c>
      <c r="T8" s="46" t="str">
        <f aca="false">IF(OR($B8="",T$5=""),"",COUNTIFS(DATABASE!$E$4:$E$2003,$B8,DATABASE!$F$4:$F$2003,T$5))</f>
        <v/>
      </c>
      <c r="U8" s="46" t="str">
        <f aca="false">IF(OR($B8="",U$5=""),"",COUNTIFS(DATABASE!$E$4:$E$2003,$B8,DATABASE!$F$4:$F$2003,U$5))</f>
        <v/>
      </c>
      <c r="V8" s="46" t="str">
        <f aca="false">IF(OR($B8="",V$5=""),"",COUNTIFS(DATABASE!$E$4:$E$2003,$B8,DATABASE!$F$4:$F$2003,V$5))</f>
        <v/>
      </c>
      <c r="W8" s="55" t="n">
        <f aca="false">IF($B8="","",COUNTIF(DATABASE!$E$4:$E$2003,$B8))</f>
        <v>0</v>
      </c>
    </row>
    <row r="9" customFormat="false" ht="15" hidden="false" customHeight="false" outlineLevel="0" collapsed="false">
      <c r="B9" s="12" t="str">
        <f aca="true">IFERROR(INDEX(daftar_kadus,4),"")</f>
        <v>Kadus IV</v>
      </c>
      <c r="C9" s="49" t="n">
        <f aca="false">IF(OR($B9="",C$5=""),"",COUNTIFS(DATABASE!$E$4:$E$2003,$B9,DATABASE!$F$4:$F$2003,C$5))</f>
        <v>0</v>
      </c>
      <c r="D9" s="49" t="n">
        <f aca="false">IF(OR($B9="",D$5=""),"",COUNTIFS(DATABASE!$E$4:$E$2003,$B9,DATABASE!$F$4:$F$2003,D$5))</f>
        <v>0</v>
      </c>
      <c r="E9" s="49" t="n">
        <f aca="false">IF(OR($B9="",E$5=""),"",COUNTIFS(DATABASE!$E$4:$E$2003,$B9,DATABASE!$F$4:$F$2003,E$5))</f>
        <v>0</v>
      </c>
      <c r="F9" s="49" t="n">
        <f aca="false">IF(OR($B9="",F$5=""),"",COUNTIFS(DATABASE!$E$4:$E$2003,$B9,DATABASE!$F$4:$F$2003,F$5))</f>
        <v>0</v>
      </c>
      <c r="G9" s="49" t="n">
        <f aca="false">IF(OR($B9="",G$5=""),"",COUNTIFS(DATABASE!$E$4:$E$2003,$B9,DATABASE!$F$4:$F$2003,G$5))</f>
        <v>0</v>
      </c>
      <c r="H9" s="49" t="n">
        <f aca="false">IF(OR($B9="",H$5=""),"",COUNTIFS(DATABASE!$E$4:$E$2003,$B9,DATABASE!$F$4:$F$2003,H$5))</f>
        <v>0</v>
      </c>
      <c r="I9" s="49" t="n">
        <f aca="false">IF(OR($B9="",I$5=""),"",COUNTIFS(DATABASE!$E$4:$E$2003,$B9,DATABASE!$F$4:$F$2003,I$5))</f>
        <v>0</v>
      </c>
      <c r="J9" s="49" t="n">
        <f aca="false">IF(OR($B9="",J$5=""),"",COUNTIFS(DATABASE!$E$4:$E$2003,$B9,DATABASE!$F$4:$F$2003,J$5))</f>
        <v>0</v>
      </c>
      <c r="K9" s="49" t="n">
        <f aca="false">IF(OR($B9="",K$5=""),"",COUNTIFS(DATABASE!$E$4:$E$2003,$B9,DATABASE!$F$4:$F$2003,K$5))</f>
        <v>0</v>
      </c>
      <c r="L9" s="49" t="n">
        <f aca="false">IF(OR($B9="",L$5=""),"",COUNTIFS(DATABASE!$E$4:$E$2003,$B9,DATABASE!$F$4:$F$2003,L$5))</f>
        <v>0</v>
      </c>
      <c r="M9" s="49" t="n">
        <f aca="false">IF(OR($B9="",M$5=""),"",COUNTIFS(DATABASE!$E$4:$E$2003,$B9,DATABASE!$F$4:$F$2003,M$5))</f>
        <v>0</v>
      </c>
      <c r="N9" s="49" t="n">
        <f aca="false">IF(OR($B9="",N$5=""),"",COUNTIFS(DATABASE!$E$4:$E$2003,$B9,DATABASE!$F$4:$F$2003,N$5))</f>
        <v>0</v>
      </c>
      <c r="O9" s="49" t="n">
        <f aca="false">IF(OR($B9="",O$5=""),"",COUNTIFS(DATABASE!$E$4:$E$2003,$B9,DATABASE!$F$4:$F$2003,O$5))</f>
        <v>0</v>
      </c>
      <c r="P9" s="49" t="n">
        <f aca="false">IF(OR($B9="",P$5=""),"",COUNTIFS(DATABASE!$E$4:$E$2003,$B9,DATABASE!$F$4:$F$2003,P$5))</f>
        <v>0</v>
      </c>
      <c r="Q9" s="49" t="n">
        <f aca="false">IF(OR($B9="",Q$5=""),"",COUNTIFS(DATABASE!$E$4:$E$2003,$B9,DATABASE!$F$4:$F$2003,Q$5))</f>
        <v>0</v>
      </c>
      <c r="R9" s="49" t="str">
        <f aca="false">IF(OR($B9="",R$5=""),"",COUNTIFS(DATABASE!$E$4:$E$2003,$B9,DATABASE!$F$4:$F$2003,R$5))</f>
        <v/>
      </c>
      <c r="S9" s="49" t="str">
        <f aca="false">IF(OR($B9="",S$5=""),"",COUNTIFS(DATABASE!$E$4:$E$2003,$B9,DATABASE!$F$4:$F$2003,S$5))</f>
        <v/>
      </c>
      <c r="T9" s="49" t="str">
        <f aca="false">IF(OR($B9="",T$5=""),"",COUNTIFS(DATABASE!$E$4:$E$2003,$B9,DATABASE!$F$4:$F$2003,T$5))</f>
        <v/>
      </c>
      <c r="U9" s="49" t="str">
        <f aca="false">IF(OR($B9="",U$5=""),"",COUNTIFS(DATABASE!$E$4:$E$2003,$B9,DATABASE!$F$4:$F$2003,U$5))</f>
        <v/>
      </c>
      <c r="V9" s="49" t="str">
        <f aca="false">IF(OR($B9="",V$5=""),"",COUNTIFS(DATABASE!$E$4:$E$2003,$B9,DATABASE!$F$4:$F$2003,V$5))</f>
        <v/>
      </c>
      <c r="W9" s="56" t="n">
        <f aca="false">IF($B9="","",COUNTIF(DATABASE!$E$4:$E$2003,$B9))</f>
        <v>0</v>
      </c>
    </row>
    <row r="10" customFormat="false" ht="15" hidden="false" customHeight="false" outlineLevel="0" collapsed="false">
      <c r="B10" s="8" t="str">
        <f aca="true">IFERROR(INDEX(daftar_kadus,5),"")</f>
        <v>Kadus V</v>
      </c>
      <c r="C10" s="46" t="n">
        <f aca="false">IF(OR($B10="",C$5=""),"",COUNTIFS(DATABASE!$E$4:$E$2003,$B10,DATABASE!$F$4:$F$2003,C$5))</f>
        <v>0</v>
      </c>
      <c r="D10" s="46" t="n">
        <f aca="false">IF(OR($B10="",D$5=""),"",COUNTIFS(DATABASE!$E$4:$E$2003,$B10,DATABASE!$F$4:$F$2003,D$5))</f>
        <v>0</v>
      </c>
      <c r="E10" s="46" t="n">
        <f aca="false">IF(OR($B10="",E$5=""),"",COUNTIFS(DATABASE!$E$4:$E$2003,$B10,DATABASE!$F$4:$F$2003,E$5))</f>
        <v>0</v>
      </c>
      <c r="F10" s="46" t="n">
        <f aca="false">IF(OR($B10="",F$5=""),"",COUNTIFS(DATABASE!$E$4:$E$2003,$B10,DATABASE!$F$4:$F$2003,F$5))</f>
        <v>0</v>
      </c>
      <c r="G10" s="46" t="n">
        <f aca="false">IF(OR($B10="",G$5=""),"",COUNTIFS(DATABASE!$E$4:$E$2003,$B10,DATABASE!$F$4:$F$2003,G$5))</f>
        <v>0</v>
      </c>
      <c r="H10" s="46" t="n">
        <f aca="false">IF(OR($B10="",H$5=""),"",COUNTIFS(DATABASE!$E$4:$E$2003,$B10,DATABASE!$F$4:$F$2003,H$5))</f>
        <v>0</v>
      </c>
      <c r="I10" s="46" t="n">
        <f aca="false">IF(OR($B10="",I$5=""),"",COUNTIFS(DATABASE!$E$4:$E$2003,$B10,DATABASE!$F$4:$F$2003,I$5))</f>
        <v>0</v>
      </c>
      <c r="J10" s="46" t="n">
        <f aca="false">IF(OR($B10="",J$5=""),"",COUNTIFS(DATABASE!$E$4:$E$2003,$B10,DATABASE!$F$4:$F$2003,J$5))</f>
        <v>0</v>
      </c>
      <c r="K10" s="46" t="n">
        <f aca="false">IF(OR($B10="",K$5=""),"",COUNTIFS(DATABASE!$E$4:$E$2003,$B10,DATABASE!$F$4:$F$2003,K$5))</f>
        <v>0</v>
      </c>
      <c r="L10" s="46" t="n">
        <f aca="false">IF(OR($B10="",L$5=""),"",COUNTIFS(DATABASE!$E$4:$E$2003,$B10,DATABASE!$F$4:$F$2003,L$5))</f>
        <v>0</v>
      </c>
      <c r="M10" s="46" t="n">
        <f aca="false">IF(OR($B10="",M$5=""),"",COUNTIFS(DATABASE!$E$4:$E$2003,$B10,DATABASE!$F$4:$F$2003,M$5))</f>
        <v>0</v>
      </c>
      <c r="N10" s="46" t="n">
        <f aca="false">IF(OR($B10="",N$5=""),"",COUNTIFS(DATABASE!$E$4:$E$2003,$B10,DATABASE!$F$4:$F$2003,N$5))</f>
        <v>0</v>
      </c>
      <c r="O10" s="46" t="n">
        <f aca="false">IF(OR($B10="",O$5=""),"",COUNTIFS(DATABASE!$E$4:$E$2003,$B10,DATABASE!$F$4:$F$2003,O$5))</f>
        <v>0</v>
      </c>
      <c r="P10" s="46" t="n">
        <f aca="false">IF(OR($B10="",P$5=""),"",COUNTIFS(DATABASE!$E$4:$E$2003,$B10,DATABASE!$F$4:$F$2003,P$5))</f>
        <v>0</v>
      </c>
      <c r="Q10" s="46" t="n">
        <f aca="false">IF(OR($B10="",Q$5=""),"",COUNTIFS(DATABASE!$E$4:$E$2003,$B10,DATABASE!$F$4:$F$2003,Q$5))</f>
        <v>0</v>
      </c>
      <c r="R10" s="46" t="str">
        <f aca="false">IF(OR($B10="",R$5=""),"",COUNTIFS(DATABASE!$E$4:$E$2003,$B10,DATABASE!$F$4:$F$2003,R$5))</f>
        <v/>
      </c>
      <c r="S10" s="46" t="str">
        <f aca="false">IF(OR($B10="",S$5=""),"",COUNTIFS(DATABASE!$E$4:$E$2003,$B10,DATABASE!$F$4:$F$2003,S$5))</f>
        <v/>
      </c>
      <c r="T10" s="46" t="str">
        <f aca="false">IF(OR($B10="",T$5=""),"",COUNTIFS(DATABASE!$E$4:$E$2003,$B10,DATABASE!$F$4:$F$2003,T$5))</f>
        <v/>
      </c>
      <c r="U10" s="46" t="str">
        <f aca="false">IF(OR($B10="",U$5=""),"",COUNTIFS(DATABASE!$E$4:$E$2003,$B10,DATABASE!$F$4:$F$2003,U$5))</f>
        <v/>
      </c>
      <c r="V10" s="46" t="str">
        <f aca="false">IF(OR($B10="",V$5=""),"",COUNTIFS(DATABASE!$E$4:$E$2003,$B10,DATABASE!$F$4:$F$2003,V$5))</f>
        <v/>
      </c>
      <c r="W10" s="55" t="n">
        <f aca="false">IF($B10="","",COUNTIF(DATABASE!$E$4:$E$2003,$B10))</f>
        <v>0</v>
      </c>
    </row>
    <row r="11" customFormat="false" ht="15" hidden="false" customHeight="false" outlineLevel="0" collapsed="false">
      <c r="B11" s="12" t="str">
        <f aca="true">IFERROR(INDEX(daftar_kadus,6),"")</f>
        <v/>
      </c>
      <c r="C11" s="49" t="str">
        <f aca="false">IF(OR($B11="",C$5=""),"",COUNTIFS(DATABASE!$E$4:$E$2003,$B11,DATABASE!$F$4:$F$2003,C$5))</f>
        <v/>
      </c>
      <c r="D11" s="49" t="str">
        <f aca="false">IF(OR($B11="",D$5=""),"",COUNTIFS(DATABASE!$E$4:$E$2003,$B11,DATABASE!$F$4:$F$2003,D$5))</f>
        <v/>
      </c>
      <c r="E11" s="49" t="str">
        <f aca="false">IF(OR($B11="",E$5=""),"",COUNTIFS(DATABASE!$E$4:$E$2003,$B11,DATABASE!$F$4:$F$2003,E$5))</f>
        <v/>
      </c>
      <c r="F11" s="49" t="str">
        <f aca="false">IF(OR($B11="",F$5=""),"",COUNTIFS(DATABASE!$E$4:$E$2003,$B11,DATABASE!$F$4:$F$2003,F$5))</f>
        <v/>
      </c>
      <c r="G11" s="49" t="str">
        <f aca="false">IF(OR($B11="",G$5=""),"",COUNTIFS(DATABASE!$E$4:$E$2003,$B11,DATABASE!$F$4:$F$2003,G$5))</f>
        <v/>
      </c>
      <c r="H11" s="49" t="str">
        <f aca="false">IF(OR($B11="",H$5=""),"",COUNTIFS(DATABASE!$E$4:$E$2003,$B11,DATABASE!$F$4:$F$2003,H$5))</f>
        <v/>
      </c>
      <c r="I11" s="49" t="str">
        <f aca="false">IF(OR($B11="",I$5=""),"",COUNTIFS(DATABASE!$E$4:$E$2003,$B11,DATABASE!$F$4:$F$2003,I$5))</f>
        <v/>
      </c>
      <c r="J11" s="49" t="str">
        <f aca="false">IF(OR($B11="",J$5=""),"",COUNTIFS(DATABASE!$E$4:$E$2003,$B11,DATABASE!$F$4:$F$2003,J$5))</f>
        <v/>
      </c>
      <c r="K11" s="49" t="str">
        <f aca="false">IF(OR($B11="",K$5=""),"",COUNTIFS(DATABASE!$E$4:$E$2003,$B11,DATABASE!$F$4:$F$2003,K$5))</f>
        <v/>
      </c>
      <c r="L11" s="49" t="str">
        <f aca="false">IF(OR($B11="",L$5=""),"",COUNTIFS(DATABASE!$E$4:$E$2003,$B11,DATABASE!$F$4:$F$2003,L$5))</f>
        <v/>
      </c>
      <c r="M11" s="49" t="str">
        <f aca="false">IF(OR($B11="",M$5=""),"",COUNTIFS(DATABASE!$E$4:$E$2003,$B11,DATABASE!$F$4:$F$2003,M$5))</f>
        <v/>
      </c>
      <c r="N11" s="49" t="str">
        <f aca="false">IF(OR($B11="",N$5=""),"",COUNTIFS(DATABASE!$E$4:$E$2003,$B11,DATABASE!$F$4:$F$2003,N$5))</f>
        <v/>
      </c>
      <c r="O11" s="49" t="str">
        <f aca="false">IF(OR($B11="",O$5=""),"",COUNTIFS(DATABASE!$E$4:$E$2003,$B11,DATABASE!$F$4:$F$2003,O$5))</f>
        <v/>
      </c>
      <c r="P11" s="49" t="str">
        <f aca="false">IF(OR($B11="",P$5=""),"",COUNTIFS(DATABASE!$E$4:$E$2003,$B11,DATABASE!$F$4:$F$2003,P$5))</f>
        <v/>
      </c>
      <c r="Q11" s="49" t="str">
        <f aca="false">IF(OR($B11="",Q$5=""),"",COUNTIFS(DATABASE!$E$4:$E$2003,$B11,DATABASE!$F$4:$F$2003,Q$5))</f>
        <v/>
      </c>
      <c r="R11" s="49" t="str">
        <f aca="false">IF(OR($B11="",R$5=""),"",COUNTIFS(DATABASE!$E$4:$E$2003,$B11,DATABASE!$F$4:$F$2003,R$5))</f>
        <v/>
      </c>
      <c r="S11" s="49" t="str">
        <f aca="false">IF(OR($B11="",S$5=""),"",COUNTIFS(DATABASE!$E$4:$E$2003,$B11,DATABASE!$F$4:$F$2003,S$5))</f>
        <v/>
      </c>
      <c r="T11" s="49" t="str">
        <f aca="false">IF(OR($B11="",T$5=""),"",COUNTIFS(DATABASE!$E$4:$E$2003,$B11,DATABASE!$F$4:$F$2003,T$5))</f>
        <v/>
      </c>
      <c r="U11" s="49" t="str">
        <f aca="false">IF(OR($B11="",U$5=""),"",COUNTIFS(DATABASE!$E$4:$E$2003,$B11,DATABASE!$F$4:$F$2003,U$5))</f>
        <v/>
      </c>
      <c r="V11" s="49" t="str">
        <f aca="false">IF(OR($B11="",V$5=""),"",COUNTIFS(DATABASE!$E$4:$E$2003,$B11,DATABASE!$F$4:$F$2003,V$5))</f>
        <v/>
      </c>
      <c r="W11" s="56" t="str">
        <f aca="false">IF($B11="","",COUNTIF(DATABASE!$E$4:$E$2003,$B11))</f>
        <v/>
      </c>
    </row>
    <row r="12" customFormat="false" ht="15" hidden="false" customHeight="false" outlineLevel="0" collapsed="false">
      <c r="B12" s="8" t="str">
        <f aca="true">IFERROR(INDEX(daftar_kadus,7),"")</f>
        <v/>
      </c>
      <c r="C12" s="46" t="str">
        <f aca="false">IF(OR($B12="",C$5=""),"",COUNTIFS(DATABASE!$E$4:$E$2003,$B12,DATABASE!$F$4:$F$2003,C$5))</f>
        <v/>
      </c>
      <c r="D12" s="46" t="str">
        <f aca="false">IF(OR($B12="",D$5=""),"",COUNTIFS(DATABASE!$E$4:$E$2003,$B12,DATABASE!$F$4:$F$2003,D$5))</f>
        <v/>
      </c>
      <c r="E12" s="46" t="str">
        <f aca="false">IF(OR($B12="",E$5=""),"",COUNTIFS(DATABASE!$E$4:$E$2003,$B12,DATABASE!$F$4:$F$2003,E$5))</f>
        <v/>
      </c>
      <c r="F12" s="46" t="str">
        <f aca="false">IF(OR($B12="",F$5=""),"",COUNTIFS(DATABASE!$E$4:$E$2003,$B12,DATABASE!$F$4:$F$2003,F$5))</f>
        <v/>
      </c>
      <c r="G12" s="46" t="str">
        <f aca="false">IF(OR($B12="",G$5=""),"",COUNTIFS(DATABASE!$E$4:$E$2003,$B12,DATABASE!$F$4:$F$2003,G$5))</f>
        <v/>
      </c>
      <c r="H12" s="46" t="str">
        <f aca="false">IF(OR($B12="",H$5=""),"",COUNTIFS(DATABASE!$E$4:$E$2003,$B12,DATABASE!$F$4:$F$2003,H$5))</f>
        <v/>
      </c>
      <c r="I12" s="46" t="str">
        <f aca="false">IF(OR($B12="",I$5=""),"",COUNTIFS(DATABASE!$E$4:$E$2003,$B12,DATABASE!$F$4:$F$2003,I$5))</f>
        <v/>
      </c>
      <c r="J12" s="46" t="str">
        <f aca="false">IF(OR($B12="",J$5=""),"",COUNTIFS(DATABASE!$E$4:$E$2003,$B12,DATABASE!$F$4:$F$2003,J$5))</f>
        <v/>
      </c>
      <c r="K12" s="46" t="str">
        <f aca="false">IF(OR($B12="",K$5=""),"",COUNTIFS(DATABASE!$E$4:$E$2003,$B12,DATABASE!$F$4:$F$2003,K$5))</f>
        <v/>
      </c>
      <c r="L12" s="46" t="str">
        <f aca="false">IF(OR($B12="",L$5=""),"",COUNTIFS(DATABASE!$E$4:$E$2003,$B12,DATABASE!$F$4:$F$2003,L$5))</f>
        <v/>
      </c>
      <c r="M12" s="46" t="str">
        <f aca="false">IF(OR($B12="",M$5=""),"",COUNTIFS(DATABASE!$E$4:$E$2003,$B12,DATABASE!$F$4:$F$2003,M$5))</f>
        <v/>
      </c>
      <c r="N12" s="46" t="str">
        <f aca="false">IF(OR($B12="",N$5=""),"",COUNTIFS(DATABASE!$E$4:$E$2003,$B12,DATABASE!$F$4:$F$2003,N$5))</f>
        <v/>
      </c>
      <c r="O12" s="46" t="str">
        <f aca="false">IF(OR($B12="",O$5=""),"",COUNTIFS(DATABASE!$E$4:$E$2003,$B12,DATABASE!$F$4:$F$2003,O$5))</f>
        <v/>
      </c>
      <c r="P12" s="46" t="str">
        <f aca="false">IF(OR($B12="",P$5=""),"",COUNTIFS(DATABASE!$E$4:$E$2003,$B12,DATABASE!$F$4:$F$2003,P$5))</f>
        <v/>
      </c>
      <c r="Q12" s="46" t="str">
        <f aca="false">IF(OR($B12="",Q$5=""),"",COUNTIFS(DATABASE!$E$4:$E$2003,$B12,DATABASE!$F$4:$F$2003,Q$5))</f>
        <v/>
      </c>
      <c r="R12" s="46" t="str">
        <f aca="false">IF(OR($B12="",R$5=""),"",COUNTIFS(DATABASE!$E$4:$E$2003,$B12,DATABASE!$F$4:$F$2003,R$5))</f>
        <v/>
      </c>
      <c r="S12" s="46" t="str">
        <f aca="false">IF(OR($B12="",S$5=""),"",COUNTIFS(DATABASE!$E$4:$E$2003,$B12,DATABASE!$F$4:$F$2003,S$5))</f>
        <v/>
      </c>
      <c r="T12" s="46" t="str">
        <f aca="false">IF(OR($B12="",T$5=""),"",COUNTIFS(DATABASE!$E$4:$E$2003,$B12,DATABASE!$F$4:$F$2003,T$5))</f>
        <v/>
      </c>
      <c r="U12" s="46" t="str">
        <f aca="false">IF(OR($B12="",U$5=""),"",COUNTIFS(DATABASE!$E$4:$E$2003,$B12,DATABASE!$F$4:$F$2003,U$5))</f>
        <v/>
      </c>
      <c r="V12" s="46" t="str">
        <f aca="false">IF(OR($B12="",V$5=""),"",COUNTIFS(DATABASE!$E$4:$E$2003,$B12,DATABASE!$F$4:$F$2003,V$5))</f>
        <v/>
      </c>
      <c r="W12" s="55" t="str">
        <f aca="false">IF($B12="","",COUNTIF(DATABASE!$E$4:$E$2003,$B12))</f>
        <v/>
      </c>
    </row>
    <row r="13" customFormat="false" ht="15" hidden="false" customHeight="false" outlineLevel="0" collapsed="false">
      <c r="B13" s="12" t="str">
        <f aca="true">IFERROR(INDEX(daftar_kadus,8),"")</f>
        <v/>
      </c>
      <c r="C13" s="49" t="str">
        <f aca="false">IF(OR($B13="",C$5=""),"",COUNTIFS(DATABASE!$E$4:$E$2003,$B13,DATABASE!$F$4:$F$2003,C$5))</f>
        <v/>
      </c>
      <c r="D13" s="49" t="str">
        <f aca="false">IF(OR($B13="",D$5=""),"",COUNTIFS(DATABASE!$E$4:$E$2003,$B13,DATABASE!$F$4:$F$2003,D$5))</f>
        <v/>
      </c>
      <c r="E13" s="49" t="str">
        <f aca="false">IF(OR($B13="",E$5=""),"",COUNTIFS(DATABASE!$E$4:$E$2003,$B13,DATABASE!$F$4:$F$2003,E$5))</f>
        <v/>
      </c>
      <c r="F13" s="49" t="str">
        <f aca="false">IF(OR($B13="",F$5=""),"",COUNTIFS(DATABASE!$E$4:$E$2003,$B13,DATABASE!$F$4:$F$2003,F$5))</f>
        <v/>
      </c>
      <c r="G13" s="49" t="str">
        <f aca="false">IF(OR($B13="",G$5=""),"",COUNTIFS(DATABASE!$E$4:$E$2003,$B13,DATABASE!$F$4:$F$2003,G$5))</f>
        <v/>
      </c>
      <c r="H13" s="49" t="str">
        <f aca="false">IF(OR($B13="",H$5=""),"",COUNTIFS(DATABASE!$E$4:$E$2003,$B13,DATABASE!$F$4:$F$2003,H$5))</f>
        <v/>
      </c>
      <c r="I13" s="49" t="str">
        <f aca="false">IF(OR($B13="",I$5=""),"",COUNTIFS(DATABASE!$E$4:$E$2003,$B13,DATABASE!$F$4:$F$2003,I$5))</f>
        <v/>
      </c>
      <c r="J13" s="49" t="str">
        <f aca="false">IF(OR($B13="",J$5=""),"",COUNTIFS(DATABASE!$E$4:$E$2003,$B13,DATABASE!$F$4:$F$2003,J$5))</f>
        <v/>
      </c>
      <c r="K13" s="49" t="str">
        <f aca="false">IF(OR($B13="",K$5=""),"",COUNTIFS(DATABASE!$E$4:$E$2003,$B13,DATABASE!$F$4:$F$2003,K$5))</f>
        <v/>
      </c>
      <c r="L13" s="49" t="str">
        <f aca="false">IF(OR($B13="",L$5=""),"",COUNTIFS(DATABASE!$E$4:$E$2003,$B13,DATABASE!$F$4:$F$2003,L$5))</f>
        <v/>
      </c>
      <c r="M13" s="49" t="str">
        <f aca="false">IF(OR($B13="",M$5=""),"",COUNTIFS(DATABASE!$E$4:$E$2003,$B13,DATABASE!$F$4:$F$2003,M$5))</f>
        <v/>
      </c>
      <c r="N13" s="49" t="str">
        <f aca="false">IF(OR($B13="",N$5=""),"",COUNTIFS(DATABASE!$E$4:$E$2003,$B13,DATABASE!$F$4:$F$2003,N$5))</f>
        <v/>
      </c>
      <c r="O13" s="49" t="str">
        <f aca="false">IF(OR($B13="",O$5=""),"",COUNTIFS(DATABASE!$E$4:$E$2003,$B13,DATABASE!$F$4:$F$2003,O$5))</f>
        <v/>
      </c>
      <c r="P13" s="49" t="str">
        <f aca="false">IF(OR($B13="",P$5=""),"",COUNTIFS(DATABASE!$E$4:$E$2003,$B13,DATABASE!$F$4:$F$2003,P$5))</f>
        <v/>
      </c>
      <c r="Q13" s="49" t="str">
        <f aca="false">IF(OR($B13="",Q$5=""),"",COUNTIFS(DATABASE!$E$4:$E$2003,$B13,DATABASE!$F$4:$F$2003,Q$5))</f>
        <v/>
      </c>
      <c r="R13" s="49" t="str">
        <f aca="false">IF(OR($B13="",R$5=""),"",COUNTIFS(DATABASE!$E$4:$E$2003,$B13,DATABASE!$F$4:$F$2003,R$5))</f>
        <v/>
      </c>
      <c r="S13" s="49" t="str">
        <f aca="false">IF(OR($B13="",S$5=""),"",COUNTIFS(DATABASE!$E$4:$E$2003,$B13,DATABASE!$F$4:$F$2003,S$5))</f>
        <v/>
      </c>
      <c r="T13" s="49" t="str">
        <f aca="false">IF(OR($B13="",T$5=""),"",COUNTIFS(DATABASE!$E$4:$E$2003,$B13,DATABASE!$F$4:$F$2003,T$5))</f>
        <v/>
      </c>
      <c r="U13" s="49" t="str">
        <f aca="false">IF(OR($B13="",U$5=""),"",COUNTIFS(DATABASE!$E$4:$E$2003,$B13,DATABASE!$F$4:$F$2003,U$5))</f>
        <v/>
      </c>
      <c r="V13" s="49" t="str">
        <f aca="false">IF(OR($B13="",V$5=""),"",COUNTIFS(DATABASE!$E$4:$E$2003,$B13,DATABASE!$F$4:$F$2003,V$5))</f>
        <v/>
      </c>
      <c r="W13" s="56" t="str">
        <f aca="false">IF($B13="","",COUNTIF(DATABASE!$E$4:$E$2003,$B13))</f>
        <v/>
      </c>
    </row>
    <row r="14" customFormat="false" ht="15" hidden="false" customHeight="false" outlineLevel="0" collapsed="false">
      <c r="B14" s="8" t="str">
        <f aca="true">IFERROR(INDEX(daftar_kadus,9),"")</f>
        <v/>
      </c>
      <c r="C14" s="46" t="str">
        <f aca="false">IF(OR($B14="",C$5=""),"",COUNTIFS(DATABASE!$E$4:$E$2003,$B14,DATABASE!$F$4:$F$2003,C$5))</f>
        <v/>
      </c>
      <c r="D14" s="46" t="str">
        <f aca="false">IF(OR($B14="",D$5=""),"",COUNTIFS(DATABASE!$E$4:$E$2003,$B14,DATABASE!$F$4:$F$2003,D$5))</f>
        <v/>
      </c>
      <c r="E14" s="46" t="str">
        <f aca="false">IF(OR($B14="",E$5=""),"",COUNTIFS(DATABASE!$E$4:$E$2003,$B14,DATABASE!$F$4:$F$2003,E$5))</f>
        <v/>
      </c>
      <c r="F14" s="46" t="str">
        <f aca="false">IF(OR($B14="",F$5=""),"",COUNTIFS(DATABASE!$E$4:$E$2003,$B14,DATABASE!$F$4:$F$2003,F$5))</f>
        <v/>
      </c>
      <c r="G14" s="46" t="str">
        <f aca="false">IF(OR($B14="",G$5=""),"",COUNTIFS(DATABASE!$E$4:$E$2003,$B14,DATABASE!$F$4:$F$2003,G$5))</f>
        <v/>
      </c>
      <c r="H14" s="46" t="str">
        <f aca="false">IF(OR($B14="",H$5=""),"",COUNTIFS(DATABASE!$E$4:$E$2003,$B14,DATABASE!$F$4:$F$2003,H$5))</f>
        <v/>
      </c>
      <c r="I14" s="46" t="str">
        <f aca="false">IF(OR($B14="",I$5=""),"",COUNTIFS(DATABASE!$E$4:$E$2003,$B14,DATABASE!$F$4:$F$2003,I$5))</f>
        <v/>
      </c>
      <c r="J14" s="46" t="str">
        <f aca="false">IF(OR($B14="",J$5=""),"",COUNTIFS(DATABASE!$E$4:$E$2003,$B14,DATABASE!$F$4:$F$2003,J$5))</f>
        <v/>
      </c>
      <c r="K14" s="46" t="str">
        <f aca="false">IF(OR($B14="",K$5=""),"",COUNTIFS(DATABASE!$E$4:$E$2003,$B14,DATABASE!$F$4:$F$2003,K$5))</f>
        <v/>
      </c>
      <c r="L14" s="46" t="str">
        <f aca="false">IF(OR($B14="",L$5=""),"",COUNTIFS(DATABASE!$E$4:$E$2003,$B14,DATABASE!$F$4:$F$2003,L$5))</f>
        <v/>
      </c>
      <c r="M14" s="46" t="str">
        <f aca="false">IF(OR($B14="",M$5=""),"",COUNTIFS(DATABASE!$E$4:$E$2003,$B14,DATABASE!$F$4:$F$2003,M$5))</f>
        <v/>
      </c>
      <c r="N14" s="46" t="str">
        <f aca="false">IF(OR($B14="",N$5=""),"",COUNTIFS(DATABASE!$E$4:$E$2003,$B14,DATABASE!$F$4:$F$2003,N$5))</f>
        <v/>
      </c>
      <c r="O14" s="46" t="str">
        <f aca="false">IF(OR($B14="",O$5=""),"",COUNTIFS(DATABASE!$E$4:$E$2003,$B14,DATABASE!$F$4:$F$2003,O$5))</f>
        <v/>
      </c>
      <c r="P14" s="46" t="str">
        <f aca="false">IF(OR($B14="",P$5=""),"",COUNTIFS(DATABASE!$E$4:$E$2003,$B14,DATABASE!$F$4:$F$2003,P$5))</f>
        <v/>
      </c>
      <c r="Q14" s="46" t="str">
        <f aca="false">IF(OR($B14="",Q$5=""),"",COUNTIFS(DATABASE!$E$4:$E$2003,$B14,DATABASE!$F$4:$F$2003,Q$5))</f>
        <v/>
      </c>
      <c r="R14" s="46" t="str">
        <f aca="false">IF(OR($B14="",R$5=""),"",COUNTIFS(DATABASE!$E$4:$E$2003,$B14,DATABASE!$F$4:$F$2003,R$5))</f>
        <v/>
      </c>
      <c r="S14" s="46" t="str">
        <f aca="false">IF(OR($B14="",S$5=""),"",COUNTIFS(DATABASE!$E$4:$E$2003,$B14,DATABASE!$F$4:$F$2003,S$5))</f>
        <v/>
      </c>
      <c r="T14" s="46" t="str">
        <f aca="false">IF(OR($B14="",T$5=""),"",COUNTIFS(DATABASE!$E$4:$E$2003,$B14,DATABASE!$F$4:$F$2003,T$5))</f>
        <v/>
      </c>
      <c r="U14" s="46" t="str">
        <f aca="false">IF(OR($B14="",U$5=""),"",COUNTIFS(DATABASE!$E$4:$E$2003,$B14,DATABASE!$F$4:$F$2003,U$5))</f>
        <v/>
      </c>
      <c r="V14" s="46" t="str">
        <f aca="false">IF(OR($B14="",V$5=""),"",COUNTIFS(DATABASE!$E$4:$E$2003,$B14,DATABASE!$F$4:$F$2003,V$5))</f>
        <v/>
      </c>
      <c r="W14" s="55" t="str">
        <f aca="false">IF($B14="","",COUNTIF(DATABASE!$E$4:$E$2003,$B14))</f>
        <v/>
      </c>
    </row>
    <row r="15" customFormat="false" ht="15" hidden="false" customHeight="false" outlineLevel="0" collapsed="false">
      <c r="B15" s="12" t="str">
        <f aca="true">IFERROR(INDEX(daftar_kadus,10),"")</f>
        <v/>
      </c>
      <c r="C15" s="49" t="str">
        <f aca="false">IF(OR($B15="",C$5=""),"",COUNTIFS(DATABASE!$E$4:$E$2003,$B15,DATABASE!$F$4:$F$2003,C$5))</f>
        <v/>
      </c>
      <c r="D15" s="49" t="str">
        <f aca="false">IF(OR($B15="",D$5=""),"",COUNTIFS(DATABASE!$E$4:$E$2003,$B15,DATABASE!$F$4:$F$2003,D$5))</f>
        <v/>
      </c>
      <c r="E15" s="49" t="str">
        <f aca="false">IF(OR($B15="",E$5=""),"",COUNTIFS(DATABASE!$E$4:$E$2003,$B15,DATABASE!$F$4:$F$2003,E$5))</f>
        <v/>
      </c>
      <c r="F15" s="49" t="str">
        <f aca="false">IF(OR($B15="",F$5=""),"",COUNTIFS(DATABASE!$E$4:$E$2003,$B15,DATABASE!$F$4:$F$2003,F$5))</f>
        <v/>
      </c>
      <c r="G15" s="49" t="str">
        <f aca="false">IF(OR($B15="",G$5=""),"",COUNTIFS(DATABASE!$E$4:$E$2003,$B15,DATABASE!$F$4:$F$2003,G$5))</f>
        <v/>
      </c>
      <c r="H15" s="49" t="str">
        <f aca="false">IF(OR($B15="",H$5=""),"",COUNTIFS(DATABASE!$E$4:$E$2003,$B15,DATABASE!$F$4:$F$2003,H$5))</f>
        <v/>
      </c>
      <c r="I15" s="49" t="str">
        <f aca="false">IF(OR($B15="",I$5=""),"",COUNTIFS(DATABASE!$E$4:$E$2003,$B15,DATABASE!$F$4:$F$2003,I$5))</f>
        <v/>
      </c>
      <c r="J15" s="49" t="str">
        <f aca="false">IF(OR($B15="",J$5=""),"",COUNTIFS(DATABASE!$E$4:$E$2003,$B15,DATABASE!$F$4:$F$2003,J$5))</f>
        <v/>
      </c>
      <c r="K15" s="49" t="str">
        <f aca="false">IF(OR($B15="",K$5=""),"",COUNTIFS(DATABASE!$E$4:$E$2003,$B15,DATABASE!$F$4:$F$2003,K$5))</f>
        <v/>
      </c>
      <c r="L15" s="49" t="str">
        <f aca="false">IF(OR($B15="",L$5=""),"",COUNTIFS(DATABASE!$E$4:$E$2003,$B15,DATABASE!$F$4:$F$2003,L$5))</f>
        <v/>
      </c>
      <c r="M15" s="49" t="str">
        <f aca="false">IF(OR($B15="",M$5=""),"",COUNTIFS(DATABASE!$E$4:$E$2003,$B15,DATABASE!$F$4:$F$2003,M$5))</f>
        <v/>
      </c>
      <c r="N15" s="49" t="str">
        <f aca="false">IF(OR($B15="",N$5=""),"",COUNTIFS(DATABASE!$E$4:$E$2003,$B15,DATABASE!$F$4:$F$2003,N$5))</f>
        <v/>
      </c>
      <c r="O15" s="49" t="str">
        <f aca="false">IF(OR($B15="",O$5=""),"",COUNTIFS(DATABASE!$E$4:$E$2003,$B15,DATABASE!$F$4:$F$2003,O$5))</f>
        <v/>
      </c>
      <c r="P15" s="49" t="str">
        <f aca="false">IF(OR($B15="",P$5=""),"",COUNTIFS(DATABASE!$E$4:$E$2003,$B15,DATABASE!$F$4:$F$2003,P$5))</f>
        <v/>
      </c>
      <c r="Q15" s="49" t="str">
        <f aca="false">IF(OR($B15="",Q$5=""),"",COUNTIFS(DATABASE!$E$4:$E$2003,$B15,DATABASE!$F$4:$F$2003,Q$5))</f>
        <v/>
      </c>
      <c r="R15" s="49" t="str">
        <f aca="false">IF(OR($B15="",R$5=""),"",COUNTIFS(DATABASE!$E$4:$E$2003,$B15,DATABASE!$F$4:$F$2003,R$5))</f>
        <v/>
      </c>
      <c r="S15" s="49" t="str">
        <f aca="false">IF(OR($B15="",S$5=""),"",COUNTIFS(DATABASE!$E$4:$E$2003,$B15,DATABASE!$F$4:$F$2003,S$5))</f>
        <v/>
      </c>
      <c r="T15" s="49" t="str">
        <f aca="false">IF(OR($B15="",T$5=""),"",COUNTIFS(DATABASE!$E$4:$E$2003,$B15,DATABASE!$F$4:$F$2003,T$5))</f>
        <v/>
      </c>
      <c r="U15" s="49" t="str">
        <f aca="false">IF(OR($B15="",U$5=""),"",COUNTIFS(DATABASE!$E$4:$E$2003,$B15,DATABASE!$F$4:$F$2003,U$5))</f>
        <v/>
      </c>
      <c r="V15" s="49" t="str">
        <f aca="false">IF(OR($B15="",V$5=""),"",COUNTIFS(DATABASE!$E$4:$E$2003,$B15,DATABASE!$F$4:$F$2003,V$5))</f>
        <v/>
      </c>
      <c r="W15" s="56" t="str">
        <f aca="false">IF($B15="","",COUNTIF(DATABASE!$E$4:$E$2003,$B15))</f>
        <v/>
      </c>
    </row>
    <row r="16" customFormat="false" ht="15" hidden="false" customHeight="false" outlineLevel="0" collapsed="false">
      <c r="B16" s="8" t="str">
        <f aca="true">IFERROR(INDEX(daftar_kadus,11),"")</f>
        <v/>
      </c>
      <c r="C16" s="46" t="str">
        <f aca="false">IF(OR($B16="",C$5=""),"",COUNTIFS(DATABASE!$E$4:$E$2003,$B16,DATABASE!$F$4:$F$2003,C$5))</f>
        <v/>
      </c>
      <c r="D16" s="46" t="str">
        <f aca="false">IF(OR($B16="",D$5=""),"",COUNTIFS(DATABASE!$E$4:$E$2003,$B16,DATABASE!$F$4:$F$2003,D$5))</f>
        <v/>
      </c>
      <c r="E16" s="46" t="str">
        <f aca="false">IF(OR($B16="",E$5=""),"",COUNTIFS(DATABASE!$E$4:$E$2003,$B16,DATABASE!$F$4:$F$2003,E$5))</f>
        <v/>
      </c>
      <c r="F16" s="46" t="str">
        <f aca="false">IF(OR($B16="",F$5=""),"",COUNTIFS(DATABASE!$E$4:$E$2003,$B16,DATABASE!$F$4:$F$2003,F$5))</f>
        <v/>
      </c>
      <c r="G16" s="46" t="str">
        <f aca="false">IF(OR($B16="",G$5=""),"",COUNTIFS(DATABASE!$E$4:$E$2003,$B16,DATABASE!$F$4:$F$2003,G$5))</f>
        <v/>
      </c>
      <c r="H16" s="46" t="str">
        <f aca="false">IF(OR($B16="",H$5=""),"",COUNTIFS(DATABASE!$E$4:$E$2003,$B16,DATABASE!$F$4:$F$2003,H$5))</f>
        <v/>
      </c>
      <c r="I16" s="46" t="str">
        <f aca="false">IF(OR($B16="",I$5=""),"",COUNTIFS(DATABASE!$E$4:$E$2003,$B16,DATABASE!$F$4:$F$2003,I$5))</f>
        <v/>
      </c>
      <c r="J16" s="46" t="str">
        <f aca="false">IF(OR($B16="",J$5=""),"",COUNTIFS(DATABASE!$E$4:$E$2003,$B16,DATABASE!$F$4:$F$2003,J$5))</f>
        <v/>
      </c>
      <c r="K16" s="46" t="str">
        <f aca="false">IF(OR($B16="",K$5=""),"",COUNTIFS(DATABASE!$E$4:$E$2003,$B16,DATABASE!$F$4:$F$2003,K$5))</f>
        <v/>
      </c>
      <c r="L16" s="46" t="str">
        <f aca="false">IF(OR($B16="",L$5=""),"",COUNTIFS(DATABASE!$E$4:$E$2003,$B16,DATABASE!$F$4:$F$2003,L$5))</f>
        <v/>
      </c>
      <c r="M16" s="46" t="str">
        <f aca="false">IF(OR($B16="",M$5=""),"",COUNTIFS(DATABASE!$E$4:$E$2003,$B16,DATABASE!$F$4:$F$2003,M$5))</f>
        <v/>
      </c>
      <c r="N16" s="46" t="str">
        <f aca="false">IF(OR($B16="",N$5=""),"",COUNTIFS(DATABASE!$E$4:$E$2003,$B16,DATABASE!$F$4:$F$2003,N$5))</f>
        <v/>
      </c>
      <c r="O16" s="46" t="str">
        <f aca="false">IF(OR($B16="",O$5=""),"",COUNTIFS(DATABASE!$E$4:$E$2003,$B16,DATABASE!$F$4:$F$2003,O$5))</f>
        <v/>
      </c>
      <c r="P16" s="46" t="str">
        <f aca="false">IF(OR($B16="",P$5=""),"",COUNTIFS(DATABASE!$E$4:$E$2003,$B16,DATABASE!$F$4:$F$2003,P$5))</f>
        <v/>
      </c>
      <c r="Q16" s="46" t="str">
        <f aca="false">IF(OR($B16="",Q$5=""),"",COUNTIFS(DATABASE!$E$4:$E$2003,$B16,DATABASE!$F$4:$F$2003,Q$5))</f>
        <v/>
      </c>
      <c r="R16" s="46" t="str">
        <f aca="false">IF(OR($B16="",R$5=""),"",COUNTIFS(DATABASE!$E$4:$E$2003,$B16,DATABASE!$F$4:$F$2003,R$5))</f>
        <v/>
      </c>
      <c r="S16" s="46" t="str">
        <f aca="false">IF(OR($B16="",S$5=""),"",COUNTIFS(DATABASE!$E$4:$E$2003,$B16,DATABASE!$F$4:$F$2003,S$5))</f>
        <v/>
      </c>
      <c r="T16" s="46" t="str">
        <f aca="false">IF(OR($B16="",T$5=""),"",COUNTIFS(DATABASE!$E$4:$E$2003,$B16,DATABASE!$F$4:$F$2003,T$5))</f>
        <v/>
      </c>
      <c r="U16" s="46" t="str">
        <f aca="false">IF(OR($B16="",U$5=""),"",COUNTIFS(DATABASE!$E$4:$E$2003,$B16,DATABASE!$F$4:$F$2003,U$5))</f>
        <v/>
      </c>
      <c r="V16" s="46" t="str">
        <f aca="false">IF(OR($B16="",V$5=""),"",COUNTIFS(DATABASE!$E$4:$E$2003,$B16,DATABASE!$F$4:$F$2003,V$5))</f>
        <v/>
      </c>
      <c r="W16" s="55" t="str">
        <f aca="false">IF($B16="","",COUNTIF(DATABASE!$E$4:$E$2003,$B16))</f>
        <v/>
      </c>
    </row>
    <row r="17" customFormat="false" ht="15" hidden="false" customHeight="false" outlineLevel="0" collapsed="false">
      <c r="B17" s="12" t="str">
        <f aca="true">IFERROR(INDEX(daftar_kadus,12),"")</f>
        <v/>
      </c>
      <c r="C17" s="49" t="str">
        <f aca="false">IF(OR($B17="",C$5=""),"",COUNTIFS(DATABASE!$E$4:$E$2003,$B17,DATABASE!$F$4:$F$2003,C$5))</f>
        <v/>
      </c>
      <c r="D17" s="49" t="str">
        <f aca="false">IF(OR($B17="",D$5=""),"",COUNTIFS(DATABASE!$E$4:$E$2003,$B17,DATABASE!$F$4:$F$2003,D$5))</f>
        <v/>
      </c>
      <c r="E17" s="49" t="str">
        <f aca="false">IF(OR($B17="",E$5=""),"",COUNTIFS(DATABASE!$E$4:$E$2003,$B17,DATABASE!$F$4:$F$2003,E$5))</f>
        <v/>
      </c>
      <c r="F17" s="49" t="str">
        <f aca="false">IF(OR($B17="",F$5=""),"",COUNTIFS(DATABASE!$E$4:$E$2003,$B17,DATABASE!$F$4:$F$2003,F$5))</f>
        <v/>
      </c>
      <c r="G17" s="49" t="str">
        <f aca="false">IF(OR($B17="",G$5=""),"",COUNTIFS(DATABASE!$E$4:$E$2003,$B17,DATABASE!$F$4:$F$2003,G$5))</f>
        <v/>
      </c>
      <c r="H17" s="49" t="str">
        <f aca="false">IF(OR($B17="",H$5=""),"",COUNTIFS(DATABASE!$E$4:$E$2003,$B17,DATABASE!$F$4:$F$2003,H$5))</f>
        <v/>
      </c>
      <c r="I17" s="49" t="str">
        <f aca="false">IF(OR($B17="",I$5=""),"",COUNTIFS(DATABASE!$E$4:$E$2003,$B17,DATABASE!$F$4:$F$2003,I$5))</f>
        <v/>
      </c>
      <c r="J17" s="49" t="str">
        <f aca="false">IF(OR($B17="",J$5=""),"",COUNTIFS(DATABASE!$E$4:$E$2003,$B17,DATABASE!$F$4:$F$2003,J$5))</f>
        <v/>
      </c>
      <c r="K17" s="49" t="str">
        <f aca="false">IF(OR($B17="",K$5=""),"",COUNTIFS(DATABASE!$E$4:$E$2003,$B17,DATABASE!$F$4:$F$2003,K$5))</f>
        <v/>
      </c>
      <c r="L17" s="49" t="str">
        <f aca="false">IF(OR($B17="",L$5=""),"",COUNTIFS(DATABASE!$E$4:$E$2003,$B17,DATABASE!$F$4:$F$2003,L$5))</f>
        <v/>
      </c>
      <c r="M17" s="49" t="str">
        <f aca="false">IF(OR($B17="",M$5=""),"",COUNTIFS(DATABASE!$E$4:$E$2003,$B17,DATABASE!$F$4:$F$2003,M$5))</f>
        <v/>
      </c>
      <c r="N17" s="49" t="str">
        <f aca="false">IF(OR($B17="",N$5=""),"",COUNTIFS(DATABASE!$E$4:$E$2003,$B17,DATABASE!$F$4:$F$2003,N$5))</f>
        <v/>
      </c>
      <c r="O17" s="49" t="str">
        <f aca="false">IF(OR($B17="",O$5=""),"",COUNTIFS(DATABASE!$E$4:$E$2003,$B17,DATABASE!$F$4:$F$2003,O$5))</f>
        <v/>
      </c>
      <c r="P17" s="49" t="str">
        <f aca="false">IF(OR($B17="",P$5=""),"",COUNTIFS(DATABASE!$E$4:$E$2003,$B17,DATABASE!$F$4:$F$2003,P$5))</f>
        <v/>
      </c>
      <c r="Q17" s="49" t="str">
        <f aca="false">IF(OR($B17="",Q$5=""),"",COUNTIFS(DATABASE!$E$4:$E$2003,$B17,DATABASE!$F$4:$F$2003,Q$5))</f>
        <v/>
      </c>
      <c r="R17" s="49" t="str">
        <f aca="false">IF(OR($B17="",R$5=""),"",COUNTIFS(DATABASE!$E$4:$E$2003,$B17,DATABASE!$F$4:$F$2003,R$5))</f>
        <v/>
      </c>
      <c r="S17" s="49" t="str">
        <f aca="false">IF(OR($B17="",S$5=""),"",COUNTIFS(DATABASE!$E$4:$E$2003,$B17,DATABASE!$F$4:$F$2003,S$5))</f>
        <v/>
      </c>
      <c r="T17" s="49" t="str">
        <f aca="false">IF(OR($B17="",T$5=""),"",COUNTIFS(DATABASE!$E$4:$E$2003,$B17,DATABASE!$F$4:$F$2003,T$5))</f>
        <v/>
      </c>
      <c r="U17" s="49" t="str">
        <f aca="false">IF(OR($B17="",U$5=""),"",COUNTIFS(DATABASE!$E$4:$E$2003,$B17,DATABASE!$F$4:$F$2003,U$5))</f>
        <v/>
      </c>
      <c r="V17" s="49" t="str">
        <f aca="false">IF(OR($B17="",V$5=""),"",COUNTIFS(DATABASE!$E$4:$E$2003,$B17,DATABASE!$F$4:$F$2003,V$5))</f>
        <v/>
      </c>
      <c r="W17" s="56" t="str">
        <f aca="false">IF($B17="","",COUNTIF(DATABASE!$E$4:$E$2003,$B17))</f>
        <v/>
      </c>
    </row>
    <row r="18" customFormat="false" ht="15" hidden="false" customHeight="false" outlineLevel="0" collapsed="false">
      <c r="B18" s="8" t="str">
        <f aca="true">IFERROR(INDEX(daftar_kadus,13),"")</f>
        <v/>
      </c>
      <c r="C18" s="46" t="str">
        <f aca="false">IF(OR($B18="",C$5=""),"",COUNTIFS(DATABASE!$E$4:$E$2003,$B18,DATABASE!$F$4:$F$2003,C$5))</f>
        <v/>
      </c>
      <c r="D18" s="46" t="str">
        <f aca="false">IF(OR($B18="",D$5=""),"",COUNTIFS(DATABASE!$E$4:$E$2003,$B18,DATABASE!$F$4:$F$2003,D$5))</f>
        <v/>
      </c>
      <c r="E18" s="46" t="str">
        <f aca="false">IF(OR($B18="",E$5=""),"",COUNTIFS(DATABASE!$E$4:$E$2003,$B18,DATABASE!$F$4:$F$2003,E$5))</f>
        <v/>
      </c>
      <c r="F18" s="46" t="str">
        <f aca="false">IF(OR($B18="",F$5=""),"",COUNTIFS(DATABASE!$E$4:$E$2003,$B18,DATABASE!$F$4:$F$2003,F$5))</f>
        <v/>
      </c>
      <c r="G18" s="46" t="str">
        <f aca="false">IF(OR($B18="",G$5=""),"",COUNTIFS(DATABASE!$E$4:$E$2003,$B18,DATABASE!$F$4:$F$2003,G$5))</f>
        <v/>
      </c>
      <c r="H18" s="46" t="str">
        <f aca="false">IF(OR($B18="",H$5=""),"",COUNTIFS(DATABASE!$E$4:$E$2003,$B18,DATABASE!$F$4:$F$2003,H$5))</f>
        <v/>
      </c>
      <c r="I18" s="46" t="str">
        <f aca="false">IF(OR($B18="",I$5=""),"",COUNTIFS(DATABASE!$E$4:$E$2003,$B18,DATABASE!$F$4:$F$2003,I$5))</f>
        <v/>
      </c>
      <c r="J18" s="46" t="str">
        <f aca="false">IF(OR($B18="",J$5=""),"",COUNTIFS(DATABASE!$E$4:$E$2003,$B18,DATABASE!$F$4:$F$2003,J$5))</f>
        <v/>
      </c>
      <c r="K18" s="46" t="str">
        <f aca="false">IF(OR($B18="",K$5=""),"",COUNTIFS(DATABASE!$E$4:$E$2003,$B18,DATABASE!$F$4:$F$2003,K$5))</f>
        <v/>
      </c>
      <c r="L18" s="46" t="str">
        <f aca="false">IF(OR($B18="",L$5=""),"",COUNTIFS(DATABASE!$E$4:$E$2003,$B18,DATABASE!$F$4:$F$2003,L$5))</f>
        <v/>
      </c>
      <c r="M18" s="46" t="str">
        <f aca="false">IF(OR($B18="",M$5=""),"",COUNTIFS(DATABASE!$E$4:$E$2003,$B18,DATABASE!$F$4:$F$2003,M$5))</f>
        <v/>
      </c>
      <c r="N18" s="46" t="str">
        <f aca="false">IF(OR($B18="",N$5=""),"",COUNTIFS(DATABASE!$E$4:$E$2003,$B18,DATABASE!$F$4:$F$2003,N$5))</f>
        <v/>
      </c>
      <c r="O18" s="46" t="str">
        <f aca="false">IF(OR($B18="",O$5=""),"",COUNTIFS(DATABASE!$E$4:$E$2003,$B18,DATABASE!$F$4:$F$2003,O$5))</f>
        <v/>
      </c>
      <c r="P18" s="46" t="str">
        <f aca="false">IF(OR($B18="",P$5=""),"",COUNTIFS(DATABASE!$E$4:$E$2003,$B18,DATABASE!$F$4:$F$2003,P$5))</f>
        <v/>
      </c>
      <c r="Q18" s="46" t="str">
        <f aca="false">IF(OR($B18="",Q$5=""),"",COUNTIFS(DATABASE!$E$4:$E$2003,$B18,DATABASE!$F$4:$F$2003,Q$5))</f>
        <v/>
      </c>
      <c r="R18" s="46" t="str">
        <f aca="false">IF(OR($B18="",R$5=""),"",COUNTIFS(DATABASE!$E$4:$E$2003,$B18,DATABASE!$F$4:$F$2003,R$5))</f>
        <v/>
      </c>
      <c r="S18" s="46" t="str">
        <f aca="false">IF(OR($B18="",S$5=""),"",COUNTIFS(DATABASE!$E$4:$E$2003,$B18,DATABASE!$F$4:$F$2003,S$5))</f>
        <v/>
      </c>
      <c r="T18" s="46" t="str">
        <f aca="false">IF(OR($B18="",T$5=""),"",COUNTIFS(DATABASE!$E$4:$E$2003,$B18,DATABASE!$F$4:$F$2003,T$5))</f>
        <v/>
      </c>
      <c r="U18" s="46" t="str">
        <f aca="false">IF(OR($B18="",U$5=""),"",COUNTIFS(DATABASE!$E$4:$E$2003,$B18,DATABASE!$F$4:$F$2003,U$5))</f>
        <v/>
      </c>
      <c r="V18" s="46" t="str">
        <f aca="false">IF(OR($B18="",V$5=""),"",COUNTIFS(DATABASE!$E$4:$E$2003,$B18,DATABASE!$F$4:$F$2003,V$5))</f>
        <v/>
      </c>
      <c r="W18" s="55" t="str">
        <f aca="false">IF($B18="","",COUNTIF(DATABASE!$E$4:$E$2003,$B18))</f>
        <v/>
      </c>
    </row>
    <row r="19" customFormat="false" ht="15" hidden="false" customHeight="false" outlineLevel="0" collapsed="false">
      <c r="B19" s="12" t="str">
        <f aca="true">IFERROR(INDEX(daftar_kadus,14),"")</f>
        <v/>
      </c>
      <c r="C19" s="49" t="str">
        <f aca="false">IF(OR($B19="",C$5=""),"",COUNTIFS(DATABASE!$E$4:$E$2003,$B19,DATABASE!$F$4:$F$2003,C$5))</f>
        <v/>
      </c>
      <c r="D19" s="49" t="str">
        <f aca="false">IF(OR($B19="",D$5=""),"",COUNTIFS(DATABASE!$E$4:$E$2003,$B19,DATABASE!$F$4:$F$2003,D$5))</f>
        <v/>
      </c>
      <c r="E19" s="49" t="str">
        <f aca="false">IF(OR($B19="",E$5=""),"",COUNTIFS(DATABASE!$E$4:$E$2003,$B19,DATABASE!$F$4:$F$2003,E$5))</f>
        <v/>
      </c>
      <c r="F19" s="49" t="str">
        <f aca="false">IF(OR($B19="",F$5=""),"",COUNTIFS(DATABASE!$E$4:$E$2003,$B19,DATABASE!$F$4:$F$2003,F$5))</f>
        <v/>
      </c>
      <c r="G19" s="49" t="str">
        <f aca="false">IF(OR($B19="",G$5=""),"",COUNTIFS(DATABASE!$E$4:$E$2003,$B19,DATABASE!$F$4:$F$2003,G$5))</f>
        <v/>
      </c>
      <c r="H19" s="49" t="str">
        <f aca="false">IF(OR($B19="",H$5=""),"",COUNTIFS(DATABASE!$E$4:$E$2003,$B19,DATABASE!$F$4:$F$2003,H$5))</f>
        <v/>
      </c>
      <c r="I19" s="49" t="str">
        <f aca="false">IF(OR($B19="",I$5=""),"",COUNTIFS(DATABASE!$E$4:$E$2003,$B19,DATABASE!$F$4:$F$2003,I$5))</f>
        <v/>
      </c>
      <c r="J19" s="49" t="str">
        <f aca="false">IF(OR($B19="",J$5=""),"",COUNTIFS(DATABASE!$E$4:$E$2003,$B19,DATABASE!$F$4:$F$2003,J$5))</f>
        <v/>
      </c>
      <c r="K19" s="49" t="str">
        <f aca="false">IF(OR($B19="",K$5=""),"",COUNTIFS(DATABASE!$E$4:$E$2003,$B19,DATABASE!$F$4:$F$2003,K$5))</f>
        <v/>
      </c>
      <c r="L19" s="49" t="str">
        <f aca="false">IF(OR($B19="",L$5=""),"",COUNTIFS(DATABASE!$E$4:$E$2003,$B19,DATABASE!$F$4:$F$2003,L$5))</f>
        <v/>
      </c>
      <c r="M19" s="49" t="str">
        <f aca="false">IF(OR($B19="",M$5=""),"",COUNTIFS(DATABASE!$E$4:$E$2003,$B19,DATABASE!$F$4:$F$2003,M$5))</f>
        <v/>
      </c>
      <c r="N19" s="49" t="str">
        <f aca="false">IF(OR($B19="",N$5=""),"",COUNTIFS(DATABASE!$E$4:$E$2003,$B19,DATABASE!$F$4:$F$2003,N$5))</f>
        <v/>
      </c>
      <c r="O19" s="49" t="str">
        <f aca="false">IF(OR($B19="",O$5=""),"",COUNTIFS(DATABASE!$E$4:$E$2003,$B19,DATABASE!$F$4:$F$2003,O$5))</f>
        <v/>
      </c>
      <c r="P19" s="49" t="str">
        <f aca="false">IF(OR($B19="",P$5=""),"",COUNTIFS(DATABASE!$E$4:$E$2003,$B19,DATABASE!$F$4:$F$2003,P$5))</f>
        <v/>
      </c>
      <c r="Q19" s="49" t="str">
        <f aca="false">IF(OR($B19="",Q$5=""),"",COUNTIFS(DATABASE!$E$4:$E$2003,$B19,DATABASE!$F$4:$F$2003,Q$5))</f>
        <v/>
      </c>
      <c r="R19" s="49" t="str">
        <f aca="false">IF(OR($B19="",R$5=""),"",COUNTIFS(DATABASE!$E$4:$E$2003,$B19,DATABASE!$F$4:$F$2003,R$5))</f>
        <v/>
      </c>
      <c r="S19" s="49" t="str">
        <f aca="false">IF(OR($B19="",S$5=""),"",COUNTIFS(DATABASE!$E$4:$E$2003,$B19,DATABASE!$F$4:$F$2003,S$5))</f>
        <v/>
      </c>
      <c r="T19" s="49" t="str">
        <f aca="false">IF(OR($B19="",T$5=""),"",COUNTIFS(DATABASE!$E$4:$E$2003,$B19,DATABASE!$F$4:$F$2003,T$5))</f>
        <v/>
      </c>
      <c r="U19" s="49" t="str">
        <f aca="false">IF(OR($B19="",U$5=""),"",COUNTIFS(DATABASE!$E$4:$E$2003,$B19,DATABASE!$F$4:$F$2003,U$5))</f>
        <v/>
      </c>
      <c r="V19" s="49" t="str">
        <f aca="false">IF(OR($B19="",V$5=""),"",COUNTIFS(DATABASE!$E$4:$E$2003,$B19,DATABASE!$F$4:$F$2003,V$5))</f>
        <v/>
      </c>
      <c r="W19" s="56" t="str">
        <f aca="false">IF($B19="","",COUNTIF(DATABASE!$E$4:$E$2003,$B19))</f>
        <v/>
      </c>
    </row>
    <row r="20" customFormat="false" ht="15" hidden="false" customHeight="false" outlineLevel="0" collapsed="false">
      <c r="B20" s="8" t="str">
        <f aca="true">IFERROR(INDEX(daftar_kadus,15),"")</f>
        <v/>
      </c>
      <c r="C20" s="46" t="str">
        <f aca="false">IF(OR($B20="",C$5=""),"",COUNTIFS(DATABASE!$E$4:$E$2003,$B20,DATABASE!$F$4:$F$2003,C$5))</f>
        <v/>
      </c>
      <c r="D20" s="46" t="str">
        <f aca="false">IF(OR($B20="",D$5=""),"",COUNTIFS(DATABASE!$E$4:$E$2003,$B20,DATABASE!$F$4:$F$2003,D$5))</f>
        <v/>
      </c>
      <c r="E20" s="46" t="str">
        <f aca="false">IF(OR($B20="",E$5=""),"",COUNTIFS(DATABASE!$E$4:$E$2003,$B20,DATABASE!$F$4:$F$2003,E$5))</f>
        <v/>
      </c>
      <c r="F20" s="46" t="str">
        <f aca="false">IF(OR($B20="",F$5=""),"",COUNTIFS(DATABASE!$E$4:$E$2003,$B20,DATABASE!$F$4:$F$2003,F$5))</f>
        <v/>
      </c>
      <c r="G20" s="46" t="str">
        <f aca="false">IF(OR($B20="",G$5=""),"",COUNTIFS(DATABASE!$E$4:$E$2003,$B20,DATABASE!$F$4:$F$2003,G$5))</f>
        <v/>
      </c>
      <c r="H20" s="46" t="str">
        <f aca="false">IF(OR($B20="",H$5=""),"",COUNTIFS(DATABASE!$E$4:$E$2003,$B20,DATABASE!$F$4:$F$2003,H$5))</f>
        <v/>
      </c>
      <c r="I20" s="46" t="str">
        <f aca="false">IF(OR($B20="",I$5=""),"",COUNTIFS(DATABASE!$E$4:$E$2003,$B20,DATABASE!$F$4:$F$2003,I$5))</f>
        <v/>
      </c>
      <c r="J20" s="46" t="str">
        <f aca="false">IF(OR($B20="",J$5=""),"",COUNTIFS(DATABASE!$E$4:$E$2003,$B20,DATABASE!$F$4:$F$2003,J$5))</f>
        <v/>
      </c>
      <c r="K20" s="46" t="str">
        <f aca="false">IF(OR($B20="",K$5=""),"",COUNTIFS(DATABASE!$E$4:$E$2003,$B20,DATABASE!$F$4:$F$2003,K$5))</f>
        <v/>
      </c>
      <c r="L20" s="46" t="str">
        <f aca="false">IF(OR($B20="",L$5=""),"",COUNTIFS(DATABASE!$E$4:$E$2003,$B20,DATABASE!$F$4:$F$2003,L$5))</f>
        <v/>
      </c>
      <c r="M20" s="46" t="str">
        <f aca="false">IF(OR($B20="",M$5=""),"",COUNTIFS(DATABASE!$E$4:$E$2003,$B20,DATABASE!$F$4:$F$2003,M$5))</f>
        <v/>
      </c>
      <c r="N20" s="46" t="str">
        <f aca="false">IF(OR($B20="",N$5=""),"",COUNTIFS(DATABASE!$E$4:$E$2003,$B20,DATABASE!$F$4:$F$2003,N$5))</f>
        <v/>
      </c>
      <c r="O20" s="46" t="str">
        <f aca="false">IF(OR($B20="",O$5=""),"",COUNTIFS(DATABASE!$E$4:$E$2003,$B20,DATABASE!$F$4:$F$2003,O$5))</f>
        <v/>
      </c>
      <c r="P20" s="46" t="str">
        <f aca="false">IF(OR($B20="",P$5=""),"",COUNTIFS(DATABASE!$E$4:$E$2003,$B20,DATABASE!$F$4:$F$2003,P$5))</f>
        <v/>
      </c>
      <c r="Q20" s="46" t="str">
        <f aca="false">IF(OR($B20="",Q$5=""),"",COUNTIFS(DATABASE!$E$4:$E$2003,$B20,DATABASE!$F$4:$F$2003,Q$5))</f>
        <v/>
      </c>
      <c r="R20" s="46" t="str">
        <f aca="false">IF(OR($B20="",R$5=""),"",COUNTIFS(DATABASE!$E$4:$E$2003,$B20,DATABASE!$F$4:$F$2003,R$5))</f>
        <v/>
      </c>
      <c r="S20" s="46" t="str">
        <f aca="false">IF(OR($B20="",S$5=""),"",COUNTIFS(DATABASE!$E$4:$E$2003,$B20,DATABASE!$F$4:$F$2003,S$5))</f>
        <v/>
      </c>
      <c r="T20" s="46" t="str">
        <f aca="false">IF(OR($B20="",T$5=""),"",COUNTIFS(DATABASE!$E$4:$E$2003,$B20,DATABASE!$F$4:$F$2003,T$5))</f>
        <v/>
      </c>
      <c r="U20" s="46" t="str">
        <f aca="false">IF(OR($B20="",U$5=""),"",COUNTIFS(DATABASE!$E$4:$E$2003,$B20,DATABASE!$F$4:$F$2003,U$5))</f>
        <v/>
      </c>
      <c r="V20" s="46" t="str">
        <f aca="false">IF(OR($B20="",V$5=""),"",COUNTIFS(DATABASE!$E$4:$E$2003,$B20,DATABASE!$F$4:$F$2003,V$5))</f>
        <v/>
      </c>
      <c r="W20" s="55" t="str">
        <f aca="false">IF($B20="","",COUNTIF(DATABASE!$E$4:$E$2003,$B20))</f>
        <v/>
      </c>
    </row>
    <row r="21" customFormat="false" ht="15" hidden="false" customHeight="false" outlineLevel="0" collapsed="false">
      <c r="B21" s="12" t="str">
        <f aca="true">IFERROR(INDEX(daftar_kadus,16),"")</f>
        <v/>
      </c>
      <c r="C21" s="49" t="str">
        <f aca="false">IF(OR($B21="",C$5=""),"",COUNTIFS(DATABASE!$E$4:$E$2003,$B21,DATABASE!$F$4:$F$2003,C$5))</f>
        <v/>
      </c>
      <c r="D21" s="49" t="str">
        <f aca="false">IF(OR($B21="",D$5=""),"",COUNTIFS(DATABASE!$E$4:$E$2003,$B21,DATABASE!$F$4:$F$2003,D$5))</f>
        <v/>
      </c>
      <c r="E21" s="49" t="str">
        <f aca="false">IF(OR($B21="",E$5=""),"",COUNTIFS(DATABASE!$E$4:$E$2003,$B21,DATABASE!$F$4:$F$2003,E$5))</f>
        <v/>
      </c>
      <c r="F21" s="49" t="str">
        <f aca="false">IF(OR($B21="",F$5=""),"",COUNTIFS(DATABASE!$E$4:$E$2003,$B21,DATABASE!$F$4:$F$2003,F$5))</f>
        <v/>
      </c>
      <c r="G21" s="49" t="str">
        <f aca="false">IF(OR($B21="",G$5=""),"",COUNTIFS(DATABASE!$E$4:$E$2003,$B21,DATABASE!$F$4:$F$2003,G$5))</f>
        <v/>
      </c>
      <c r="H21" s="49" t="str">
        <f aca="false">IF(OR($B21="",H$5=""),"",COUNTIFS(DATABASE!$E$4:$E$2003,$B21,DATABASE!$F$4:$F$2003,H$5))</f>
        <v/>
      </c>
      <c r="I21" s="49" t="str">
        <f aca="false">IF(OR($B21="",I$5=""),"",COUNTIFS(DATABASE!$E$4:$E$2003,$B21,DATABASE!$F$4:$F$2003,I$5))</f>
        <v/>
      </c>
      <c r="J21" s="49" t="str">
        <f aca="false">IF(OR($B21="",J$5=""),"",COUNTIFS(DATABASE!$E$4:$E$2003,$B21,DATABASE!$F$4:$F$2003,J$5))</f>
        <v/>
      </c>
      <c r="K21" s="49" t="str">
        <f aca="false">IF(OR($B21="",K$5=""),"",COUNTIFS(DATABASE!$E$4:$E$2003,$B21,DATABASE!$F$4:$F$2003,K$5))</f>
        <v/>
      </c>
      <c r="L21" s="49" t="str">
        <f aca="false">IF(OR($B21="",L$5=""),"",COUNTIFS(DATABASE!$E$4:$E$2003,$B21,DATABASE!$F$4:$F$2003,L$5))</f>
        <v/>
      </c>
      <c r="M21" s="49" t="str">
        <f aca="false">IF(OR($B21="",M$5=""),"",COUNTIFS(DATABASE!$E$4:$E$2003,$B21,DATABASE!$F$4:$F$2003,M$5))</f>
        <v/>
      </c>
      <c r="N21" s="49" t="str">
        <f aca="false">IF(OR($B21="",N$5=""),"",COUNTIFS(DATABASE!$E$4:$E$2003,$B21,DATABASE!$F$4:$F$2003,N$5))</f>
        <v/>
      </c>
      <c r="O21" s="49" t="str">
        <f aca="false">IF(OR($B21="",O$5=""),"",COUNTIFS(DATABASE!$E$4:$E$2003,$B21,DATABASE!$F$4:$F$2003,O$5))</f>
        <v/>
      </c>
      <c r="P21" s="49" t="str">
        <f aca="false">IF(OR($B21="",P$5=""),"",COUNTIFS(DATABASE!$E$4:$E$2003,$B21,DATABASE!$F$4:$F$2003,P$5))</f>
        <v/>
      </c>
      <c r="Q21" s="49" t="str">
        <f aca="false">IF(OR($B21="",Q$5=""),"",COUNTIFS(DATABASE!$E$4:$E$2003,$B21,DATABASE!$F$4:$F$2003,Q$5))</f>
        <v/>
      </c>
      <c r="R21" s="49" t="str">
        <f aca="false">IF(OR($B21="",R$5=""),"",COUNTIFS(DATABASE!$E$4:$E$2003,$B21,DATABASE!$F$4:$F$2003,R$5))</f>
        <v/>
      </c>
      <c r="S21" s="49" t="str">
        <f aca="false">IF(OR($B21="",S$5=""),"",COUNTIFS(DATABASE!$E$4:$E$2003,$B21,DATABASE!$F$4:$F$2003,S$5))</f>
        <v/>
      </c>
      <c r="T21" s="49" t="str">
        <f aca="false">IF(OR($B21="",T$5=""),"",COUNTIFS(DATABASE!$E$4:$E$2003,$B21,DATABASE!$F$4:$F$2003,T$5))</f>
        <v/>
      </c>
      <c r="U21" s="49" t="str">
        <f aca="false">IF(OR($B21="",U$5=""),"",COUNTIFS(DATABASE!$E$4:$E$2003,$B21,DATABASE!$F$4:$F$2003,U$5))</f>
        <v/>
      </c>
      <c r="V21" s="49" t="str">
        <f aca="false">IF(OR($B21="",V$5=""),"",COUNTIFS(DATABASE!$E$4:$E$2003,$B21,DATABASE!$F$4:$F$2003,V$5))</f>
        <v/>
      </c>
      <c r="W21" s="56" t="str">
        <f aca="false">IF($B21="","",COUNTIF(DATABASE!$E$4:$E$2003,$B21))</f>
        <v/>
      </c>
    </row>
    <row r="22" customFormat="false" ht="15" hidden="false" customHeight="false" outlineLevel="0" collapsed="false">
      <c r="B22" s="8" t="str">
        <f aca="true">IFERROR(INDEX(daftar_kadus,17),"")</f>
        <v/>
      </c>
      <c r="C22" s="46" t="str">
        <f aca="false">IF(OR($B22="",C$5=""),"",COUNTIFS(DATABASE!$E$4:$E$2003,$B22,DATABASE!$F$4:$F$2003,C$5))</f>
        <v/>
      </c>
      <c r="D22" s="46" t="str">
        <f aca="false">IF(OR($B22="",D$5=""),"",COUNTIFS(DATABASE!$E$4:$E$2003,$B22,DATABASE!$F$4:$F$2003,D$5))</f>
        <v/>
      </c>
      <c r="E22" s="46" t="str">
        <f aca="false">IF(OR($B22="",E$5=""),"",COUNTIFS(DATABASE!$E$4:$E$2003,$B22,DATABASE!$F$4:$F$2003,E$5))</f>
        <v/>
      </c>
      <c r="F22" s="46" t="str">
        <f aca="false">IF(OR($B22="",F$5=""),"",COUNTIFS(DATABASE!$E$4:$E$2003,$B22,DATABASE!$F$4:$F$2003,F$5))</f>
        <v/>
      </c>
      <c r="G22" s="46" t="str">
        <f aca="false">IF(OR($B22="",G$5=""),"",COUNTIFS(DATABASE!$E$4:$E$2003,$B22,DATABASE!$F$4:$F$2003,G$5))</f>
        <v/>
      </c>
      <c r="H22" s="46" t="str">
        <f aca="false">IF(OR($B22="",H$5=""),"",COUNTIFS(DATABASE!$E$4:$E$2003,$B22,DATABASE!$F$4:$F$2003,H$5))</f>
        <v/>
      </c>
      <c r="I22" s="46" t="str">
        <f aca="false">IF(OR($B22="",I$5=""),"",COUNTIFS(DATABASE!$E$4:$E$2003,$B22,DATABASE!$F$4:$F$2003,I$5))</f>
        <v/>
      </c>
      <c r="J22" s="46" t="str">
        <f aca="false">IF(OR($B22="",J$5=""),"",COUNTIFS(DATABASE!$E$4:$E$2003,$B22,DATABASE!$F$4:$F$2003,J$5))</f>
        <v/>
      </c>
      <c r="K22" s="46" t="str">
        <f aca="false">IF(OR($B22="",K$5=""),"",COUNTIFS(DATABASE!$E$4:$E$2003,$B22,DATABASE!$F$4:$F$2003,K$5))</f>
        <v/>
      </c>
      <c r="L22" s="46" t="str">
        <f aca="false">IF(OR($B22="",L$5=""),"",COUNTIFS(DATABASE!$E$4:$E$2003,$B22,DATABASE!$F$4:$F$2003,L$5))</f>
        <v/>
      </c>
      <c r="M22" s="46" t="str">
        <f aca="false">IF(OR($B22="",M$5=""),"",COUNTIFS(DATABASE!$E$4:$E$2003,$B22,DATABASE!$F$4:$F$2003,M$5))</f>
        <v/>
      </c>
      <c r="N22" s="46" t="str">
        <f aca="false">IF(OR($B22="",N$5=""),"",COUNTIFS(DATABASE!$E$4:$E$2003,$B22,DATABASE!$F$4:$F$2003,N$5))</f>
        <v/>
      </c>
      <c r="O22" s="46" t="str">
        <f aca="false">IF(OR($B22="",O$5=""),"",COUNTIFS(DATABASE!$E$4:$E$2003,$B22,DATABASE!$F$4:$F$2003,O$5))</f>
        <v/>
      </c>
      <c r="P22" s="46" t="str">
        <f aca="false">IF(OR($B22="",P$5=""),"",COUNTIFS(DATABASE!$E$4:$E$2003,$B22,DATABASE!$F$4:$F$2003,P$5))</f>
        <v/>
      </c>
      <c r="Q22" s="46" t="str">
        <f aca="false">IF(OR($B22="",Q$5=""),"",COUNTIFS(DATABASE!$E$4:$E$2003,$B22,DATABASE!$F$4:$F$2003,Q$5))</f>
        <v/>
      </c>
      <c r="R22" s="46" t="str">
        <f aca="false">IF(OR($B22="",R$5=""),"",COUNTIFS(DATABASE!$E$4:$E$2003,$B22,DATABASE!$F$4:$F$2003,R$5))</f>
        <v/>
      </c>
      <c r="S22" s="46" t="str">
        <f aca="false">IF(OR($B22="",S$5=""),"",COUNTIFS(DATABASE!$E$4:$E$2003,$B22,DATABASE!$F$4:$F$2003,S$5))</f>
        <v/>
      </c>
      <c r="T22" s="46" t="str">
        <f aca="false">IF(OR($B22="",T$5=""),"",COUNTIFS(DATABASE!$E$4:$E$2003,$B22,DATABASE!$F$4:$F$2003,T$5))</f>
        <v/>
      </c>
      <c r="U22" s="46" t="str">
        <f aca="false">IF(OR($B22="",U$5=""),"",COUNTIFS(DATABASE!$E$4:$E$2003,$B22,DATABASE!$F$4:$F$2003,U$5))</f>
        <v/>
      </c>
      <c r="V22" s="46" t="str">
        <f aca="false">IF(OR($B22="",V$5=""),"",COUNTIFS(DATABASE!$E$4:$E$2003,$B22,DATABASE!$F$4:$F$2003,V$5))</f>
        <v/>
      </c>
      <c r="W22" s="55" t="str">
        <f aca="false">IF($B22="","",COUNTIF(DATABASE!$E$4:$E$2003,$B22))</f>
        <v/>
      </c>
    </row>
    <row r="23" customFormat="false" ht="15" hidden="false" customHeight="false" outlineLevel="0" collapsed="false">
      <c r="B23" s="12" t="str">
        <f aca="true">IFERROR(INDEX(daftar_kadus,18),"")</f>
        <v/>
      </c>
      <c r="C23" s="49" t="str">
        <f aca="false">IF(OR($B23="",C$5=""),"",COUNTIFS(DATABASE!$E$4:$E$2003,$B23,DATABASE!$F$4:$F$2003,C$5))</f>
        <v/>
      </c>
      <c r="D23" s="49" t="str">
        <f aca="false">IF(OR($B23="",D$5=""),"",COUNTIFS(DATABASE!$E$4:$E$2003,$B23,DATABASE!$F$4:$F$2003,D$5))</f>
        <v/>
      </c>
      <c r="E23" s="49" t="str">
        <f aca="false">IF(OR($B23="",E$5=""),"",COUNTIFS(DATABASE!$E$4:$E$2003,$B23,DATABASE!$F$4:$F$2003,E$5))</f>
        <v/>
      </c>
      <c r="F23" s="49" t="str">
        <f aca="false">IF(OR($B23="",F$5=""),"",COUNTIFS(DATABASE!$E$4:$E$2003,$B23,DATABASE!$F$4:$F$2003,F$5))</f>
        <v/>
      </c>
      <c r="G23" s="49" t="str">
        <f aca="false">IF(OR($B23="",G$5=""),"",COUNTIFS(DATABASE!$E$4:$E$2003,$B23,DATABASE!$F$4:$F$2003,G$5))</f>
        <v/>
      </c>
      <c r="H23" s="49" t="str">
        <f aca="false">IF(OR($B23="",H$5=""),"",COUNTIFS(DATABASE!$E$4:$E$2003,$B23,DATABASE!$F$4:$F$2003,H$5))</f>
        <v/>
      </c>
      <c r="I23" s="49" t="str">
        <f aca="false">IF(OR($B23="",I$5=""),"",COUNTIFS(DATABASE!$E$4:$E$2003,$B23,DATABASE!$F$4:$F$2003,I$5))</f>
        <v/>
      </c>
      <c r="J23" s="49" t="str">
        <f aca="false">IF(OR($B23="",J$5=""),"",COUNTIFS(DATABASE!$E$4:$E$2003,$B23,DATABASE!$F$4:$F$2003,J$5))</f>
        <v/>
      </c>
      <c r="K23" s="49" t="str">
        <f aca="false">IF(OR($B23="",K$5=""),"",COUNTIFS(DATABASE!$E$4:$E$2003,$B23,DATABASE!$F$4:$F$2003,K$5))</f>
        <v/>
      </c>
      <c r="L23" s="49" t="str">
        <f aca="false">IF(OR($B23="",L$5=""),"",COUNTIFS(DATABASE!$E$4:$E$2003,$B23,DATABASE!$F$4:$F$2003,L$5))</f>
        <v/>
      </c>
      <c r="M23" s="49" t="str">
        <f aca="false">IF(OR($B23="",M$5=""),"",COUNTIFS(DATABASE!$E$4:$E$2003,$B23,DATABASE!$F$4:$F$2003,M$5))</f>
        <v/>
      </c>
      <c r="N23" s="49" t="str">
        <f aca="false">IF(OR($B23="",N$5=""),"",COUNTIFS(DATABASE!$E$4:$E$2003,$B23,DATABASE!$F$4:$F$2003,N$5))</f>
        <v/>
      </c>
      <c r="O23" s="49" t="str">
        <f aca="false">IF(OR($B23="",O$5=""),"",COUNTIFS(DATABASE!$E$4:$E$2003,$B23,DATABASE!$F$4:$F$2003,O$5))</f>
        <v/>
      </c>
      <c r="P23" s="49" t="str">
        <f aca="false">IF(OR($B23="",P$5=""),"",COUNTIFS(DATABASE!$E$4:$E$2003,$B23,DATABASE!$F$4:$F$2003,P$5))</f>
        <v/>
      </c>
      <c r="Q23" s="49" t="str">
        <f aca="false">IF(OR($B23="",Q$5=""),"",COUNTIFS(DATABASE!$E$4:$E$2003,$B23,DATABASE!$F$4:$F$2003,Q$5))</f>
        <v/>
      </c>
      <c r="R23" s="49" t="str">
        <f aca="false">IF(OR($B23="",R$5=""),"",COUNTIFS(DATABASE!$E$4:$E$2003,$B23,DATABASE!$F$4:$F$2003,R$5))</f>
        <v/>
      </c>
      <c r="S23" s="49" t="str">
        <f aca="false">IF(OR($B23="",S$5=""),"",COUNTIFS(DATABASE!$E$4:$E$2003,$B23,DATABASE!$F$4:$F$2003,S$5))</f>
        <v/>
      </c>
      <c r="T23" s="49" t="str">
        <f aca="false">IF(OR($B23="",T$5=""),"",COUNTIFS(DATABASE!$E$4:$E$2003,$B23,DATABASE!$F$4:$F$2003,T$5))</f>
        <v/>
      </c>
      <c r="U23" s="49" t="str">
        <f aca="false">IF(OR($B23="",U$5=""),"",COUNTIFS(DATABASE!$E$4:$E$2003,$B23,DATABASE!$F$4:$F$2003,U$5))</f>
        <v/>
      </c>
      <c r="V23" s="49" t="str">
        <f aca="false">IF(OR($B23="",V$5=""),"",COUNTIFS(DATABASE!$E$4:$E$2003,$B23,DATABASE!$F$4:$F$2003,V$5))</f>
        <v/>
      </c>
      <c r="W23" s="56" t="str">
        <f aca="false">IF($B23="","",COUNTIF(DATABASE!$E$4:$E$2003,$B23))</f>
        <v/>
      </c>
    </row>
    <row r="24" customFormat="false" ht="15" hidden="false" customHeight="false" outlineLevel="0" collapsed="false">
      <c r="B24" s="8" t="str">
        <f aca="true">IFERROR(INDEX(daftar_kadus,19),"")</f>
        <v/>
      </c>
      <c r="C24" s="46" t="str">
        <f aca="false">IF(OR($B24="",C$5=""),"",COUNTIFS(DATABASE!$E$4:$E$2003,$B24,DATABASE!$F$4:$F$2003,C$5))</f>
        <v/>
      </c>
      <c r="D24" s="46" t="str">
        <f aca="false">IF(OR($B24="",D$5=""),"",COUNTIFS(DATABASE!$E$4:$E$2003,$B24,DATABASE!$F$4:$F$2003,D$5))</f>
        <v/>
      </c>
      <c r="E24" s="46" t="str">
        <f aca="false">IF(OR($B24="",E$5=""),"",COUNTIFS(DATABASE!$E$4:$E$2003,$B24,DATABASE!$F$4:$F$2003,E$5))</f>
        <v/>
      </c>
      <c r="F24" s="46" t="str">
        <f aca="false">IF(OR($B24="",F$5=""),"",COUNTIFS(DATABASE!$E$4:$E$2003,$B24,DATABASE!$F$4:$F$2003,F$5))</f>
        <v/>
      </c>
      <c r="G24" s="46" t="str">
        <f aca="false">IF(OR($B24="",G$5=""),"",COUNTIFS(DATABASE!$E$4:$E$2003,$B24,DATABASE!$F$4:$F$2003,G$5))</f>
        <v/>
      </c>
      <c r="H24" s="46" t="str">
        <f aca="false">IF(OR($B24="",H$5=""),"",COUNTIFS(DATABASE!$E$4:$E$2003,$B24,DATABASE!$F$4:$F$2003,H$5))</f>
        <v/>
      </c>
      <c r="I24" s="46" t="str">
        <f aca="false">IF(OR($B24="",I$5=""),"",COUNTIFS(DATABASE!$E$4:$E$2003,$B24,DATABASE!$F$4:$F$2003,I$5))</f>
        <v/>
      </c>
      <c r="J24" s="46" t="str">
        <f aca="false">IF(OR($B24="",J$5=""),"",COUNTIFS(DATABASE!$E$4:$E$2003,$B24,DATABASE!$F$4:$F$2003,J$5))</f>
        <v/>
      </c>
      <c r="K24" s="46" t="str">
        <f aca="false">IF(OR($B24="",K$5=""),"",COUNTIFS(DATABASE!$E$4:$E$2003,$B24,DATABASE!$F$4:$F$2003,K$5))</f>
        <v/>
      </c>
      <c r="L24" s="46" t="str">
        <f aca="false">IF(OR($B24="",L$5=""),"",COUNTIFS(DATABASE!$E$4:$E$2003,$B24,DATABASE!$F$4:$F$2003,L$5))</f>
        <v/>
      </c>
      <c r="M24" s="46" t="str">
        <f aca="false">IF(OR($B24="",M$5=""),"",COUNTIFS(DATABASE!$E$4:$E$2003,$B24,DATABASE!$F$4:$F$2003,M$5))</f>
        <v/>
      </c>
      <c r="N24" s="46" t="str">
        <f aca="false">IF(OR($B24="",N$5=""),"",COUNTIFS(DATABASE!$E$4:$E$2003,$B24,DATABASE!$F$4:$F$2003,N$5))</f>
        <v/>
      </c>
      <c r="O24" s="46" t="str">
        <f aca="false">IF(OR($B24="",O$5=""),"",COUNTIFS(DATABASE!$E$4:$E$2003,$B24,DATABASE!$F$4:$F$2003,O$5))</f>
        <v/>
      </c>
      <c r="P24" s="46" t="str">
        <f aca="false">IF(OR($B24="",P$5=""),"",COUNTIFS(DATABASE!$E$4:$E$2003,$B24,DATABASE!$F$4:$F$2003,P$5))</f>
        <v/>
      </c>
      <c r="Q24" s="46" t="str">
        <f aca="false">IF(OR($B24="",Q$5=""),"",COUNTIFS(DATABASE!$E$4:$E$2003,$B24,DATABASE!$F$4:$F$2003,Q$5))</f>
        <v/>
      </c>
      <c r="R24" s="46" t="str">
        <f aca="false">IF(OR($B24="",R$5=""),"",COUNTIFS(DATABASE!$E$4:$E$2003,$B24,DATABASE!$F$4:$F$2003,R$5))</f>
        <v/>
      </c>
      <c r="S24" s="46" t="str">
        <f aca="false">IF(OR($B24="",S$5=""),"",COUNTIFS(DATABASE!$E$4:$E$2003,$B24,DATABASE!$F$4:$F$2003,S$5))</f>
        <v/>
      </c>
      <c r="T24" s="46" t="str">
        <f aca="false">IF(OR($B24="",T$5=""),"",COUNTIFS(DATABASE!$E$4:$E$2003,$B24,DATABASE!$F$4:$F$2003,T$5))</f>
        <v/>
      </c>
      <c r="U24" s="46" t="str">
        <f aca="false">IF(OR($B24="",U$5=""),"",COUNTIFS(DATABASE!$E$4:$E$2003,$B24,DATABASE!$F$4:$F$2003,U$5))</f>
        <v/>
      </c>
      <c r="V24" s="46" t="str">
        <f aca="false">IF(OR($B24="",V$5=""),"",COUNTIFS(DATABASE!$E$4:$E$2003,$B24,DATABASE!$F$4:$F$2003,V$5))</f>
        <v/>
      </c>
      <c r="W24" s="55" t="str">
        <f aca="false">IF($B24="","",COUNTIF(DATABASE!$E$4:$E$2003,$B24))</f>
        <v/>
      </c>
    </row>
    <row r="25" customFormat="false" ht="15" hidden="false" customHeight="false" outlineLevel="0" collapsed="false">
      <c r="B25" s="12" t="str">
        <f aca="true">IFERROR(INDEX(daftar_kadus,20),"")</f>
        <v/>
      </c>
      <c r="C25" s="49" t="str">
        <f aca="false">IF(OR($B25="",C$5=""),"",COUNTIFS(DATABASE!$E$4:$E$2003,$B25,DATABASE!$F$4:$F$2003,C$5))</f>
        <v/>
      </c>
      <c r="D25" s="49" t="str">
        <f aca="false">IF(OR($B25="",D$5=""),"",COUNTIFS(DATABASE!$E$4:$E$2003,$B25,DATABASE!$F$4:$F$2003,D$5))</f>
        <v/>
      </c>
      <c r="E25" s="49" t="str">
        <f aca="false">IF(OR($B25="",E$5=""),"",COUNTIFS(DATABASE!$E$4:$E$2003,$B25,DATABASE!$F$4:$F$2003,E$5))</f>
        <v/>
      </c>
      <c r="F25" s="49" t="str">
        <f aca="false">IF(OR($B25="",F$5=""),"",COUNTIFS(DATABASE!$E$4:$E$2003,$B25,DATABASE!$F$4:$F$2003,F$5))</f>
        <v/>
      </c>
      <c r="G25" s="49" t="str">
        <f aca="false">IF(OR($B25="",G$5=""),"",COUNTIFS(DATABASE!$E$4:$E$2003,$B25,DATABASE!$F$4:$F$2003,G$5))</f>
        <v/>
      </c>
      <c r="H25" s="49" t="str">
        <f aca="false">IF(OR($B25="",H$5=""),"",COUNTIFS(DATABASE!$E$4:$E$2003,$B25,DATABASE!$F$4:$F$2003,H$5))</f>
        <v/>
      </c>
      <c r="I25" s="49" t="str">
        <f aca="false">IF(OR($B25="",I$5=""),"",COUNTIFS(DATABASE!$E$4:$E$2003,$B25,DATABASE!$F$4:$F$2003,I$5))</f>
        <v/>
      </c>
      <c r="J25" s="49" t="str">
        <f aca="false">IF(OR($B25="",J$5=""),"",COUNTIFS(DATABASE!$E$4:$E$2003,$B25,DATABASE!$F$4:$F$2003,J$5))</f>
        <v/>
      </c>
      <c r="K25" s="49" t="str">
        <f aca="false">IF(OR($B25="",K$5=""),"",COUNTIFS(DATABASE!$E$4:$E$2003,$B25,DATABASE!$F$4:$F$2003,K$5))</f>
        <v/>
      </c>
      <c r="L25" s="49" t="str">
        <f aca="false">IF(OR($B25="",L$5=""),"",COUNTIFS(DATABASE!$E$4:$E$2003,$B25,DATABASE!$F$4:$F$2003,L$5))</f>
        <v/>
      </c>
      <c r="M25" s="49" t="str">
        <f aca="false">IF(OR($B25="",M$5=""),"",COUNTIFS(DATABASE!$E$4:$E$2003,$B25,DATABASE!$F$4:$F$2003,M$5))</f>
        <v/>
      </c>
      <c r="N25" s="49" t="str">
        <f aca="false">IF(OR($B25="",N$5=""),"",COUNTIFS(DATABASE!$E$4:$E$2003,$B25,DATABASE!$F$4:$F$2003,N$5))</f>
        <v/>
      </c>
      <c r="O25" s="49" t="str">
        <f aca="false">IF(OR($B25="",O$5=""),"",COUNTIFS(DATABASE!$E$4:$E$2003,$B25,DATABASE!$F$4:$F$2003,O$5))</f>
        <v/>
      </c>
      <c r="P25" s="49" t="str">
        <f aca="false">IF(OR($B25="",P$5=""),"",COUNTIFS(DATABASE!$E$4:$E$2003,$B25,DATABASE!$F$4:$F$2003,P$5))</f>
        <v/>
      </c>
      <c r="Q25" s="49" t="str">
        <f aca="false">IF(OR($B25="",Q$5=""),"",COUNTIFS(DATABASE!$E$4:$E$2003,$B25,DATABASE!$F$4:$F$2003,Q$5))</f>
        <v/>
      </c>
      <c r="R25" s="49" t="str">
        <f aca="false">IF(OR($B25="",R$5=""),"",COUNTIFS(DATABASE!$E$4:$E$2003,$B25,DATABASE!$F$4:$F$2003,R$5))</f>
        <v/>
      </c>
      <c r="S25" s="49" t="str">
        <f aca="false">IF(OR($B25="",S$5=""),"",COUNTIFS(DATABASE!$E$4:$E$2003,$B25,DATABASE!$F$4:$F$2003,S$5))</f>
        <v/>
      </c>
      <c r="T25" s="49" t="str">
        <f aca="false">IF(OR($B25="",T$5=""),"",COUNTIFS(DATABASE!$E$4:$E$2003,$B25,DATABASE!$F$4:$F$2003,T$5))</f>
        <v/>
      </c>
      <c r="U25" s="49" t="str">
        <f aca="false">IF(OR($B25="",U$5=""),"",COUNTIFS(DATABASE!$E$4:$E$2003,$B25,DATABASE!$F$4:$F$2003,U$5))</f>
        <v/>
      </c>
      <c r="V25" s="49" t="str">
        <f aca="false">IF(OR($B25="",V$5=""),"",COUNTIFS(DATABASE!$E$4:$E$2003,$B25,DATABASE!$F$4:$F$2003,V$5))</f>
        <v/>
      </c>
      <c r="W25" s="56" t="str">
        <f aca="false">IF($B25="","",COUNTIF(DATABASE!$E$4:$E$2003,$B25))</f>
        <v/>
      </c>
    </row>
    <row r="26" customFormat="false" ht="15" hidden="false" customHeight="false" outlineLevel="0" collapsed="false">
      <c r="B26" s="57" t="s">
        <v>36</v>
      </c>
      <c r="C26" s="16" t="n">
        <f aca="false">SUM(C6:C25)</f>
        <v>0</v>
      </c>
      <c r="D26" s="16" t="n">
        <f aca="false">SUM(D6:D25)</f>
        <v>0</v>
      </c>
      <c r="E26" s="16" t="n">
        <f aca="false">SUM(E6:E25)</f>
        <v>0</v>
      </c>
      <c r="F26" s="16" t="n">
        <f aca="false">SUM(F6:F25)</f>
        <v>0</v>
      </c>
      <c r="G26" s="16" t="n">
        <f aca="false">SUM(G6:G25)</f>
        <v>0</v>
      </c>
      <c r="H26" s="16" t="n">
        <f aca="false">SUM(H6:H25)</f>
        <v>0</v>
      </c>
      <c r="I26" s="16" t="n">
        <f aca="false">SUM(I6:I25)</f>
        <v>0</v>
      </c>
      <c r="J26" s="16" t="n">
        <f aca="false">SUM(J6:J25)</f>
        <v>0</v>
      </c>
      <c r="K26" s="16" t="n">
        <f aca="false">SUM(K6:K25)</f>
        <v>0</v>
      </c>
      <c r="L26" s="16" t="n">
        <f aca="false">SUM(L6:L25)</f>
        <v>0</v>
      </c>
      <c r="M26" s="16" t="n">
        <f aca="false">SUM(M6:M25)</f>
        <v>0</v>
      </c>
      <c r="N26" s="16" t="n">
        <f aca="false">SUM(N6:N25)</f>
        <v>0</v>
      </c>
      <c r="O26" s="16" t="n">
        <f aca="false">SUM(O6:O25)</f>
        <v>0</v>
      </c>
      <c r="P26" s="16" t="n">
        <f aca="false">SUM(P6:P25)</f>
        <v>0</v>
      </c>
      <c r="Q26" s="16" t="n">
        <f aca="false">SUM(Q6:Q25)</f>
        <v>0</v>
      </c>
      <c r="R26" s="16" t="n">
        <f aca="false">SUM(R6:R25)</f>
        <v>0</v>
      </c>
      <c r="S26" s="16" t="n">
        <f aca="false">SUM(S6:S25)</f>
        <v>0</v>
      </c>
      <c r="T26" s="16" t="n">
        <f aca="false">SUM(T6:T25)</f>
        <v>0</v>
      </c>
      <c r="U26" s="16" t="n">
        <f aca="false">SUM(U6:U25)</f>
        <v>0</v>
      </c>
      <c r="V26" s="16" t="n">
        <f aca="false">SUM(V6:V25)</f>
        <v>0</v>
      </c>
      <c r="W26" s="16" t="n">
        <f aca="false">SUM(W6:W25)</f>
        <v>0</v>
      </c>
    </row>
    <row r="28" customFormat="false" ht="19.5" hidden="false" customHeight="true" outlineLevel="0" collapsed="false">
      <c r="B28" s="5" t="s">
        <v>80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54" t="s">
        <v>24</v>
      </c>
      <c r="C29" s="54" t="s">
        <v>81</v>
      </c>
      <c r="D29" s="54" t="s">
        <v>82</v>
      </c>
      <c r="E29" s="54" t="s">
        <v>83</v>
      </c>
      <c r="F29" s="54" t="s">
        <v>84</v>
      </c>
      <c r="G29" s="54" t="s">
        <v>85</v>
      </c>
      <c r="H29" s="54" t="s">
        <v>36</v>
      </c>
      <c r="I29" s="54" t="s">
        <v>86</v>
      </c>
    </row>
    <row r="30" customFormat="false" ht="15" hidden="false" customHeight="false" outlineLevel="0" collapsed="false">
      <c r="B30" s="8" t="str">
        <f aca="true">IFERROR(INDEX(daftar_kadus,1),"")</f>
        <v>Kadus I</v>
      </c>
      <c r="C30" s="46" t="n">
        <f aca="false">IF($B30="","",COUNTIFS(DATABASE!$E$4:$E$2003,$B30,DATABASE!$D$4:$D$2003,"L"))</f>
        <v>0</v>
      </c>
      <c r="D30" s="46" t="n">
        <f aca="false">IF($B30="","",COUNTIFS(DATABASE!$E$4:$E$2003,$B30,DATABASE!$D$4:$D$2003,"P"))</f>
        <v>0</v>
      </c>
      <c r="E30" s="46" t="n">
        <f aca="false">IF($B30="","",COUNTIFS(DATABASE!$E$4:$E$2003,$B30,DATABASE!$O$4:$O$2003,"Aktif"))</f>
        <v>0</v>
      </c>
      <c r="F30" s="46" t="n">
        <f aca="false">IF($B30="","",COUNTIFS(DATABASE!$E$4:$E$2003,$B30,DATABASE!$O$4:$O$2003,"Calon"))</f>
        <v>0</v>
      </c>
      <c r="G30" s="46" t="n">
        <f aca="false">IF($B30="","",COUNTIFS(DATABASE!$E$4:$E$2003,$B30,DATABASE!$O$4:$O$2003,"Nonaktif"))</f>
        <v>0</v>
      </c>
      <c r="H30" s="55" t="n">
        <f aca="false">IF($B30="","",COUNTIF(DATABASE!$E$4:$E$2003,$B30))</f>
        <v>0</v>
      </c>
      <c r="I30" s="58" t="str">
        <f aca="false">IF(OR($B30="",COUNTA(DATABASE!$B$4:$B$2003)=0),"",$H30/COUNTA(DATABASE!$B$4:$B$2003))</f>
        <v/>
      </c>
    </row>
    <row r="31" customFormat="false" ht="15" hidden="false" customHeight="false" outlineLevel="0" collapsed="false">
      <c r="B31" s="12" t="str">
        <f aca="true">IFERROR(INDEX(daftar_kadus,2),"")</f>
        <v>Kadus II</v>
      </c>
      <c r="C31" s="49" t="n">
        <f aca="false">IF($B31="","",COUNTIFS(DATABASE!$E$4:$E$2003,$B31,DATABASE!$D$4:$D$2003,"L"))</f>
        <v>0</v>
      </c>
      <c r="D31" s="49" t="n">
        <f aca="false">IF($B31="","",COUNTIFS(DATABASE!$E$4:$E$2003,$B31,DATABASE!$D$4:$D$2003,"P"))</f>
        <v>0</v>
      </c>
      <c r="E31" s="49" t="n">
        <f aca="false">IF($B31="","",COUNTIFS(DATABASE!$E$4:$E$2003,$B31,DATABASE!$O$4:$O$2003,"Aktif"))</f>
        <v>0</v>
      </c>
      <c r="F31" s="49" t="n">
        <f aca="false">IF($B31="","",COUNTIFS(DATABASE!$E$4:$E$2003,$B31,DATABASE!$O$4:$O$2003,"Calon"))</f>
        <v>0</v>
      </c>
      <c r="G31" s="49" t="n">
        <f aca="false">IF($B31="","",COUNTIFS(DATABASE!$E$4:$E$2003,$B31,DATABASE!$O$4:$O$2003,"Nonaktif"))</f>
        <v>0</v>
      </c>
      <c r="H31" s="56" t="n">
        <f aca="false">IF($B31="","",COUNTIF(DATABASE!$E$4:$E$2003,$B31))</f>
        <v>0</v>
      </c>
      <c r="I31" s="59" t="str">
        <f aca="false">IF(OR($B31="",COUNTA(DATABASE!$B$4:$B$2003)=0),"",$H31/COUNTA(DATABASE!$B$4:$B$2003))</f>
        <v/>
      </c>
    </row>
    <row r="32" customFormat="false" ht="15" hidden="false" customHeight="false" outlineLevel="0" collapsed="false">
      <c r="B32" s="8" t="str">
        <f aca="true">IFERROR(INDEX(daftar_kadus,3),"")</f>
        <v>Kadus III</v>
      </c>
      <c r="C32" s="46" t="n">
        <f aca="false">IF($B32="","",COUNTIFS(DATABASE!$E$4:$E$2003,$B32,DATABASE!$D$4:$D$2003,"L"))</f>
        <v>0</v>
      </c>
      <c r="D32" s="46" t="n">
        <f aca="false">IF($B32="","",COUNTIFS(DATABASE!$E$4:$E$2003,$B32,DATABASE!$D$4:$D$2003,"P"))</f>
        <v>0</v>
      </c>
      <c r="E32" s="46" t="n">
        <f aca="false">IF($B32="","",COUNTIFS(DATABASE!$E$4:$E$2003,$B32,DATABASE!$O$4:$O$2003,"Aktif"))</f>
        <v>0</v>
      </c>
      <c r="F32" s="46" t="n">
        <f aca="false">IF($B32="","",COUNTIFS(DATABASE!$E$4:$E$2003,$B32,DATABASE!$O$4:$O$2003,"Calon"))</f>
        <v>0</v>
      </c>
      <c r="G32" s="46" t="n">
        <f aca="false">IF($B32="","",COUNTIFS(DATABASE!$E$4:$E$2003,$B32,DATABASE!$O$4:$O$2003,"Nonaktif"))</f>
        <v>0</v>
      </c>
      <c r="H32" s="55" t="n">
        <f aca="false">IF($B32="","",COUNTIF(DATABASE!$E$4:$E$2003,$B32))</f>
        <v>0</v>
      </c>
      <c r="I32" s="58" t="str">
        <f aca="false">IF(OR($B32="",COUNTA(DATABASE!$B$4:$B$2003)=0),"",$H32/COUNTA(DATABASE!$B$4:$B$2003))</f>
        <v/>
      </c>
    </row>
    <row r="33" customFormat="false" ht="15" hidden="false" customHeight="false" outlineLevel="0" collapsed="false">
      <c r="B33" s="12" t="str">
        <f aca="true">IFERROR(INDEX(daftar_kadus,4),"")</f>
        <v>Kadus IV</v>
      </c>
      <c r="C33" s="49" t="n">
        <f aca="false">IF($B33="","",COUNTIFS(DATABASE!$E$4:$E$2003,$B33,DATABASE!$D$4:$D$2003,"L"))</f>
        <v>0</v>
      </c>
      <c r="D33" s="49" t="n">
        <f aca="false">IF($B33="","",COUNTIFS(DATABASE!$E$4:$E$2003,$B33,DATABASE!$D$4:$D$2003,"P"))</f>
        <v>0</v>
      </c>
      <c r="E33" s="49" t="n">
        <f aca="false">IF($B33="","",COUNTIFS(DATABASE!$E$4:$E$2003,$B33,DATABASE!$O$4:$O$2003,"Aktif"))</f>
        <v>0</v>
      </c>
      <c r="F33" s="49" t="n">
        <f aca="false">IF($B33="","",COUNTIFS(DATABASE!$E$4:$E$2003,$B33,DATABASE!$O$4:$O$2003,"Calon"))</f>
        <v>0</v>
      </c>
      <c r="G33" s="49" t="n">
        <f aca="false">IF($B33="","",COUNTIFS(DATABASE!$E$4:$E$2003,$B33,DATABASE!$O$4:$O$2003,"Nonaktif"))</f>
        <v>0</v>
      </c>
      <c r="H33" s="56" t="n">
        <f aca="false">IF($B33="","",COUNTIF(DATABASE!$E$4:$E$2003,$B33))</f>
        <v>0</v>
      </c>
      <c r="I33" s="59" t="str">
        <f aca="false">IF(OR($B33="",COUNTA(DATABASE!$B$4:$B$2003)=0),"",$H33/COUNTA(DATABASE!$B$4:$B$2003))</f>
        <v/>
      </c>
    </row>
    <row r="34" customFormat="false" ht="15" hidden="false" customHeight="false" outlineLevel="0" collapsed="false">
      <c r="B34" s="8" t="str">
        <f aca="true">IFERROR(INDEX(daftar_kadus,5),"")</f>
        <v>Kadus V</v>
      </c>
      <c r="C34" s="46" t="n">
        <f aca="false">IF($B34="","",COUNTIFS(DATABASE!$E$4:$E$2003,$B34,DATABASE!$D$4:$D$2003,"L"))</f>
        <v>0</v>
      </c>
      <c r="D34" s="46" t="n">
        <f aca="false">IF($B34="","",COUNTIFS(DATABASE!$E$4:$E$2003,$B34,DATABASE!$D$4:$D$2003,"P"))</f>
        <v>0</v>
      </c>
      <c r="E34" s="46" t="n">
        <f aca="false">IF($B34="","",COUNTIFS(DATABASE!$E$4:$E$2003,$B34,DATABASE!$O$4:$O$2003,"Aktif"))</f>
        <v>0</v>
      </c>
      <c r="F34" s="46" t="n">
        <f aca="false">IF($B34="","",COUNTIFS(DATABASE!$E$4:$E$2003,$B34,DATABASE!$O$4:$O$2003,"Calon"))</f>
        <v>0</v>
      </c>
      <c r="G34" s="46" t="n">
        <f aca="false">IF($B34="","",COUNTIFS(DATABASE!$E$4:$E$2003,$B34,DATABASE!$O$4:$O$2003,"Nonaktif"))</f>
        <v>0</v>
      </c>
      <c r="H34" s="55" t="n">
        <f aca="false">IF($B34="","",COUNTIF(DATABASE!$E$4:$E$2003,$B34))</f>
        <v>0</v>
      </c>
      <c r="I34" s="58" t="str">
        <f aca="false">IF(OR($B34="",COUNTA(DATABASE!$B$4:$B$2003)=0),"",$H34/COUNTA(DATABASE!$B$4:$B$2003))</f>
        <v/>
      </c>
    </row>
    <row r="35" customFormat="false" ht="15" hidden="false" customHeight="false" outlineLevel="0" collapsed="false">
      <c r="B35" s="12" t="str">
        <f aca="true">IFERROR(INDEX(daftar_kadus,6),"")</f>
        <v/>
      </c>
      <c r="C35" s="49" t="str">
        <f aca="false">IF($B35="","",COUNTIFS(DATABASE!$E$4:$E$2003,$B35,DATABASE!$D$4:$D$2003,"L"))</f>
        <v/>
      </c>
      <c r="D35" s="49" t="str">
        <f aca="false">IF($B35="","",COUNTIFS(DATABASE!$E$4:$E$2003,$B35,DATABASE!$D$4:$D$2003,"P"))</f>
        <v/>
      </c>
      <c r="E35" s="49" t="str">
        <f aca="false">IF($B35="","",COUNTIFS(DATABASE!$E$4:$E$2003,$B35,DATABASE!$O$4:$O$2003,"Aktif"))</f>
        <v/>
      </c>
      <c r="F35" s="49" t="str">
        <f aca="false">IF($B35="","",COUNTIFS(DATABASE!$E$4:$E$2003,$B35,DATABASE!$O$4:$O$2003,"Calon"))</f>
        <v/>
      </c>
      <c r="G35" s="49" t="str">
        <f aca="false">IF($B35="","",COUNTIFS(DATABASE!$E$4:$E$2003,$B35,DATABASE!$O$4:$O$2003,"Nonaktif"))</f>
        <v/>
      </c>
      <c r="H35" s="56" t="str">
        <f aca="false">IF($B35="","",COUNTIF(DATABASE!$E$4:$E$2003,$B35))</f>
        <v/>
      </c>
      <c r="I35" s="59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8" t="str">
        <f aca="true">IFERROR(INDEX(daftar_kadus,7),"")</f>
        <v/>
      </c>
      <c r="C36" s="46" t="str">
        <f aca="false">IF($B36="","",COUNTIFS(DATABASE!$E$4:$E$2003,$B36,DATABASE!$D$4:$D$2003,"L"))</f>
        <v/>
      </c>
      <c r="D36" s="46" t="str">
        <f aca="false">IF($B36="","",COUNTIFS(DATABASE!$E$4:$E$2003,$B36,DATABASE!$D$4:$D$2003,"P"))</f>
        <v/>
      </c>
      <c r="E36" s="46" t="str">
        <f aca="false">IF($B36="","",COUNTIFS(DATABASE!$E$4:$E$2003,$B36,DATABASE!$O$4:$O$2003,"Aktif"))</f>
        <v/>
      </c>
      <c r="F36" s="46" t="str">
        <f aca="false">IF($B36="","",COUNTIFS(DATABASE!$E$4:$E$2003,$B36,DATABASE!$O$4:$O$2003,"Calon"))</f>
        <v/>
      </c>
      <c r="G36" s="46" t="str">
        <f aca="false">IF($B36="","",COUNTIFS(DATABASE!$E$4:$E$2003,$B36,DATABASE!$O$4:$O$2003,"Nonaktif"))</f>
        <v/>
      </c>
      <c r="H36" s="55" t="str">
        <f aca="false">IF($B36="","",COUNTIF(DATABASE!$E$4:$E$2003,$B36))</f>
        <v/>
      </c>
      <c r="I36" s="58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2" t="str">
        <f aca="true">IFERROR(INDEX(daftar_kadus,8),"")</f>
        <v/>
      </c>
      <c r="C37" s="49" t="str">
        <f aca="false">IF($B37="","",COUNTIFS(DATABASE!$E$4:$E$2003,$B37,DATABASE!$D$4:$D$2003,"L"))</f>
        <v/>
      </c>
      <c r="D37" s="49" t="str">
        <f aca="false">IF($B37="","",COUNTIFS(DATABASE!$E$4:$E$2003,$B37,DATABASE!$D$4:$D$2003,"P"))</f>
        <v/>
      </c>
      <c r="E37" s="49" t="str">
        <f aca="false">IF($B37="","",COUNTIFS(DATABASE!$E$4:$E$2003,$B37,DATABASE!$O$4:$O$2003,"Aktif"))</f>
        <v/>
      </c>
      <c r="F37" s="49" t="str">
        <f aca="false">IF($B37="","",COUNTIFS(DATABASE!$E$4:$E$2003,$B37,DATABASE!$O$4:$O$2003,"Calon"))</f>
        <v/>
      </c>
      <c r="G37" s="49" t="str">
        <f aca="false">IF($B37="","",COUNTIFS(DATABASE!$E$4:$E$2003,$B37,DATABASE!$O$4:$O$2003,"Nonaktif"))</f>
        <v/>
      </c>
      <c r="H37" s="56" t="str">
        <f aca="false">IF($B37="","",COUNTIF(DATABASE!$E$4:$E$2003,$B37))</f>
        <v/>
      </c>
      <c r="I37" s="59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8" t="str">
        <f aca="true">IFERROR(INDEX(daftar_kadus,9),"")</f>
        <v/>
      </c>
      <c r="C38" s="46" t="str">
        <f aca="false">IF($B38="","",COUNTIFS(DATABASE!$E$4:$E$2003,$B38,DATABASE!$D$4:$D$2003,"L"))</f>
        <v/>
      </c>
      <c r="D38" s="46" t="str">
        <f aca="false">IF($B38="","",COUNTIFS(DATABASE!$E$4:$E$2003,$B38,DATABASE!$D$4:$D$2003,"P"))</f>
        <v/>
      </c>
      <c r="E38" s="46" t="str">
        <f aca="false">IF($B38="","",COUNTIFS(DATABASE!$E$4:$E$2003,$B38,DATABASE!$O$4:$O$2003,"Aktif"))</f>
        <v/>
      </c>
      <c r="F38" s="46" t="str">
        <f aca="false">IF($B38="","",COUNTIFS(DATABASE!$E$4:$E$2003,$B38,DATABASE!$O$4:$O$2003,"Calon"))</f>
        <v/>
      </c>
      <c r="G38" s="46" t="str">
        <f aca="false">IF($B38="","",COUNTIFS(DATABASE!$E$4:$E$2003,$B38,DATABASE!$O$4:$O$2003,"Nonaktif"))</f>
        <v/>
      </c>
      <c r="H38" s="55" t="str">
        <f aca="false">IF($B38="","",COUNTIF(DATABASE!$E$4:$E$2003,$B38))</f>
        <v/>
      </c>
      <c r="I38" s="58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2" t="str">
        <f aca="true">IFERROR(INDEX(daftar_kadus,10),"")</f>
        <v/>
      </c>
      <c r="C39" s="49" t="str">
        <f aca="false">IF($B39="","",COUNTIFS(DATABASE!$E$4:$E$2003,$B39,DATABASE!$D$4:$D$2003,"L"))</f>
        <v/>
      </c>
      <c r="D39" s="49" t="str">
        <f aca="false">IF($B39="","",COUNTIFS(DATABASE!$E$4:$E$2003,$B39,DATABASE!$D$4:$D$2003,"P"))</f>
        <v/>
      </c>
      <c r="E39" s="49" t="str">
        <f aca="false">IF($B39="","",COUNTIFS(DATABASE!$E$4:$E$2003,$B39,DATABASE!$O$4:$O$2003,"Aktif"))</f>
        <v/>
      </c>
      <c r="F39" s="49" t="str">
        <f aca="false">IF($B39="","",COUNTIFS(DATABASE!$E$4:$E$2003,$B39,DATABASE!$O$4:$O$2003,"Calon"))</f>
        <v/>
      </c>
      <c r="G39" s="49" t="str">
        <f aca="false">IF($B39="","",COUNTIFS(DATABASE!$E$4:$E$2003,$B39,DATABASE!$O$4:$O$2003,"Nonaktif"))</f>
        <v/>
      </c>
      <c r="H39" s="56" t="str">
        <f aca="false">IF($B39="","",COUNTIF(DATABASE!$E$4:$E$2003,$B39))</f>
        <v/>
      </c>
      <c r="I39" s="59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8" t="str">
        <f aca="true">IFERROR(INDEX(daftar_kadus,11),"")</f>
        <v/>
      </c>
      <c r="C40" s="46" t="str">
        <f aca="false">IF($B40="","",COUNTIFS(DATABASE!$E$4:$E$2003,$B40,DATABASE!$D$4:$D$2003,"L"))</f>
        <v/>
      </c>
      <c r="D40" s="46" t="str">
        <f aca="false">IF($B40="","",COUNTIFS(DATABASE!$E$4:$E$2003,$B40,DATABASE!$D$4:$D$2003,"P"))</f>
        <v/>
      </c>
      <c r="E40" s="46" t="str">
        <f aca="false">IF($B40="","",COUNTIFS(DATABASE!$E$4:$E$2003,$B40,DATABASE!$O$4:$O$2003,"Aktif"))</f>
        <v/>
      </c>
      <c r="F40" s="46" t="str">
        <f aca="false">IF($B40="","",COUNTIFS(DATABASE!$E$4:$E$2003,$B40,DATABASE!$O$4:$O$2003,"Calon"))</f>
        <v/>
      </c>
      <c r="G40" s="46" t="str">
        <f aca="false">IF($B40="","",COUNTIFS(DATABASE!$E$4:$E$2003,$B40,DATABASE!$O$4:$O$2003,"Nonaktif"))</f>
        <v/>
      </c>
      <c r="H40" s="55" t="str">
        <f aca="false">IF($B40="","",COUNTIF(DATABASE!$E$4:$E$2003,$B40))</f>
        <v/>
      </c>
      <c r="I40" s="58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2" t="str">
        <f aca="true">IFERROR(INDEX(daftar_kadus,12),"")</f>
        <v/>
      </c>
      <c r="C41" s="49" t="str">
        <f aca="false">IF($B41="","",COUNTIFS(DATABASE!$E$4:$E$2003,$B41,DATABASE!$D$4:$D$2003,"L"))</f>
        <v/>
      </c>
      <c r="D41" s="49" t="str">
        <f aca="false">IF($B41="","",COUNTIFS(DATABASE!$E$4:$E$2003,$B41,DATABASE!$D$4:$D$2003,"P"))</f>
        <v/>
      </c>
      <c r="E41" s="49" t="str">
        <f aca="false">IF($B41="","",COUNTIFS(DATABASE!$E$4:$E$2003,$B41,DATABASE!$O$4:$O$2003,"Aktif"))</f>
        <v/>
      </c>
      <c r="F41" s="49" t="str">
        <f aca="false">IF($B41="","",COUNTIFS(DATABASE!$E$4:$E$2003,$B41,DATABASE!$O$4:$O$2003,"Calon"))</f>
        <v/>
      </c>
      <c r="G41" s="49" t="str">
        <f aca="false">IF($B41="","",COUNTIFS(DATABASE!$E$4:$E$2003,$B41,DATABASE!$O$4:$O$2003,"Nonaktif"))</f>
        <v/>
      </c>
      <c r="H41" s="56" t="str">
        <f aca="false">IF($B41="","",COUNTIF(DATABASE!$E$4:$E$2003,$B41))</f>
        <v/>
      </c>
      <c r="I41" s="59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8" t="str">
        <f aca="true">IFERROR(INDEX(daftar_kadus,13),"")</f>
        <v/>
      </c>
      <c r="C42" s="46" t="str">
        <f aca="false">IF($B42="","",COUNTIFS(DATABASE!$E$4:$E$2003,$B42,DATABASE!$D$4:$D$2003,"L"))</f>
        <v/>
      </c>
      <c r="D42" s="46" t="str">
        <f aca="false">IF($B42="","",COUNTIFS(DATABASE!$E$4:$E$2003,$B42,DATABASE!$D$4:$D$2003,"P"))</f>
        <v/>
      </c>
      <c r="E42" s="46" t="str">
        <f aca="false">IF($B42="","",COUNTIFS(DATABASE!$E$4:$E$2003,$B42,DATABASE!$O$4:$O$2003,"Aktif"))</f>
        <v/>
      </c>
      <c r="F42" s="46" t="str">
        <f aca="false">IF($B42="","",COUNTIFS(DATABASE!$E$4:$E$2003,$B42,DATABASE!$O$4:$O$2003,"Calon"))</f>
        <v/>
      </c>
      <c r="G42" s="46" t="str">
        <f aca="false">IF($B42="","",COUNTIFS(DATABASE!$E$4:$E$2003,$B42,DATABASE!$O$4:$O$2003,"Nonaktif"))</f>
        <v/>
      </c>
      <c r="H42" s="55" t="str">
        <f aca="false">IF($B42="","",COUNTIF(DATABASE!$E$4:$E$2003,$B42))</f>
        <v/>
      </c>
      <c r="I42" s="58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2" t="str">
        <f aca="true">IFERROR(INDEX(daftar_kadus,14),"")</f>
        <v/>
      </c>
      <c r="C43" s="49" t="str">
        <f aca="false">IF($B43="","",COUNTIFS(DATABASE!$E$4:$E$2003,$B43,DATABASE!$D$4:$D$2003,"L"))</f>
        <v/>
      </c>
      <c r="D43" s="49" t="str">
        <f aca="false">IF($B43="","",COUNTIFS(DATABASE!$E$4:$E$2003,$B43,DATABASE!$D$4:$D$2003,"P"))</f>
        <v/>
      </c>
      <c r="E43" s="49" t="str">
        <f aca="false">IF($B43="","",COUNTIFS(DATABASE!$E$4:$E$2003,$B43,DATABASE!$O$4:$O$2003,"Aktif"))</f>
        <v/>
      </c>
      <c r="F43" s="49" t="str">
        <f aca="false">IF($B43="","",COUNTIFS(DATABASE!$E$4:$E$2003,$B43,DATABASE!$O$4:$O$2003,"Calon"))</f>
        <v/>
      </c>
      <c r="G43" s="49" t="str">
        <f aca="false">IF($B43="","",COUNTIFS(DATABASE!$E$4:$E$2003,$B43,DATABASE!$O$4:$O$2003,"Nonaktif"))</f>
        <v/>
      </c>
      <c r="H43" s="56" t="str">
        <f aca="false">IF($B43="","",COUNTIF(DATABASE!$E$4:$E$2003,$B43))</f>
        <v/>
      </c>
      <c r="I43" s="59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8" t="str">
        <f aca="true">IFERROR(INDEX(daftar_kadus,15),"")</f>
        <v/>
      </c>
      <c r="C44" s="46" t="str">
        <f aca="false">IF($B44="","",COUNTIFS(DATABASE!$E$4:$E$2003,$B44,DATABASE!$D$4:$D$2003,"L"))</f>
        <v/>
      </c>
      <c r="D44" s="46" t="str">
        <f aca="false">IF($B44="","",COUNTIFS(DATABASE!$E$4:$E$2003,$B44,DATABASE!$D$4:$D$2003,"P"))</f>
        <v/>
      </c>
      <c r="E44" s="46" t="str">
        <f aca="false">IF($B44="","",COUNTIFS(DATABASE!$E$4:$E$2003,$B44,DATABASE!$O$4:$O$2003,"Aktif"))</f>
        <v/>
      </c>
      <c r="F44" s="46" t="str">
        <f aca="false">IF($B44="","",COUNTIFS(DATABASE!$E$4:$E$2003,$B44,DATABASE!$O$4:$O$2003,"Calon"))</f>
        <v/>
      </c>
      <c r="G44" s="46" t="str">
        <f aca="false">IF($B44="","",COUNTIFS(DATABASE!$E$4:$E$2003,$B44,DATABASE!$O$4:$O$2003,"Nonaktif"))</f>
        <v/>
      </c>
      <c r="H44" s="55" t="str">
        <f aca="false">IF($B44="","",COUNTIF(DATABASE!$E$4:$E$2003,$B44))</f>
        <v/>
      </c>
      <c r="I44" s="58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2" t="str">
        <f aca="true">IFERROR(INDEX(daftar_kadus,16),"")</f>
        <v/>
      </c>
      <c r="C45" s="49" t="str">
        <f aca="false">IF($B45="","",COUNTIFS(DATABASE!$E$4:$E$2003,$B45,DATABASE!$D$4:$D$2003,"L"))</f>
        <v/>
      </c>
      <c r="D45" s="49" t="str">
        <f aca="false">IF($B45="","",COUNTIFS(DATABASE!$E$4:$E$2003,$B45,DATABASE!$D$4:$D$2003,"P"))</f>
        <v/>
      </c>
      <c r="E45" s="49" t="str">
        <f aca="false">IF($B45="","",COUNTIFS(DATABASE!$E$4:$E$2003,$B45,DATABASE!$O$4:$O$2003,"Aktif"))</f>
        <v/>
      </c>
      <c r="F45" s="49" t="str">
        <f aca="false">IF($B45="","",COUNTIFS(DATABASE!$E$4:$E$2003,$B45,DATABASE!$O$4:$O$2003,"Calon"))</f>
        <v/>
      </c>
      <c r="G45" s="49" t="str">
        <f aca="false">IF($B45="","",COUNTIFS(DATABASE!$E$4:$E$2003,$B45,DATABASE!$O$4:$O$2003,"Nonaktif"))</f>
        <v/>
      </c>
      <c r="H45" s="56" t="str">
        <f aca="false">IF($B45="","",COUNTIF(DATABASE!$E$4:$E$2003,$B45))</f>
        <v/>
      </c>
      <c r="I45" s="59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8" t="str">
        <f aca="true">IFERROR(INDEX(daftar_kadus,17),"")</f>
        <v/>
      </c>
      <c r="C46" s="46" t="str">
        <f aca="false">IF($B46="","",COUNTIFS(DATABASE!$E$4:$E$2003,$B46,DATABASE!$D$4:$D$2003,"L"))</f>
        <v/>
      </c>
      <c r="D46" s="46" t="str">
        <f aca="false">IF($B46="","",COUNTIFS(DATABASE!$E$4:$E$2003,$B46,DATABASE!$D$4:$D$2003,"P"))</f>
        <v/>
      </c>
      <c r="E46" s="46" t="str">
        <f aca="false">IF($B46="","",COUNTIFS(DATABASE!$E$4:$E$2003,$B46,DATABASE!$O$4:$O$2003,"Aktif"))</f>
        <v/>
      </c>
      <c r="F46" s="46" t="str">
        <f aca="false">IF($B46="","",COUNTIFS(DATABASE!$E$4:$E$2003,$B46,DATABASE!$O$4:$O$2003,"Calon"))</f>
        <v/>
      </c>
      <c r="G46" s="46" t="str">
        <f aca="false">IF($B46="","",COUNTIFS(DATABASE!$E$4:$E$2003,$B46,DATABASE!$O$4:$O$2003,"Nonaktif"))</f>
        <v/>
      </c>
      <c r="H46" s="55" t="str">
        <f aca="false">IF($B46="","",COUNTIF(DATABASE!$E$4:$E$2003,$B46))</f>
        <v/>
      </c>
      <c r="I46" s="58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2" t="str">
        <f aca="true">IFERROR(INDEX(daftar_kadus,18),"")</f>
        <v/>
      </c>
      <c r="C47" s="49" t="str">
        <f aca="false">IF($B47="","",COUNTIFS(DATABASE!$E$4:$E$2003,$B47,DATABASE!$D$4:$D$2003,"L"))</f>
        <v/>
      </c>
      <c r="D47" s="49" t="str">
        <f aca="false">IF($B47="","",COUNTIFS(DATABASE!$E$4:$E$2003,$B47,DATABASE!$D$4:$D$2003,"P"))</f>
        <v/>
      </c>
      <c r="E47" s="49" t="str">
        <f aca="false">IF($B47="","",COUNTIFS(DATABASE!$E$4:$E$2003,$B47,DATABASE!$O$4:$O$2003,"Aktif"))</f>
        <v/>
      </c>
      <c r="F47" s="49" t="str">
        <f aca="false">IF($B47="","",COUNTIFS(DATABASE!$E$4:$E$2003,$B47,DATABASE!$O$4:$O$2003,"Calon"))</f>
        <v/>
      </c>
      <c r="G47" s="49" t="str">
        <f aca="false">IF($B47="","",COUNTIFS(DATABASE!$E$4:$E$2003,$B47,DATABASE!$O$4:$O$2003,"Nonaktif"))</f>
        <v/>
      </c>
      <c r="H47" s="56" t="str">
        <f aca="false">IF($B47="","",COUNTIF(DATABASE!$E$4:$E$2003,$B47))</f>
        <v/>
      </c>
      <c r="I47" s="59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8" t="str">
        <f aca="true">IFERROR(INDEX(daftar_kadus,19),"")</f>
        <v/>
      </c>
      <c r="C48" s="46" t="str">
        <f aca="false">IF($B48="","",COUNTIFS(DATABASE!$E$4:$E$2003,$B48,DATABASE!$D$4:$D$2003,"L"))</f>
        <v/>
      </c>
      <c r="D48" s="46" t="str">
        <f aca="false">IF($B48="","",COUNTIFS(DATABASE!$E$4:$E$2003,$B48,DATABASE!$D$4:$D$2003,"P"))</f>
        <v/>
      </c>
      <c r="E48" s="46" t="str">
        <f aca="false">IF($B48="","",COUNTIFS(DATABASE!$E$4:$E$2003,$B48,DATABASE!$O$4:$O$2003,"Aktif"))</f>
        <v/>
      </c>
      <c r="F48" s="46" t="str">
        <f aca="false">IF($B48="","",COUNTIFS(DATABASE!$E$4:$E$2003,$B48,DATABASE!$O$4:$O$2003,"Calon"))</f>
        <v/>
      </c>
      <c r="G48" s="46" t="str">
        <f aca="false">IF($B48="","",COUNTIFS(DATABASE!$E$4:$E$2003,$B48,DATABASE!$O$4:$O$2003,"Nonaktif"))</f>
        <v/>
      </c>
      <c r="H48" s="55" t="str">
        <f aca="false">IF($B48="","",COUNTIF(DATABASE!$E$4:$E$2003,$B48))</f>
        <v/>
      </c>
      <c r="I48" s="58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2" t="str">
        <f aca="true">IFERROR(INDEX(daftar_kadus,20),"")</f>
        <v/>
      </c>
      <c r="C49" s="49" t="str">
        <f aca="false">IF($B49="","",COUNTIFS(DATABASE!$E$4:$E$2003,$B49,DATABASE!$D$4:$D$2003,"L"))</f>
        <v/>
      </c>
      <c r="D49" s="49" t="str">
        <f aca="false">IF($B49="","",COUNTIFS(DATABASE!$E$4:$E$2003,$B49,DATABASE!$D$4:$D$2003,"P"))</f>
        <v/>
      </c>
      <c r="E49" s="49" t="str">
        <f aca="false">IF($B49="","",COUNTIFS(DATABASE!$E$4:$E$2003,$B49,DATABASE!$O$4:$O$2003,"Aktif"))</f>
        <v/>
      </c>
      <c r="F49" s="49" t="str">
        <f aca="false">IF($B49="","",COUNTIFS(DATABASE!$E$4:$E$2003,$B49,DATABASE!$O$4:$O$2003,"Calon"))</f>
        <v/>
      </c>
      <c r="G49" s="49" t="str">
        <f aca="false">IF($B49="","",COUNTIFS(DATABASE!$E$4:$E$2003,$B49,DATABASE!$O$4:$O$2003,"Nonaktif"))</f>
        <v/>
      </c>
      <c r="H49" s="56" t="str">
        <f aca="false">IF($B49="","",COUNTIF(DATABASE!$E$4:$E$2003,$B49))</f>
        <v/>
      </c>
      <c r="I49" s="59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57" t="s">
        <v>36</v>
      </c>
      <c r="C50" s="16" t="n">
        <f aca="false">SUM(C30:C49)</f>
        <v>0</v>
      </c>
      <c r="D50" s="16" t="n">
        <f aca="false">SUM(D30:D49)</f>
        <v>0</v>
      </c>
      <c r="E50" s="16" t="n">
        <f aca="false">SUM(E30:E49)</f>
        <v>0</v>
      </c>
      <c r="F50" s="16" t="n">
        <f aca="false">SUM(F30:F49)</f>
        <v>0</v>
      </c>
      <c r="G50" s="16" t="n">
        <f aca="false">SUM(G30:G49)</f>
        <v>0</v>
      </c>
      <c r="H50" s="16" t="n">
        <f aca="false">SUM(H30:H49)</f>
        <v>0</v>
      </c>
      <c r="I50" s="27" t="str">
        <f aca="false">IF(SUM(H30:H49)=0,"",1)</f>
        <v/>
      </c>
    </row>
    <row r="52" customFormat="false" ht="19.5" hidden="false" customHeight="true" outlineLevel="0" collapsed="false">
      <c r="B52" s="5" t="s">
        <v>87</v>
      </c>
      <c r="C52" s="5"/>
      <c r="D52" s="5"/>
      <c r="E52" s="5"/>
      <c r="F52" s="5"/>
      <c r="G52" s="5"/>
      <c r="H52" s="5"/>
      <c r="I52" s="5"/>
      <c r="J52" s="5"/>
      <c r="K52" s="5"/>
    </row>
    <row r="53" customFormat="false" ht="15" hidden="false" customHeight="false" outlineLevel="0" collapsed="false">
      <c r="B53" s="54" t="s">
        <v>44</v>
      </c>
      <c r="C53" s="54" t="s">
        <v>25</v>
      </c>
      <c r="D53" s="54" t="s">
        <v>83</v>
      </c>
      <c r="E53" s="54" t="s">
        <v>88</v>
      </c>
    </row>
    <row r="54" customFormat="false" ht="15" hidden="false" customHeight="false" outlineLevel="0" collapsed="false">
      <c r="B54" s="8" t="str">
        <f aca="true">IFERROR(INDEX(daftar_jabatan,1),"")</f>
        <v>Ketua Team</v>
      </c>
      <c r="C54" s="55" t="n">
        <f aca="false">IF($B54="","",COUNTIF(DATABASE!$H$4:$H$2003,$B54))</f>
        <v>0</v>
      </c>
      <c r="D54" s="46" t="n">
        <f aca="false">IF($B54="","",COUNTIFS(DATABASE!$H$4:$H$2003,$B54,DATABASE!$O$4:$O$2003,"Aktif"))</f>
        <v>0</v>
      </c>
      <c r="E54" s="58" t="str">
        <f aca="false">IF(OR($B54="",COUNTA(DATABASE!$B$4:$B$2003)=0),"",$C54/COUNTA(DATABASE!$B$4:$B$2003))</f>
        <v/>
      </c>
    </row>
    <row r="55" customFormat="false" ht="15" hidden="false" customHeight="false" outlineLevel="0" collapsed="false">
      <c r="B55" s="12" t="str">
        <f aca="true">IFERROR(INDEX(daftar_jabatan,2),"")</f>
        <v>Wakil Ketua</v>
      </c>
      <c r="C55" s="56" t="n">
        <f aca="false">IF($B55="","",COUNTIF(DATABASE!$H$4:$H$2003,$B55))</f>
        <v>0</v>
      </c>
      <c r="D55" s="49" t="n">
        <f aca="false">IF($B55="","",COUNTIFS(DATABASE!$H$4:$H$2003,$B55,DATABASE!$O$4:$O$2003,"Aktif"))</f>
        <v>0</v>
      </c>
      <c r="E55" s="59" t="str">
        <f aca="false">IF(OR($B55="",COUNTA(DATABASE!$B$4:$B$2003)=0),"",$C55/COUNTA(DATABASE!$B$4:$B$2003))</f>
        <v/>
      </c>
    </row>
    <row r="56" customFormat="false" ht="15" hidden="false" customHeight="false" outlineLevel="0" collapsed="false">
      <c r="B56" s="8" t="str">
        <f aca="true">IFERROR(INDEX(daftar_jabatan,3),"")</f>
        <v>Sekretaris</v>
      </c>
      <c r="C56" s="55" t="n">
        <f aca="false">IF($B56="","",COUNTIF(DATABASE!$H$4:$H$2003,$B56))</f>
        <v>0</v>
      </c>
      <c r="D56" s="46" t="n">
        <f aca="false">IF($B56="","",COUNTIFS(DATABASE!$H$4:$H$2003,$B56,DATABASE!$O$4:$O$2003,"Aktif"))</f>
        <v>0</v>
      </c>
      <c r="E56" s="58" t="str">
        <f aca="false">IF(OR($B56="",COUNTA(DATABASE!$B$4:$B$2003)=0),"",$C56/COUNTA(DATABASE!$B$4:$B$2003))</f>
        <v/>
      </c>
    </row>
    <row r="57" customFormat="false" ht="15" hidden="false" customHeight="false" outlineLevel="0" collapsed="false">
      <c r="B57" s="12" t="str">
        <f aca="true">IFERROR(INDEX(daftar_jabatan,4),"")</f>
        <v>Bendahara</v>
      </c>
      <c r="C57" s="56" t="n">
        <f aca="false">IF($B57="","",COUNTIF(DATABASE!$H$4:$H$2003,$B57))</f>
        <v>0</v>
      </c>
      <c r="D57" s="49" t="n">
        <f aca="false">IF($B57="","",COUNTIFS(DATABASE!$H$4:$H$2003,$B57,DATABASE!$O$4:$O$2003,"Aktif"))</f>
        <v>0</v>
      </c>
      <c r="E57" s="59" t="str">
        <f aca="false">IF(OR($B57="",COUNTA(DATABASE!$B$4:$B$2003)=0),"",$C57/COUNTA(DATABASE!$B$4:$B$2003))</f>
        <v/>
      </c>
    </row>
    <row r="58" customFormat="false" ht="15" hidden="false" customHeight="false" outlineLevel="0" collapsed="false">
      <c r="B58" s="8" t="str">
        <f aca="true">IFERROR(INDEX(daftar_jabatan,5),"")</f>
        <v>Koordinator Wilayah</v>
      </c>
      <c r="C58" s="55" t="n">
        <f aca="false">IF($B58="","",COUNTIF(DATABASE!$H$4:$H$2003,$B58))</f>
        <v>0</v>
      </c>
      <c r="D58" s="46" t="n">
        <f aca="false">IF($B58="","",COUNTIFS(DATABASE!$H$4:$H$2003,$B58,DATABASE!$O$4:$O$2003,"Aktif"))</f>
        <v>0</v>
      </c>
      <c r="E58" s="58" t="str">
        <f aca="false">IF(OR($B58="",COUNTA(DATABASE!$B$4:$B$2003)=0),"",$C58/COUNTA(DATABASE!$B$4:$B$2003))</f>
        <v/>
      </c>
    </row>
    <row r="59" customFormat="false" ht="15" hidden="false" customHeight="false" outlineLevel="0" collapsed="false">
      <c r="B59" s="12" t="str">
        <f aca="true">IFERROR(INDEX(daftar_jabatan,6),"")</f>
        <v>Koordinator Lapangan</v>
      </c>
      <c r="C59" s="56" t="n">
        <f aca="false">IF($B59="","",COUNTIF(DATABASE!$H$4:$H$2003,$B59))</f>
        <v>0</v>
      </c>
      <c r="D59" s="49" t="n">
        <f aca="false">IF($B59="","",COUNTIFS(DATABASE!$H$4:$H$2003,$B59,DATABASE!$O$4:$O$2003,"Aktif"))</f>
        <v>0</v>
      </c>
      <c r="E59" s="59" t="str">
        <f aca="false">IF(OR($B59="",COUNTA(DATABASE!$B$4:$B$2003)=0),"",$C59/COUNTA(DATABASE!$B$4:$B$2003))</f>
        <v/>
      </c>
    </row>
    <row r="60" customFormat="false" ht="15" hidden="false" customHeight="false" outlineLevel="0" collapsed="false">
      <c r="B60" s="8" t="str">
        <f aca="true">IFERROR(INDEX(daftar_jabatan,7),"")</f>
        <v>Anggota</v>
      </c>
      <c r="C60" s="55" t="n">
        <f aca="false">IF($B60="","",COUNTIF(DATABASE!$H$4:$H$2003,$B60))</f>
        <v>0</v>
      </c>
      <c r="D60" s="46" t="n">
        <f aca="false">IF($B60="","",COUNTIFS(DATABASE!$H$4:$H$2003,$B60,DATABASE!$O$4:$O$2003,"Aktif"))</f>
        <v>0</v>
      </c>
      <c r="E60" s="58" t="str">
        <f aca="false">IF(OR($B60="",COUNTA(DATABASE!$B$4:$B$2003)=0),"",$C60/COUNTA(DATABASE!$B$4:$B$2003))</f>
        <v/>
      </c>
    </row>
    <row r="61" customFormat="false" ht="15" hidden="false" customHeight="false" outlineLevel="0" collapsed="false">
      <c r="B61" s="12" t="str">
        <f aca="true">IFERROR(INDEX(daftar_jabatan,8),"")</f>
        <v>Relawan</v>
      </c>
      <c r="C61" s="56" t="n">
        <f aca="false">IF($B61="","",COUNTIF(DATABASE!$H$4:$H$2003,$B61))</f>
        <v>0</v>
      </c>
      <c r="D61" s="49" t="n">
        <f aca="false">IF($B61="","",COUNTIFS(DATABASE!$H$4:$H$2003,$B61,DATABASE!$O$4:$O$2003,"Aktif"))</f>
        <v>0</v>
      </c>
      <c r="E61" s="59" t="str">
        <f aca="false">IF(OR($B61="",COUNTA(DATABASE!$B$4:$B$2003)=0),"",$C61/COUNTA(DATABASE!$B$4:$B$2003))</f>
        <v/>
      </c>
    </row>
    <row r="62" customFormat="false" ht="15" hidden="false" customHeight="false" outlineLevel="0" collapsed="false">
      <c r="B62" s="8" t="str">
        <f aca="true">IFERROR(INDEX(daftar_jabatan,9),"")</f>
        <v/>
      </c>
      <c r="C62" s="55" t="str">
        <f aca="false">IF($B62="","",COUNTIF(DATABASE!$H$4:$H$2003,$B62))</f>
        <v/>
      </c>
      <c r="D62" s="46" t="str">
        <f aca="false">IF($B62="","",COUNTIFS(DATABASE!$H$4:$H$2003,$B62,DATABASE!$O$4:$O$2003,"Aktif"))</f>
        <v/>
      </c>
      <c r="E62" s="58" t="str">
        <f aca="false">IF(OR($B62="",COUNTA(DATABASE!$B$4:$B$2003)=0),"",$C62/COUNTA(DATABASE!$B$4:$B$2003))</f>
        <v/>
      </c>
    </row>
    <row r="63" customFormat="false" ht="15" hidden="false" customHeight="false" outlineLevel="0" collapsed="false">
      <c r="B63" s="12" t="str">
        <f aca="true">IFERROR(INDEX(daftar_jabatan,10),"")</f>
        <v/>
      </c>
      <c r="C63" s="56" t="str">
        <f aca="false">IF($B63="","",COUNTIF(DATABASE!$H$4:$H$2003,$B63))</f>
        <v/>
      </c>
      <c r="D63" s="49" t="str">
        <f aca="false">IF($B63="","",COUNTIFS(DATABASE!$H$4:$H$2003,$B63,DATABASE!$O$4:$O$2003,"Aktif"))</f>
        <v/>
      </c>
      <c r="E63" s="59" t="str">
        <f aca="false">IF(OR($B63="",COUNTA(DATABASE!$B$4:$B$2003)=0),"",$C63/COUNTA(DATABASE!$B$4:$B$2003))</f>
        <v/>
      </c>
    </row>
    <row r="64" customFormat="false" ht="15" hidden="false" customHeight="false" outlineLevel="0" collapsed="false">
      <c r="B64" s="8" t="str">
        <f aca="true">IFERROR(INDEX(daftar_jabatan,11),"")</f>
        <v/>
      </c>
      <c r="C64" s="55" t="str">
        <f aca="false">IF($B64="","",COUNTIF(DATABASE!$H$4:$H$2003,$B64))</f>
        <v/>
      </c>
      <c r="D64" s="46" t="str">
        <f aca="false">IF($B64="","",COUNTIFS(DATABASE!$H$4:$H$2003,$B64,DATABASE!$O$4:$O$2003,"Aktif"))</f>
        <v/>
      </c>
      <c r="E64" s="58" t="str">
        <f aca="false">IF(OR($B64="",COUNTA(DATABASE!$B$4:$B$2003)=0),"",$C64/COUNTA(DATABASE!$B$4:$B$2003))</f>
        <v/>
      </c>
    </row>
    <row r="65" customFormat="false" ht="15" hidden="false" customHeight="false" outlineLevel="0" collapsed="false">
      <c r="B65" s="12" t="str">
        <f aca="true">IFERROR(INDEX(daftar_jabatan,12),"")</f>
        <v/>
      </c>
      <c r="C65" s="56" t="str">
        <f aca="false">IF($B65="","",COUNTIF(DATABASE!$H$4:$H$2003,$B65))</f>
        <v/>
      </c>
      <c r="D65" s="49" t="str">
        <f aca="false">IF($B65="","",COUNTIFS(DATABASE!$H$4:$H$2003,$B65,DATABASE!$O$4:$O$2003,"Aktif"))</f>
        <v/>
      </c>
      <c r="E65" s="59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5" t="s">
        <v>89</v>
      </c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B68" s="54" t="s">
        <v>50</v>
      </c>
      <c r="C68" s="54" t="s">
        <v>25</v>
      </c>
      <c r="D68" s="54" t="s">
        <v>81</v>
      </c>
      <c r="E68" s="54" t="s">
        <v>82</v>
      </c>
      <c r="F68" s="54" t="s">
        <v>88</v>
      </c>
    </row>
    <row r="69" customFormat="false" ht="15" hidden="false" customHeight="false" outlineLevel="0" collapsed="false">
      <c r="B69" s="8" t="str">
        <f aca="false">REFERENSI!$L$6</f>
        <v>Di bawah 17 th</v>
      </c>
      <c r="C69" s="55" t="n">
        <f aca="false">IF($B69="","",COUNTIF(DATABASE!$N$4:$N$2003,$B69))</f>
        <v>0</v>
      </c>
      <c r="D69" s="46" t="n">
        <f aca="false">IF($B69="","",COUNTIFS(DATABASE!$N$4:$N$2003,$B69,DATABASE!$D$4:$D$2003,"L"))</f>
        <v>0</v>
      </c>
      <c r="E69" s="46" t="n">
        <f aca="false">IF($B69="","",COUNTIFS(DATABASE!$N$4:$N$2003,$B69,DATABASE!$D$4:$D$2003,"P"))</f>
        <v>0</v>
      </c>
      <c r="F69" s="58" t="str">
        <f aca="false">IF(OR($B69="",COUNT(DATABASE!$M$4:$M$2003)=0),"",$C69/COUNT(DATABASE!$M$4:$M$2003))</f>
        <v/>
      </c>
    </row>
    <row r="70" customFormat="false" ht="15" hidden="false" customHeight="false" outlineLevel="0" collapsed="false">
      <c r="B70" s="12" t="str">
        <f aca="false">REFERENSI!$L$7</f>
        <v>Pemula 17-22 th</v>
      </c>
      <c r="C70" s="56" t="n">
        <f aca="false">IF($B70="","",COUNTIF(DATABASE!$N$4:$N$2003,$B70))</f>
        <v>0</v>
      </c>
      <c r="D70" s="49" t="n">
        <f aca="false">IF($B70="","",COUNTIFS(DATABASE!$N$4:$N$2003,$B70,DATABASE!$D$4:$D$2003,"L"))</f>
        <v>0</v>
      </c>
      <c r="E70" s="49" t="n">
        <f aca="false">IF($B70="","",COUNTIFS(DATABASE!$N$4:$N$2003,$B70,DATABASE!$D$4:$D$2003,"P"))</f>
        <v>0</v>
      </c>
      <c r="F70" s="59" t="str">
        <f aca="false">IF(OR($B70="",COUNT(DATABASE!$M$4:$M$2003)=0),"",$C70/COUNT(DATABASE!$M$4:$M$2003))</f>
        <v/>
      </c>
    </row>
    <row r="71" customFormat="false" ht="15" hidden="false" customHeight="false" outlineLevel="0" collapsed="false">
      <c r="B71" s="8" t="str">
        <f aca="false">REFERENSI!$L$8</f>
        <v>Muda 23-35 th</v>
      </c>
      <c r="C71" s="55" t="n">
        <f aca="false">IF($B71="","",COUNTIF(DATABASE!$N$4:$N$2003,$B71))</f>
        <v>0</v>
      </c>
      <c r="D71" s="46" t="n">
        <f aca="false">IF($B71="","",COUNTIFS(DATABASE!$N$4:$N$2003,$B71,DATABASE!$D$4:$D$2003,"L"))</f>
        <v>0</v>
      </c>
      <c r="E71" s="46" t="n">
        <f aca="false">IF($B71="","",COUNTIFS(DATABASE!$N$4:$N$2003,$B71,DATABASE!$D$4:$D$2003,"P"))</f>
        <v>0</v>
      </c>
      <c r="F71" s="58" t="str">
        <f aca="false">IF(OR($B71="",COUNT(DATABASE!$M$4:$M$2003)=0),"",$C71/COUNT(DATABASE!$M$4:$M$2003))</f>
        <v/>
      </c>
    </row>
    <row r="72" customFormat="false" ht="15" hidden="false" customHeight="false" outlineLevel="0" collapsed="false">
      <c r="B72" s="12" t="str">
        <f aca="false">REFERENSI!$L$9</f>
        <v>Dewasa 36-50 th</v>
      </c>
      <c r="C72" s="56" t="n">
        <f aca="false">IF($B72="","",COUNTIF(DATABASE!$N$4:$N$2003,$B72))</f>
        <v>0</v>
      </c>
      <c r="D72" s="49" t="n">
        <f aca="false">IF($B72="","",COUNTIFS(DATABASE!$N$4:$N$2003,$B72,DATABASE!$D$4:$D$2003,"L"))</f>
        <v>0</v>
      </c>
      <c r="E72" s="49" t="n">
        <f aca="false">IF($B72="","",COUNTIFS(DATABASE!$N$4:$N$2003,$B72,DATABASE!$D$4:$D$2003,"P"))</f>
        <v>0</v>
      </c>
      <c r="F72" s="59" t="str">
        <f aca="false">IF(OR($B72="",COUNT(DATABASE!$M$4:$M$2003)=0),"",$C72/COUNT(DATABASE!$M$4:$M$2003))</f>
        <v/>
      </c>
    </row>
    <row r="73" customFormat="false" ht="15" hidden="false" customHeight="false" outlineLevel="0" collapsed="false">
      <c r="B73" s="8" t="str">
        <f aca="false">REFERENSI!$L$10</f>
        <v>Matang 51-65 th</v>
      </c>
      <c r="C73" s="55" t="n">
        <f aca="false">IF($B73="","",COUNTIF(DATABASE!$N$4:$N$2003,$B73))</f>
        <v>0</v>
      </c>
      <c r="D73" s="46" t="n">
        <f aca="false">IF($B73="","",COUNTIFS(DATABASE!$N$4:$N$2003,$B73,DATABASE!$D$4:$D$2003,"L"))</f>
        <v>0</v>
      </c>
      <c r="E73" s="46" t="n">
        <f aca="false">IF($B73="","",COUNTIFS(DATABASE!$N$4:$N$2003,$B73,DATABASE!$D$4:$D$2003,"P"))</f>
        <v>0</v>
      </c>
      <c r="F73" s="58" t="str">
        <f aca="false">IF(OR($B73="",COUNT(DATABASE!$M$4:$M$2003)=0),"",$C73/COUNT(DATABASE!$M$4:$M$2003))</f>
        <v/>
      </c>
    </row>
    <row r="74" customFormat="false" ht="15" hidden="false" customHeight="false" outlineLevel="0" collapsed="false">
      <c r="B74" s="12" t="str">
        <f aca="false">REFERENSI!$L$11</f>
        <v>Senior 66 th +</v>
      </c>
      <c r="C74" s="56" t="n">
        <f aca="false">IF($B74="","",COUNTIF(DATABASE!$N$4:$N$2003,$B74))</f>
        <v>0</v>
      </c>
      <c r="D74" s="49" t="n">
        <f aca="false">IF($B74="","",COUNTIFS(DATABASE!$N$4:$N$2003,$B74,DATABASE!$D$4:$D$2003,"L"))</f>
        <v>0</v>
      </c>
      <c r="E74" s="49" t="n">
        <f aca="false">IF($B74="","",COUNTIFS(DATABASE!$N$4:$N$2003,$B74,DATABASE!$D$4:$D$2003,"P"))</f>
        <v>0</v>
      </c>
      <c r="F74" s="59" t="str">
        <f aca="false">IF(OR($B74="",COUNT(DATABASE!$M$4:$M$2003)=0),"",$C74/COUNT(DATABASE!$M$4:$M$2003))</f>
        <v/>
      </c>
    </row>
    <row r="75" customFormat="false" ht="15" hidden="false" customHeight="false" outlineLevel="0" collapsed="false">
      <c r="B75" s="60" t="s">
        <v>90</v>
      </c>
      <c r="C75" s="61" t="n">
        <f aca="false">COUNTA(DATABASE!$B$4:$B$2003)-COUNT(DATABASE!$M$4:$M$2003)</f>
        <v>0</v>
      </c>
    </row>
    <row r="77" customFormat="false" ht="19.5" hidden="false" customHeight="true" outlineLevel="0" collapsed="false">
      <c r="B77" s="5" t="s">
        <v>91</v>
      </c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B78" s="54" t="s">
        <v>47</v>
      </c>
      <c r="C78" s="54" t="str">
        <f aca="false">REFERENSI!$H$6</f>
        <v>01</v>
      </c>
      <c r="D78" s="54" t="str">
        <f aca="false">REFERENSI!$H$7</f>
        <v>02</v>
      </c>
      <c r="E78" s="54" t="str">
        <f aca="false">REFERENSI!$H$8</f>
        <v>03</v>
      </c>
      <c r="F78" s="54" t="str">
        <f aca="false">REFERENSI!$H$9</f>
        <v>04</v>
      </c>
      <c r="G78" s="54" t="str">
        <f aca="false">REFERENSI!$H$10</f>
        <v>05</v>
      </c>
      <c r="H78" s="54" t="str">
        <f aca="false">REFERENSI!$H$11</f>
        <v>06</v>
      </c>
      <c r="I78" s="54" t="str">
        <f aca="false">REFERENSI!$H$12</f>
        <v>07</v>
      </c>
      <c r="J78" s="54" t="str">
        <f aca="false">REFERENSI!$H$13</f>
        <v>08</v>
      </c>
      <c r="K78" s="54" t="str">
        <f aca="false">REFERENSI!$H$14</f>
        <v>09</v>
      </c>
      <c r="L78" s="54" t="str">
        <f aca="false">REFERENSI!$H$15</f>
        <v>10</v>
      </c>
    </row>
    <row r="79" customFormat="false" ht="15" hidden="false" customHeight="false" outlineLevel="0" collapsed="false">
      <c r="B79" s="62" t="s">
        <v>25</v>
      </c>
      <c r="C79" s="63" t="n">
        <f aca="false">IF(C$78="","",COUNTIF(DATABASE!$K$4:$K$2003,C$78))</f>
        <v>0</v>
      </c>
      <c r="D79" s="63" t="n">
        <f aca="false">IF(D$78="","",COUNTIF(DATABASE!$K$4:$K$2003,D$78))</f>
        <v>0</v>
      </c>
      <c r="E79" s="63" t="n">
        <f aca="false">IF(E$78="","",COUNTIF(DATABASE!$K$4:$K$2003,E$78))</f>
        <v>0</v>
      </c>
      <c r="F79" s="63" t="n">
        <f aca="false">IF(F$78="","",COUNTIF(DATABASE!$K$4:$K$2003,F$78))</f>
        <v>0</v>
      </c>
      <c r="G79" s="63" t="n">
        <f aca="false">IF(G$78="","",COUNTIF(DATABASE!$K$4:$K$2003,G$78))</f>
        <v>0</v>
      </c>
      <c r="H79" s="63" t="n">
        <f aca="false">IF(H$78="","",COUNTIF(DATABASE!$K$4:$K$2003,H$78))</f>
        <v>0</v>
      </c>
      <c r="I79" s="63" t="n">
        <f aca="false">IF(I$78="","",COUNTIF(DATABASE!$K$4:$K$2003,I$78))</f>
        <v>0</v>
      </c>
      <c r="J79" s="63" t="n">
        <f aca="false">IF(J$78="","",COUNTIF(DATABASE!$K$4:$K$2003,J$78))</f>
        <v>0</v>
      </c>
      <c r="K79" s="63" t="n">
        <f aca="false">IF(K$78="","",COUNTIF(DATABASE!$K$4:$K$2003,K$78))</f>
        <v>0</v>
      </c>
      <c r="L79" s="63" t="n">
        <f aca="false">IF(L$78="","",COUNTIF(DATABASE!$K$4:$K$2003,L$78))</f>
        <v>0</v>
      </c>
    </row>
    <row r="81" customFormat="false" ht="19.5" hidden="false" customHeight="true" outlineLevel="0" collapsed="false">
      <c r="B81" s="5" t="s">
        <v>92</v>
      </c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5" hidden="false" customHeight="false" outlineLevel="0" collapsed="false">
      <c r="B82" s="64" t="s">
        <v>93</v>
      </c>
      <c r="D82" s="65"/>
      <c r="E82" s="33" t="s">
        <v>94</v>
      </c>
      <c r="F82" s="66"/>
      <c r="G82" s="33" t="s">
        <v>25</v>
      </c>
      <c r="H82" s="67" t="n">
        <f aca="false">COUNTIF(DATABASE!$G$4:$G$2003,$AA$1)</f>
        <v>0</v>
      </c>
      <c r="I82" s="32" t="s">
        <v>95</v>
      </c>
    </row>
    <row r="83" customFormat="false" ht="15" hidden="false" customHeight="false" outlineLevel="0" collapsed="false">
      <c r="B83" s="68" t="s">
        <v>38</v>
      </c>
      <c r="C83" s="68" t="s">
        <v>39</v>
      </c>
      <c r="D83" s="68" t="s">
        <v>76</v>
      </c>
      <c r="E83" s="68" t="s">
        <v>41</v>
      </c>
      <c r="F83" s="68" t="s">
        <v>44</v>
      </c>
      <c r="G83" s="68" t="s">
        <v>45</v>
      </c>
      <c r="H83" s="68" t="s">
        <v>51</v>
      </c>
      <c r="I83" s="68" t="s">
        <v>46</v>
      </c>
    </row>
    <row r="84" customFormat="false" ht="15" hidden="false" customHeight="false" outlineLevel="0" collapsed="false">
      <c r="B84" s="46" t="n">
        <v>1</v>
      </c>
      <c r="C84" s="47" t="str">
        <f aca="false">IFERROR(INDEX(DATABASE!$B$4:$B$2003,MATCH($AA$1&amp;"#"&amp;$B84,DATABASE!$S$4:$S$2003,0))&amp;"","")</f>
        <v/>
      </c>
      <c r="D84" s="48" t="str">
        <f aca="false">IFERROR(INDEX(DATABASE!$C$4:$C$2003,MATCH($AA$1&amp;"#"&amp;$B84,DATABASE!$S$4:$S$2003,0))&amp;"","")</f>
        <v/>
      </c>
      <c r="E84" s="46" t="str">
        <f aca="false">IFERROR(INDEX(DATABASE!$D$4:$D$2003,MATCH($AA$1&amp;"#"&amp;$B84,DATABASE!$S$4:$S$2003,0))&amp;"","")</f>
        <v/>
      </c>
      <c r="F84" s="47" t="str">
        <f aca="false">IFERROR(INDEX(DATABASE!$H$4:$H$2003,MATCH($AA$1&amp;"#"&amp;$B84,DATABASE!$S$4:$S$2003,0))&amp;"","")</f>
        <v/>
      </c>
      <c r="G84" s="48" t="str">
        <f aca="false">IFERROR(INDEX(DATABASE!$I$4:$I$2003,MATCH($AA$1&amp;"#"&amp;$B84,DATABASE!$S$4:$S$2003,0))&amp;"","")</f>
        <v/>
      </c>
      <c r="H84" s="46" t="str">
        <f aca="false">IFERROR(INDEX(DATABASE!$O$4:$O$2003,MATCH($AA$1&amp;"#"&amp;$B84,DATABASE!$S$4:$S$2003,0))&amp;"","")</f>
        <v/>
      </c>
      <c r="I84" s="47" t="str">
        <f aca="false">IFERROR(INDEX(DATABASE!$J$4:$J$2003,MATCH($AA$1&amp;"#"&amp;$B84,DATABASE!$S$4:$S$2003,0))&amp;"","")</f>
        <v/>
      </c>
    </row>
    <row r="85" customFormat="false" ht="15" hidden="false" customHeight="false" outlineLevel="0" collapsed="false">
      <c r="B85" s="49" t="n">
        <v>2</v>
      </c>
      <c r="C85" s="50" t="str">
        <f aca="false">IFERROR(INDEX(DATABASE!$B$4:$B$2003,MATCH($AA$1&amp;"#"&amp;$B85,DATABASE!$S$4:$S$2003,0))&amp;"","")</f>
        <v/>
      </c>
      <c r="D85" s="51" t="str">
        <f aca="false">IFERROR(INDEX(DATABASE!$C$4:$C$2003,MATCH($AA$1&amp;"#"&amp;$B85,DATABASE!$S$4:$S$2003,0))&amp;"","")</f>
        <v/>
      </c>
      <c r="E85" s="49" t="str">
        <f aca="false">IFERROR(INDEX(DATABASE!$D$4:$D$2003,MATCH($AA$1&amp;"#"&amp;$B85,DATABASE!$S$4:$S$2003,0))&amp;"","")</f>
        <v/>
      </c>
      <c r="F85" s="50" t="str">
        <f aca="false">IFERROR(INDEX(DATABASE!$H$4:$H$2003,MATCH($AA$1&amp;"#"&amp;$B85,DATABASE!$S$4:$S$2003,0))&amp;"","")</f>
        <v/>
      </c>
      <c r="G85" s="51" t="str">
        <f aca="false">IFERROR(INDEX(DATABASE!$I$4:$I$2003,MATCH($AA$1&amp;"#"&amp;$B85,DATABASE!$S$4:$S$2003,0))&amp;"","")</f>
        <v/>
      </c>
      <c r="H85" s="49" t="str">
        <f aca="false">IFERROR(INDEX(DATABASE!$O$4:$O$2003,MATCH($AA$1&amp;"#"&amp;$B85,DATABASE!$S$4:$S$2003,0))&amp;"","")</f>
        <v/>
      </c>
      <c r="I85" s="50" t="str">
        <f aca="false">IFERROR(INDEX(DATABASE!$J$4:$J$2003,MATCH($AA$1&amp;"#"&amp;$B85,DATABASE!$S$4:$S$2003,0))&amp;"","")</f>
        <v/>
      </c>
    </row>
    <row r="86" customFormat="false" ht="15" hidden="false" customHeight="false" outlineLevel="0" collapsed="false">
      <c r="B86" s="46" t="n">
        <v>3</v>
      </c>
      <c r="C86" s="47" t="str">
        <f aca="false">IFERROR(INDEX(DATABASE!$B$4:$B$2003,MATCH($AA$1&amp;"#"&amp;$B86,DATABASE!$S$4:$S$2003,0))&amp;"","")</f>
        <v/>
      </c>
      <c r="D86" s="48" t="str">
        <f aca="false">IFERROR(INDEX(DATABASE!$C$4:$C$2003,MATCH($AA$1&amp;"#"&amp;$B86,DATABASE!$S$4:$S$2003,0))&amp;"","")</f>
        <v/>
      </c>
      <c r="E86" s="46" t="str">
        <f aca="false">IFERROR(INDEX(DATABASE!$D$4:$D$2003,MATCH($AA$1&amp;"#"&amp;$B86,DATABASE!$S$4:$S$2003,0))&amp;"","")</f>
        <v/>
      </c>
      <c r="F86" s="47" t="str">
        <f aca="false">IFERROR(INDEX(DATABASE!$H$4:$H$2003,MATCH($AA$1&amp;"#"&amp;$B86,DATABASE!$S$4:$S$2003,0))&amp;"","")</f>
        <v/>
      </c>
      <c r="G86" s="48" t="str">
        <f aca="false">IFERROR(INDEX(DATABASE!$I$4:$I$2003,MATCH($AA$1&amp;"#"&amp;$B86,DATABASE!$S$4:$S$2003,0))&amp;"","")</f>
        <v/>
      </c>
      <c r="H86" s="46" t="str">
        <f aca="false">IFERROR(INDEX(DATABASE!$O$4:$O$2003,MATCH($AA$1&amp;"#"&amp;$B86,DATABASE!$S$4:$S$2003,0))&amp;"","")</f>
        <v/>
      </c>
      <c r="I86" s="47" t="str">
        <f aca="false">IFERROR(INDEX(DATABASE!$J$4:$J$2003,MATCH($AA$1&amp;"#"&amp;$B86,DATABASE!$S$4:$S$2003,0))&amp;"","")</f>
        <v/>
      </c>
    </row>
    <row r="87" customFormat="false" ht="15" hidden="false" customHeight="false" outlineLevel="0" collapsed="false">
      <c r="B87" s="49" t="n">
        <v>4</v>
      </c>
      <c r="C87" s="50" t="str">
        <f aca="false">IFERROR(INDEX(DATABASE!$B$4:$B$2003,MATCH($AA$1&amp;"#"&amp;$B87,DATABASE!$S$4:$S$2003,0))&amp;"","")</f>
        <v/>
      </c>
      <c r="D87" s="51" t="str">
        <f aca="false">IFERROR(INDEX(DATABASE!$C$4:$C$2003,MATCH($AA$1&amp;"#"&amp;$B87,DATABASE!$S$4:$S$2003,0))&amp;"","")</f>
        <v/>
      </c>
      <c r="E87" s="49" t="str">
        <f aca="false">IFERROR(INDEX(DATABASE!$D$4:$D$2003,MATCH($AA$1&amp;"#"&amp;$B87,DATABASE!$S$4:$S$2003,0))&amp;"","")</f>
        <v/>
      </c>
      <c r="F87" s="50" t="str">
        <f aca="false">IFERROR(INDEX(DATABASE!$H$4:$H$2003,MATCH($AA$1&amp;"#"&amp;$B87,DATABASE!$S$4:$S$2003,0))&amp;"","")</f>
        <v/>
      </c>
      <c r="G87" s="51" t="str">
        <f aca="false">IFERROR(INDEX(DATABASE!$I$4:$I$2003,MATCH($AA$1&amp;"#"&amp;$B87,DATABASE!$S$4:$S$2003,0))&amp;"","")</f>
        <v/>
      </c>
      <c r="H87" s="49" t="str">
        <f aca="false">IFERROR(INDEX(DATABASE!$O$4:$O$2003,MATCH($AA$1&amp;"#"&amp;$B87,DATABASE!$S$4:$S$2003,0))&amp;"","")</f>
        <v/>
      </c>
      <c r="I87" s="50" t="str">
        <f aca="false">IFERROR(INDEX(DATABASE!$J$4:$J$2003,MATCH($AA$1&amp;"#"&amp;$B87,DATABASE!$S$4:$S$2003,0))&amp;"","")</f>
        <v/>
      </c>
    </row>
    <row r="88" customFormat="false" ht="15" hidden="false" customHeight="false" outlineLevel="0" collapsed="false">
      <c r="B88" s="46" t="n">
        <v>5</v>
      </c>
      <c r="C88" s="47" t="str">
        <f aca="false">IFERROR(INDEX(DATABASE!$B$4:$B$2003,MATCH($AA$1&amp;"#"&amp;$B88,DATABASE!$S$4:$S$2003,0))&amp;"","")</f>
        <v/>
      </c>
      <c r="D88" s="48" t="str">
        <f aca="false">IFERROR(INDEX(DATABASE!$C$4:$C$2003,MATCH($AA$1&amp;"#"&amp;$B88,DATABASE!$S$4:$S$2003,0))&amp;"","")</f>
        <v/>
      </c>
      <c r="E88" s="46" t="str">
        <f aca="false">IFERROR(INDEX(DATABASE!$D$4:$D$2003,MATCH($AA$1&amp;"#"&amp;$B88,DATABASE!$S$4:$S$2003,0))&amp;"","")</f>
        <v/>
      </c>
      <c r="F88" s="47" t="str">
        <f aca="false">IFERROR(INDEX(DATABASE!$H$4:$H$2003,MATCH($AA$1&amp;"#"&amp;$B88,DATABASE!$S$4:$S$2003,0))&amp;"","")</f>
        <v/>
      </c>
      <c r="G88" s="48" t="str">
        <f aca="false">IFERROR(INDEX(DATABASE!$I$4:$I$2003,MATCH($AA$1&amp;"#"&amp;$B88,DATABASE!$S$4:$S$2003,0))&amp;"","")</f>
        <v/>
      </c>
      <c r="H88" s="46" t="str">
        <f aca="false">IFERROR(INDEX(DATABASE!$O$4:$O$2003,MATCH($AA$1&amp;"#"&amp;$B88,DATABASE!$S$4:$S$2003,0))&amp;"","")</f>
        <v/>
      </c>
      <c r="I88" s="47" t="str">
        <f aca="false">IFERROR(INDEX(DATABASE!$J$4:$J$2003,MATCH($AA$1&amp;"#"&amp;$B88,DATABASE!$S$4:$S$2003,0))&amp;"","")</f>
        <v/>
      </c>
    </row>
    <row r="89" customFormat="false" ht="15" hidden="false" customHeight="false" outlineLevel="0" collapsed="false">
      <c r="B89" s="49" t="n">
        <v>6</v>
      </c>
      <c r="C89" s="50" t="str">
        <f aca="false">IFERROR(INDEX(DATABASE!$B$4:$B$2003,MATCH($AA$1&amp;"#"&amp;$B89,DATABASE!$S$4:$S$2003,0))&amp;"","")</f>
        <v/>
      </c>
      <c r="D89" s="51" t="str">
        <f aca="false">IFERROR(INDEX(DATABASE!$C$4:$C$2003,MATCH($AA$1&amp;"#"&amp;$B89,DATABASE!$S$4:$S$2003,0))&amp;"","")</f>
        <v/>
      </c>
      <c r="E89" s="49" t="str">
        <f aca="false">IFERROR(INDEX(DATABASE!$D$4:$D$2003,MATCH($AA$1&amp;"#"&amp;$B89,DATABASE!$S$4:$S$2003,0))&amp;"","")</f>
        <v/>
      </c>
      <c r="F89" s="50" t="str">
        <f aca="false">IFERROR(INDEX(DATABASE!$H$4:$H$2003,MATCH($AA$1&amp;"#"&amp;$B89,DATABASE!$S$4:$S$2003,0))&amp;"","")</f>
        <v/>
      </c>
      <c r="G89" s="51" t="str">
        <f aca="false">IFERROR(INDEX(DATABASE!$I$4:$I$2003,MATCH($AA$1&amp;"#"&amp;$B89,DATABASE!$S$4:$S$2003,0))&amp;"","")</f>
        <v/>
      </c>
      <c r="H89" s="49" t="str">
        <f aca="false">IFERROR(INDEX(DATABASE!$O$4:$O$2003,MATCH($AA$1&amp;"#"&amp;$B89,DATABASE!$S$4:$S$2003,0))&amp;"","")</f>
        <v/>
      </c>
      <c r="I89" s="50" t="str">
        <f aca="false">IFERROR(INDEX(DATABASE!$J$4:$J$2003,MATCH($AA$1&amp;"#"&amp;$B89,DATABASE!$S$4:$S$2003,0))&amp;"","")</f>
        <v/>
      </c>
    </row>
    <row r="90" customFormat="false" ht="15" hidden="false" customHeight="false" outlineLevel="0" collapsed="false">
      <c r="B90" s="46" t="n">
        <v>7</v>
      </c>
      <c r="C90" s="47" t="str">
        <f aca="false">IFERROR(INDEX(DATABASE!$B$4:$B$2003,MATCH($AA$1&amp;"#"&amp;$B90,DATABASE!$S$4:$S$2003,0))&amp;"","")</f>
        <v/>
      </c>
      <c r="D90" s="48" t="str">
        <f aca="false">IFERROR(INDEX(DATABASE!$C$4:$C$2003,MATCH($AA$1&amp;"#"&amp;$B90,DATABASE!$S$4:$S$2003,0))&amp;"","")</f>
        <v/>
      </c>
      <c r="E90" s="46" t="str">
        <f aca="false">IFERROR(INDEX(DATABASE!$D$4:$D$2003,MATCH($AA$1&amp;"#"&amp;$B90,DATABASE!$S$4:$S$2003,0))&amp;"","")</f>
        <v/>
      </c>
      <c r="F90" s="47" t="str">
        <f aca="false">IFERROR(INDEX(DATABASE!$H$4:$H$2003,MATCH($AA$1&amp;"#"&amp;$B90,DATABASE!$S$4:$S$2003,0))&amp;"","")</f>
        <v/>
      </c>
      <c r="G90" s="48" t="str">
        <f aca="false">IFERROR(INDEX(DATABASE!$I$4:$I$2003,MATCH($AA$1&amp;"#"&amp;$B90,DATABASE!$S$4:$S$2003,0))&amp;"","")</f>
        <v/>
      </c>
      <c r="H90" s="46" t="str">
        <f aca="false">IFERROR(INDEX(DATABASE!$O$4:$O$2003,MATCH($AA$1&amp;"#"&amp;$B90,DATABASE!$S$4:$S$2003,0))&amp;"","")</f>
        <v/>
      </c>
      <c r="I90" s="47" t="str">
        <f aca="false">IFERROR(INDEX(DATABASE!$J$4:$J$2003,MATCH($AA$1&amp;"#"&amp;$B90,DATABASE!$S$4:$S$2003,0))&amp;"","")</f>
        <v/>
      </c>
    </row>
    <row r="91" customFormat="false" ht="15" hidden="false" customHeight="false" outlineLevel="0" collapsed="false">
      <c r="B91" s="49" t="n">
        <v>8</v>
      </c>
      <c r="C91" s="50" t="str">
        <f aca="false">IFERROR(INDEX(DATABASE!$B$4:$B$2003,MATCH($AA$1&amp;"#"&amp;$B91,DATABASE!$S$4:$S$2003,0))&amp;"","")</f>
        <v/>
      </c>
      <c r="D91" s="51" t="str">
        <f aca="false">IFERROR(INDEX(DATABASE!$C$4:$C$2003,MATCH($AA$1&amp;"#"&amp;$B91,DATABASE!$S$4:$S$2003,0))&amp;"","")</f>
        <v/>
      </c>
      <c r="E91" s="49" t="str">
        <f aca="false">IFERROR(INDEX(DATABASE!$D$4:$D$2003,MATCH($AA$1&amp;"#"&amp;$B91,DATABASE!$S$4:$S$2003,0))&amp;"","")</f>
        <v/>
      </c>
      <c r="F91" s="50" t="str">
        <f aca="false">IFERROR(INDEX(DATABASE!$H$4:$H$2003,MATCH($AA$1&amp;"#"&amp;$B91,DATABASE!$S$4:$S$2003,0))&amp;"","")</f>
        <v/>
      </c>
      <c r="G91" s="51" t="str">
        <f aca="false">IFERROR(INDEX(DATABASE!$I$4:$I$2003,MATCH($AA$1&amp;"#"&amp;$B91,DATABASE!$S$4:$S$2003,0))&amp;"","")</f>
        <v/>
      </c>
      <c r="H91" s="49" t="str">
        <f aca="false">IFERROR(INDEX(DATABASE!$O$4:$O$2003,MATCH($AA$1&amp;"#"&amp;$B91,DATABASE!$S$4:$S$2003,0))&amp;"","")</f>
        <v/>
      </c>
      <c r="I91" s="50" t="str">
        <f aca="false">IFERROR(INDEX(DATABASE!$J$4:$J$2003,MATCH($AA$1&amp;"#"&amp;$B91,DATABASE!$S$4:$S$2003,0))&amp;"","")</f>
        <v/>
      </c>
    </row>
    <row r="92" customFormat="false" ht="15" hidden="false" customHeight="false" outlineLevel="0" collapsed="false">
      <c r="B92" s="46" t="n">
        <v>9</v>
      </c>
      <c r="C92" s="47" t="str">
        <f aca="false">IFERROR(INDEX(DATABASE!$B$4:$B$2003,MATCH($AA$1&amp;"#"&amp;$B92,DATABASE!$S$4:$S$2003,0))&amp;"","")</f>
        <v/>
      </c>
      <c r="D92" s="48" t="str">
        <f aca="false">IFERROR(INDEX(DATABASE!$C$4:$C$2003,MATCH($AA$1&amp;"#"&amp;$B92,DATABASE!$S$4:$S$2003,0))&amp;"","")</f>
        <v/>
      </c>
      <c r="E92" s="46" t="str">
        <f aca="false">IFERROR(INDEX(DATABASE!$D$4:$D$2003,MATCH($AA$1&amp;"#"&amp;$B92,DATABASE!$S$4:$S$2003,0))&amp;"","")</f>
        <v/>
      </c>
      <c r="F92" s="47" t="str">
        <f aca="false">IFERROR(INDEX(DATABASE!$H$4:$H$2003,MATCH($AA$1&amp;"#"&amp;$B92,DATABASE!$S$4:$S$2003,0))&amp;"","")</f>
        <v/>
      </c>
      <c r="G92" s="48" t="str">
        <f aca="false">IFERROR(INDEX(DATABASE!$I$4:$I$2003,MATCH($AA$1&amp;"#"&amp;$B92,DATABASE!$S$4:$S$2003,0))&amp;"","")</f>
        <v/>
      </c>
      <c r="H92" s="46" t="str">
        <f aca="false">IFERROR(INDEX(DATABASE!$O$4:$O$2003,MATCH($AA$1&amp;"#"&amp;$B92,DATABASE!$S$4:$S$2003,0))&amp;"","")</f>
        <v/>
      </c>
      <c r="I92" s="47" t="str">
        <f aca="false">IFERROR(INDEX(DATABASE!$J$4:$J$2003,MATCH($AA$1&amp;"#"&amp;$B92,DATABASE!$S$4:$S$2003,0))&amp;"","")</f>
        <v/>
      </c>
    </row>
    <row r="93" customFormat="false" ht="15" hidden="false" customHeight="false" outlineLevel="0" collapsed="false">
      <c r="B93" s="49" t="n">
        <v>10</v>
      </c>
      <c r="C93" s="50" t="str">
        <f aca="false">IFERROR(INDEX(DATABASE!$B$4:$B$2003,MATCH($AA$1&amp;"#"&amp;$B93,DATABASE!$S$4:$S$2003,0))&amp;"","")</f>
        <v/>
      </c>
      <c r="D93" s="51" t="str">
        <f aca="false">IFERROR(INDEX(DATABASE!$C$4:$C$2003,MATCH($AA$1&amp;"#"&amp;$B93,DATABASE!$S$4:$S$2003,0))&amp;"","")</f>
        <v/>
      </c>
      <c r="E93" s="49" t="str">
        <f aca="false">IFERROR(INDEX(DATABASE!$D$4:$D$2003,MATCH($AA$1&amp;"#"&amp;$B93,DATABASE!$S$4:$S$2003,0))&amp;"","")</f>
        <v/>
      </c>
      <c r="F93" s="50" t="str">
        <f aca="false">IFERROR(INDEX(DATABASE!$H$4:$H$2003,MATCH($AA$1&amp;"#"&amp;$B93,DATABASE!$S$4:$S$2003,0))&amp;"","")</f>
        <v/>
      </c>
      <c r="G93" s="51" t="str">
        <f aca="false">IFERROR(INDEX(DATABASE!$I$4:$I$2003,MATCH($AA$1&amp;"#"&amp;$B93,DATABASE!$S$4:$S$2003,0))&amp;"","")</f>
        <v/>
      </c>
      <c r="H93" s="49" t="str">
        <f aca="false">IFERROR(INDEX(DATABASE!$O$4:$O$2003,MATCH($AA$1&amp;"#"&amp;$B93,DATABASE!$S$4:$S$2003,0))&amp;"","")</f>
        <v/>
      </c>
      <c r="I93" s="50" t="str">
        <f aca="false">IFERROR(INDEX(DATABASE!$J$4:$J$2003,MATCH($AA$1&amp;"#"&amp;$B93,DATABASE!$S$4:$S$2003,0))&amp;"","")</f>
        <v/>
      </c>
    </row>
    <row r="94" customFormat="false" ht="15" hidden="false" customHeight="false" outlineLevel="0" collapsed="false">
      <c r="B94" s="46" t="n">
        <v>11</v>
      </c>
      <c r="C94" s="47" t="str">
        <f aca="false">IFERROR(INDEX(DATABASE!$B$4:$B$2003,MATCH($AA$1&amp;"#"&amp;$B94,DATABASE!$S$4:$S$2003,0))&amp;"","")</f>
        <v/>
      </c>
      <c r="D94" s="48" t="str">
        <f aca="false">IFERROR(INDEX(DATABASE!$C$4:$C$2003,MATCH($AA$1&amp;"#"&amp;$B94,DATABASE!$S$4:$S$2003,0))&amp;"","")</f>
        <v/>
      </c>
      <c r="E94" s="46" t="str">
        <f aca="false">IFERROR(INDEX(DATABASE!$D$4:$D$2003,MATCH($AA$1&amp;"#"&amp;$B94,DATABASE!$S$4:$S$2003,0))&amp;"","")</f>
        <v/>
      </c>
      <c r="F94" s="47" t="str">
        <f aca="false">IFERROR(INDEX(DATABASE!$H$4:$H$2003,MATCH($AA$1&amp;"#"&amp;$B94,DATABASE!$S$4:$S$2003,0))&amp;"","")</f>
        <v/>
      </c>
      <c r="G94" s="48" t="str">
        <f aca="false">IFERROR(INDEX(DATABASE!$I$4:$I$2003,MATCH($AA$1&amp;"#"&amp;$B94,DATABASE!$S$4:$S$2003,0))&amp;"","")</f>
        <v/>
      </c>
      <c r="H94" s="46" t="str">
        <f aca="false">IFERROR(INDEX(DATABASE!$O$4:$O$2003,MATCH($AA$1&amp;"#"&amp;$B94,DATABASE!$S$4:$S$2003,0))&amp;"","")</f>
        <v/>
      </c>
      <c r="I94" s="47" t="str">
        <f aca="false">IFERROR(INDEX(DATABASE!$J$4:$J$2003,MATCH($AA$1&amp;"#"&amp;$B94,DATABASE!$S$4:$S$2003,0))&amp;"","")</f>
        <v/>
      </c>
    </row>
    <row r="95" customFormat="false" ht="15" hidden="false" customHeight="false" outlineLevel="0" collapsed="false">
      <c r="B95" s="49" t="n">
        <v>12</v>
      </c>
      <c r="C95" s="50" t="str">
        <f aca="false">IFERROR(INDEX(DATABASE!$B$4:$B$2003,MATCH($AA$1&amp;"#"&amp;$B95,DATABASE!$S$4:$S$2003,0))&amp;"","")</f>
        <v/>
      </c>
      <c r="D95" s="51" t="str">
        <f aca="false">IFERROR(INDEX(DATABASE!$C$4:$C$2003,MATCH($AA$1&amp;"#"&amp;$B95,DATABASE!$S$4:$S$2003,0))&amp;"","")</f>
        <v/>
      </c>
      <c r="E95" s="49" t="str">
        <f aca="false">IFERROR(INDEX(DATABASE!$D$4:$D$2003,MATCH($AA$1&amp;"#"&amp;$B95,DATABASE!$S$4:$S$2003,0))&amp;"","")</f>
        <v/>
      </c>
      <c r="F95" s="50" t="str">
        <f aca="false">IFERROR(INDEX(DATABASE!$H$4:$H$2003,MATCH($AA$1&amp;"#"&amp;$B95,DATABASE!$S$4:$S$2003,0))&amp;"","")</f>
        <v/>
      </c>
      <c r="G95" s="51" t="str">
        <f aca="false">IFERROR(INDEX(DATABASE!$I$4:$I$2003,MATCH($AA$1&amp;"#"&amp;$B95,DATABASE!$S$4:$S$2003,0))&amp;"","")</f>
        <v/>
      </c>
      <c r="H95" s="49" t="str">
        <f aca="false">IFERROR(INDEX(DATABASE!$O$4:$O$2003,MATCH($AA$1&amp;"#"&amp;$B95,DATABASE!$S$4:$S$2003,0))&amp;"","")</f>
        <v/>
      </c>
      <c r="I95" s="50" t="str">
        <f aca="false">IFERROR(INDEX(DATABASE!$J$4:$J$2003,MATCH($AA$1&amp;"#"&amp;$B95,DATABASE!$S$4:$S$2003,0))&amp;"","")</f>
        <v/>
      </c>
    </row>
    <row r="96" customFormat="false" ht="15" hidden="false" customHeight="false" outlineLevel="0" collapsed="false">
      <c r="B96" s="46" t="n">
        <v>13</v>
      </c>
      <c r="C96" s="47" t="str">
        <f aca="false">IFERROR(INDEX(DATABASE!$B$4:$B$2003,MATCH($AA$1&amp;"#"&amp;$B96,DATABASE!$S$4:$S$2003,0))&amp;"","")</f>
        <v/>
      </c>
      <c r="D96" s="48" t="str">
        <f aca="false">IFERROR(INDEX(DATABASE!$C$4:$C$2003,MATCH($AA$1&amp;"#"&amp;$B96,DATABASE!$S$4:$S$2003,0))&amp;"","")</f>
        <v/>
      </c>
      <c r="E96" s="46" t="str">
        <f aca="false">IFERROR(INDEX(DATABASE!$D$4:$D$2003,MATCH($AA$1&amp;"#"&amp;$B96,DATABASE!$S$4:$S$2003,0))&amp;"","")</f>
        <v/>
      </c>
      <c r="F96" s="47" t="str">
        <f aca="false">IFERROR(INDEX(DATABASE!$H$4:$H$2003,MATCH($AA$1&amp;"#"&amp;$B96,DATABASE!$S$4:$S$2003,0))&amp;"","")</f>
        <v/>
      </c>
      <c r="G96" s="48" t="str">
        <f aca="false">IFERROR(INDEX(DATABASE!$I$4:$I$2003,MATCH($AA$1&amp;"#"&amp;$B96,DATABASE!$S$4:$S$2003,0))&amp;"","")</f>
        <v/>
      </c>
      <c r="H96" s="46" t="str">
        <f aca="false">IFERROR(INDEX(DATABASE!$O$4:$O$2003,MATCH($AA$1&amp;"#"&amp;$B96,DATABASE!$S$4:$S$2003,0))&amp;"","")</f>
        <v/>
      </c>
      <c r="I96" s="47" t="str">
        <f aca="false">IFERROR(INDEX(DATABASE!$J$4:$J$2003,MATCH($AA$1&amp;"#"&amp;$B96,DATABASE!$S$4:$S$2003,0))&amp;"","")</f>
        <v/>
      </c>
    </row>
    <row r="97" customFormat="false" ht="15" hidden="false" customHeight="false" outlineLevel="0" collapsed="false">
      <c r="B97" s="49" t="n">
        <v>14</v>
      </c>
      <c r="C97" s="50" t="str">
        <f aca="false">IFERROR(INDEX(DATABASE!$B$4:$B$2003,MATCH($AA$1&amp;"#"&amp;$B97,DATABASE!$S$4:$S$2003,0))&amp;"","")</f>
        <v/>
      </c>
      <c r="D97" s="51" t="str">
        <f aca="false">IFERROR(INDEX(DATABASE!$C$4:$C$2003,MATCH($AA$1&amp;"#"&amp;$B97,DATABASE!$S$4:$S$2003,0))&amp;"","")</f>
        <v/>
      </c>
      <c r="E97" s="49" t="str">
        <f aca="false">IFERROR(INDEX(DATABASE!$D$4:$D$2003,MATCH($AA$1&amp;"#"&amp;$B97,DATABASE!$S$4:$S$2003,0))&amp;"","")</f>
        <v/>
      </c>
      <c r="F97" s="50" t="str">
        <f aca="false">IFERROR(INDEX(DATABASE!$H$4:$H$2003,MATCH($AA$1&amp;"#"&amp;$B97,DATABASE!$S$4:$S$2003,0))&amp;"","")</f>
        <v/>
      </c>
      <c r="G97" s="51" t="str">
        <f aca="false">IFERROR(INDEX(DATABASE!$I$4:$I$2003,MATCH($AA$1&amp;"#"&amp;$B97,DATABASE!$S$4:$S$2003,0))&amp;"","")</f>
        <v/>
      </c>
      <c r="H97" s="49" t="str">
        <f aca="false">IFERROR(INDEX(DATABASE!$O$4:$O$2003,MATCH($AA$1&amp;"#"&amp;$B97,DATABASE!$S$4:$S$2003,0))&amp;"","")</f>
        <v/>
      </c>
      <c r="I97" s="50" t="str">
        <f aca="false">IFERROR(INDEX(DATABASE!$J$4:$J$2003,MATCH($AA$1&amp;"#"&amp;$B97,DATABASE!$S$4:$S$2003,0))&amp;"","")</f>
        <v/>
      </c>
    </row>
    <row r="98" customFormat="false" ht="15" hidden="false" customHeight="false" outlineLevel="0" collapsed="false">
      <c r="B98" s="46" t="n">
        <v>15</v>
      </c>
      <c r="C98" s="47" t="str">
        <f aca="false">IFERROR(INDEX(DATABASE!$B$4:$B$2003,MATCH($AA$1&amp;"#"&amp;$B98,DATABASE!$S$4:$S$2003,0))&amp;"","")</f>
        <v/>
      </c>
      <c r="D98" s="48" t="str">
        <f aca="false">IFERROR(INDEX(DATABASE!$C$4:$C$2003,MATCH($AA$1&amp;"#"&amp;$B98,DATABASE!$S$4:$S$2003,0))&amp;"","")</f>
        <v/>
      </c>
      <c r="E98" s="46" t="str">
        <f aca="false">IFERROR(INDEX(DATABASE!$D$4:$D$2003,MATCH($AA$1&amp;"#"&amp;$B98,DATABASE!$S$4:$S$2003,0))&amp;"","")</f>
        <v/>
      </c>
      <c r="F98" s="47" t="str">
        <f aca="false">IFERROR(INDEX(DATABASE!$H$4:$H$2003,MATCH($AA$1&amp;"#"&amp;$B98,DATABASE!$S$4:$S$2003,0))&amp;"","")</f>
        <v/>
      </c>
      <c r="G98" s="48" t="str">
        <f aca="false">IFERROR(INDEX(DATABASE!$I$4:$I$2003,MATCH($AA$1&amp;"#"&amp;$B98,DATABASE!$S$4:$S$2003,0))&amp;"","")</f>
        <v/>
      </c>
      <c r="H98" s="46" t="str">
        <f aca="false">IFERROR(INDEX(DATABASE!$O$4:$O$2003,MATCH($AA$1&amp;"#"&amp;$B98,DATABASE!$S$4:$S$2003,0))&amp;"","")</f>
        <v/>
      </c>
      <c r="I98" s="47" t="str">
        <f aca="false">IFERROR(INDEX(DATABASE!$J$4:$J$2003,MATCH($AA$1&amp;"#"&amp;$B98,DATABASE!$S$4:$S$2003,0))&amp;"","")</f>
        <v/>
      </c>
    </row>
    <row r="99" customFormat="false" ht="15" hidden="false" customHeight="false" outlineLevel="0" collapsed="false">
      <c r="B99" s="49" t="n">
        <v>16</v>
      </c>
      <c r="C99" s="50" t="str">
        <f aca="false">IFERROR(INDEX(DATABASE!$B$4:$B$2003,MATCH($AA$1&amp;"#"&amp;$B99,DATABASE!$S$4:$S$2003,0))&amp;"","")</f>
        <v/>
      </c>
      <c r="D99" s="51" t="str">
        <f aca="false">IFERROR(INDEX(DATABASE!$C$4:$C$2003,MATCH($AA$1&amp;"#"&amp;$B99,DATABASE!$S$4:$S$2003,0))&amp;"","")</f>
        <v/>
      </c>
      <c r="E99" s="49" t="str">
        <f aca="false">IFERROR(INDEX(DATABASE!$D$4:$D$2003,MATCH($AA$1&amp;"#"&amp;$B99,DATABASE!$S$4:$S$2003,0))&amp;"","")</f>
        <v/>
      </c>
      <c r="F99" s="50" t="str">
        <f aca="false">IFERROR(INDEX(DATABASE!$H$4:$H$2003,MATCH($AA$1&amp;"#"&amp;$B99,DATABASE!$S$4:$S$2003,0))&amp;"","")</f>
        <v/>
      </c>
      <c r="G99" s="51" t="str">
        <f aca="false">IFERROR(INDEX(DATABASE!$I$4:$I$2003,MATCH($AA$1&amp;"#"&amp;$B99,DATABASE!$S$4:$S$2003,0))&amp;"","")</f>
        <v/>
      </c>
      <c r="H99" s="49" t="str">
        <f aca="false">IFERROR(INDEX(DATABASE!$O$4:$O$2003,MATCH($AA$1&amp;"#"&amp;$B99,DATABASE!$S$4:$S$2003,0))&amp;"","")</f>
        <v/>
      </c>
      <c r="I99" s="50" t="str">
        <f aca="false">IFERROR(INDEX(DATABASE!$J$4:$J$2003,MATCH($AA$1&amp;"#"&amp;$B99,DATABASE!$S$4:$S$2003,0))&amp;"","")</f>
        <v/>
      </c>
    </row>
    <row r="100" customFormat="false" ht="15" hidden="false" customHeight="false" outlineLevel="0" collapsed="false">
      <c r="B100" s="46" t="n">
        <v>17</v>
      </c>
      <c r="C100" s="47" t="str">
        <f aca="false">IFERROR(INDEX(DATABASE!$B$4:$B$2003,MATCH($AA$1&amp;"#"&amp;$B100,DATABASE!$S$4:$S$2003,0))&amp;"","")</f>
        <v/>
      </c>
      <c r="D100" s="48" t="str">
        <f aca="false">IFERROR(INDEX(DATABASE!$C$4:$C$2003,MATCH($AA$1&amp;"#"&amp;$B100,DATABASE!$S$4:$S$2003,0))&amp;"","")</f>
        <v/>
      </c>
      <c r="E100" s="46" t="str">
        <f aca="false">IFERROR(INDEX(DATABASE!$D$4:$D$2003,MATCH($AA$1&amp;"#"&amp;$B100,DATABASE!$S$4:$S$2003,0))&amp;"","")</f>
        <v/>
      </c>
      <c r="F100" s="47" t="str">
        <f aca="false">IFERROR(INDEX(DATABASE!$H$4:$H$2003,MATCH($AA$1&amp;"#"&amp;$B100,DATABASE!$S$4:$S$2003,0))&amp;"","")</f>
        <v/>
      </c>
      <c r="G100" s="48" t="str">
        <f aca="false">IFERROR(INDEX(DATABASE!$I$4:$I$2003,MATCH($AA$1&amp;"#"&amp;$B100,DATABASE!$S$4:$S$2003,0))&amp;"","")</f>
        <v/>
      </c>
      <c r="H100" s="46" t="str">
        <f aca="false">IFERROR(INDEX(DATABASE!$O$4:$O$2003,MATCH($AA$1&amp;"#"&amp;$B100,DATABASE!$S$4:$S$2003,0))&amp;"","")</f>
        <v/>
      </c>
      <c r="I100" s="47" t="str">
        <f aca="false">IFERROR(INDEX(DATABASE!$J$4:$J$2003,MATCH($AA$1&amp;"#"&amp;$B100,DATABASE!$S$4:$S$2003,0))&amp;"","")</f>
        <v/>
      </c>
    </row>
    <row r="101" customFormat="false" ht="15" hidden="false" customHeight="false" outlineLevel="0" collapsed="false">
      <c r="B101" s="49" t="n">
        <v>18</v>
      </c>
      <c r="C101" s="50" t="str">
        <f aca="false">IFERROR(INDEX(DATABASE!$B$4:$B$2003,MATCH($AA$1&amp;"#"&amp;$B101,DATABASE!$S$4:$S$2003,0))&amp;"","")</f>
        <v/>
      </c>
      <c r="D101" s="51" t="str">
        <f aca="false">IFERROR(INDEX(DATABASE!$C$4:$C$2003,MATCH($AA$1&amp;"#"&amp;$B101,DATABASE!$S$4:$S$2003,0))&amp;"","")</f>
        <v/>
      </c>
      <c r="E101" s="49" t="str">
        <f aca="false">IFERROR(INDEX(DATABASE!$D$4:$D$2003,MATCH($AA$1&amp;"#"&amp;$B101,DATABASE!$S$4:$S$2003,0))&amp;"","")</f>
        <v/>
      </c>
      <c r="F101" s="50" t="str">
        <f aca="false">IFERROR(INDEX(DATABASE!$H$4:$H$2003,MATCH($AA$1&amp;"#"&amp;$B101,DATABASE!$S$4:$S$2003,0))&amp;"","")</f>
        <v/>
      </c>
      <c r="G101" s="51" t="str">
        <f aca="false">IFERROR(INDEX(DATABASE!$I$4:$I$2003,MATCH($AA$1&amp;"#"&amp;$B101,DATABASE!$S$4:$S$2003,0))&amp;"","")</f>
        <v/>
      </c>
      <c r="H101" s="49" t="str">
        <f aca="false">IFERROR(INDEX(DATABASE!$O$4:$O$2003,MATCH($AA$1&amp;"#"&amp;$B101,DATABASE!$S$4:$S$2003,0))&amp;"","")</f>
        <v/>
      </c>
      <c r="I101" s="50" t="str">
        <f aca="false">IFERROR(INDEX(DATABASE!$J$4:$J$2003,MATCH($AA$1&amp;"#"&amp;$B101,DATABASE!$S$4:$S$2003,0))&amp;"","")</f>
        <v/>
      </c>
    </row>
    <row r="102" customFormat="false" ht="15" hidden="false" customHeight="false" outlineLevel="0" collapsed="false">
      <c r="B102" s="46" t="n">
        <v>19</v>
      </c>
      <c r="C102" s="47" t="str">
        <f aca="false">IFERROR(INDEX(DATABASE!$B$4:$B$2003,MATCH($AA$1&amp;"#"&amp;$B102,DATABASE!$S$4:$S$2003,0))&amp;"","")</f>
        <v/>
      </c>
      <c r="D102" s="48" t="str">
        <f aca="false">IFERROR(INDEX(DATABASE!$C$4:$C$2003,MATCH($AA$1&amp;"#"&amp;$B102,DATABASE!$S$4:$S$2003,0))&amp;"","")</f>
        <v/>
      </c>
      <c r="E102" s="46" t="str">
        <f aca="false">IFERROR(INDEX(DATABASE!$D$4:$D$2003,MATCH($AA$1&amp;"#"&amp;$B102,DATABASE!$S$4:$S$2003,0))&amp;"","")</f>
        <v/>
      </c>
      <c r="F102" s="47" t="str">
        <f aca="false">IFERROR(INDEX(DATABASE!$H$4:$H$2003,MATCH($AA$1&amp;"#"&amp;$B102,DATABASE!$S$4:$S$2003,0))&amp;"","")</f>
        <v/>
      </c>
      <c r="G102" s="48" t="str">
        <f aca="false">IFERROR(INDEX(DATABASE!$I$4:$I$2003,MATCH($AA$1&amp;"#"&amp;$B102,DATABASE!$S$4:$S$2003,0))&amp;"","")</f>
        <v/>
      </c>
      <c r="H102" s="46" t="str">
        <f aca="false">IFERROR(INDEX(DATABASE!$O$4:$O$2003,MATCH($AA$1&amp;"#"&amp;$B102,DATABASE!$S$4:$S$2003,0))&amp;"","")</f>
        <v/>
      </c>
      <c r="I102" s="47" t="str">
        <f aca="false">IFERROR(INDEX(DATABASE!$J$4:$J$2003,MATCH($AA$1&amp;"#"&amp;$B102,DATABASE!$S$4:$S$2003,0))&amp;"","")</f>
        <v/>
      </c>
    </row>
    <row r="103" customFormat="false" ht="15" hidden="false" customHeight="false" outlineLevel="0" collapsed="false">
      <c r="B103" s="49" t="n">
        <v>20</v>
      </c>
      <c r="C103" s="50" t="str">
        <f aca="false">IFERROR(INDEX(DATABASE!$B$4:$B$2003,MATCH($AA$1&amp;"#"&amp;$B103,DATABASE!$S$4:$S$2003,0))&amp;"","")</f>
        <v/>
      </c>
      <c r="D103" s="51" t="str">
        <f aca="false">IFERROR(INDEX(DATABASE!$C$4:$C$2003,MATCH($AA$1&amp;"#"&amp;$B103,DATABASE!$S$4:$S$2003,0))&amp;"","")</f>
        <v/>
      </c>
      <c r="E103" s="49" t="str">
        <f aca="false">IFERROR(INDEX(DATABASE!$D$4:$D$2003,MATCH($AA$1&amp;"#"&amp;$B103,DATABASE!$S$4:$S$2003,0))&amp;"","")</f>
        <v/>
      </c>
      <c r="F103" s="50" t="str">
        <f aca="false">IFERROR(INDEX(DATABASE!$H$4:$H$2003,MATCH($AA$1&amp;"#"&amp;$B103,DATABASE!$S$4:$S$2003,0))&amp;"","")</f>
        <v/>
      </c>
      <c r="G103" s="51" t="str">
        <f aca="false">IFERROR(INDEX(DATABASE!$I$4:$I$2003,MATCH($AA$1&amp;"#"&amp;$B103,DATABASE!$S$4:$S$2003,0))&amp;"","")</f>
        <v/>
      </c>
      <c r="H103" s="49" t="str">
        <f aca="false">IFERROR(INDEX(DATABASE!$O$4:$O$2003,MATCH($AA$1&amp;"#"&amp;$B103,DATABASE!$S$4:$S$2003,0))&amp;"","")</f>
        <v/>
      </c>
      <c r="I103" s="50" t="str">
        <f aca="false">IFERROR(INDEX(DATABASE!$J$4:$J$2003,MATCH($AA$1&amp;"#"&amp;$B103,DATABASE!$S$4:$S$2003,0))&amp;"","")</f>
        <v/>
      </c>
    </row>
    <row r="104" customFormat="false" ht="15" hidden="false" customHeight="false" outlineLevel="0" collapsed="false">
      <c r="B104" s="46" t="n">
        <v>21</v>
      </c>
      <c r="C104" s="47" t="str">
        <f aca="false">IFERROR(INDEX(DATABASE!$B$4:$B$2003,MATCH($AA$1&amp;"#"&amp;$B104,DATABASE!$S$4:$S$2003,0))&amp;"","")</f>
        <v/>
      </c>
      <c r="D104" s="48" t="str">
        <f aca="false">IFERROR(INDEX(DATABASE!$C$4:$C$2003,MATCH($AA$1&amp;"#"&amp;$B104,DATABASE!$S$4:$S$2003,0))&amp;"","")</f>
        <v/>
      </c>
      <c r="E104" s="46" t="str">
        <f aca="false">IFERROR(INDEX(DATABASE!$D$4:$D$2003,MATCH($AA$1&amp;"#"&amp;$B104,DATABASE!$S$4:$S$2003,0))&amp;"","")</f>
        <v/>
      </c>
      <c r="F104" s="47" t="str">
        <f aca="false">IFERROR(INDEX(DATABASE!$H$4:$H$2003,MATCH($AA$1&amp;"#"&amp;$B104,DATABASE!$S$4:$S$2003,0))&amp;"","")</f>
        <v/>
      </c>
      <c r="G104" s="48" t="str">
        <f aca="false">IFERROR(INDEX(DATABASE!$I$4:$I$2003,MATCH($AA$1&amp;"#"&amp;$B104,DATABASE!$S$4:$S$2003,0))&amp;"","")</f>
        <v/>
      </c>
      <c r="H104" s="46" t="str">
        <f aca="false">IFERROR(INDEX(DATABASE!$O$4:$O$2003,MATCH($AA$1&amp;"#"&amp;$B104,DATABASE!$S$4:$S$2003,0))&amp;"","")</f>
        <v/>
      </c>
      <c r="I104" s="47" t="str">
        <f aca="false">IFERROR(INDEX(DATABASE!$J$4:$J$2003,MATCH($AA$1&amp;"#"&amp;$B104,DATABASE!$S$4:$S$2003,0))&amp;"","")</f>
        <v/>
      </c>
    </row>
    <row r="105" customFormat="false" ht="15" hidden="false" customHeight="false" outlineLevel="0" collapsed="false">
      <c r="B105" s="49" t="n">
        <v>22</v>
      </c>
      <c r="C105" s="50" t="str">
        <f aca="false">IFERROR(INDEX(DATABASE!$B$4:$B$2003,MATCH($AA$1&amp;"#"&amp;$B105,DATABASE!$S$4:$S$2003,0))&amp;"","")</f>
        <v/>
      </c>
      <c r="D105" s="51" t="str">
        <f aca="false">IFERROR(INDEX(DATABASE!$C$4:$C$2003,MATCH($AA$1&amp;"#"&amp;$B105,DATABASE!$S$4:$S$2003,0))&amp;"","")</f>
        <v/>
      </c>
      <c r="E105" s="49" t="str">
        <f aca="false">IFERROR(INDEX(DATABASE!$D$4:$D$2003,MATCH($AA$1&amp;"#"&amp;$B105,DATABASE!$S$4:$S$2003,0))&amp;"","")</f>
        <v/>
      </c>
      <c r="F105" s="50" t="str">
        <f aca="false">IFERROR(INDEX(DATABASE!$H$4:$H$2003,MATCH($AA$1&amp;"#"&amp;$B105,DATABASE!$S$4:$S$2003,0))&amp;"","")</f>
        <v/>
      </c>
      <c r="G105" s="51" t="str">
        <f aca="false">IFERROR(INDEX(DATABASE!$I$4:$I$2003,MATCH($AA$1&amp;"#"&amp;$B105,DATABASE!$S$4:$S$2003,0))&amp;"","")</f>
        <v/>
      </c>
      <c r="H105" s="49" t="str">
        <f aca="false">IFERROR(INDEX(DATABASE!$O$4:$O$2003,MATCH($AA$1&amp;"#"&amp;$B105,DATABASE!$S$4:$S$2003,0))&amp;"","")</f>
        <v/>
      </c>
      <c r="I105" s="50" t="str">
        <f aca="false">IFERROR(INDEX(DATABASE!$J$4:$J$2003,MATCH($AA$1&amp;"#"&amp;$B105,DATABASE!$S$4:$S$2003,0))&amp;"","")</f>
        <v/>
      </c>
    </row>
    <row r="106" customFormat="false" ht="15" hidden="false" customHeight="false" outlineLevel="0" collapsed="false">
      <c r="B106" s="46" t="n">
        <v>23</v>
      </c>
      <c r="C106" s="47" t="str">
        <f aca="false">IFERROR(INDEX(DATABASE!$B$4:$B$2003,MATCH($AA$1&amp;"#"&amp;$B106,DATABASE!$S$4:$S$2003,0))&amp;"","")</f>
        <v/>
      </c>
      <c r="D106" s="48" t="str">
        <f aca="false">IFERROR(INDEX(DATABASE!$C$4:$C$2003,MATCH($AA$1&amp;"#"&amp;$B106,DATABASE!$S$4:$S$2003,0))&amp;"","")</f>
        <v/>
      </c>
      <c r="E106" s="46" t="str">
        <f aca="false">IFERROR(INDEX(DATABASE!$D$4:$D$2003,MATCH($AA$1&amp;"#"&amp;$B106,DATABASE!$S$4:$S$2003,0))&amp;"","")</f>
        <v/>
      </c>
      <c r="F106" s="47" t="str">
        <f aca="false">IFERROR(INDEX(DATABASE!$H$4:$H$2003,MATCH($AA$1&amp;"#"&amp;$B106,DATABASE!$S$4:$S$2003,0))&amp;"","")</f>
        <v/>
      </c>
      <c r="G106" s="48" t="str">
        <f aca="false">IFERROR(INDEX(DATABASE!$I$4:$I$2003,MATCH($AA$1&amp;"#"&amp;$B106,DATABASE!$S$4:$S$2003,0))&amp;"","")</f>
        <v/>
      </c>
      <c r="H106" s="46" t="str">
        <f aca="false">IFERROR(INDEX(DATABASE!$O$4:$O$2003,MATCH($AA$1&amp;"#"&amp;$B106,DATABASE!$S$4:$S$2003,0))&amp;"","")</f>
        <v/>
      </c>
      <c r="I106" s="47" t="str">
        <f aca="false">IFERROR(INDEX(DATABASE!$J$4:$J$2003,MATCH($AA$1&amp;"#"&amp;$B106,DATABASE!$S$4:$S$2003,0))&amp;"","")</f>
        <v/>
      </c>
    </row>
    <row r="107" customFormat="false" ht="15" hidden="false" customHeight="false" outlineLevel="0" collapsed="false">
      <c r="B107" s="49" t="n">
        <v>24</v>
      </c>
      <c r="C107" s="50" t="str">
        <f aca="false">IFERROR(INDEX(DATABASE!$B$4:$B$2003,MATCH($AA$1&amp;"#"&amp;$B107,DATABASE!$S$4:$S$2003,0))&amp;"","")</f>
        <v/>
      </c>
      <c r="D107" s="51" t="str">
        <f aca="false">IFERROR(INDEX(DATABASE!$C$4:$C$2003,MATCH($AA$1&amp;"#"&amp;$B107,DATABASE!$S$4:$S$2003,0))&amp;"","")</f>
        <v/>
      </c>
      <c r="E107" s="49" t="str">
        <f aca="false">IFERROR(INDEX(DATABASE!$D$4:$D$2003,MATCH($AA$1&amp;"#"&amp;$B107,DATABASE!$S$4:$S$2003,0))&amp;"","")</f>
        <v/>
      </c>
      <c r="F107" s="50" t="str">
        <f aca="false">IFERROR(INDEX(DATABASE!$H$4:$H$2003,MATCH($AA$1&amp;"#"&amp;$B107,DATABASE!$S$4:$S$2003,0))&amp;"","")</f>
        <v/>
      </c>
      <c r="G107" s="51" t="str">
        <f aca="false">IFERROR(INDEX(DATABASE!$I$4:$I$2003,MATCH($AA$1&amp;"#"&amp;$B107,DATABASE!$S$4:$S$2003,0))&amp;"","")</f>
        <v/>
      </c>
      <c r="H107" s="49" t="str">
        <f aca="false">IFERROR(INDEX(DATABASE!$O$4:$O$2003,MATCH($AA$1&amp;"#"&amp;$B107,DATABASE!$S$4:$S$2003,0))&amp;"","")</f>
        <v/>
      </c>
      <c r="I107" s="50" t="str">
        <f aca="false">IFERROR(INDEX(DATABASE!$J$4:$J$2003,MATCH($AA$1&amp;"#"&amp;$B107,DATABASE!$S$4:$S$2003,0))&amp;"","")</f>
        <v/>
      </c>
    </row>
    <row r="108" customFormat="false" ht="15" hidden="false" customHeight="false" outlineLevel="0" collapsed="false">
      <c r="B108" s="46" t="n">
        <v>25</v>
      </c>
      <c r="C108" s="47" t="str">
        <f aca="false">IFERROR(INDEX(DATABASE!$B$4:$B$2003,MATCH($AA$1&amp;"#"&amp;$B108,DATABASE!$S$4:$S$2003,0))&amp;"","")</f>
        <v/>
      </c>
      <c r="D108" s="48" t="str">
        <f aca="false">IFERROR(INDEX(DATABASE!$C$4:$C$2003,MATCH($AA$1&amp;"#"&amp;$B108,DATABASE!$S$4:$S$2003,0))&amp;"","")</f>
        <v/>
      </c>
      <c r="E108" s="46" t="str">
        <f aca="false">IFERROR(INDEX(DATABASE!$D$4:$D$2003,MATCH($AA$1&amp;"#"&amp;$B108,DATABASE!$S$4:$S$2003,0))&amp;"","")</f>
        <v/>
      </c>
      <c r="F108" s="47" t="str">
        <f aca="false">IFERROR(INDEX(DATABASE!$H$4:$H$2003,MATCH($AA$1&amp;"#"&amp;$B108,DATABASE!$S$4:$S$2003,0))&amp;"","")</f>
        <v/>
      </c>
      <c r="G108" s="48" t="str">
        <f aca="false">IFERROR(INDEX(DATABASE!$I$4:$I$2003,MATCH($AA$1&amp;"#"&amp;$B108,DATABASE!$S$4:$S$2003,0))&amp;"","")</f>
        <v/>
      </c>
      <c r="H108" s="46" t="str">
        <f aca="false">IFERROR(INDEX(DATABASE!$O$4:$O$2003,MATCH($AA$1&amp;"#"&amp;$B108,DATABASE!$S$4:$S$2003,0))&amp;"","")</f>
        <v/>
      </c>
      <c r="I108" s="47" t="str">
        <f aca="false">IFERROR(INDEX(DATABASE!$J$4:$J$2003,MATCH($AA$1&amp;"#"&amp;$B108,DATABASE!$S$4:$S$2003,0))&amp;"","")</f>
        <v/>
      </c>
    </row>
    <row r="109" customFormat="false" ht="15" hidden="false" customHeight="false" outlineLevel="0" collapsed="false">
      <c r="B109" s="49" t="n">
        <v>26</v>
      </c>
      <c r="C109" s="50" t="str">
        <f aca="false">IFERROR(INDEX(DATABASE!$B$4:$B$2003,MATCH($AA$1&amp;"#"&amp;$B109,DATABASE!$S$4:$S$2003,0))&amp;"","")</f>
        <v/>
      </c>
      <c r="D109" s="51" t="str">
        <f aca="false">IFERROR(INDEX(DATABASE!$C$4:$C$2003,MATCH($AA$1&amp;"#"&amp;$B109,DATABASE!$S$4:$S$2003,0))&amp;"","")</f>
        <v/>
      </c>
      <c r="E109" s="49" t="str">
        <f aca="false">IFERROR(INDEX(DATABASE!$D$4:$D$2003,MATCH($AA$1&amp;"#"&amp;$B109,DATABASE!$S$4:$S$2003,0))&amp;"","")</f>
        <v/>
      </c>
      <c r="F109" s="50" t="str">
        <f aca="false">IFERROR(INDEX(DATABASE!$H$4:$H$2003,MATCH($AA$1&amp;"#"&amp;$B109,DATABASE!$S$4:$S$2003,0))&amp;"","")</f>
        <v/>
      </c>
      <c r="G109" s="51" t="str">
        <f aca="false">IFERROR(INDEX(DATABASE!$I$4:$I$2003,MATCH($AA$1&amp;"#"&amp;$B109,DATABASE!$S$4:$S$2003,0))&amp;"","")</f>
        <v/>
      </c>
      <c r="H109" s="49" t="str">
        <f aca="false">IFERROR(INDEX(DATABASE!$O$4:$O$2003,MATCH($AA$1&amp;"#"&amp;$B109,DATABASE!$S$4:$S$2003,0))&amp;"","")</f>
        <v/>
      </c>
      <c r="I109" s="50" t="str">
        <f aca="false">IFERROR(INDEX(DATABASE!$J$4:$J$2003,MATCH($AA$1&amp;"#"&amp;$B109,DATABASE!$S$4:$S$2003,0))&amp;"","")</f>
        <v/>
      </c>
    </row>
    <row r="110" customFormat="false" ht="15" hidden="false" customHeight="false" outlineLevel="0" collapsed="false">
      <c r="B110" s="46" t="n">
        <v>27</v>
      </c>
      <c r="C110" s="47" t="str">
        <f aca="false">IFERROR(INDEX(DATABASE!$B$4:$B$2003,MATCH($AA$1&amp;"#"&amp;$B110,DATABASE!$S$4:$S$2003,0))&amp;"","")</f>
        <v/>
      </c>
      <c r="D110" s="48" t="str">
        <f aca="false">IFERROR(INDEX(DATABASE!$C$4:$C$2003,MATCH($AA$1&amp;"#"&amp;$B110,DATABASE!$S$4:$S$2003,0))&amp;"","")</f>
        <v/>
      </c>
      <c r="E110" s="46" t="str">
        <f aca="false">IFERROR(INDEX(DATABASE!$D$4:$D$2003,MATCH($AA$1&amp;"#"&amp;$B110,DATABASE!$S$4:$S$2003,0))&amp;"","")</f>
        <v/>
      </c>
      <c r="F110" s="47" t="str">
        <f aca="false">IFERROR(INDEX(DATABASE!$H$4:$H$2003,MATCH($AA$1&amp;"#"&amp;$B110,DATABASE!$S$4:$S$2003,0))&amp;"","")</f>
        <v/>
      </c>
      <c r="G110" s="48" t="str">
        <f aca="false">IFERROR(INDEX(DATABASE!$I$4:$I$2003,MATCH($AA$1&amp;"#"&amp;$B110,DATABASE!$S$4:$S$2003,0))&amp;"","")</f>
        <v/>
      </c>
      <c r="H110" s="46" t="str">
        <f aca="false">IFERROR(INDEX(DATABASE!$O$4:$O$2003,MATCH($AA$1&amp;"#"&amp;$B110,DATABASE!$S$4:$S$2003,0))&amp;"","")</f>
        <v/>
      </c>
      <c r="I110" s="47" t="str">
        <f aca="false">IFERROR(INDEX(DATABASE!$J$4:$J$2003,MATCH($AA$1&amp;"#"&amp;$B110,DATABASE!$S$4:$S$2003,0))&amp;"","")</f>
        <v/>
      </c>
    </row>
    <row r="111" customFormat="false" ht="15" hidden="false" customHeight="false" outlineLevel="0" collapsed="false">
      <c r="B111" s="49" t="n">
        <v>28</v>
      </c>
      <c r="C111" s="50" t="str">
        <f aca="false">IFERROR(INDEX(DATABASE!$B$4:$B$2003,MATCH($AA$1&amp;"#"&amp;$B111,DATABASE!$S$4:$S$2003,0))&amp;"","")</f>
        <v/>
      </c>
      <c r="D111" s="51" t="str">
        <f aca="false">IFERROR(INDEX(DATABASE!$C$4:$C$2003,MATCH($AA$1&amp;"#"&amp;$B111,DATABASE!$S$4:$S$2003,0))&amp;"","")</f>
        <v/>
      </c>
      <c r="E111" s="49" t="str">
        <f aca="false">IFERROR(INDEX(DATABASE!$D$4:$D$2003,MATCH($AA$1&amp;"#"&amp;$B111,DATABASE!$S$4:$S$2003,0))&amp;"","")</f>
        <v/>
      </c>
      <c r="F111" s="50" t="str">
        <f aca="false">IFERROR(INDEX(DATABASE!$H$4:$H$2003,MATCH($AA$1&amp;"#"&amp;$B111,DATABASE!$S$4:$S$2003,0))&amp;"","")</f>
        <v/>
      </c>
      <c r="G111" s="51" t="str">
        <f aca="false">IFERROR(INDEX(DATABASE!$I$4:$I$2003,MATCH($AA$1&amp;"#"&amp;$B111,DATABASE!$S$4:$S$2003,0))&amp;"","")</f>
        <v/>
      </c>
      <c r="H111" s="49" t="str">
        <f aca="false">IFERROR(INDEX(DATABASE!$O$4:$O$2003,MATCH($AA$1&amp;"#"&amp;$B111,DATABASE!$S$4:$S$2003,0))&amp;"","")</f>
        <v/>
      </c>
      <c r="I111" s="50" t="str">
        <f aca="false">IFERROR(INDEX(DATABASE!$J$4:$J$2003,MATCH($AA$1&amp;"#"&amp;$B111,DATABASE!$S$4:$S$2003,0))&amp;"","")</f>
        <v/>
      </c>
    </row>
    <row r="112" customFormat="false" ht="15" hidden="false" customHeight="false" outlineLevel="0" collapsed="false">
      <c r="B112" s="46" t="n">
        <v>29</v>
      </c>
      <c r="C112" s="47" t="str">
        <f aca="false">IFERROR(INDEX(DATABASE!$B$4:$B$2003,MATCH($AA$1&amp;"#"&amp;$B112,DATABASE!$S$4:$S$2003,0))&amp;"","")</f>
        <v/>
      </c>
      <c r="D112" s="48" t="str">
        <f aca="false">IFERROR(INDEX(DATABASE!$C$4:$C$2003,MATCH($AA$1&amp;"#"&amp;$B112,DATABASE!$S$4:$S$2003,0))&amp;"","")</f>
        <v/>
      </c>
      <c r="E112" s="46" t="str">
        <f aca="false">IFERROR(INDEX(DATABASE!$D$4:$D$2003,MATCH($AA$1&amp;"#"&amp;$B112,DATABASE!$S$4:$S$2003,0))&amp;"","")</f>
        <v/>
      </c>
      <c r="F112" s="47" t="str">
        <f aca="false">IFERROR(INDEX(DATABASE!$H$4:$H$2003,MATCH($AA$1&amp;"#"&amp;$B112,DATABASE!$S$4:$S$2003,0))&amp;"","")</f>
        <v/>
      </c>
      <c r="G112" s="48" t="str">
        <f aca="false">IFERROR(INDEX(DATABASE!$I$4:$I$2003,MATCH($AA$1&amp;"#"&amp;$B112,DATABASE!$S$4:$S$2003,0))&amp;"","")</f>
        <v/>
      </c>
      <c r="H112" s="46" t="str">
        <f aca="false">IFERROR(INDEX(DATABASE!$O$4:$O$2003,MATCH($AA$1&amp;"#"&amp;$B112,DATABASE!$S$4:$S$2003,0))&amp;"","")</f>
        <v/>
      </c>
      <c r="I112" s="47" t="str">
        <f aca="false">IFERROR(INDEX(DATABASE!$J$4:$J$2003,MATCH($AA$1&amp;"#"&amp;$B112,DATABASE!$S$4:$S$2003,0))&amp;"","")</f>
        <v/>
      </c>
    </row>
    <row r="113" customFormat="false" ht="15" hidden="false" customHeight="false" outlineLevel="0" collapsed="false">
      <c r="B113" s="49" t="n">
        <v>30</v>
      </c>
      <c r="C113" s="50" t="str">
        <f aca="false">IFERROR(INDEX(DATABASE!$B$4:$B$2003,MATCH($AA$1&amp;"#"&amp;$B113,DATABASE!$S$4:$S$2003,0))&amp;"","")</f>
        <v/>
      </c>
      <c r="D113" s="51" t="str">
        <f aca="false">IFERROR(INDEX(DATABASE!$C$4:$C$2003,MATCH($AA$1&amp;"#"&amp;$B113,DATABASE!$S$4:$S$2003,0))&amp;"","")</f>
        <v/>
      </c>
      <c r="E113" s="49" t="str">
        <f aca="false">IFERROR(INDEX(DATABASE!$D$4:$D$2003,MATCH($AA$1&amp;"#"&amp;$B113,DATABASE!$S$4:$S$2003,0))&amp;"","")</f>
        <v/>
      </c>
      <c r="F113" s="50" t="str">
        <f aca="false">IFERROR(INDEX(DATABASE!$H$4:$H$2003,MATCH($AA$1&amp;"#"&amp;$B113,DATABASE!$S$4:$S$2003,0))&amp;"","")</f>
        <v/>
      </c>
      <c r="G113" s="51" t="str">
        <f aca="false">IFERROR(INDEX(DATABASE!$I$4:$I$2003,MATCH($AA$1&amp;"#"&amp;$B113,DATABASE!$S$4:$S$2003,0))&amp;"","")</f>
        <v/>
      </c>
      <c r="H113" s="49" t="str">
        <f aca="false">IFERROR(INDEX(DATABASE!$O$4:$O$2003,MATCH($AA$1&amp;"#"&amp;$B113,DATABASE!$S$4:$S$2003,0))&amp;"","")</f>
        <v/>
      </c>
      <c r="I113" s="50" t="str">
        <f aca="false">IFERROR(INDEX(DATABASE!$J$4:$J$2003,MATCH($AA$1&amp;"#"&amp;$B113,DATABASE!$S$4:$S$2003,0))&amp;"","")</f>
        <v/>
      </c>
    </row>
    <row r="114" customFormat="false" ht="15" hidden="false" customHeight="false" outlineLevel="0" collapsed="false">
      <c r="B114" s="46" t="n">
        <v>31</v>
      </c>
      <c r="C114" s="47" t="str">
        <f aca="false">IFERROR(INDEX(DATABASE!$B$4:$B$2003,MATCH($AA$1&amp;"#"&amp;$B114,DATABASE!$S$4:$S$2003,0))&amp;"","")</f>
        <v/>
      </c>
      <c r="D114" s="48" t="str">
        <f aca="false">IFERROR(INDEX(DATABASE!$C$4:$C$2003,MATCH($AA$1&amp;"#"&amp;$B114,DATABASE!$S$4:$S$2003,0))&amp;"","")</f>
        <v/>
      </c>
      <c r="E114" s="46" t="str">
        <f aca="false">IFERROR(INDEX(DATABASE!$D$4:$D$2003,MATCH($AA$1&amp;"#"&amp;$B114,DATABASE!$S$4:$S$2003,0))&amp;"","")</f>
        <v/>
      </c>
      <c r="F114" s="47" t="str">
        <f aca="false">IFERROR(INDEX(DATABASE!$H$4:$H$2003,MATCH($AA$1&amp;"#"&amp;$B114,DATABASE!$S$4:$S$2003,0))&amp;"","")</f>
        <v/>
      </c>
      <c r="G114" s="48" t="str">
        <f aca="false">IFERROR(INDEX(DATABASE!$I$4:$I$2003,MATCH($AA$1&amp;"#"&amp;$B114,DATABASE!$S$4:$S$2003,0))&amp;"","")</f>
        <v/>
      </c>
      <c r="H114" s="46" t="str">
        <f aca="false">IFERROR(INDEX(DATABASE!$O$4:$O$2003,MATCH($AA$1&amp;"#"&amp;$B114,DATABASE!$S$4:$S$2003,0))&amp;"","")</f>
        <v/>
      </c>
      <c r="I114" s="47" t="str">
        <f aca="false">IFERROR(INDEX(DATABASE!$J$4:$J$2003,MATCH($AA$1&amp;"#"&amp;$B114,DATABASE!$S$4:$S$2003,0))&amp;"","")</f>
        <v/>
      </c>
    </row>
    <row r="115" customFormat="false" ht="15" hidden="false" customHeight="false" outlineLevel="0" collapsed="false">
      <c r="B115" s="49" t="n">
        <v>32</v>
      </c>
      <c r="C115" s="50" t="str">
        <f aca="false">IFERROR(INDEX(DATABASE!$B$4:$B$2003,MATCH($AA$1&amp;"#"&amp;$B115,DATABASE!$S$4:$S$2003,0))&amp;"","")</f>
        <v/>
      </c>
      <c r="D115" s="51" t="str">
        <f aca="false">IFERROR(INDEX(DATABASE!$C$4:$C$2003,MATCH($AA$1&amp;"#"&amp;$B115,DATABASE!$S$4:$S$2003,0))&amp;"","")</f>
        <v/>
      </c>
      <c r="E115" s="49" t="str">
        <f aca="false">IFERROR(INDEX(DATABASE!$D$4:$D$2003,MATCH($AA$1&amp;"#"&amp;$B115,DATABASE!$S$4:$S$2003,0))&amp;"","")</f>
        <v/>
      </c>
      <c r="F115" s="50" t="str">
        <f aca="false">IFERROR(INDEX(DATABASE!$H$4:$H$2003,MATCH($AA$1&amp;"#"&amp;$B115,DATABASE!$S$4:$S$2003,0))&amp;"","")</f>
        <v/>
      </c>
      <c r="G115" s="51" t="str">
        <f aca="false">IFERROR(INDEX(DATABASE!$I$4:$I$2003,MATCH($AA$1&amp;"#"&amp;$B115,DATABASE!$S$4:$S$2003,0))&amp;"","")</f>
        <v/>
      </c>
      <c r="H115" s="49" t="str">
        <f aca="false">IFERROR(INDEX(DATABASE!$O$4:$O$2003,MATCH($AA$1&amp;"#"&amp;$B115,DATABASE!$S$4:$S$2003,0))&amp;"","")</f>
        <v/>
      </c>
      <c r="I115" s="50" t="str">
        <f aca="false">IFERROR(INDEX(DATABASE!$J$4:$J$2003,MATCH($AA$1&amp;"#"&amp;$B115,DATABASE!$S$4:$S$2003,0))&amp;"","")</f>
        <v/>
      </c>
    </row>
    <row r="116" customFormat="false" ht="15" hidden="false" customHeight="false" outlineLevel="0" collapsed="false">
      <c r="B116" s="46" t="n">
        <v>33</v>
      </c>
      <c r="C116" s="47" t="str">
        <f aca="false">IFERROR(INDEX(DATABASE!$B$4:$B$2003,MATCH($AA$1&amp;"#"&amp;$B116,DATABASE!$S$4:$S$2003,0))&amp;"","")</f>
        <v/>
      </c>
      <c r="D116" s="48" t="str">
        <f aca="false">IFERROR(INDEX(DATABASE!$C$4:$C$2003,MATCH($AA$1&amp;"#"&amp;$B116,DATABASE!$S$4:$S$2003,0))&amp;"","")</f>
        <v/>
      </c>
      <c r="E116" s="46" t="str">
        <f aca="false">IFERROR(INDEX(DATABASE!$D$4:$D$2003,MATCH($AA$1&amp;"#"&amp;$B116,DATABASE!$S$4:$S$2003,0))&amp;"","")</f>
        <v/>
      </c>
      <c r="F116" s="47" t="str">
        <f aca="false">IFERROR(INDEX(DATABASE!$H$4:$H$2003,MATCH($AA$1&amp;"#"&amp;$B116,DATABASE!$S$4:$S$2003,0))&amp;"","")</f>
        <v/>
      </c>
      <c r="G116" s="48" t="str">
        <f aca="false">IFERROR(INDEX(DATABASE!$I$4:$I$2003,MATCH($AA$1&amp;"#"&amp;$B116,DATABASE!$S$4:$S$2003,0))&amp;"","")</f>
        <v/>
      </c>
      <c r="H116" s="46" t="str">
        <f aca="false">IFERROR(INDEX(DATABASE!$O$4:$O$2003,MATCH($AA$1&amp;"#"&amp;$B116,DATABASE!$S$4:$S$2003,0))&amp;"","")</f>
        <v/>
      </c>
      <c r="I116" s="47" t="str">
        <f aca="false">IFERROR(INDEX(DATABASE!$J$4:$J$2003,MATCH($AA$1&amp;"#"&amp;$B116,DATABASE!$S$4:$S$2003,0))&amp;"","")</f>
        <v/>
      </c>
    </row>
    <row r="117" customFormat="false" ht="15" hidden="false" customHeight="false" outlineLevel="0" collapsed="false">
      <c r="B117" s="49" t="n">
        <v>34</v>
      </c>
      <c r="C117" s="50" t="str">
        <f aca="false">IFERROR(INDEX(DATABASE!$B$4:$B$2003,MATCH($AA$1&amp;"#"&amp;$B117,DATABASE!$S$4:$S$2003,0))&amp;"","")</f>
        <v/>
      </c>
      <c r="D117" s="51" t="str">
        <f aca="false">IFERROR(INDEX(DATABASE!$C$4:$C$2003,MATCH($AA$1&amp;"#"&amp;$B117,DATABASE!$S$4:$S$2003,0))&amp;"","")</f>
        <v/>
      </c>
      <c r="E117" s="49" t="str">
        <f aca="false">IFERROR(INDEX(DATABASE!$D$4:$D$2003,MATCH($AA$1&amp;"#"&amp;$B117,DATABASE!$S$4:$S$2003,0))&amp;"","")</f>
        <v/>
      </c>
      <c r="F117" s="50" t="str">
        <f aca="false">IFERROR(INDEX(DATABASE!$H$4:$H$2003,MATCH($AA$1&amp;"#"&amp;$B117,DATABASE!$S$4:$S$2003,0))&amp;"","")</f>
        <v/>
      </c>
      <c r="G117" s="51" t="str">
        <f aca="false">IFERROR(INDEX(DATABASE!$I$4:$I$2003,MATCH($AA$1&amp;"#"&amp;$B117,DATABASE!$S$4:$S$2003,0))&amp;"","")</f>
        <v/>
      </c>
      <c r="H117" s="49" t="str">
        <f aca="false">IFERROR(INDEX(DATABASE!$O$4:$O$2003,MATCH($AA$1&amp;"#"&amp;$B117,DATABASE!$S$4:$S$2003,0))&amp;"","")</f>
        <v/>
      </c>
      <c r="I117" s="50" t="str">
        <f aca="false">IFERROR(INDEX(DATABASE!$J$4:$J$2003,MATCH($AA$1&amp;"#"&amp;$B117,DATABASE!$S$4:$S$2003,0))&amp;"","")</f>
        <v/>
      </c>
    </row>
    <row r="118" customFormat="false" ht="15" hidden="false" customHeight="false" outlineLevel="0" collapsed="false">
      <c r="B118" s="46" t="n">
        <v>35</v>
      </c>
      <c r="C118" s="47" t="str">
        <f aca="false">IFERROR(INDEX(DATABASE!$B$4:$B$2003,MATCH($AA$1&amp;"#"&amp;$B118,DATABASE!$S$4:$S$2003,0))&amp;"","")</f>
        <v/>
      </c>
      <c r="D118" s="48" t="str">
        <f aca="false">IFERROR(INDEX(DATABASE!$C$4:$C$2003,MATCH($AA$1&amp;"#"&amp;$B118,DATABASE!$S$4:$S$2003,0))&amp;"","")</f>
        <v/>
      </c>
      <c r="E118" s="46" t="str">
        <f aca="false">IFERROR(INDEX(DATABASE!$D$4:$D$2003,MATCH($AA$1&amp;"#"&amp;$B118,DATABASE!$S$4:$S$2003,0))&amp;"","")</f>
        <v/>
      </c>
      <c r="F118" s="47" t="str">
        <f aca="false">IFERROR(INDEX(DATABASE!$H$4:$H$2003,MATCH($AA$1&amp;"#"&amp;$B118,DATABASE!$S$4:$S$2003,0))&amp;"","")</f>
        <v/>
      </c>
      <c r="G118" s="48" t="str">
        <f aca="false">IFERROR(INDEX(DATABASE!$I$4:$I$2003,MATCH($AA$1&amp;"#"&amp;$B118,DATABASE!$S$4:$S$2003,0))&amp;"","")</f>
        <v/>
      </c>
      <c r="H118" s="46" t="str">
        <f aca="false">IFERROR(INDEX(DATABASE!$O$4:$O$2003,MATCH($AA$1&amp;"#"&amp;$B118,DATABASE!$S$4:$S$2003,0))&amp;"","")</f>
        <v/>
      </c>
      <c r="I118" s="47" t="str">
        <f aca="false">IFERROR(INDEX(DATABASE!$J$4:$J$2003,MATCH($AA$1&amp;"#"&amp;$B118,DATABASE!$S$4:$S$2003,0))&amp;"","")</f>
        <v/>
      </c>
    </row>
    <row r="119" customFormat="false" ht="15" hidden="false" customHeight="false" outlineLevel="0" collapsed="false">
      <c r="B119" s="49" t="n">
        <v>36</v>
      </c>
      <c r="C119" s="50" t="str">
        <f aca="false">IFERROR(INDEX(DATABASE!$B$4:$B$2003,MATCH($AA$1&amp;"#"&amp;$B119,DATABASE!$S$4:$S$2003,0))&amp;"","")</f>
        <v/>
      </c>
      <c r="D119" s="51" t="str">
        <f aca="false">IFERROR(INDEX(DATABASE!$C$4:$C$2003,MATCH($AA$1&amp;"#"&amp;$B119,DATABASE!$S$4:$S$2003,0))&amp;"","")</f>
        <v/>
      </c>
      <c r="E119" s="49" t="str">
        <f aca="false">IFERROR(INDEX(DATABASE!$D$4:$D$2003,MATCH($AA$1&amp;"#"&amp;$B119,DATABASE!$S$4:$S$2003,0))&amp;"","")</f>
        <v/>
      </c>
      <c r="F119" s="50" t="str">
        <f aca="false">IFERROR(INDEX(DATABASE!$H$4:$H$2003,MATCH($AA$1&amp;"#"&amp;$B119,DATABASE!$S$4:$S$2003,0))&amp;"","")</f>
        <v/>
      </c>
      <c r="G119" s="51" t="str">
        <f aca="false">IFERROR(INDEX(DATABASE!$I$4:$I$2003,MATCH($AA$1&amp;"#"&amp;$B119,DATABASE!$S$4:$S$2003,0))&amp;"","")</f>
        <v/>
      </c>
      <c r="H119" s="49" t="str">
        <f aca="false">IFERROR(INDEX(DATABASE!$O$4:$O$2003,MATCH($AA$1&amp;"#"&amp;$B119,DATABASE!$S$4:$S$2003,0))&amp;"","")</f>
        <v/>
      </c>
      <c r="I119" s="50" t="str">
        <f aca="false">IFERROR(INDEX(DATABASE!$J$4:$J$2003,MATCH($AA$1&amp;"#"&amp;$B119,DATABASE!$S$4:$S$2003,0))&amp;"","")</f>
        <v/>
      </c>
    </row>
    <row r="120" customFormat="false" ht="15" hidden="false" customHeight="false" outlineLevel="0" collapsed="false">
      <c r="B120" s="46" t="n">
        <v>37</v>
      </c>
      <c r="C120" s="47" t="str">
        <f aca="false">IFERROR(INDEX(DATABASE!$B$4:$B$2003,MATCH($AA$1&amp;"#"&amp;$B120,DATABASE!$S$4:$S$2003,0))&amp;"","")</f>
        <v/>
      </c>
      <c r="D120" s="48" t="str">
        <f aca="false">IFERROR(INDEX(DATABASE!$C$4:$C$2003,MATCH($AA$1&amp;"#"&amp;$B120,DATABASE!$S$4:$S$2003,0))&amp;"","")</f>
        <v/>
      </c>
      <c r="E120" s="46" t="str">
        <f aca="false">IFERROR(INDEX(DATABASE!$D$4:$D$2003,MATCH($AA$1&amp;"#"&amp;$B120,DATABASE!$S$4:$S$2003,0))&amp;"","")</f>
        <v/>
      </c>
      <c r="F120" s="47" t="str">
        <f aca="false">IFERROR(INDEX(DATABASE!$H$4:$H$2003,MATCH($AA$1&amp;"#"&amp;$B120,DATABASE!$S$4:$S$2003,0))&amp;"","")</f>
        <v/>
      </c>
      <c r="G120" s="48" t="str">
        <f aca="false">IFERROR(INDEX(DATABASE!$I$4:$I$2003,MATCH($AA$1&amp;"#"&amp;$B120,DATABASE!$S$4:$S$2003,0))&amp;"","")</f>
        <v/>
      </c>
      <c r="H120" s="46" t="str">
        <f aca="false">IFERROR(INDEX(DATABASE!$O$4:$O$2003,MATCH($AA$1&amp;"#"&amp;$B120,DATABASE!$S$4:$S$2003,0))&amp;"","")</f>
        <v/>
      </c>
      <c r="I120" s="47" t="str">
        <f aca="false">IFERROR(INDEX(DATABASE!$J$4:$J$2003,MATCH($AA$1&amp;"#"&amp;$B120,DATABASE!$S$4:$S$2003,0))&amp;"","")</f>
        <v/>
      </c>
    </row>
    <row r="121" customFormat="false" ht="15" hidden="false" customHeight="false" outlineLevel="0" collapsed="false">
      <c r="B121" s="49" t="n">
        <v>38</v>
      </c>
      <c r="C121" s="50" t="str">
        <f aca="false">IFERROR(INDEX(DATABASE!$B$4:$B$2003,MATCH($AA$1&amp;"#"&amp;$B121,DATABASE!$S$4:$S$2003,0))&amp;"","")</f>
        <v/>
      </c>
      <c r="D121" s="51" t="str">
        <f aca="false">IFERROR(INDEX(DATABASE!$C$4:$C$2003,MATCH($AA$1&amp;"#"&amp;$B121,DATABASE!$S$4:$S$2003,0))&amp;"","")</f>
        <v/>
      </c>
      <c r="E121" s="49" t="str">
        <f aca="false">IFERROR(INDEX(DATABASE!$D$4:$D$2003,MATCH($AA$1&amp;"#"&amp;$B121,DATABASE!$S$4:$S$2003,0))&amp;"","")</f>
        <v/>
      </c>
      <c r="F121" s="50" t="str">
        <f aca="false">IFERROR(INDEX(DATABASE!$H$4:$H$2003,MATCH($AA$1&amp;"#"&amp;$B121,DATABASE!$S$4:$S$2003,0))&amp;"","")</f>
        <v/>
      </c>
      <c r="G121" s="51" t="str">
        <f aca="false">IFERROR(INDEX(DATABASE!$I$4:$I$2003,MATCH($AA$1&amp;"#"&amp;$B121,DATABASE!$S$4:$S$2003,0))&amp;"","")</f>
        <v/>
      </c>
      <c r="H121" s="49" t="str">
        <f aca="false">IFERROR(INDEX(DATABASE!$O$4:$O$2003,MATCH($AA$1&amp;"#"&amp;$B121,DATABASE!$S$4:$S$2003,0))&amp;"","")</f>
        <v/>
      </c>
      <c r="I121" s="50" t="str">
        <f aca="false">IFERROR(INDEX(DATABASE!$J$4:$J$2003,MATCH($AA$1&amp;"#"&amp;$B121,DATABASE!$S$4:$S$2003,0))&amp;"","")</f>
        <v/>
      </c>
    </row>
    <row r="122" customFormat="false" ht="15" hidden="false" customHeight="false" outlineLevel="0" collapsed="false">
      <c r="B122" s="46" t="n">
        <v>39</v>
      </c>
      <c r="C122" s="47" t="str">
        <f aca="false">IFERROR(INDEX(DATABASE!$B$4:$B$2003,MATCH($AA$1&amp;"#"&amp;$B122,DATABASE!$S$4:$S$2003,0))&amp;"","")</f>
        <v/>
      </c>
      <c r="D122" s="48" t="str">
        <f aca="false">IFERROR(INDEX(DATABASE!$C$4:$C$2003,MATCH($AA$1&amp;"#"&amp;$B122,DATABASE!$S$4:$S$2003,0))&amp;"","")</f>
        <v/>
      </c>
      <c r="E122" s="46" t="str">
        <f aca="false">IFERROR(INDEX(DATABASE!$D$4:$D$2003,MATCH($AA$1&amp;"#"&amp;$B122,DATABASE!$S$4:$S$2003,0))&amp;"","")</f>
        <v/>
      </c>
      <c r="F122" s="47" t="str">
        <f aca="false">IFERROR(INDEX(DATABASE!$H$4:$H$2003,MATCH($AA$1&amp;"#"&amp;$B122,DATABASE!$S$4:$S$2003,0))&amp;"","")</f>
        <v/>
      </c>
      <c r="G122" s="48" t="str">
        <f aca="false">IFERROR(INDEX(DATABASE!$I$4:$I$2003,MATCH($AA$1&amp;"#"&amp;$B122,DATABASE!$S$4:$S$2003,0))&amp;"","")</f>
        <v/>
      </c>
      <c r="H122" s="46" t="str">
        <f aca="false">IFERROR(INDEX(DATABASE!$O$4:$O$2003,MATCH($AA$1&amp;"#"&amp;$B122,DATABASE!$S$4:$S$2003,0))&amp;"","")</f>
        <v/>
      </c>
      <c r="I122" s="47" t="str">
        <f aca="false">IFERROR(INDEX(DATABASE!$J$4:$J$2003,MATCH($AA$1&amp;"#"&amp;$B122,DATABASE!$S$4:$S$2003,0))&amp;"","")</f>
        <v/>
      </c>
    </row>
    <row r="123" customFormat="false" ht="15" hidden="false" customHeight="false" outlineLevel="0" collapsed="false">
      <c r="B123" s="49" t="n">
        <v>40</v>
      </c>
      <c r="C123" s="50" t="str">
        <f aca="false">IFERROR(INDEX(DATABASE!$B$4:$B$2003,MATCH($AA$1&amp;"#"&amp;$B123,DATABASE!$S$4:$S$2003,0))&amp;"","")</f>
        <v/>
      </c>
      <c r="D123" s="51" t="str">
        <f aca="false">IFERROR(INDEX(DATABASE!$C$4:$C$2003,MATCH($AA$1&amp;"#"&amp;$B123,DATABASE!$S$4:$S$2003,0))&amp;"","")</f>
        <v/>
      </c>
      <c r="E123" s="49" t="str">
        <f aca="false">IFERROR(INDEX(DATABASE!$D$4:$D$2003,MATCH($AA$1&amp;"#"&amp;$B123,DATABASE!$S$4:$S$2003,0))&amp;"","")</f>
        <v/>
      </c>
      <c r="F123" s="50" t="str">
        <f aca="false">IFERROR(INDEX(DATABASE!$H$4:$H$2003,MATCH($AA$1&amp;"#"&amp;$B123,DATABASE!$S$4:$S$2003,0))&amp;"","")</f>
        <v/>
      </c>
      <c r="G123" s="51" t="str">
        <f aca="false">IFERROR(INDEX(DATABASE!$I$4:$I$2003,MATCH($AA$1&amp;"#"&amp;$B123,DATABASE!$S$4:$S$2003,0))&amp;"","")</f>
        <v/>
      </c>
      <c r="H123" s="49" t="str">
        <f aca="false">IFERROR(INDEX(DATABASE!$O$4:$O$2003,MATCH($AA$1&amp;"#"&amp;$B123,DATABASE!$S$4:$S$2003,0))&amp;"","")</f>
        <v/>
      </c>
      <c r="I123" s="50" t="str">
        <f aca="false">IFERROR(INDEX(DATABASE!$J$4:$J$2003,MATCH($AA$1&amp;"#"&amp;$B123,DATABASE!$S$4:$S$2003,0))&amp;"","")</f>
        <v/>
      </c>
    </row>
    <row r="125" customFormat="false" ht="15" hidden="false" customHeight="false" outlineLevel="0" collapsed="false">
      <c r="B125" s="32" t="s">
        <v>96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dataValidations count="2">
    <dataValidation allowBlank="true" errorStyle="stop" operator="between" showDropDown="false" showErrorMessage="false" showInputMessage="false" sqref="D82" type="list">
      <formula1>daftar_kadus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30" t="s">
        <v>97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34</v>
      </c>
      <c r="C2" s="32" t="s">
        <v>98</v>
      </c>
    </row>
    <row r="4" customFormat="false" ht="19.5" hidden="false" customHeight="true" outlineLevel="0" collapsed="false">
      <c r="B4" s="5" t="s">
        <v>99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16" t="s">
        <v>24</v>
      </c>
      <c r="C5" s="16" t="s">
        <v>26</v>
      </c>
      <c r="D5" s="16" t="s">
        <v>100</v>
      </c>
      <c r="E5" s="16" t="s">
        <v>83</v>
      </c>
      <c r="F5" s="16" t="s">
        <v>101</v>
      </c>
      <c r="G5" s="16" t="s">
        <v>102</v>
      </c>
      <c r="H5" s="16" t="s">
        <v>103</v>
      </c>
    </row>
    <row r="6" customFormat="false" ht="15" hidden="false" customHeight="false" outlineLevel="0" collapsed="false">
      <c r="B6" s="8" t="str">
        <f aca="true">IFERROR(INDEX(daftar_kadus,1),"")</f>
        <v>Kadus I</v>
      </c>
      <c r="C6" s="19" t="n">
        <f aca="false">IF($B6="","",IFERROR(INDEX(REFERENSI!$C$6:$C$45,1),0))</f>
        <v>50</v>
      </c>
      <c r="D6" s="18" t="n">
        <f aca="false">IF($B6="","",COUNTIF(DATABASE!$E$4:$E$2003,$B6))</f>
        <v>0</v>
      </c>
      <c r="E6" s="19" t="n">
        <f aca="false">IF($B6="","",COUNTIFS(DATABASE!$E$4:$E$2003,$B6,DATABASE!$O$4:$O$2003,"Aktif"))</f>
        <v>0</v>
      </c>
      <c r="F6" s="19" t="n">
        <f aca="false">IF($B6="","",MAX(0,$C6-$D6))</f>
        <v>50</v>
      </c>
      <c r="G6" s="69" t="n">
        <f aca="false">IF(OR($B6="",$C6=0),"",$D6/$C6)</f>
        <v>0</v>
      </c>
      <c r="H6" s="70" t="str">
        <f aca="false">IF($G6="","",REPT("█",ROUND(MIN($G6,1)*20,0)))</f>
        <v/>
      </c>
    </row>
    <row r="7" customFormat="false" ht="15" hidden="false" customHeight="false" outlineLevel="0" collapsed="false">
      <c r="B7" s="12" t="str">
        <f aca="true">IFERROR(INDEX(daftar_kadus,2),"")</f>
        <v>Kadus II</v>
      </c>
      <c r="C7" s="23" t="n">
        <f aca="false">IF($B7="","",IFERROR(INDEX(REFERENSI!$C$6:$C$45,2),0))</f>
        <v>50</v>
      </c>
      <c r="D7" s="22" t="n">
        <f aca="false">IF($B7="","",COUNTIF(DATABASE!$E$4:$E$2003,$B7))</f>
        <v>0</v>
      </c>
      <c r="E7" s="23" t="n">
        <f aca="false">IF($B7="","",COUNTIFS(DATABASE!$E$4:$E$2003,$B7,DATABASE!$O$4:$O$2003,"Aktif"))</f>
        <v>0</v>
      </c>
      <c r="F7" s="23" t="n">
        <f aca="false">IF($B7="","",MAX(0,$C7-$D7))</f>
        <v>50</v>
      </c>
      <c r="G7" s="71" t="n">
        <f aca="false">IF(OR($B7="",$C7=0),"",$D7/$C7)</f>
        <v>0</v>
      </c>
      <c r="H7" s="72" t="str">
        <f aca="false">IF($G7="","",REPT("█",ROUND(MIN($G7,1)*20,0)))</f>
        <v/>
      </c>
    </row>
    <row r="8" customFormat="false" ht="15" hidden="false" customHeight="false" outlineLevel="0" collapsed="false">
      <c r="B8" s="8" t="str">
        <f aca="true">IFERROR(INDEX(daftar_kadus,3),"")</f>
        <v>Kadus III</v>
      </c>
      <c r="C8" s="19" t="n">
        <f aca="false">IF($B8="","",IFERROR(INDEX(REFERENSI!$C$6:$C$45,3),0))</f>
        <v>50</v>
      </c>
      <c r="D8" s="18" t="n">
        <f aca="false">IF($B8="","",COUNTIF(DATABASE!$E$4:$E$2003,$B8))</f>
        <v>0</v>
      </c>
      <c r="E8" s="19" t="n">
        <f aca="false">IF($B8="","",COUNTIFS(DATABASE!$E$4:$E$2003,$B8,DATABASE!$O$4:$O$2003,"Aktif"))</f>
        <v>0</v>
      </c>
      <c r="F8" s="19" t="n">
        <f aca="false">IF($B8="","",MAX(0,$C8-$D8))</f>
        <v>50</v>
      </c>
      <c r="G8" s="69" t="n">
        <f aca="false">IF(OR($B8="",$C8=0),"",$D8/$C8)</f>
        <v>0</v>
      </c>
      <c r="H8" s="70" t="str">
        <f aca="false">IF($G8="","",REPT("█",ROUND(MIN($G8,1)*20,0)))</f>
        <v/>
      </c>
    </row>
    <row r="9" customFormat="false" ht="15" hidden="false" customHeight="false" outlineLevel="0" collapsed="false">
      <c r="B9" s="12" t="str">
        <f aca="true">IFERROR(INDEX(daftar_kadus,4),"")</f>
        <v>Kadus IV</v>
      </c>
      <c r="C9" s="23" t="n">
        <f aca="false">IF($B9="","",IFERROR(INDEX(REFERENSI!$C$6:$C$45,4),0))</f>
        <v>50</v>
      </c>
      <c r="D9" s="22" t="n">
        <f aca="false">IF($B9="","",COUNTIF(DATABASE!$E$4:$E$2003,$B9))</f>
        <v>0</v>
      </c>
      <c r="E9" s="23" t="n">
        <f aca="false">IF($B9="","",COUNTIFS(DATABASE!$E$4:$E$2003,$B9,DATABASE!$O$4:$O$2003,"Aktif"))</f>
        <v>0</v>
      </c>
      <c r="F9" s="23" t="n">
        <f aca="false">IF($B9="","",MAX(0,$C9-$D9))</f>
        <v>50</v>
      </c>
      <c r="G9" s="71" t="n">
        <f aca="false">IF(OR($B9="",$C9=0),"",$D9/$C9)</f>
        <v>0</v>
      </c>
      <c r="H9" s="72" t="str">
        <f aca="false">IF($G9="","",REPT("█",ROUND(MIN($G9,1)*20,0)))</f>
        <v/>
      </c>
    </row>
    <row r="10" customFormat="false" ht="15" hidden="false" customHeight="false" outlineLevel="0" collapsed="false">
      <c r="B10" s="8" t="str">
        <f aca="true">IFERROR(INDEX(daftar_kadus,5),"")</f>
        <v>Kadus V</v>
      </c>
      <c r="C10" s="19" t="n">
        <f aca="false">IF($B10="","",IFERROR(INDEX(REFERENSI!$C$6:$C$45,5),0))</f>
        <v>50</v>
      </c>
      <c r="D10" s="18" t="n">
        <f aca="false">IF($B10="","",COUNTIF(DATABASE!$E$4:$E$2003,$B10))</f>
        <v>0</v>
      </c>
      <c r="E10" s="19" t="n">
        <f aca="false">IF($B10="","",COUNTIFS(DATABASE!$E$4:$E$2003,$B10,DATABASE!$O$4:$O$2003,"Aktif"))</f>
        <v>0</v>
      </c>
      <c r="F10" s="19" t="n">
        <f aca="false">IF($B10="","",MAX(0,$C10-$D10))</f>
        <v>50</v>
      </c>
      <c r="G10" s="69" t="n">
        <f aca="false">IF(OR($B10="",$C10=0),"",$D10/$C10)</f>
        <v>0</v>
      </c>
      <c r="H10" s="70" t="str">
        <f aca="false">IF($G10="","",REPT("█",ROUND(MIN($G10,1)*20,0)))</f>
        <v/>
      </c>
    </row>
    <row r="11" customFormat="false" ht="15" hidden="false" customHeight="false" outlineLevel="0" collapsed="false">
      <c r="B11" s="12" t="str">
        <f aca="true">IFERROR(INDEX(daftar_kadus,6),"")</f>
        <v/>
      </c>
      <c r="C11" s="23" t="str">
        <f aca="false">IF($B11="","",IFERROR(INDEX(REFERENSI!$C$6:$C$45,6),0))</f>
        <v/>
      </c>
      <c r="D11" s="22" t="str">
        <f aca="false">IF($B11="","",COUNTIF(DATABASE!$E$4:$E$2003,$B11))</f>
        <v/>
      </c>
      <c r="E11" s="23" t="str">
        <f aca="false">IF($B11="","",COUNTIFS(DATABASE!$E$4:$E$2003,$B11,DATABASE!$O$4:$O$2003,"Aktif"))</f>
        <v/>
      </c>
      <c r="F11" s="23" t="str">
        <f aca="false">IF($B11="","",MAX(0,$C11-$D11))</f>
        <v/>
      </c>
      <c r="G11" s="71" t="str">
        <f aca="false">IF(OR($B11="",$C11=0),"",$D11/$C11)</f>
        <v/>
      </c>
      <c r="H11" s="72" t="str">
        <f aca="false">IF($G11="","",REPT("█",ROUND(MIN($G11,1)*20,0)))</f>
        <v/>
      </c>
    </row>
    <row r="12" customFormat="false" ht="15" hidden="false" customHeight="false" outlineLevel="0" collapsed="false">
      <c r="B12" s="8" t="str">
        <f aca="true">IFERROR(INDEX(daftar_kadus,7),"")</f>
        <v/>
      </c>
      <c r="C12" s="19" t="str">
        <f aca="false">IF($B12="","",IFERROR(INDEX(REFERENSI!$C$6:$C$45,7),0))</f>
        <v/>
      </c>
      <c r="D12" s="18" t="str">
        <f aca="false">IF($B12="","",COUNTIF(DATABASE!$E$4:$E$2003,$B12))</f>
        <v/>
      </c>
      <c r="E12" s="19" t="str">
        <f aca="false">IF($B12="","",COUNTIFS(DATABASE!$E$4:$E$2003,$B12,DATABASE!$O$4:$O$2003,"Aktif"))</f>
        <v/>
      </c>
      <c r="F12" s="19" t="str">
        <f aca="false">IF($B12="","",MAX(0,$C12-$D12))</f>
        <v/>
      </c>
      <c r="G12" s="69" t="str">
        <f aca="false">IF(OR($B12="",$C12=0),"",$D12/$C12)</f>
        <v/>
      </c>
      <c r="H12" s="70" t="str">
        <f aca="false">IF($G12="","",REPT("█",ROUND(MIN($G12,1)*20,0)))</f>
        <v/>
      </c>
    </row>
    <row r="13" customFormat="false" ht="15" hidden="false" customHeight="false" outlineLevel="0" collapsed="false">
      <c r="B13" s="12" t="str">
        <f aca="true">IFERROR(INDEX(daftar_kadus,8),"")</f>
        <v/>
      </c>
      <c r="C13" s="23" t="str">
        <f aca="false">IF($B13="","",IFERROR(INDEX(REFERENSI!$C$6:$C$45,8),0))</f>
        <v/>
      </c>
      <c r="D13" s="22" t="str">
        <f aca="false">IF($B13="","",COUNTIF(DATABASE!$E$4:$E$2003,$B13))</f>
        <v/>
      </c>
      <c r="E13" s="23" t="str">
        <f aca="false">IF($B13="","",COUNTIFS(DATABASE!$E$4:$E$2003,$B13,DATABASE!$O$4:$O$2003,"Aktif"))</f>
        <v/>
      </c>
      <c r="F13" s="23" t="str">
        <f aca="false">IF($B13="","",MAX(0,$C13-$D13))</f>
        <v/>
      </c>
      <c r="G13" s="71" t="str">
        <f aca="false">IF(OR($B13="",$C13=0),"",$D13/$C13)</f>
        <v/>
      </c>
      <c r="H13" s="72" t="str">
        <f aca="false">IF($G13="","",REPT("█",ROUND(MIN($G13,1)*20,0)))</f>
        <v/>
      </c>
    </row>
    <row r="14" customFormat="false" ht="15" hidden="false" customHeight="false" outlineLevel="0" collapsed="false">
      <c r="B14" s="8" t="str">
        <f aca="true">IFERROR(INDEX(daftar_kadus,9),"")</f>
        <v/>
      </c>
      <c r="C14" s="19" t="str">
        <f aca="false">IF($B14="","",IFERROR(INDEX(REFERENSI!$C$6:$C$45,9),0))</f>
        <v/>
      </c>
      <c r="D14" s="18" t="str">
        <f aca="false">IF($B14="","",COUNTIF(DATABASE!$E$4:$E$2003,$B14))</f>
        <v/>
      </c>
      <c r="E14" s="19" t="str">
        <f aca="false">IF($B14="","",COUNTIFS(DATABASE!$E$4:$E$2003,$B14,DATABASE!$O$4:$O$2003,"Aktif"))</f>
        <v/>
      </c>
      <c r="F14" s="19" t="str">
        <f aca="false">IF($B14="","",MAX(0,$C14-$D14))</f>
        <v/>
      </c>
      <c r="G14" s="69" t="str">
        <f aca="false">IF(OR($B14="",$C14=0),"",$D14/$C14)</f>
        <v/>
      </c>
      <c r="H14" s="70" t="str">
        <f aca="false">IF($G14="","",REPT("█",ROUND(MIN($G14,1)*20,0)))</f>
        <v/>
      </c>
    </row>
    <row r="15" customFormat="false" ht="15" hidden="false" customHeight="false" outlineLevel="0" collapsed="false">
      <c r="B15" s="12" t="str">
        <f aca="true">IFERROR(INDEX(daftar_kadus,10),"")</f>
        <v/>
      </c>
      <c r="C15" s="23" t="str">
        <f aca="false">IF($B15="","",IFERROR(INDEX(REFERENSI!$C$6:$C$45,10),0))</f>
        <v/>
      </c>
      <c r="D15" s="22" t="str">
        <f aca="false">IF($B15="","",COUNTIF(DATABASE!$E$4:$E$2003,$B15))</f>
        <v/>
      </c>
      <c r="E15" s="23" t="str">
        <f aca="false">IF($B15="","",COUNTIFS(DATABASE!$E$4:$E$2003,$B15,DATABASE!$O$4:$O$2003,"Aktif"))</f>
        <v/>
      </c>
      <c r="F15" s="23" t="str">
        <f aca="false">IF($B15="","",MAX(0,$C15-$D15))</f>
        <v/>
      </c>
      <c r="G15" s="71" t="str">
        <f aca="false">IF(OR($B15="",$C15=0),"",$D15/$C15)</f>
        <v/>
      </c>
      <c r="H15" s="72" t="str">
        <f aca="false">IF($G15="","",REPT("█",ROUND(MIN($G15,1)*20,0)))</f>
        <v/>
      </c>
    </row>
    <row r="16" customFormat="false" ht="15" hidden="false" customHeight="false" outlineLevel="0" collapsed="false">
      <c r="B16" s="8" t="str">
        <f aca="true">IFERROR(INDEX(daftar_kadus,11),"")</f>
        <v/>
      </c>
      <c r="C16" s="19" t="str">
        <f aca="false">IF($B16="","",IFERROR(INDEX(REFERENSI!$C$6:$C$45,11),0))</f>
        <v/>
      </c>
      <c r="D16" s="18" t="str">
        <f aca="false">IF($B16="","",COUNTIF(DATABASE!$E$4:$E$2003,$B16))</f>
        <v/>
      </c>
      <c r="E16" s="19" t="str">
        <f aca="false">IF($B16="","",COUNTIFS(DATABASE!$E$4:$E$2003,$B16,DATABASE!$O$4:$O$2003,"Aktif"))</f>
        <v/>
      </c>
      <c r="F16" s="19" t="str">
        <f aca="false">IF($B16="","",MAX(0,$C16-$D16))</f>
        <v/>
      </c>
      <c r="G16" s="69" t="str">
        <f aca="false">IF(OR($B16="",$C16=0),"",$D16/$C16)</f>
        <v/>
      </c>
      <c r="H16" s="70" t="str">
        <f aca="false">IF($G16="","",REPT("█",ROUND(MIN($G16,1)*20,0)))</f>
        <v/>
      </c>
    </row>
    <row r="17" customFormat="false" ht="15" hidden="false" customHeight="false" outlineLevel="0" collapsed="false">
      <c r="B17" s="12" t="str">
        <f aca="true">IFERROR(INDEX(daftar_kadus,12),"")</f>
        <v/>
      </c>
      <c r="C17" s="23" t="str">
        <f aca="false">IF($B17="","",IFERROR(INDEX(REFERENSI!$C$6:$C$45,12),0))</f>
        <v/>
      </c>
      <c r="D17" s="22" t="str">
        <f aca="false">IF($B17="","",COUNTIF(DATABASE!$E$4:$E$2003,$B17))</f>
        <v/>
      </c>
      <c r="E17" s="23" t="str">
        <f aca="false">IF($B17="","",COUNTIFS(DATABASE!$E$4:$E$2003,$B17,DATABASE!$O$4:$O$2003,"Aktif"))</f>
        <v/>
      </c>
      <c r="F17" s="23" t="str">
        <f aca="false">IF($B17="","",MAX(0,$C17-$D17))</f>
        <v/>
      </c>
      <c r="G17" s="71" t="str">
        <f aca="false">IF(OR($B17="",$C17=0),"",$D17/$C17)</f>
        <v/>
      </c>
      <c r="H17" s="72" t="str">
        <f aca="false">IF($G17="","",REPT("█",ROUND(MIN($G17,1)*20,0)))</f>
        <v/>
      </c>
    </row>
    <row r="18" customFormat="false" ht="15" hidden="false" customHeight="false" outlineLevel="0" collapsed="false">
      <c r="B18" s="8" t="str">
        <f aca="true">IFERROR(INDEX(daftar_kadus,13),"")</f>
        <v/>
      </c>
      <c r="C18" s="19" t="str">
        <f aca="false">IF($B18="","",IFERROR(INDEX(REFERENSI!$C$6:$C$45,13),0))</f>
        <v/>
      </c>
      <c r="D18" s="18" t="str">
        <f aca="false">IF($B18="","",COUNTIF(DATABASE!$E$4:$E$2003,$B18))</f>
        <v/>
      </c>
      <c r="E18" s="19" t="str">
        <f aca="false">IF($B18="","",COUNTIFS(DATABASE!$E$4:$E$2003,$B18,DATABASE!$O$4:$O$2003,"Aktif"))</f>
        <v/>
      </c>
      <c r="F18" s="19" t="str">
        <f aca="false">IF($B18="","",MAX(0,$C18-$D18))</f>
        <v/>
      </c>
      <c r="G18" s="69" t="str">
        <f aca="false">IF(OR($B18="",$C18=0),"",$D18/$C18)</f>
        <v/>
      </c>
      <c r="H18" s="70" t="str">
        <f aca="false">IF($G18="","",REPT("█",ROUND(MIN($G18,1)*20,0)))</f>
        <v/>
      </c>
    </row>
    <row r="19" customFormat="false" ht="15" hidden="false" customHeight="false" outlineLevel="0" collapsed="false">
      <c r="B19" s="12" t="str">
        <f aca="true">IFERROR(INDEX(daftar_kadus,14),"")</f>
        <v/>
      </c>
      <c r="C19" s="23" t="str">
        <f aca="false">IF($B19="","",IFERROR(INDEX(REFERENSI!$C$6:$C$45,14),0))</f>
        <v/>
      </c>
      <c r="D19" s="22" t="str">
        <f aca="false">IF($B19="","",COUNTIF(DATABASE!$E$4:$E$2003,$B19))</f>
        <v/>
      </c>
      <c r="E19" s="23" t="str">
        <f aca="false">IF($B19="","",COUNTIFS(DATABASE!$E$4:$E$2003,$B19,DATABASE!$O$4:$O$2003,"Aktif"))</f>
        <v/>
      </c>
      <c r="F19" s="23" t="str">
        <f aca="false">IF($B19="","",MAX(0,$C19-$D19))</f>
        <v/>
      </c>
      <c r="G19" s="71" t="str">
        <f aca="false">IF(OR($B19="",$C19=0),"",$D19/$C19)</f>
        <v/>
      </c>
      <c r="H19" s="72" t="str">
        <f aca="false">IF($G19="","",REPT("█",ROUND(MIN($G19,1)*20,0)))</f>
        <v/>
      </c>
    </row>
    <row r="20" customFormat="false" ht="15" hidden="false" customHeight="false" outlineLevel="0" collapsed="false">
      <c r="B20" s="8" t="str">
        <f aca="true">IFERROR(INDEX(daftar_kadus,15),"")</f>
        <v/>
      </c>
      <c r="C20" s="19" t="str">
        <f aca="false">IF($B20="","",IFERROR(INDEX(REFERENSI!$C$6:$C$45,15),0))</f>
        <v/>
      </c>
      <c r="D20" s="18" t="str">
        <f aca="false">IF($B20="","",COUNTIF(DATABASE!$E$4:$E$2003,$B20))</f>
        <v/>
      </c>
      <c r="E20" s="19" t="str">
        <f aca="false">IF($B20="","",COUNTIFS(DATABASE!$E$4:$E$2003,$B20,DATABASE!$O$4:$O$2003,"Aktif"))</f>
        <v/>
      </c>
      <c r="F20" s="19" t="str">
        <f aca="false">IF($B20="","",MAX(0,$C20-$D20))</f>
        <v/>
      </c>
      <c r="G20" s="69" t="str">
        <f aca="false">IF(OR($B20="",$C20=0),"",$D20/$C20)</f>
        <v/>
      </c>
      <c r="H20" s="70" t="str">
        <f aca="false">IF($G20="","",REPT("█",ROUND(MIN($G20,1)*20,0)))</f>
        <v/>
      </c>
    </row>
    <row r="21" customFormat="false" ht="15" hidden="false" customHeight="false" outlineLevel="0" collapsed="false">
      <c r="B21" s="12" t="str">
        <f aca="true">IFERROR(INDEX(daftar_kadus,16),"")</f>
        <v/>
      </c>
      <c r="C21" s="23" t="str">
        <f aca="false">IF($B21="","",IFERROR(INDEX(REFERENSI!$C$6:$C$45,16),0))</f>
        <v/>
      </c>
      <c r="D21" s="22" t="str">
        <f aca="false">IF($B21="","",COUNTIF(DATABASE!$E$4:$E$2003,$B21))</f>
        <v/>
      </c>
      <c r="E21" s="23" t="str">
        <f aca="false">IF($B21="","",COUNTIFS(DATABASE!$E$4:$E$2003,$B21,DATABASE!$O$4:$O$2003,"Aktif"))</f>
        <v/>
      </c>
      <c r="F21" s="23" t="str">
        <f aca="false">IF($B21="","",MAX(0,$C21-$D21))</f>
        <v/>
      </c>
      <c r="G21" s="71" t="str">
        <f aca="false">IF(OR($B21="",$C21=0),"",$D21/$C21)</f>
        <v/>
      </c>
      <c r="H21" s="72" t="str">
        <f aca="false">IF($G21="","",REPT("█",ROUND(MIN($G21,1)*20,0)))</f>
        <v/>
      </c>
    </row>
    <row r="22" customFormat="false" ht="15" hidden="false" customHeight="false" outlineLevel="0" collapsed="false">
      <c r="B22" s="8" t="str">
        <f aca="true">IFERROR(INDEX(daftar_kadus,17),"")</f>
        <v/>
      </c>
      <c r="C22" s="19" t="str">
        <f aca="false">IF($B22="","",IFERROR(INDEX(REFERENSI!$C$6:$C$45,17),0))</f>
        <v/>
      </c>
      <c r="D22" s="18" t="str">
        <f aca="false">IF($B22="","",COUNTIF(DATABASE!$E$4:$E$2003,$B22))</f>
        <v/>
      </c>
      <c r="E22" s="19" t="str">
        <f aca="false">IF($B22="","",COUNTIFS(DATABASE!$E$4:$E$2003,$B22,DATABASE!$O$4:$O$2003,"Aktif"))</f>
        <v/>
      </c>
      <c r="F22" s="19" t="str">
        <f aca="false">IF($B22="","",MAX(0,$C22-$D22))</f>
        <v/>
      </c>
      <c r="G22" s="69" t="str">
        <f aca="false">IF(OR($B22="",$C22=0),"",$D22/$C22)</f>
        <v/>
      </c>
      <c r="H22" s="70" t="str">
        <f aca="false">IF($G22="","",REPT("█",ROUND(MIN($G22,1)*20,0)))</f>
        <v/>
      </c>
    </row>
    <row r="23" customFormat="false" ht="15" hidden="false" customHeight="false" outlineLevel="0" collapsed="false">
      <c r="B23" s="12" t="str">
        <f aca="true">IFERROR(INDEX(daftar_kadus,18),"")</f>
        <v/>
      </c>
      <c r="C23" s="23" t="str">
        <f aca="false">IF($B23="","",IFERROR(INDEX(REFERENSI!$C$6:$C$45,18),0))</f>
        <v/>
      </c>
      <c r="D23" s="22" t="str">
        <f aca="false">IF($B23="","",COUNTIF(DATABASE!$E$4:$E$2003,$B23))</f>
        <v/>
      </c>
      <c r="E23" s="23" t="str">
        <f aca="false">IF($B23="","",COUNTIFS(DATABASE!$E$4:$E$2003,$B23,DATABASE!$O$4:$O$2003,"Aktif"))</f>
        <v/>
      </c>
      <c r="F23" s="23" t="str">
        <f aca="false">IF($B23="","",MAX(0,$C23-$D23))</f>
        <v/>
      </c>
      <c r="G23" s="71" t="str">
        <f aca="false">IF(OR($B23="",$C23=0),"",$D23/$C23)</f>
        <v/>
      </c>
      <c r="H23" s="72" t="str">
        <f aca="false">IF($G23="","",REPT("█",ROUND(MIN($G23,1)*20,0)))</f>
        <v/>
      </c>
    </row>
    <row r="24" customFormat="false" ht="15" hidden="false" customHeight="false" outlineLevel="0" collapsed="false">
      <c r="B24" s="8" t="str">
        <f aca="true">IFERROR(INDEX(daftar_kadus,19),"")</f>
        <v/>
      </c>
      <c r="C24" s="19" t="str">
        <f aca="false">IF($B24="","",IFERROR(INDEX(REFERENSI!$C$6:$C$45,19),0))</f>
        <v/>
      </c>
      <c r="D24" s="18" t="str">
        <f aca="false">IF($B24="","",COUNTIF(DATABASE!$E$4:$E$2003,$B24))</f>
        <v/>
      </c>
      <c r="E24" s="19" t="str">
        <f aca="false">IF($B24="","",COUNTIFS(DATABASE!$E$4:$E$2003,$B24,DATABASE!$O$4:$O$2003,"Aktif"))</f>
        <v/>
      </c>
      <c r="F24" s="19" t="str">
        <f aca="false">IF($B24="","",MAX(0,$C24-$D24))</f>
        <v/>
      </c>
      <c r="G24" s="69" t="str">
        <f aca="false">IF(OR($B24="",$C24=0),"",$D24/$C24)</f>
        <v/>
      </c>
      <c r="H24" s="70" t="str">
        <f aca="false">IF($G24="","",REPT("█",ROUND(MIN($G24,1)*20,0)))</f>
        <v/>
      </c>
    </row>
    <row r="25" customFormat="false" ht="15" hidden="false" customHeight="false" outlineLevel="0" collapsed="false">
      <c r="B25" s="12" t="str">
        <f aca="true">IFERROR(INDEX(daftar_kadus,20),"")</f>
        <v/>
      </c>
      <c r="C25" s="23" t="str">
        <f aca="false">IF($B25="","",IFERROR(INDEX(REFERENSI!$C$6:$C$45,20),0))</f>
        <v/>
      </c>
      <c r="D25" s="22" t="str">
        <f aca="false">IF($B25="","",COUNTIF(DATABASE!$E$4:$E$2003,$B25))</f>
        <v/>
      </c>
      <c r="E25" s="23" t="str">
        <f aca="false">IF($B25="","",COUNTIFS(DATABASE!$E$4:$E$2003,$B25,DATABASE!$O$4:$O$2003,"Aktif"))</f>
        <v/>
      </c>
      <c r="F25" s="23" t="str">
        <f aca="false">IF($B25="","",MAX(0,$C25-$D25))</f>
        <v/>
      </c>
      <c r="G25" s="71" t="str">
        <f aca="false">IF(OR($B25="",$C25=0),"",$D25/$C25)</f>
        <v/>
      </c>
      <c r="H25" s="72" t="str">
        <f aca="false">IF($G25="","",REPT("█",ROUND(MIN($G25,1)*20,0)))</f>
        <v/>
      </c>
    </row>
    <row r="26" customFormat="false" ht="15" hidden="false" customHeight="false" outlineLevel="0" collapsed="false">
      <c r="B26" s="57" t="s">
        <v>36</v>
      </c>
      <c r="C26" s="26" t="n">
        <f aca="false">SUM(C6:C25)</f>
        <v>250</v>
      </c>
      <c r="D26" s="26" t="n">
        <f aca="false">SUM(D6:D25)</f>
        <v>0</v>
      </c>
      <c r="E26" s="26" t="n">
        <f aca="false">SUM(E6:E25)</f>
        <v>0</v>
      </c>
      <c r="F26" s="26" t="n">
        <f aca="false">SUM(F6:F25)</f>
        <v>250</v>
      </c>
      <c r="G26" s="27" t="n">
        <f aca="false">IF($C26=0,"",$D26/$C26)</f>
        <v>0</v>
      </c>
      <c r="H26" s="57" t="str">
        <f aca="false">IF($G26="","",REPT("█",ROUND(MIN($G26,1)*20,0)))</f>
        <v/>
      </c>
    </row>
    <row r="28" customFormat="false" ht="15" hidden="false" customHeight="false" outlineLevel="0" collapsed="false">
      <c r="B28" s="64" t="s">
        <v>104</v>
      </c>
    </row>
    <row r="29" customFormat="false" ht="15" hidden="false" customHeight="false" outlineLevel="0" collapsed="false">
      <c r="B29" s="73" t="s">
        <v>105</v>
      </c>
      <c r="C29" s="73"/>
      <c r="D29" s="73"/>
    </row>
    <row r="30" customFormat="false" ht="15" hidden="false" customHeight="false" outlineLevel="0" collapsed="false">
      <c r="B30" s="74" t="s">
        <v>106</v>
      </c>
      <c r="C30" s="74"/>
      <c r="D30" s="74"/>
    </row>
    <row r="31" customFormat="false" ht="15" hidden="false" customHeight="false" outlineLevel="0" collapsed="false">
      <c r="B31" s="75" t="s">
        <v>107</v>
      </c>
      <c r="C31" s="75"/>
      <c r="D31" s="75"/>
    </row>
    <row r="33" customFormat="false" ht="15" hidden="false" customHeight="false" outlineLevel="0" collapsed="false">
      <c r="B33" s="28" t="s">
        <v>108</v>
      </c>
      <c r="C33" s="28"/>
      <c r="D33" s="28"/>
      <c r="E33" s="28"/>
      <c r="F33" s="28"/>
      <c r="G33" s="28"/>
      <c r="H33" s="28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G6:G25">
    <cfRule type="cellIs" priority="2" operator="greaterThanOrEqual" aboveAverage="0" equalAverage="0" bottom="0" percent="0" rank="0" text="" dxfId="10">
      <formula>1</formula>
    </cfRule>
    <cfRule type="cellIs" priority="3" operator="between" aboveAverage="0" equalAverage="0" bottom="0" percent="0" rank="0" text="" dxfId="2">
      <formula>0.5</formula>
      <formula>0.999999</formula>
    </cfRule>
    <cfRule type="cellIs" priority="4" operator="lessThan" aboveAverage="0" equalAverage="0" bottom="0" percent="0" rank="0" text="" dxfId="11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30" t="s">
        <v>109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34</v>
      </c>
      <c r="C2" s="32" t="s">
        <v>110</v>
      </c>
    </row>
    <row r="4" customFormat="false" ht="19.5" hidden="false" customHeight="true" outlineLevel="0" collapsed="false">
      <c r="B4" s="5" t="s">
        <v>111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8" t="s">
        <v>112</v>
      </c>
      <c r="C5" s="8"/>
      <c r="D5" s="8"/>
      <c r="E5" s="76" t="n">
        <f aca="false">COUNTA(DATABASE!$B$4:$B$2003)</f>
        <v>0</v>
      </c>
    </row>
    <row r="6" customFormat="false" ht="15" hidden="false" customHeight="false" outlineLevel="0" collapsed="false">
      <c r="B6" s="12" t="s">
        <v>113</v>
      </c>
      <c r="C6" s="12"/>
      <c r="D6" s="12"/>
      <c r="E6" s="77" t="n">
        <f aca="false">COUNT(DATABASE!$V$4:$V$2003)</f>
        <v>0</v>
      </c>
    </row>
    <row r="7" customFormat="false" ht="15" hidden="false" customHeight="false" outlineLevel="0" collapsed="false">
      <c r="B7" s="8" t="s">
        <v>114</v>
      </c>
      <c r="C7" s="8"/>
      <c r="D7" s="8"/>
      <c r="E7" s="76" t="n">
        <f aca="false">COUNTIF(DATABASE!$T$4:$T$2003,"NIK kosong")</f>
        <v>0</v>
      </c>
    </row>
    <row r="8" customFormat="false" ht="15" hidden="false" customHeight="false" outlineLevel="0" collapsed="false">
      <c r="B8" s="12" t="s">
        <v>115</v>
      </c>
      <c r="C8" s="12"/>
      <c r="D8" s="12"/>
      <c r="E8" s="77" t="n">
        <f aca="false">COUNTIF(DATABASE!$T$4:$T$2003,"NIK bukan 16 digit")</f>
        <v>0</v>
      </c>
    </row>
    <row r="9" customFormat="false" ht="15" hidden="false" customHeight="false" outlineLevel="0" collapsed="false">
      <c r="B9" s="8" t="s">
        <v>116</v>
      </c>
      <c r="C9" s="8"/>
      <c r="D9" s="8"/>
      <c r="E9" s="76" t="n">
        <f aca="false">COUNTIF(DATABASE!$T$4:$T$2003,"NIK ganda")</f>
        <v>0</v>
      </c>
    </row>
    <row r="10" customFormat="false" ht="15" hidden="false" customHeight="false" outlineLevel="0" collapsed="false">
      <c r="B10" s="12" t="s">
        <v>117</v>
      </c>
      <c r="C10" s="12"/>
      <c r="D10" s="12"/>
      <c r="E10" s="77" t="n">
        <f aca="false">COUNTIF(DATABASE!$T$4:$T$2003,"Kadus kosong")</f>
        <v>0</v>
      </c>
    </row>
    <row r="11" customFormat="false" ht="15" hidden="false" customHeight="false" outlineLevel="0" collapsed="false">
      <c r="B11" s="8" t="s">
        <v>118</v>
      </c>
      <c r="C11" s="8"/>
      <c r="D11" s="8"/>
      <c r="E11" s="76" t="n">
        <f aca="false">COUNTIF(DATABASE!$T$4:$T$2003,"RT kosong")</f>
        <v>0</v>
      </c>
    </row>
    <row r="12" customFormat="false" ht="15" hidden="false" customHeight="false" outlineLevel="0" collapsed="false">
      <c r="B12" s="12" t="s">
        <v>119</v>
      </c>
      <c r="C12" s="12"/>
      <c r="D12" s="12"/>
      <c r="E12" s="77" t="n">
        <f aca="false">COUNTIF(DATABASE!$T$4:$T$2003,"Jabatan kosong")</f>
        <v>0</v>
      </c>
    </row>
    <row r="13" customFormat="false" ht="15" hidden="false" customHeight="false" outlineLevel="0" collapsed="false">
      <c r="B13" s="8" t="s">
        <v>120</v>
      </c>
      <c r="C13" s="8"/>
      <c r="D13" s="8"/>
      <c r="E13" s="76" t="n">
        <f aca="false">COUNTIF(DATABASE!$T$4:$T$2003,"No. HP kosong")</f>
        <v>0</v>
      </c>
    </row>
    <row r="14" customFormat="false" ht="15" hidden="false" customHeight="false" outlineLevel="0" collapsed="false">
      <c r="B14" s="12" t="s">
        <v>121</v>
      </c>
      <c r="C14" s="12"/>
      <c r="D14" s="12"/>
      <c r="E14" s="77" t="n">
        <f aca="false">COUNTIF(DATABASE!$T$4:$T$2003,"Alamat kosong")</f>
        <v>0</v>
      </c>
    </row>
    <row r="15" customFormat="false" ht="15" hidden="false" customHeight="false" outlineLevel="0" collapsed="false">
      <c r="B15" s="8" t="s">
        <v>122</v>
      </c>
      <c r="C15" s="8"/>
      <c r="D15" s="8"/>
      <c r="E15" s="76" t="n">
        <f aca="false">COUNTIF(DATABASE!$T$4:$T$2003,"Usia di bawah 17")</f>
        <v>0</v>
      </c>
    </row>
    <row r="16" customFormat="false" ht="15" hidden="false" customHeight="false" outlineLevel="0" collapsed="false">
      <c r="B16" s="12" t="s">
        <v>90</v>
      </c>
      <c r="C16" s="12"/>
      <c r="D16" s="12"/>
      <c r="E16" s="77" t="n">
        <f aca="false">COUNTA(DATABASE!$B$4:$B$2003)-COUNT(DATABASE!$M$4:$M$2003)</f>
        <v>0</v>
      </c>
    </row>
    <row r="17" customFormat="false" ht="15" hidden="false" customHeight="false" outlineLevel="0" collapsed="false">
      <c r="B17" s="8" t="s">
        <v>123</v>
      </c>
      <c r="C17" s="8"/>
      <c r="D17" s="8"/>
      <c r="E17" s="76" t="n">
        <f aca="false">COUNTIFS(DATABASE!$B$4:$B$2003,"&lt;&gt;",DATABASE!$O$4:$O$2003,"")</f>
        <v>0</v>
      </c>
    </row>
    <row r="19" customFormat="false" ht="15" hidden="false" customHeight="false" outlineLevel="0" collapsed="false">
      <c r="B19" s="28" t="s">
        <v>124</v>
      </c>
      <c r="C19" s="28"/>
      <c r="D19" s="28"/>
      <c r="E19" s="28"/>
      <c r="F19" s="28"/>
      <c r="G19" s="28"/>
      <c r="H19" s="28"/>
    </row>
    <row r="20" customFormat="false" ht="19.5" hidden="false" customHeight="true" outlineLevel="0" collapsed="false">
      <c r="B20" s="5" t="s">
        <v>125</v>
      </c>
      <c r="C20" s="5"/>
      <c r="D20" s="5"/>
      <c r="E20" s="5"/>
      <c r="F20" s="5"/>
      <c r="G20" s="5"/>
      <c r="H20" s="5"/>
    </row>
    <row r="21" customFormat="false" ht="21.75" hidden="false" customHeight="true" outlineLevel="0" collapsed="false">
      <c r="B21" s="16" t="s">
        <v>38</v>
      </c>
      <c r="C21" s="16" t="s">
        <v>39</v>
      </c>
      <c r="D21" s="16" t="s">
        <v>76</v>
      </c>
      <c r="E21" s="16" t="s">
        <v>24</v>
      </c>
      <c r="F21" s="16" t="s">
        <v>42</v>
      </c>
      <c r="G21" s="16" t="s">
        <v>56</v>
      </c>
      <c r="H21" s="16" t="s">
        <v>45</v>
      </c>
    </row>
    <row r="22" customFormat="false" ht="15" hidden="false" customHeight="false" outlineLevel="0" collapsed="false">
      <c r="B22" s="46" t="n">
        <v>1</v>
      </c>
      <c r="C22" s="47" t="str">
        <f aca="false">IFERROR(INDEX(DATABASE!$B$4:$B$2003,MATCH($B22,DATABASE!$V$4:$V$2003,0))&amp;"","")</f>
        <v/>
      </c>
      <c r="D22" s="48" t="str">
        <f aca="false">IFERROR(INDEX(DATABASE!$C$4:$C$2003,MATCH($B22,DATABASE!$V$4:$V$2003,0))&amp;"","")</f>
        <v/>
      </c>
      <c r="E22" s="46" t="str">
        <f aca="false">IFERROR(INDEX(DATABASE!$E$4:$E$2003,MATCH($B22,DATABASE!$V$4:$V$2003,0))&amp;"","")</f>
        <v/>
      </c>
      <c r="F22" s="48" t="str">
        <f aca="false">IFERROR(INDEX(DATABASE!$F$4:$F$2003,MATCH($B22,DATABASE!$V$4:$V$2003,0))&amp;"","")</f>
        <v/>
      </c>
      <c r="G22" s="78" t="str">
        <f aca="false">IFERROR(INDEX(DATABASE!$T$4:$T$2003,MATCH($B22,DATABASE!$V$4:$V$2003,0))&amp;"","")</f>
        <v/>
      </c>
      <c r="H22" s="46" t="str">
        <f aca="false">IFERROR(INDEX(DATABASE!$I$4:$I$2003,MATCH($B22,DATABASE!$V$4:$V$2003,0))&amp;"","")</f>
        <v/>
      </c>
    </row>
    <row r="23" customFormat="false" ht="15" hidden="false" customHeight="false" outlineLevel="0" collapsed="false">
      <c r="B23" s="49" t="n">
        <v>2</v>
      </c>
      <c r="C23" s="50" t="str">
        <f aca="false">IFERROR(INDEX(DATABASE!$B$4:$B$2003,MATCH($B23,DATABASE!$V$4:$V$2003,0))&amp;"","")</f>
        <v/>
      </c>
      <c r="D23" s="51" t="str">
        <f aca="false">IFERROR(INDEX(DATABASE!$C$4:$C$2003,MATCH($B23,DATABASE!$V$4:$V$2003,0))&amp;"","")</f>
        <v/>
      </c>
      <c r="E23" s="49" t="str">
        <f aca="false">IFERROR(INDEX(DATABASE!$E$4:$E$2003,MATCH($B23,DATABASE!$V$4:$V$2003,0))&amp;"","")</f>
        <v/>
      </c>
      <c r="F23" s="51" t="str">
        <f aca="false">IFERROR(INDEX(DATABASE!$F$4:$F$2003,MATCH($B23,DATABASE!$V$4:$V$2003,0))&amp;"","")</f>
        <v/>
      </c>
      <c r="G23" s="79" t="str">
        <f aca="false">IFERROR(INDEX(DATABASE!$T$4:$T$2003,MATCH($B23,DATABASE!$V$4:$V$2003,0))&amp;"","")</f>
        <v/>
      </c>
      <c r="H23" s="49" t="str">
        <f aca="false">IFERROR(INDEX(DATABASE!$I$4:$I$2003,MATCH($B23,DATABASE!$V$4:$V$2003,0))&amp;"","")</f>
        <v/>
      </c>
    </row>
    <row r="24" customFormat="false" ht="15" hidden="false" customHeight="false" outlineLevel="0" collapsed="false">
      <c r="B24" s="46" t="n">
        <v>3</v>
      </c>
      <c r="C24" s="47" t="str">
        <f aca="false">IFERROR(INDEX(DATABASE!$B$4:$B$2003,MATCH($B24,DATABASE!$V$4:$V$2003,0))&amp;"","")</f>
        <v/>
      </c>
      <c r="D24" s="48" t="str">
        <f aca="false">IFERROR(INDEX(DATABASE!$C$4:$C$2003,MATCH($B24,DATABASE!$V$4:$V$2003,0))&amp;"","")</f>
        <v/>
      </c>
      <c r="E24" s="46" t="str">
        <f aca="false">IFERROR(INDEX(DATABASE!$E$4:$E$2003,MATCH($B24,DATABASE!$V$4:$V$2003,0))&amp;"","")</f>
        <v/>
      </c>
      <c r="F24" s="48" t="str">
        <f aca="false">IFERROR(INDEX(DATABASE!$F$4:$F$2003,MATCH($B24,DATABASE!$V$4:$V$2003,0))&amp;"","")</f>
        <v/>
      </c>
      <c r="G24" s="78" t="str">
        <f aca="false">IFERROR(INDEX(DATABASE!$T$4:$T$2003,MATCH($B24,DATABASE!$V$4:$V$2003,0))&amp;"","")</f>
        <v/>
      </c>
      <c r="H24" s="46" t="str">
        <f aca="false">IFERROR(INDEX(DATABASE!$I$4:$I$2003,MATCH($B24,DATABASE!$V$4:$V$2003,0))&amp;"","")</f>
        <v/>
      </c>
    </row>
    <row r="25" customFormat="false" ht="15" hidden="false" customHeight="false" outlineLevel="0" collapsed="false">
      <c r="B25" s="49" t="n">
        <v>4</v>
      </c>
      <c r="C25" s="50" t="str">
        <f aca="false">IFERROR(INDEX(DATABASE!$B$4:$B$2003,MATCH($B25,DATABASE!$V$4:$V$2003,0))&amp;"","")</f>
        <v/>
      </c>
      <c r="D25" s="51" t="str">
        <f aca="false">IFERROR(INDEX(DATABASE!$C$4:$C$2003,MATCH($B25,DATABASE!$V$4:$V$2003,0))&amp;"","")</f>
        <v/>
      </c>
      <c r="E25" s="49" t="str">
        <f aca="false">IFERROR(INDEX(DATABASE!$E$4:$E$2003,MATCH($B25,DATABASE!$V$4:$V$2003,0))&amp;"","")</f>
        <v/>
      </c>
      <c r="F25" s="51" t="str">
        <f aca="false">IFERROR(INDEX(DATABASE!$F$4:$F$2003,MATCH($B25,DATABASE!$V$4:$V$2003,0))&amp;"","")</f>
        <v/>
      </c>
      <c r="G25" s="79" t="str">
        <f aca="false">IFERROR(INDEX(DATABASE!$T$4:$T$2003,MATCH($B25,DATABASE!$V$4:$V$2003,0))&amp;"","")</f>
        <v/>
      </c>
      <c r="H25" s="49" t="str">
        <f aca="false">IFERROR(INDEX(DATABASE!$I$4:$I$2003,MATCH($B25,DATABASE!$V$4:$V$2003,0))&amp;"","")</f>
        <v/>
      </c>
    </row>
    <row r="26" customFormat="false" ht="15" hidden="false" customHeight="false" outlineLevel="0" collapsed="false">
      <c r="B26" s="46" t="n">
        <v>5</v>
      </c>
      <c r="C26" s="47" t="str">
        <f aca="false">IFERROR(INDEX(DATABASE!$B$4:$B$2003,MATCH($B26,DATABASE!$V$4:$V$2003,0))&amp;"","")</f>
        <v/>
      </c>
      <c r="D26" s="48" t="str">
        <f aca="false">IFERROR(INDEX(DATABASE!$C$4:$C$2003,MATCH($B26,DATABASE!$V$4:$V$2003,0))&amp;"","")</f>
        <v/>
      </c>
      <c r="E26" s="46" t="str">
        <f aca="false">IFERROR(INDEX(DATABASE!$E$4:$E$2003,MATCH($B26,DATABASE!$V$4:$V$2003,0))&amp;"","")</f>
        <v/>
      </c>
      <c r="F26" s="48" t="str">
        <f aca="false">IFERROR(INDEX(DATABASE!$F$4:$F$2003,MATCH($B26,DATABASE!$V$4:$V$2003,0))&amp;"","")</f>
        <v/>
      </c>
      <c r="G26" s="78" t="str">
        <f aca="false">IFERROR(INDEX(DATABASE!$T$4:$T$2003,MATCH($B26,DATABASE!$V$4:$V$2003,0))&amp;"","")</f>
        <v/>
      </c>
      <c r="H26" s="46" t="str">
        <f aca="false">IFERROR(INDEX(DATABASE!$I$4:$I$2003,MATCH($B26,DATABASE!$V$4:$V$2003,0))&amp;"","")</f>
        <v/>
      </c>
    </row>
    <row r="27" customFormat="false" ht="15" hidden="false" customHeight="false" outlineLevel="0" collapsed="false">
      <c r="B27" s="49" t="n">
        <v>6</v>
      </c>
      <c r="C27" s="50" t="str">
        <f aca="false">IFERROR(INDEX(DATABASE!$B$4:$B$2003,MATCH($B27,DATABASE!$V$4:$V$2003,0))&amp;"","")</f>
        <v/>
      </c>
      <c r="D27" s="51" t="str">
        <f aca="false">IFERROR(INDEX(DATABASE!$C$4:$C$2003,MATCH($B27,DATABASE!$V$4:$V$2003,0))&amp;"","")</f>
        <v/>
      </c>
      <c r="E27" s="49" t="str">
        <f aca="false">IFERROR(INDEX(DATABASE!$E$4:$E$2003,MATCH($B27,DATABASE!$V$4:$V$2003,0))&amp;"","")</f>
        <v/>
      </c>
      <c r="F27" s="51" t="str">
        <f aca="false">IFERROR(INDEX(DATABASE!$F$4:$F$2003,MATCH($B27,DATABASE!$V$4:$V$2003,0))&amp;"","")</f>
        <v/>
      </c>
      <c r="G27" s="79" t="str">
        <f aca="false">IFERROR(INDEX(DATABASE!$T$4:$T$2003,MATCH($B27,DATABASE!$V$4:$V$2003,0))&amp;"","")</f>
        <v/>
      </c>
      <c r="H27" s="49" t="str">
        <f aca="false">IFERROR(INDEX(DATABASE!$I$4:$I$2003,MATCH($B27,DATABASE!$V$4:$V$2003,0))&amp;"","")</f>
        <v/>
      </c>
    </row>
    <row r="28" customFormat="false" ht="15" hidden="false" customHeight="false" outlineLevel="0" collapsed="false">
      <c r="B28" s="46" t="n">
        <v>7</v>
      </c>
      <c r="C28" s="47" t="str">
        <f aca="false">IFERROR(INDEX(DATABASE!$B$4:$B$2003,MATCH($B28,DATABASE!$V$4:$V$2003,0))&amp;"","")</f>
        <v/>
      </c>
      <c r="D28" s="48" t="str">
        <f aca="false">IFERROR(INDEX(DATABASE!$C$4:$C$2003,MATCH($B28,DATABASE!$V$4:$V$2003,0))&amp;"","")</f>
        <v/>
      </c>
      <c r="E28" s="46" t="str">
        <f aca="false">IFERROR(INDEX(DATABASE!$E$4:$E$2003,MATCH($B28,DATABASE!$V$4:$V$2003,0))&amp;"","")</f>
        <v/>
      </c>
      <c r="F28" s="48" t="str">
        <f aca="false">IFERROR(INDEX(DATABASE!$F$4:$F$2003,MATCH($B28,DATABASE!$V$4:$V$2003,0))&amp;"","")</f>
        <v/>
      </c>
      <c r="G28" s="78" t="str">
        <f aca="false">IFERROR(INDEX(DATABASE!$T$4:$T$2003,MATCH($B28,DATABASE!$V$4:$V$2003,0))&amp;"","")</f>
        <v/>
      </c>
      <c r="H28" s="46" t="str">
        <f aca="false">IFERROR(INDEX(DATABASE!$I$4:$I$2003,MATCH($B28,DATABASE!$V$4:$V$2003,0))&amp;"","")</f>
        <v/>
      </c>
    </row>
    <row r="29" customFormat="false" ht="15" hidden="false" customHeight="false" outlineLevel="0" collapsed="false">
      <c r="B29" s="49" t="n">
        <v>8</v>
      </c>
      <c r="C29" s="50" t="str">
        <f aca="false">IFERROR(INDEX(DATABASE!$B$4:$B$2003,MATCH($B29,DATABASE!$V$4:$V$2003,0))&amp;"","")</f>
        <v/>
      </c>
      <c r="D29" s="51" t="str">
        <f aca="false">IFERROR(INDEX(DATABASE!$C$4:$C$2003,MATCH($B29,DATABASE!$V$4:$V$2003,0))&amp;"","")</f>
        <v/>
      </c>
      <c r="E29" s="49" t="str">
        <f aca="false">IFERROR(INDEX(DATABASE!$E$4:$E$2003,MATCH($B29,DATABASE!$V$4:$V$2003,0))&amp;"","")</f>
        <v/>
      </c>
      <c r="F29" s="51" t="str">
        <f aca="false">IFERROR(INDEX(DATABASE!$F$4:$F$2003,MATCH($B29,DATABASE!$V$4:$V$2003,0))&amp;"","")</f>
        <v/>
      </c>
      <c r="G29" s="79" t="str">
        <f aca="false">IFERROR(INDEX(DATABASE!$T$4:$T$2003,MATCH($B29,DATABASE!$V$4:$V$2003,0))&amp;"","")</f>
        <v/>
      </c>
      <c r="H29" s="49" t="str">
        <f aca="false">IFERROR(INDEX(DATABASE!$I$4:$I$2003,MATCH($B29,DATABASE!$V$4:$V$2003,0))&amp;"","")</f>
        <v/>
      </c>
    </row>
    <row r="30" customFormat="false" ht="15" hidden="false" customHeight="false" outlineLevel="0" collapsed="false">
      <c r="B30" s="46" t="n">
        <v>9</v>
      </c>
      <c r="C30" s="47" t="str">
        <f aca="false">IFERROR(INDEX(DATABASE!$B$4:$B$2003,MATCH($B30,DATABASE!$V$4:$V$2003,0))&amp;"","")</f>
        <v/>
      </c>
      <c r="D30" s="48" t="str">
        <f aca="false">IFERROR(INDEX(DATABASE!$C$4:$C$2003,MATCH($B30,DATABASE!$V$4:$V$2003,0))&amp;"","")</f>
        <v/>
      </c>
      <c r="E30" s="46" t="str">
        <f aca="false">IFERROR(INDEX(DATABASE!$E$4:$E$2003,MATCH($B30,DATABASE!$V$4:$V$2003,0))&amp;"","")</f>
        <v/>
      </c>
      <c r="F30" s="48" t="str">
        <f aca="false">IFERROR(INDEX(DATABASE!$F$4:$F$2003,MATCH($B30,DATABASE!$V$4:$V$2003,0))&amp;"","")</f>
        <v/>
      </c>
      <c r="G30" s="78" t="str">
        <f aca="false">IFERROR(INDEX(DATABASE!$T$4:$T$2003,MATCH($B30,DATABASE!$V$4:$V$2003,0))&amp;"","")</f>
        <v/>
      </c>
      <c r="H30" s="46" t="str">
        <f aca="false">IFERROR(INDEX(DATABASE!$I$4:$I$2003,MATCH($B30,DATABASE!$V$4:$V$2003,0))&amp;"","")</f>
        <v/>
      </c>
    </row>
    <row r="31" customFormat="false" ht="15" hidden="false" customHeight="false" outlineLevel="0" collapsed="false">
      <c r="B31" s="49" t="n">
        <v>10</v>
      </c>
      <c r="C31" s="50" t="str">
        <f aca="false">IFERROR(INDEX(DATABASE!$B$4:$B$2003,MATCH($B31,DATABASE!$V$4:$V$2003,0))&amp;"","")</f>
        <v/>
      </c>
      <c r="D31" s="51" t="str">
        <f aca="false">IFERROR(INDEX(DATABASE!$C$4:$C$2003,MATCH($B31,DATABASE!$V$4:$V$2003,0))&amp;"","")</f>
        <v/>
      </c>
      <c r="E31" s="49" t="str">
        <f aca="false">IFERROR(INDEX(DATABASE!$E$4:$E$2003,MATCH($B31,DATABASE!$V$4:$V$2003,0))&amp;"","")</f>
        <v/>
      </c>
      <c r="F31" s="51" t="str">
        <f aca="false">IFERROR(INDEX(DATABASE!$F$4:$F$2003,MATCH($B31,DATABASE!$V$4:$V$2003,0))&amp;"","")</f>
        <v/>
      </c>
      <c r="G31" s="79" t="str">
        <f aca="false">IFERROR(INDEX(DATABASE!$T$4:$T$2003,MATCH($B31,DATABASE!$V$4:$V$2003,0))&amp;"","")</f>
        <v/>
      </c>
      <c r="H31" s="49" t="str">
        <f aca="false">IFERROR(INDEX(DATABASE!$I$4:$I$2003,MATCH($B31,DATABASE!$V$4:$V$2003,0))&amp;"","")</f>
        <v/>
      </c>
    </row>
    <row r="32" customFormat="false" ht="15" hidden="false" customHeight="false" outlineLevel="0" collapsed="false">
      <c r="B32" s="46" t="n">
        <v>11</v>
      </c>
      <c r="C32" s="47" t="str">
        <f aca="false">IFERROR(INDEX(DATABASE!$B$4:$B$2003,MATCH($B32,DATABASE!$V$4:$V$2003,0))&amp;"","")</f>
        <v/>
      </c>
      <c r="D32" s="48" t="str">
        <f aca="false">IFERROR(INDEX(DATABASE!$C$4:$C$2003,MATCH($B32,DATABASE!$V$4:$V$2003,0))&amp;"","")</f>
        <v/>
      </c>
      <c r="E32" s="46" t="str">
        <f aca="false">IFERROR(INDEX(DATABASE!$E$4:$E$2003,MATCH($B32,DATABASE!$V$4:$V$2003,0))&amp;"","")</f>
        <v/>
      </c>
      <c r="F32" s="48" t="str">
        <f aca="false">IFERROR(INDEX(DATABASE!$F$4:$F$2003,MATCH($B32,DATABASE!$V$4:$V$2003,0))&amp;"","")</f>
        <v/>
      </c>
      <c r="G32" s="78" t="str">
        <f aca="false">IFERROR(INDEX(DATABASE!$T$4:$T$2003,MATCH($B32,DATABASE!$V$4:$V$2003,0))&amp;"","")</f>
        <v/>
      </c>
      <c r="H32" s="46" t="str">
        <f aca="false">IFERROR(INDEX(DATABASE!$I$4:$I$2003,MATCH($B32,DATABASE!$V$4:$V$2003,0))&amp;"","")</f>
        <v/>
      </c>
    </row>
    <row r="33" customFormat="false" ht="15" hidden="false" customHeight="false" outlineLevel="0" collapsed="false">
      <c r="B33" s="49" t="n">
        <v>12</v>
      </c>
      <c r="C33" s="50" t="str">
        <f aca="false">IFERROR(INDEX(DATABASE!$B$4:$B$2003,MATCH($B33,DATABASE!$V$4:$V$2003,0))&amp;"","")</f>
        <v/>
      </c>
      <c r="D33" s="51" t="str">
        <f aca="false">IFERROR(INDEX(DATABASE!$C$4:$C$2003,MATCH($B33,DATABASE!$V$4:$V$2003,0))&amp;"","")</f>
        <v/>
      </c>
      <c r="E33" s="49" t="str">
        <f aca="false">IFERROR(INDEX(DATABASE!$E$4:$E$2003,MATCH($B33,DATABASE!$V$4:$V$2003,0))&amp;"","")</f>
        <v/>
      </c>
      <c r="F33" s="51" t="str">
        <f aca="false">IFERROR(INDEX(DATABASE!$F$4:$F$2003,MATCH($B33,DATABASE!$V$4:$V$2003,0))&amp;"","")</f>
        <v/>
      </c>
      <c r="G33" s="79" t="str">
        <f aca="false">IFERROR(INDEX(DATABASE!$T$4:$T$2003,MATCH($B33,DATABASE!$V$4:$V$2003,0))&amp;"","")</f>
        <v/>
      </c>
      <c r="H33" s="49" t="str">
        <f aca="false">IFERROR(INDEX(DATABASE!$I$4:$I$2003,MATCH($B33,DATABASE!$V$4:$V$2003,0))&amp;"","")</f>
        <v/>
      </c>
    </row>
    <row r="34" customFormat="false" ht="15" hidden="false" customHeight="false" outlineLevel="0" collapsed="false">
      <c r="B34" s="46" t="n">
        <v>13</v>
      </c>
      <c r="C34" s="47" t="str">
        <f aca="false">IFERROR(INDEX(DATABASE!$B$4:$B$2003,MATCH($B34,DATABASE!$V$4:$V$2003,0))&amp;"","")</f>
        <v/>
      </c>
      <c r="D34" s="48" t="str">
        <f aca="false">IFERROR(INDEX(DATABASE!$C$4:$C$2003,MATCH($B34,DATABASE!$V$4:$V$2003,0))&amp;"","")</f>
        <v/>
      </c>
      <c r="E34" s="46" t="str">
        <f aca="false">IFERROR(INDEX(DATABASE!$E$4:$E$2003,MATCH($B34,DATABASE!$V$4:$V$2003,0))&amp;"","")</f>
        <v/>
      </c>
      <c r="F34" s="48" t="str">
        <f aca="false">IFERROR(INDEX(DATABASE!$F$4:$F$2003,MATCH($B34,DATABASE!$V$4:$V$2003,0))&amp;"","")</f>
        <v/>
      </c>
      <c r="G34" s="78" t="str">
        <f aca="false">IFERROR(INDEX(DATABASE!$T$4:$T$2003,MATCH($B34,DATABASE!$V$4:$V$2003,0))&amp;"","")</f>
        <v/>
      </c>
      <c r="H34" s="46" t="str">
        <f aca="false">IFERROR(INDEX(DATABASE!$I$4:$I$2003,MATCH($B34,DATABASE!$V$4:$V$2003,0))&amp;"","")</f>
        <v/>
      </c>
    </row>
    <row r="35" customFormat="false" ht="15" hidden="false" customHeight="false" outlineLevel="0" collapsed="false">
      <c r="B35" s="49" t="n">
        <v>14</v>
      </c>
      <c r="C35" s="50" t="str">
        <f aca="false">IFERROR(INDEX(DATABASE!$B$4:$B$2003,MATCH($B35,DATABASE!$V$4:$V$2003,0))&amp;"","")</f>
        <v/>
      </c>
      <c r="D35" s="51" t="str">
        <f aca="false">IFERROR(INDEX(DATABASE!$C$4:$C$2003,MATCH($B35,DATABASE!$V$4:$V$2003,0))&amp;"","")</f>
        <v/>
      </c>
      <c r="E35" s="49" t="str">
        <f aca="false">IFERROR(INDEX(DATABASE!$E$4:$E$2003,MATCH($B35,DATABASE!$V$4:$V$2003,0))&amp;"","")</f>
        <v/>
      </c>
      <c r="F35" s="51" t="str">
        <f aca="false">IFERROR(INDEX(DATABASE!$F$4:$F$2003,MATCH($B35,DATABASE!$V$4:$V$2003,0))&amp;"","")</f>
        <v/>
      </c>
      <c r="G35" s="79" t="str">
        <f aca="false">IFERROR(INDEX(DATABASE!$T$4:$T$2003,MATCH($B35,DATABASE!$V$4:$V$2003,0))&amp;"","")</f>
        <v/>
      </c>
      <c r="H35" s="49" t="str">
        <f aca="false">IFERROR(INDEX(DATABASE!$I$4:$I$2003,MATCH($B35,DATABASE!$V$4:$V$2003,0))&amp;"","")</f>
        <v/>
      </c>
    </row>
    <row r="36" customFormat="false" ht="15" hidden="false" customHeight="false" outlineLevel="0" collapsed="false">
      <c r="B36" s="46" t="n">
        <v>15</v>
      </c>
      <c r="C36" s="47" t="str">
        <f aca="false">IFERROR(INDEX(DATABASE!$B$4:$B$2003,MATCH($B36,DATABASE!$V$4:$V$2003,0))&amp;"","")</f>
        <v/>
      </c>
      <c r="D36" s="48" t="str">
        <f aca="false">IFERROR(INDEX(DATABASE!$C$4:$C$2003,MATCH($B36,DATABASE!$V$4:$V$2003,0))&amp;"","")</f>
        <v/>
      </c>
      <c r="E36" s="46" t="str">
        <f aca="false">IFERROR(INDEX(DATABASE!$E$4:$E$2003,MATCH($B36,DATABASE!$V$4:$V$2003,0))&amp;"","")</f>
        <v/>
      </c>
      <c r="F36" s="48" t="str">
        <f aca="false">IFERROR(INDEX(DATABASE!$F$4:$F$2003,MATCH($B36,DATABASE!$V$4:$V$2003,0))&amp;"","")</f>
        <v/>
      </c>
      <c r="G36" s="78" t="str">
        <f aca="false">IFERROR(INDEX(DATABASE!$T$4:$T$2003,MATCH($B36,DATABASE!$V$4:$V$2003,0))&amp;"","")</f>
        <v/>
      </c>
      <c r="H36" s="46" t="str">
        <f aca="false">IFERROR(INDEX(DATABASE!$I$4:$I$2003,MATCH($B36,DATABASE!$V$4:$V$2003,0))&amp;"","")</f>
        <v/>
      </c>
    </row>
    <row r="37" customFormat="false" ht="15" hidden="false" customHeight="false" outlineLevel="0" collapsed="false">
      <c r="B37" s="49" t="n">
        <v>16</v>
      </c>
      <c r="C37" s="50" t="str">
        <f aca="false">IFERROR(INDEX(DATABASE!$B$4:$B$2003,MATCH($B37,DATABASE!$V$4:$V$2003,0))&amp;"","")</f>
        <v/>
      </c>
      <c r="D37" s="51" t="str">
        <f aca="false">IFERROR(INDEX(DATABASE!$C$4:$C$2003,MATCH($B37,DATABASE!$V$4:$V$2003,0))&amp;"","")</f>
        <v/>
      </c>
      <c r="E37" s="49" t="str">
        <f aca="false">IFERROR(INDEX(DATABASE!$E$4:$E$2003,MATCH($B37,DATABASE!$V$4:$V$2003,0))&amp;"","")</f>
        <v/>
      </c>
      <c r="F37" s="51" t="str">
        <f aca="false">IFERROR(INDEX(DATABASE!$F$4:$F$2003,MATCH($B37,DATABASE!$V$4:$V$2003,0))&amp;"","")</f>
        <v/>
      </c>
      <c r="G37" s="79" t="str">
        <f aca="false">IFERROR(INDEX(DATABASE!$T$4:$T$2003,MATCH($B37,DATABASE!$V$4:$V$2003,0))&amp;"","")</f>
        <v/>
      </c>
      <c r="H37" s="49" t="str">
        <f aca="false">IFERROR(INDEX(DATABASE!$I$4:$I$2003,MATCH($B37,DATABASE!$V$4:$V$2003,0))&amp;"","")</f>
        <v/>
      </c>
    </row>
    <row r="38" customFormat="false" ht="15" hidden="false" customHeight="false" outlineLevel="0" collapsed="false">
      <c r="B38" s="46" t="n">
        <v>17</v>
      </c>
      <c r="C38" s="47" t="str">
        <f aca="false">IFERROR(INDEX(DATABASE!$B$4:$B$2003,MATCH($B38,DATABASE!$V$4:$V$2003,0))&amp;"","")</f>
        <v/>
      </c>
      <c r="D38" s="48" t="str">
        <f aca="false">IFERROR(INDEX(DATABASE!$C$4:$C$2003,MATCH($B38,DATABASE!$V$4:$V$2003,0))&amp;"","")</f>
        <v/>
      </c>
      <c r="E38" s="46" t="str">
        <f aca="false">IFERROR(INDEX(DATABASE!$E$4:$E$2003,MATCH($B38,DATABASE!$V$4:$V$2003,0))&amp;"","")</f>
        <v/>
      </c>
      <c r="F38" s="48" t="str">
        <f aca="false">IFERROR(INDEX(DATABASE!$F$4:$F$2003,MATCH($B38,DATABASE!$V$4:$V$2003,0))&amp;"","")</f>
        <v/>
      </c>
      <c r="G38" s="78" t="str">
        <f aca="false">IFERROR(INDEX(DATABASE!$T$4:$T$2003,MATCH($B38,DATABASE!$V$4:$V$2003,0))&amp;"","")</f>
        <v/>
      </c>
      <c r="H38" s="46" t="str">
        <f aca="false">IFERROR(INDEX(DATABASE!$I$4:$I$2003,MATCH($B38,DATABASE!$V$4:$V$2003,0))&amp;"","")</f>
        <v/>
      </c>
    </row>
    <row r="39" customFormat="false" ht="15" hidden="false" customHeight="false" outlineLevel="0" collapsed="false">
      <c r="B39" s="49" t="n">
        <v>18</v>
      </c>
      <c r="C39" s="50" t="str">
        <f aca="false">IFERROR(INDEX(DATABASE!$B$4:$B$2003,MATCH($B39,DATABASE!$V$4:$V$2003,0))&amp;"","")</f>
        <v/>
      </c>
      <c r="D39" s="51" t="str">
        <f aca="false">IFERROR(INDEX(DATABASE!$C$4:$C$2003,MATCH($B39,DATABASE!$V$4:$V$2003,0))&amp;"","")</f>
        <v/>
      </c>
      <c r="E39" s="49" t="str">
        <f aca="false">IFERROR(INDEX(DATABASE!$E$4:$E$2003,MATCH($B39,DATABASE!$V$4:$V$2003,0))&amp;"","")</f>
        <v/>
      </c>
      <c r="F39" s="51" t="str">
        <f aca="false">IFERROR(INDEX(DATABASE!$F$4:$F$2003,MATCH($B39,DATABASE!$V$4:$V$2003,0))&amp;"","")</f>
        <v/>
      </c>
      <c r="G39" s="79" t="str">
        <f aca="false">IFERROR(INDEX(DATABASE!$T$4:$T$2003,MATCH($B39,DATABASE!$V$4:$V$2003,0))&amp;"","")</f>
        <v/>
      </c>
      <c r="H39" s="49" t="str">
        <f aca="false">IFERROR(INDEX(DATABASE!$I$4:$I$2003,MATCH($B39,DATABASE!$V$4:$V$2003,0))&amp;"","")</f>
        <v/>
      </c>
    </row>
    <row r="40" customFormat="false" ht="15" hidden="false" customHeight="false" outlineLevel="0" collapsed="false">
      <c r="B40" s="46" t="n">
        <v>19</v>
      </c>
      <c r="C40" s="47" t="str">
        <f aca="false">IFERROR(INDEX(DATABASE!$B$4:$B$2003,MATCH($B40,DATABASE!$V$4:$V$2003,0))&amp;"","")</f>
        <v/>
      </c>
      <c r="D40" s="48" t="str">
        <f aca="false">IFERROR(INDEX(DATABASE!$C$4:$C$2003,MATCH($B40,DATABASE!$V$4:$V$2003,0))&amp;"","")</f>
        <v/>
      </c>
      <c r="E40" s="46" t="str">
        <f aca="false">IFERROR(INDEX(DATABASE!$E$4:$E$2003,MATCH($B40,DATABASE!$V$4:$V$2003,0))&amp;"","")</f>
        <v/>
      </c>
      <c r="F40" s="48" t="str">
        <f aca="false">IFERROR(INDEX(DATABASE!$F$4:$F$2003,MATCH($B40,DATABASE!$V$4:$V$2003,0))&amp;"","")</f>
        <v/>
      </c>
      <c r="G40" s="78" t="str">
        <f aca="false">IFERROR(INDEX(DATABASE!$T$4:$T$2003,MATCH($B40,DATABASE!$V$4:$V$2003,0))&amp;"","")</f>
        <v/>
      </c>
      <c r="H40" s="46" t="str">
        <f aca="false">IFERROR(INDEX(DATABASE!$I$4:$I$2003,MATCH($B40,DATABASE!$V$4:$V$2003,0))&amp;"","")</f>
        <v/>
      </c>
    </row>
    <row r="41" customFormat="false" ht="15" hidden="false" customHeight="false" outlineLevel="0" collapsed="false">
      <c r="B41" s="49" t="n">
        <v>20</v>
      </c>
      <c r="C41" s="50" t="str">
        <f aca="false">IFERROR(INDEX(DATABASE!$B$4:$B$2003,MATCH($B41,DATABASE!$V$4:$V$2003,0))&amp;"","")</f>
        <v/>
      </c>
      <c r="D41" s="51" t="str">
        <f aca="false">IFERROR(INDEX(DATABASE!$C$4:$C$2003,MATCH($B41,DATABASE!$V$4:$V$2003,0))&amp;"","")</f>
        <v/>
      </c>
      <c r="E41" s="49" t="str">
        <f aca="false">IFERROR(INDEX(DATABASE!$E$4:$E$2003,MATCH($B41,DATABASE!$V$4:$V$2003,0))&amp;"","")</f>
        <v/>
      </c>
      <c r="F41" s="51" t="str">
        <f aca="false">IFERROR(INDEX(DATABASE!$F$4:$F$2003,MATCH($B41,DATABASE!$V$4:$V$2003,0))&amp;"","")</f>
        <v/>
      </c>
      <c r="G41" s="79" t="str">
        <f aca="false">IFERROR(INDEX(DATABASE!$T$4:$T$2003,MATCH($B41,DATABASE!$V$4:$V$2003,0))&amp;"","")</f>
        <v/>
      </c>
      <c r="H41" s="49" t="str">
        <f aca="false">IFERROR(INDEX(DATABASE!$I$4:$I$2003,MATCH($B41,DATABASE!$V$4:$V$2003,0))&amp;"","")</f>
        <v/>
      </c>
    </row>
    <row r="42" customFormat="false" ht="15" hidden="false" customHeight="false" outlineLevel="0" collapsed="false">
      <c r="B42" s="46" t="n">
        <v>21</v>
      </c>
      <c r="C42" s="47" t="str">
        <f aca="false">IFERROR(INDEX(DATABASE!$B$4:$B$2003,MATCH($B42,DATABASE!$V$4:$V$2003,0))&amp;"","")</f>
        <v/>
      </c>
      <c r="D42" s="48" t="str">
        <f aca="false">IFERROR(INDEX(DATABASE!$C$4:$C$2003,MATCH($B42,DATABASE!$V$4:$V$2003,0))&amp;"","")</f>
        <v/>
      </c>
      <c r="E42" s="46" t="str">
        <f aca="false">IFERROR(INDEX(DATABASE!$E$4:$E$2003,MATCH($B42,DATABASE!$V$4:$V$2003,0))&amp;"","")</f>
        <v/>
      </c>
      <c r="F42" s="48" t="str">
        <f aca="false">IFERROR(INDEX(DATABASE!$F$4:$F$2003,MATCH($B42,DATABASE!$V$4:$V$2003,0))&amp;"","")</f>
        <v/>
      </c>
      <c r="G42" s="78" t="str">
        <f aca="false">IFERROR(INDEX(DATABASE!$T$4:$T$2003,MATCH($B42,DATABASE!$V$4:$V$2003,0))&amp;"","")</f>
        <v/>
      </c>
      <c r="H42" s="46" t="str">
        <f aca="false">IFERROR(INDEX(DATABASE!$I$4:$I$2003,MATCH($B42,DATABASE!$V$4:$V$2003,0))&amp;"","")</f>
        <v/>
      </c>
    </row>
    <row r="43" customFormat="false" ht="15" hidden="false" customHeight="false" outlineLevel="0" collapsed="false">
      <c r="B43" s="49" t="n">
        <v>22</v>
      </c>
      <c r="C43" s="50" t="str">
        <f aca="false">IFERROR(INDEX(DATABASE!$B$4:$B$2003,MATCH($B43,DATABASE!$V$4:$V$2003,0))&amp;"","")</f>
        <v/>
      </c>
      <c r="D43" s="51" t="str">
        <f aca="false">IFERROR(INDEX(DATABASE!$C$4:$C$2003,MATCH($B43,DATABASE!$V$4:$V$2003,0))&amp;"","")</f>
        <v/>
      </c>
      <c r="E43" s="49" t="str">
        <f aca="false">IFERROR(INDEX(DATABASE!$E$4:$E$2003,MATCH($B43,DATABASE!$V$4:$V$2003,0))&amp;"","")</f>
        <v/>
      </c>
      <c r="F43" s="51" t="str">
        <f aca="false">IFERROR(INDEX(DATABASE!$F$4:$F$2003,MATCH($B43,DATABASE!$V$4:$V$2003,0))&amp;"","")</f>
        <v/>
      </c>
      <c r="G43" s="79" t="str">
        <f aca="false">IFERROR(INDEX(DATABASE!$T$4:$T$2003,MATCH($B43,DATABASE!$V$4:$V$2003,0))&amp;"","")</f>
        <v/>
      </c>
      <c r="H43" s="49" t="str">
        <f aca="false">IFERROR(INDEX(DATABASE!$I$4:$I$2003,MATCH($B43,DATABASE!$V$4:$V$2003,0))&amp;"","")</f>
        <v/>
      </c>
    </row>
    <row r="44" customFormat="false" ht="15" hidden="false" customHeight="false" outlineLevel="0" collapsed="false">
      <c r="B44" s="46" t="n">
        <v>23</v>
      </c>
      <c r="C44" s="47" t="str">
        <f aca="false">IFERROR(INDEX(DATABASE!$B$4:$B$2003,MATCH($B44,DATABASE!$V$4:$V$2003,0))&amp;"","")</f>
        <v/>
      </c>
      <c r="D44" s="48" t="str">
        <f aca="false">IFERROR(INDEX(DATABASE!$C$4:$C$2003,MATCH($B44,DATABASE!$V$4:$V$2003,0))&amp;"","")</f>
        <v/>
      </c>
      <c r="E44" s="46" t="str">
        <f aca="false">IFERROR(INDEX(DATABASE!$E$4:$E$2003,MATCH($B44,DATABASE!$V$4:$V$2003,0))&amp;"","")</f>
        <v/>
      </c>
      <c r="F44" s="48" t="str">
        <f aca="false">IFERROR(INDEX(DATABASE!$F$4:$F$2003,MATCH($B44,DATABASE!$V$4:$V$2003,0))&amp;"","")</f>
        <v/>
      </c>
      <c r="G44" s="78" t="str">
        <f aca="false">IFERROR(INDEX(DATABASE!$T$4:$T$2003,MATCH($B44,DATABASE!$V$4:$V$2003,0))&amp;"","")</f>
        <v/>
      </c>
      <c r="H44" s="46" t="str">
        <f aca="false">IFERROR(INDEX(DATABASE!$I$4:$I$2003,MATCH($B44,DATABASE!$V$4:$V$2003,0))&amp;"","")</f>
        <v/>
      </c>
    </row>
    <row r="45" customFormat="false" ht="15" hidden="false" customHeight="false" outlineLevel="0" collapsed="false">
      <c r="B45" s="49" t="n">
        <v>24</v>
      </c>
      <c r="C45" s="50" t="str">
        <f aca="false">IFERROR(INDEX(DATABASE!$B$4:$B$2003,MATCH($B45,DATABASE!$V$4:$V$2003,0))&amp;"","")</f>
        <v/>
      </c>
      <c r="D45" s="51" t="str">
        <f aca="false">IFERROR(INDEX(DATABASE!$C$4:$C$2003,MATCH($B45,DATABASE!$V$4:$V$2003,0))&amp;"","")</f>
        <v/>
      </c>
      <c r="E45" s="49" t="str">
        <f aca="false">IFERROR(INDEX(DATABASE!$E$4:$E$2003,MATCH($B45,DATABASE!$V$4:$V$2003,0))&amp;"","")</f>
        <v/>
      </c>
      <c r="F45" s="51" t="str">
        <f aca="false">IFERROR(INDEX(DATABASE!$F$4:$F$2003,MATCH($B45,DATABASE!$V$4:$V$2003,0))&amp;"","")</f>
        <v/>
      </c>
      <c r="G45" s="79" t="str">
        <f aca="false">IFERROR(INDEX(DATABASE!$T$4:$T$2003,MATCH($B45,DATABASE!$V$4:$V$2003,0))&amp;"","")</f>
        <v/>
      </c>
      <c r="H45" s="49" t="str">
        <f aca="false">IFERROR(INDEX(DATABASE!$I$4:$I$2003,MATCH($B45,DATABASE!$V$4:$V$2003,0))&amp;"","")</f>
        <v/>
      </c>
    </row>
    <row r="46" customFormat="false" ht="15" hidden="false" customHeight="false" outlineLevel="0" collapsed="false">
      <c r="B46" s="46" t="n">
        <v>25</v>
      </c>
      <c r="C46" s="47" t="str">
        <f aca="false">IFERROR(INDEX(DATABASE!$B$4:$B$2003,MATCH($B46,DATABASE!$V$4:$V$2003,0))&amp;"","")</f>
        <v/>
      </c>
      <c r="D46" s="48" t="str">
        <f aca="false">IFERROR(INDEX(DATABASE!$C$4:$C$2003,MATCH($B46,DATABASE!$V$4:$V$2003,0))&amp;"","")</f>
        <v/>
      </c>
      <c r="E46" s="46" t="str">
        <f aca="false">IFERROR(INDEX(DATABASE!$E$4:$E$2003,MATCH($B46,DATABASE!$V$4:$V$2003,0))&amp;"","")</f>
        <v/>
      </c>
      <c r="F46" s="48" t="str">
        <f aca="false">IFERROR(INDEX(DATABASE!$F$4:$F$2003,MATCH($B46,DATABASE!$V$4:$V$2003,0))&amp;"","")</f>
        <v/>
      </c>
      <c r="G46" s="78" t="str">
        <f aca="false">IFERROR(INDEX(DATABASE!$T$4:$T$2003,MATCH($B46,DATABASE!$V$4:$V$2003,0))&amp;"","")</f>
        <v/>
      </c>
      <c r="H46" s="46" t="str">
        <f aca="false">IFERROR(INDEX(DATABASE!$I$4:$I$2003,MATCH($B46,DATABASE!$V$4:$V$2003,0))&amp;"","")</f>
        <v/>
      </c>
    </row>
    <row r="47" customFormat="false" ht="15" hidden="false" customHeight="false" outlineLevel="0" collapsed="false">
      <c r="B47" s="49" t="n">
        <v>26</v>
      </c>
      <c r="C47" s="50" t="str">
        <f aca="false">IFERROR(INDEX(DATABASE!$B$4:$B$2003,MATCH($B47,DATABASE!$V$4:$V$2003,0))&amp;"","")</f>
        <v/>
      </c>
      <c r="D47" s="51" t="str">
        <f aca="false">IFERROR(INDEX(DATABASE!$C$4:$C$2003,MATCH($B47,DATABASE!$V$4:$V$2003,0))&amp;"","")</f>
        <v/>
      </c>
      <c r="E47" s="49" t="str">
        <f aca="false">IFERROR(INDEX(DATABASE!$E$4:$E$2003,MATCH($B47,DATABASE!$V$4:$V$2003,0))&amp;"","")</f>
        <v/>
      </c>
      <c r="F47" s="51" t="str">
        <f aca="false">IFERROR(INDEX(DATABASE!$F$4:$F$2003,MATCH($B47,DATABASE!$V$4:$V$2003,0))&amp;"","")</f>
        <v/>
      </c>
      <c r="G47" s="79" t="str">
        <f aca="false">IFERROR(INDEX(DATABASE!$T$4:$T$2003,MATCH($B47,DATABASE!$V$4:$V$2003,0))&amp;"","")</f>
        <v/>
      </c>
      <c r="H47" s="49" t="str">
        <f aca="false">IFERROR(INDEX(DATABASE!$I$4:$I$2003,MATCH($B47,DATABASE!$V$4:$V$2003,0))&amp;"","")</f>
        <v/>
      </c>
    </row>
    <row r="48" customFormat="false" ht="15" hidden="false" customHeight="false" outlineLevel="0" collapsed="false">
      <c r="B48" s="46" t="n">
        <v>27</v>
      </c>
      <c r="C48" s="47" t="str">
        <f aca="false">IFERROR(INDEX(DATABASE!$B$4:$B$2003,MATCH($B48,DATABASE!$V$4:$V$2003,0))&amp;"","")</f>
        <v/>
      </c>
      <c r="D48" s="48" t="str">
        <f aca="false">IFERROR(INDEX(DATABASE!$C$4:$C$2003,MATCH($B48,DATABASE!$V$4:$V$2003,0))&amp;"","")</f>
        <v/>
      </c>
      <c r="E48" s="46" t="str">
        <f aca="false">IFERROR(INDEX(DATABASE!$E$4:$E$2003,MATCH($B48,DATABASE!$V$4:$V$2003,0))&amp;"","")</f>
        <v/>
      </c>
      <c r="F48" s="48" t="str">
        <f aca="false">IFERROR(INDEX(DATABASE!$F$4:$F$2003,MATCH($B48,DATABASE!$V$4:$V$2003,0))&amp;"","")</f>
        <v/>
      </c>
      <c r="G48" s="78" t="str">
        <f aca="false">IFERROR(INDEX(DATABASE!$T$4:$T$2003,MATCH($B48,DATABASE!$V$4:$V$2003,0))&amp;"","")</f>
        <v/>
      </c>
      <c r="H48" s="46" t="str">
        <f aca="false">IFERROR(INDEX(DATABASE!$I$4:$I$2003,MATCH($B48,DATABASE!$V$4:$V$2003,0))&amp;"","")</f>
        <v/>
      </c>
    </row>
    <row r="49" customFormat="false" ht="15" hidden="false" customHeight="false" outlineLevel="0" collapsed="false">
      <c r="B49" s="49" t="n">
        <v>28</v>
      </c>
      <c r="C49" s="50" t="str">
        <f aca="false">IFERROR(INDEX(DATABASE!$B$4:$B$2003,MATCH($B49,DATABASE!$V$4:$V$2003,0))&amp;"","")</f>
        <v/>
      </c>
      <c r="D49" s="51" t="str">
        <f aca="false">IFERROR(INDEX(DATABASE!$C$4:$C$2003,MATCH($B49,DATABASE!$V$4:$V$2003,0))&amp;"","")</f>
        <v/>
      </c>
      <c r="E49" s="49" t="str">
        <f aca="false">IFERROR(INDEX(DATABASE!$E$4:$E$2003,MATCH($B49,DATABASE!$V$4:$V$2003,0))&amp;"","")</f>
        <v/>
      </c>
      <c r="F49" s="51" t="str">
        <f aca="false">IFERROR(INDEX(DATABASE!$F$4:$F$2003,MATCH($B49,DATABASE!$V$4:$V$2003,0))&amp;"","")</f>
        <v/>
      </c>
      <c r="G49" s="79" t="str">
        <f aca="false">IFERROR(INDEX(DATABASE!$T$4:$T$2003,MATCH($B49,DATABASE!$V$4:$V$2003,0))&amp;"","")</f>
        <v/>
      </c>
      <c r="H49" s="49" t="str">
        <f aca="false">IFERROR(INDEX(DATABASE!$I$4:$I$2003,MATCH($B49,DATABASE!$V$4:$V$2003,0))&amp;"","")</f>
        <v/>
      </c>
    </row>
    <row r="50" customFormat="false" ht="15" hidden="false" customHeight="false" outlineLevel="0" collapsed="false">
      <c r="B50" s="46" t="n">
        <v>29</v>
      </c>
      <c r="C50" s="47" t="str">
        <f aca="false">IFERROR(INDEX(DATABASE!$B$4:$B$2003,MATCH($B50,DATABASE!$V$4:$V$2003,0))&amp;"","")</f>
        <v/>
      </c>
      <c r="D50" s="48" t="str">
        <f aca="false">IFERROR(INDEX(DATABASE!$C$4:$C$2003,MATCH($B50,DATABASE!$V$4:$V$2003,0))&amp;"","")</f>
        <v/>
      </c>
      <c r="E50" s="46" t="str">
        <f aca="false">IFERROR(INDEX(DATABASE!$E$4:$E$2003,MATCH($B50,DATABASE!$V$4:$V$2003,0))&amp;"","")</f>
        <v/>
      </c>
      <c r="F50" s="48" t="str">
        <f aca="false">IFERROR(INDEX(DATABASE!$F$4:$F$2003,MATCH($B50,DATABASE!$V$4:$V$2003,0))&amp;"","")</f>
        <v/>
      </c>
      <c r="G50" s="78" t="str">
        <f aca="false">IFERROR(INDEX(DATABASE!$T$4:$T$2003,MATCH($B50,DATABASE!$V$4:$V$2003,0))&amp;"","")</f>
        <v/>
      </c>
      <c r="H50" s="46" t="str">
        <f aca="false">IFERROR(INDEX(DATABASE!$I$4:$I$2003,MATCH($B50,DATABASE!$V$4:$V$2003,0))&amp;"","")</f>
        <v/>
      </c>
    </row>
    <row r="51" customFormat="false" ht="15" hidden="false" customHeight="false" outlineLevel="0" collapsed="false">
      <c r="B51" s="49" t="n">
        <v>30</v>
      </c>
      <c r="C51" s="50" t="str">
        <f aca="false">IFERROR(INDEX(DATABASE!$B$4:$B$2003,MATCH($B51,DATABASE!$V$4:$V$2003,0))&amp;"","")</f>
        <v/>
      </c>
      <c r="D51" s="51" t="str">
        <f aca="false">IFERROR(INDEX(DATABASE!$C$4:$C$2003,MATCH($B51,DATABASE!$V$4:$V$2003,0))&amp;"","")</f>
        <v/>
      </c>
      <c r="E51" s="49" t="str">
        <f aca="false">IFERROR(INDEX(DATABASE!$E$4:$E$2003,MATCH($B51,DATABASE!$V$4:$V$2003,0))&amp;"","")</f>
        <v/>
      </c>
      <c r="F51" s="51" t="str">
        <f aca="false">IFERROR(INDEX(DATABASE!$F$4:$F$2003,MATCH($B51,DATABASE!$V$4:$V$2003,0))&amp;"","")</f>
        <v/>
      </c>
      <c r="G51" s="79" t="str">
        <f aca="false">IFERROR(INDEX(DATABASE!$T$4:$T$2003,MATCH($B51,DATABASE!$V$4:$V$2003,0))&amp;"","")</f>
        <v/>
      </c>
      <c r="H51" s="49" t="str">
        <f aca="false">IFERROR(INDEX(DATABASE!$I$4:$I$2003,MATCH($B51,DATABASE!$V$4:$V$2003,0))&amp;"","")</f>
        <v/>
      </c>
    </row>
    <row r="52" customFormat="false" ht="15" hidden="false" customHeight="false" outlineLevel="0" collapsed="false">
      <c r="B52" s="46" t="n">
        <v>31</v>
      </c>
      <c r="C52" s="47" t="str">
        <f aca="false">IFERROR(INDEX(DATABASE!$B$4:$B$2003,MATCH($B52,DATABASE!$V$4:$V$2003,0))&amp;"","")</f>
        <v/>
      </c>
      <c r="D52" s="48" t="str">
        <f aca="false">IFERROR(INDEX(DATABASE!$C$4:$C$2003,MATCH($B52,DATABASE!$V$4:$V$2003,0))&amp;"","")</f>
        <v/>
      </c>
      <c r="E52" s="46" t="str">
        <f aca="false">IFERROR(INDEX(DATABASE!$E$4:$E$2003,MATCH($B52,DATABASE!$V$4:$V$2003,0))&amp;"","")</f>
        <v/>
      </c>
      <c r="F52" s="48" t="str">
        <f aca="false">IFERROR(INDEX(DATABASE!$F$4:$F$2003,MATCH($B52,DATABASE!$V$4:$V$2003,0))&amp;"","")</f>
        <v/>
      </c>
      <c r="G52" s="78" t="str">
        <f aca="false">IFERROR(INDEX(DATABASE!$T$4:$T$2003,MATCH($B52,DATABASE!$V$4:$V$2003,0))&amp;"","")</f>
        <v/>
      </c>
      <c r="H52" s="46" t="str">
        <f aca="false">IFERROR(INDEX(DATABASE!$I$4:$I$2003,MATCH($B52,DATABASE!$V$4:$V$2003,0))&amp;"","")</f>
        <v/>
      </c>
    </row>
    <row r="53" customFormat="false" ht="15" hidden="false" customHeight="false" outlineLevel="0" collapsed="false">
      <c r="B53" s="49" t="n">
        <v>32</v>
      </c>
      <c r="C53" s="50" t="str">
        <f aca="false">IFERROR(INDEX(DATABASE!$B$4:$B$2003,MATCH($B53,DATABASE!$V$4:$V$2003,0))&amp;"","")</f>
        <v/>
      </c>
      <c r="D53" s="51" t="str">
        <f aca="false">IFERROR(INDEX(DATABASE!$C$4:$C$2003,MATCH($B53,DATABASE!$V$4:$V$2003,0))&amp;"","")</f>
        <v/>
      </c>
      <c r="E53" s="49" t="str">
        <f aca="false">IFERROR(INDEX(DATABASE!$E$4:$E$2003,MATCH($B53,DATABASE!$V$4:$V$2003,0))&amp;"","")</f>
        <v/>
      </c>
      <c r="F53" s="51" t="str">
        <f aca="false">IFERROR(INDEX(DATABASE!$F$4:$F$2003,MATCH($B53,DATABASE!$V$4:$V$2003,0))&amp;"","")</f>
        <v/>
      </c>
      <c r="G53" s="79" t="str">
        <f aca="false">IFERROR(INDEX(DATABASE!$T$4:$T$2003,MATCH($B53,DATABASE!$V$4:$V$2003,0))&amp;"","")</f>
        <v/>
      </c>
      <c r="H53" s="49" t="str">
        <f aca="false">IFERROR(INDEX(DATABASE!$I$4:$I$2003,MATCH($B53,DATABASE!$V$4:$V$2003,0))&amp;"","")</f>
        <v/>
      </c>
    </row>
    <row r="54" customFormat="false" ht="15" hidden="false" customHeight="false" outlineLevel="0" collapsed="false">
      <c r="B54" s="46" t="n">
        <v>33</v>
      </c>
      <c r="C54" s="47" t="str">
        <f aca="false">IFERROR(INDEX(DATABASE!$B$4:$B$2003,MATCH($B54,DATABASE!$V$4:$V$2003,0))&amp;"","")</f>
        <v/>
      </c>
      <c r="D54" s="48" t="str">
        <f aca="false">IFERROR(INDEX(DATABASE!$C$4:$C$2003,MATCH($B54,DATABASE!$V$4:$V$2003,0))&amp;"","")</f>
        <v/>
      </c>
      <c r="E54" s="46" t="str">
        <f aca="false">IFERROR(INDEX(DATABASE!$E$4:$E$2003,MATCH($B54,DATABASE!$V$4:$V$2003,0))&amp;"","")</f>
        <v/>
      </c>
      <c r="F54" s="48" t="str">
        <f aca="false">IFERROR(INDEX(DATABASE!$F$4:$F$2003,MATCH($B54,DATABASE!$V$4:$V$2003,0))&amp;"","")</f>
        <v/>
      </c>
      <c r="G54" s="78" t="str">
        <f aca="false">IFERROR(INDEX(DATABASE!$T$4:$T$2003,MATCH($B54,DATABASE!$V$4:$V$2003,0))&amp;"","")</f>
        <v/>
      </c>
      <c r="H54" s="46" t="str">
        <f aca="false">IFERROR(INDEX(DATABASE!$I$4:$I$2003,MATCH($B54,DATABASE!$V$4:$V$2003,0))&amp;"","")</f>
        <v/>
      </c>
    </row>
    <row r="55" customFormat="false" ht="15" hidden="false" customHeight="false" outlineLevel="0" collapsed="false">
      <c r="B55" s="49" t="n">
        <v>34</v>
      </c>
      <c r="C55" s="50" t="str">
        <f aca="false">IFERROR(INDEX(DATABASE!$B$4:$B$2003,MATCH($B55,DATABASE!$V$4:$V$2003,0))&amp;"","")</f>
        <v/>
      </c>
      <c r="D55" s="51" t="str">
        <f aca="false">IFERROR(INDEX(DATABASE!$C$4:$C$2003,MATCH($B55,DATABASE!$V$4:$V$2003,0))&amp;"","")</f>
        <v/>
      </c>
      <c r="E55" s="49" t="str">
        <f aca="false">IFERROR(INDEX(DATABASE!$E$4:$E$2003,MATCH($B55,DATABASE!$V$4:$V$2003,0))&amp;"","")</f>
        <v/>
      </c>
      <c r="F55" s="51" t="str">
        <f aca="false">IFERROR(INDEX(DATABASE!$F$4:$F$2003,MATCH($B55,DATABASE!$V$4:$V$2003,0))&amp;"","")</f>
        <v/>
      </c>
      <c r="G55" s="79" t="str">
        <f aca="false">IFERROR(INDEX(DATABASE!$T$4:$T$2003,MATCH($B55,DATABASE!$V$4:$V$2003,0))&amp;"","")</f>
        <v/>
      </c>
      <c r="H55" s="49" t="str">
        <f aca="false">IFERROR(INDEX(DATABASE!$I$4:$I$2003,MATCH($B55,DATABASE!$V$4:$V$2003,0))&amp;"","")</f>
        <v/>
      </c>
    </row>
    <row r="56" customFormat="false" ht="15" hidden="false" customHeight="false" outlineLevel="0" collapsed="false">
      <c r="B56" s="46" t="n">
        <v>35</v>
      </c>
      <c r="C56" s="47" t="str">
        <f aca="false">IFERROR(INDEX(DATABASE!$B$4:$B$2003,MATCH($B56,DATABASE!$V$4:$V$2003,0))&amp;"","")</f>
        <v/>
      </c>
      <c r="D56" s="48" t="str">
        <f aca="false">IFERROR(INDEX(DATABASE!$C$4:$C$2003,MATCH($B56,DATABASE!$V$4:$V$2003,0))&amp;"","")</f>
        <v/>
      </c>
      <c r="E56" s="46" t="str">
        <f aca="false">IFERROR(INDEX(DATABASE!$E$4:$E$2003,MATCH($B56,DATABASE!$V$4:$V$2003,0))&amp;"","")</f>
        <v/>
      </c>
      <c r="F56" s="48" t="str">
        <f aca="false">IFERROR(INDEX(DATABASE!$F$4:$F$2003,MATCH($B56,DATABASE!$V$4:$V$2003,0))&amp;"","")</f>
        <v/>
      </c>
      <c r="G56" s="78" t="str">
        <f aca="false">IFERROR(INDEX(DATABASE!$T$4:$T$2003,MATCH($B56,DATABASE!$V$4:$V$2003,0))&amp;"","")</f>
        <v/>
      </c>
      <c r="H56" s="46" t="str">
        <f aca="false">IFERROR(INDEX(DATABASE!$I$4:$I$2003,MATCH($B56,DATABASE!$V$4:$V$2003,0))&amp;"","")</f>
        <v/>
      </c>
    </row>
    <row r="57" customFormat="false" ht="15" hidden="false" customHeight="false" outlineLevel="0" collapsed="false">
      <c r="B57" s="49" t="n">
        <v>36</v>
      </c>
      <c r="C57" s="50" t="str">
        <f aca="false">IFERROR(INDEX(DATABASE!$B$4:$B$2003,MATCH($B57,DATABASE!$V$4:$V$2003,0))&amp;"","")</f>
        <v/>
      </c>
      <c r="D57" s="51" t="str">
        <f aca="false">IFERROR(INDEX(DATABASE!$C$4:$C$2003,MATCH($B57,DATABASE!$V$4:$V$2003,0))&amp;"","")</f>
        <v/>
      </c>
      <c r="E57" s="49" t="str">
        <f aca="false">IFERROR(INDEX(DATABASE!$E$4:$E$2003,MATCH($B57,DATABASE!$V$4:$V$2003,0))&amp;"","")</f>
        <v/>
      </c>
      <c r="F57" s="51" t="str">
        <f aca="false">IFERROR(INDEX(DATABASE!$F$4:$F$2003,MATCH($B57,DATABASE!$V$4:$V$2003,0))&amp;"","")</f>
        <v/>
      </c>
      <c r="G57" s="79" t="str">
        <f aca="false">IFERROR(INDEX(DATABASE!$T$4:$T$2003,MATCH($B57,DATABASE!$V$4:$V$2003,0))&amp;"","")</f>
        <v/>
      </c>
      <c r="H57" s="49" t="str">
        <f aca="false">IFERROR(INDEX(DATABASE!$I$4:$I$2003,MATCH($B57,DATABASE!$V$4:$V$2003,0))&amp;"","")</f>
        <v/>
      </c>
    </row>
    <row r="58" customFormat="false" ht="15" hidden="false" customHeight="false" outlineLevel="0" collapsed="false">
      <c r="B58" s="46" t="n">
        <v>37</v>
      </c>
      <c r="C58" s="47" t="str">
        <f aca="false">IFERROR(INDEX(DATABASE!$B$4:$B$2003,MATCH($B58,DATABASE!$V$4:$V$2003,0))&amp;"","")</f>
        <v/>
      </c>
      <c r="D58" s="48" t="str">
        <f aca="false">IFERROR(INDEX(DATABASE!$C$4:$C$2003,MATCH($B58,DATABASE!$V$4:$V$2003,0))&amp;"","")</f>
        <v/>
      </c>
      <c r="E58" s="46" t="str">
        <f aca="false">IFERROR(INDEX(DATABASE!$E$4:$E$2003,MATCH($B58,DATABASE!$V$4:$V$2003,0))&amp;"","")</f>
        <v/>
      </c>
      <c r="F58" s="48" t="str">
        <f aca="false">IFERROR(INDEX(DATABASE!$F$4:$F$2003,MATCH($B58,DATABASE!$V$4:$V$2003,0))&amp;"","")</f>
        <v/>
      </c>
      <c r="G58" s="78" t="str">
        <f aca="false">IFERROR(INDEX(DATABASE!$T$4:$T$2003,MATCH($B58,DATABASE!$V$4:$V$2003,0))&amp;"","")</f>
        <v/>
      </c>
      <c r="H58" s="46" t="str">
        <f aca="false">IFERROR(INDEX(DATABASE!$I$4:$I$2003,MATCH($B58,DATABASE!$V$4:$V$2003,0))&amp;"","")</f>
        <v/>
      </c>
    </row>
    <row r="59" customFormat="false" ht="15" hidden="false" customHeight="false" outlineLevel="0" collapsed="false">
      <c r="B59" s="49" t="n">
        <v>38</v>
      </c>
      <c r="C59" s="50" t="str">
        <f aca="false">IFERROR(INDEX(DATABASE!$B$4:$B$2003,MATCH($B59,DATABASE!$V$4:$V$2003,0))&amp;"","")</f>
        <v/>
      </c>
      <c r="D59" s="51" t="str">
        <f aca="false">IFERROR(INDEX(DATABASE!$C$4:$C$2003,MATCH($B59,DATABASE!$V$4:$V$2003,0))&amp;"","")</f>
        <v/>
      </c>
      <c r="E59" s="49" t="str">
        <f aca="false">IFERROR(INDEX(DATABASE!$E$4:$E$2003,MATCH($B59,DATABASE!$V$4:$V$2003,0))&amp;"","")</f>
        <v/>
      </c>
      <c r="F59" s="51" t="str">
        <f aca="false">IFERROR(INDEX(DATABASE!$F$4:$F$2003,MATCH($B59,DATABASE!$V$4:$V$2003,0))&amp;"","")</f>
        <v/>
      </c>
      <c r="G59" s="79" t="str">
        <f aca="false">IFERROR(INDEX(DATABASE!$T$4:$T$2003,MATCH($B59,DATABASE!$V$4:$V$2003,0))&amp;"","")</f>
        <v/>
      </c>
      <c r="H59" s="49" t="str">
        <f aca="false">IFERROR(INDEX(DATABASE!$I$4:$I$2003,MATCH($B59,DATABASE!$V$4:$V$2003,0))&amp;"","")</f>
        <v/>
      </c>
    </row>
    <row r="60" customFormat="false" ht="15" hidden="false" customHeight="false" outlineLevel="0" collapsed="false">
      <c r="B60" s="46" t="n">
        <v>39</v>
      </c>
      <c r="C60" s="47" t="str">
        <f aca="false">IFERROR(INDEX(DATABASE!$B$4:$B$2003,MATCH($B60,DATABASE!$V$4:$V$2003,0))&amp;"","")</f>
        <v/>
      </c>
      <c r="D60" s="48" t="str">
        <f aca="false">IFERROR(INDEX(DATABASE!$C$4:$C$2003,MATCH($B60,DATABASE!$V$4:$V$2003,0))&amp;"","")</f>
        <v/>
      </c>
      <c r="E60" s="46" t="str">
        <f aca="false">IFERROR(INDEX(DATABASE!$E$4:$E$2003,MATCH($B60,DATABASE!$V$4:$V$2003,0))&amp;"","")</f>
        <v/>
      </c>
      <c r="F60" s="48" t="str">
        <f aca="false">IFERROR(INDEX(DATABASE!$F$4:$F$2003,MATCH($B60,DATABASE!$V$4:$V$2003,0))&amp;"","")</f>
        <v/>
      </c>
      <c r="G60" s="78" t="str">
        <f aca="false">IFERROR(INDEX(DATABASE!$T$4:$T$2003,MATCH($B60,DATABASE!$V$4:$V$2003,0))&amp;"","")</f>
        <v/>
      </c>
      <c r="H60" s="46" t="str">
        <f aca="false">IFERROR(INDEX(DATABASE!$I$4:$I$2003,MATCH($B60,DATABASE!$V$4:$V$2003,0))&amp;"","")</f>
        <v/>
      </c>
    </row>
    <row r="61" customFormat="false" ht="15" hidden="false" customHeight="false" outlineLevel="0" collapsed="false">
      <c r="B61" s="49" t="n">
        <v>40</v>
      </c>
      <c r="C61" s="50" t="str">
        <f aca="false">IFERROR(INDEX(DATABASE!$B$4:$B$2003,MATCH($B61,DATABASE!$V$4:$V$2003,0))&amp;"","")</f>
        <v/>
      </c>
      <c r="D61" s="51" t="str">
        <f aca="false">IFERROR(INDEX(DATABASE!$C$4:$C$2003,MATCH($B61,DATABASE!$V$4:$V$2003,0))&amp;"","")</f>
        <v/>
      </c>
      <c r="E61" s="49" t="str">
        <f aca="false">IFERROR(INDEX(DATABASE!$E$4:$E$2003,MATCH($B61,DATABASE!$V$4:$V$2003,0))&amp;"","")</f>
        <v/>
      </c>
      <c r="F61" s="51" t="str">
        <f aca="false">IFERROR(INDEX(DATABASE!$F$4:$F$2003,MATCH($B61,DATABASE!$V$4:$V$2003,0))&amp;"","")</f>
        <v/>
      </c>
      <c r="G61" s="79" t="str">
        <f aca="false">IFERROR(INDEX(DATABASE!$T$4:$T$2003,MATCH($B61,DATABASE!$V$4:$V$2003,0))&amp;"","")</f>
        <v/>
      </c>
      <c r="H61" s="49" t="str">
        <f aca="false">IFERROR(INDEX(DATABASE!$I$4:$I$2003,MATCH($B61,DATABASE!$V$4:$V$2003,0))&amp;"","")</f>
        <v/>
      </c>
    </row>
    <row r="62" customFormat="false" ht="15" hidden="false" customHeight="false" outlineLevel="0" collapsed="false">
      <c r="B62" s="46" t="n">
        <v>41</v>
      </c>
      <c r="C62" s="47" t="str">
        <f aca="false">IFERROR(INDEX(DATABASE!$B$4:$B$2003,MATCH($B62,DATABASE!$V$4:$V$2003,0))&amp;"","")</f>
        <v/>
      </c>
      <c r="D62" s="48" t="str">
        <f aca="false">IFERROR(INDEX(DATABASE!$C$4:$C$2003,MATCH($B62,DATABASE!$V$4:$V$2003,0))&amp;"","")</f>
        <v/>
      </c>
      <c r="E62" s="46" t="str">
        <f aca="false">IFERROR(INDEX(DATABASE!$E$4:$E$2003,MATCH($B62,DATABASE!$V$4:$V$2003,0))&amp;"","")</f>
        <v/>
      </c>
      <c r="F62" s="48" t="str">
        <f aca="false">IFERROR(INDEX(DATABASE!$F$4:$F$2003,MATCH($B62,DATABASE!$V$4:$V$2003,0))&amp;"","")</f>
        <v/>
      </c>
      <c r="G62" s="78" t="str">
        <f aca="false">IFERROR(INDEX(DATABASE!$T$4:$T$2003,MATCH($B62,DATABASE!$V$4:$V$2003,0))&amp;"","")</f>
        <v/>
      </c>
      <c r="H62" s="46" t="str">
        <f aca="false">IFERROR(INDEX(DATABASE!$I$4:$I$2003,MATCH($B62,DATABASE!$V$4:$V$2003,0))&amp;"","")</f>
        <v/>
      </c>
    </row>
    <row r="63" customFormat="false" ht="15" hidden="false" customHeight="false" outlineLevel="0" collapsed="false">
      <c r="B63" s="49" t="n">
        <v>42</v>
      </c>
      <c r="C63" s="50" t="str">
        <f aca="false">IFERROR(INDEX(DATABASE!$B$4:$B$2003,MATCH($B63,DATABASE!$V$4:$V$2003,0))&amp;"","")</f>
        <v/>
      </c>
      <c r="D63" s="51" t="str">
        <f aca="false">IFERROR(INDEX(DATABASE!$C$4:$C$2003,MATCH($B63,DATABASE!$V$4:$V$2003,0))&amp;"","")</f>
        <v/>
      </c>
      <c r="E63" s="49" t="str">
        <f aca="false">IFERROR(INDEX(DATABASE!$E$4:$E$2003,MATCH($B63,DATABASE!$V$4:$V$2003,0))&amp;"","")</f>
        <v/>
      </c>
      <c r="F63" s="51" t="str">
        <f aca="false">IFERROR(INDEX(DATABASE!$F$4:$F$2003,MATCH($B63,DATABASE!$V$4:$V$2003,0))&amp;"","")</f>
        <v/>
      </c>
      <c r="G63" s="79" t="str">
        <f aca="false">IFERROR(INDEX(DATABASE!$T$4:$T$2003,MATCH($B63,DATABASE!$V$4:$V$2003,0))&amp;"","")</f>
        <v/>
      </c>
      <c r="H63" s="49" t="str">
        <f aca="false">IFERROR(INDEX(DATABASE!$I$4:$I$2003,MATCH($B63,DATABASE!$V$4:$V$2003,0))&amp;"","")</f>
        <v/>
      </c>
    </row>
    <row r="64" customFormat="false" ht="15" hidden="false" customHeight="false" outlineLevel="0" collapsed="false">
      <c r="B64" s="46" t="n">
        <v>43</v>
      </c>
      <c r="C64" s="47" t="str">
        <f aca="false">IFERROR(INDEX(DATABASE!$B$4:$B$2003,MATCH($B64,DATABASE!$V$4:$V$2003,0))&amp;"","")</f>
        <v/>
      </c>
      <c r="D64" s="48" t="str">
        <f aca="false">IFERROR(INDEX(DATABASE!$C$4:$C$2003,MATCH($B64,DATABASE!$V$4:$V$2003,0))&amp;"","")</f>
        <v/>
      </c>
      <c r="E64" s="46" t="str">
        <f aca="false">IFERROR(INDEX(DATABASE!$E$4:$E$2003,MATCH($B64,DATABASE!$V$4:$V$2003,0))&amp;"","")</f>
        <v/>
      </c>
      <c r="F64" s="48" t="str">
        <f aca="false">IFERROR(INDEX(DATABASE!$F$4:$F$2003,MATCH($B64,DATABASE!$V$4:$V$2003,0))&amp;"","")</f>
        <v/>
      </c>
      <c r="G64" s="78" t="str">
        <f aca="false">IFERROR(INDEX(DATABASE!$T$4:$T$2003,MATCH($B64,DATABASE!$V$4:$V$2003,0))&amp;"","")</f>
        <v/>
      </c>
      <c r="H64" s="46" t="str">
        <f aca="false">IFERROR(INDEX(DATABASE!$I$4:$I$2003,MATCH($B64,DATABASE!$V$4:$V$2003,0))&amp;"","")</f>
        <v/>
      </c>
    </row>
    <row r="65" customFormat="false" ht="15" hidden="false" customHeight="false" outlineLevel="0" collapsed="false">
      <c r="B65" s="49" t="n">
        <v>44</v>
      </c>
      <c r="C65" s="50" t="str">
        <f aca="false">IFERROR(INDEX(DATABASE!$B$4:$B$2003,MATCH($B65,DATABASE!$V$4:$V$2003,0))&amp;"","")</f>
        <v/>
      </c>
      <c r="D65" s="51" t="str">
        <f aca="false">IFERROR(INDEX(DATABASE!$C$4:$C$2003,MATCH($B65,DATABASE!$V$4:$V$2003,0))&amp;"","")</f>
        <v/>
      </c>
      <c r="E65" s="49" t="str">
        <f aca="false">IFERROR(INDEX(DATABASE!$E$4:$E$2003,MATCH($B65,DATABASE!$V$4:$V$2003,0))&amp;"","")</f>
        <v/>
      </c>
      <c r="F65" s="51" t="str">
        <f aca="false">IFERROR(INDEX(DATABASE!$F$4:$F$2003,MATCH($B65,DATABASE!$V$4:$V$2003,0))&amp;"","")</f>
        <v/>
      </c>
      <c r="G65" s="79" t="str">
        <f aca="false">IFERROR(INDEX(DATABASE!$T$4:$T$2003,MATCH($B65,DATABASE!$V$4:$V$2003,0))&amp;"","")</f>
        <v/>
      </c>
      <c r="H65" s="49" t="str">
        <f aca="false">IFERROR(INDEX(DATABASE!$I$4:$I$2003,MATCH($B65,DATABASE!$V$4:$V$2003,0))&amp;"","")</f>
        <v/>
      </c>
    </row>
    <row r="66" customFormat="false" ht="15" hidden="false" customHeight="false" outlineLevel="0" collapsed="false">
      <c r="B66" s="46" t="n">
        <v>45</v>
      </c>
      <c r="C66" s="47" t="str">
        <f aca="false">IFERROR(INDEX(DATABASE!$B$4:$B$2003,MATCH($B66,DATABASE!$V$4:$V$2003,0))&amp;"","")</f>
        <v/>
      </c>
      <c r="D66" s="48" t="str">
        <f aca="false">IFERROR(INDEX(DATABASE!$C$4:$C$2003,MATCH($B66,DATABASE!$V$4:$V$2003,0))&amp;"","")</f>
        <v/>
      </c>
      <c r="E66" s="46" t="str">
        <f aca="false">IFERROR(INDEX(DATABASE!$E$4:$E$2003,MATCH($B66,DATABASE!$V$4:$V$2003,0))&amp;"","")</f>
        <v/>
      </c>
      <c r="F66" s="48" t="str">
        <f aca="false">IFERROR(INDEX(DATABASE!$F$4:$F$2003,MATCH($B66,DATABASE!$V$4:$V$2003,0))&amp;"","")</f>
        <v/>
      </c>
      <c r="G66" s="78" t="str">
        <f aca="false">IFERROR(INDEX(DATABASE!$T$4:$T$2003,MATCH($B66,DATABASE!$V$4:$V$2003,0))&amp;"","")</f>
        <v/>
      </c>
      <c r="H66" s="46" t="str">
        <f aca="false">IFERROR(INDEX(DATABASE!$I$4:$I$2003,MATCH($B66,DATABASE!$V$4:$V$2003,0))&amp;"","")</f>
        <v/>
      </c>
    </row>
    <row r="67" customFormat="false" ht="15" hidden="false" customHeight="false" outlineLevel="0" collapsed="false">
      <c r="B67" s="49" t="n">
        <v>46</v>
      </c>
      <c r="C67" s="50" t="str">
        <f aca="false">IFERROR(INDEX(DATABASE!$B$4:$B$2003,MATCH($B67,DATABASE!$V$4:$V$2003,0))&amp;"","")</f>
        <v/>
      </c>
      <c r="D67" s="51" t="str">
        <f aca="false">IFERROR(INDEX(DATABASE!$C$4:$C$2003,MATCH($B67,DATABASE!$V$4:$V$2003,0))&amp;"","")</f>
        <v/>
      </c>
      <c r="E67" s="49" t="str">
        <f aca="false">IFERROR(INDEX(DATABASE!$E$4:$E$2003,MATCH($B67,DATABASE!$V$4:$V$2003,0))&amp;"","")</f>
        <v/>
      </c>
      <c r="F67" s="51" t="str">
        <f aca="false">IFERROR(INDEX(DATABASE!$F$4:$F$2003,MATCH($B67,DATABASE!$V$4:$V$2003,0))&amp;"","")</f>
        <v/>
      </c>
      <c r="G67" s="79" t="str">
        <f aca="false">IFERROR(INDEX(DATABASE!$T$4:$T$2003,MATCH($B67,DATABASE!$V$4:$V$2003,0))&amp;"","")</f>
        <v/>
      </c>
      <c r="H67" s="49" t="str">
        <f aca="false">IFERROR(INDEX(DATABASE!$I$4:$I$2003,MATCH($B67,DATABASE!$V$4:$V$2003,0))&amp;"","")</f>
        <v/>
      </c>
    </row>
    <row r="68" customFormat="false" ht="15" hidden="false" customHeight="false" outlineLevel="0" collapsed="false">
      <c r="B68" s="46" t="n">
        <v>47</v>
      </c>
      <c r="C68" s="47" t="str">
        <f aca="false">IFERROR(INDEX(DATABASE!$B$4:$B$2003,MATCH($B68,DATABASE!$V$4:$V$2003,0))&amp;"","")</f>
        <v/>
      </c>
      <c r="D68" s="48" t="str">
        <f aca="false">IFERROR(INDEX(DATABASE!$C$4:$C$2003,MATCH($B68,DATABASE!$V$4:$V$2003,0))&amp;"","")</f>
        <v/>
      </c>
      <c r="E68" s="46" t="str">
        <f aca="false">IFERROR(INDEX(DATABASE!$E$4:$E$2003,MATCH($B68,DATABASE!$V$4:$V$2003,0))&amp;"","")</f>
        <v/>
      </c>
      <c r="F68" s="48" t="str">
        <f aca="false">IFERROR(INDEX(DATABASE!$F$4:$F$2003,MATCH($B68,DATABASE!$V$4:$V$2003,0))&amp;"","")</f>
        <v/>
      </c>
      <c r="G68" s="78" t="str">
        <f aca="false">IFERROR(INDEX(DATABASE!$T$4:$T$2003,MATCH($B68,DATABASE!$V$4:$V$2003,0))&amp;"","")</f>
        <v/>
      </c>
      <c r="H68" s="46" t="str">
        <f aca="false">IFERROR(INDEX(DATABASE!$I$4:$I$2003,MATCH($B68,DATABASE!$V$4:$V$2003,0))&amp;"","")</f>
        <v/>
      </c>
    </row>
    <row r="69" customFormat="false" ht="15" hidden="false" customHeight="false" outlineLevel="0" collapsed="false">
      <c r="B69" s="49" t="n">
        <v>48</v>
      </c>
      <c r="C69" s="50" t="str">
        <f aca="false">IFERROR(INDEX(DATABASE!$B$4:$B$2003,MATCH($B69,DATABASE!$V$4:$V$2003,0))&amp;"","")</f>
        <v/>
      </c>
      <c r="D69" s="51" t="str">
        <f aca="false">IFERROR(INDEX(DATABASE!$C$4:$C$2003,MATCH($B69,DATABASE!$V$4:$V$2003,0))&amp;"","")</f>
        <v/>
      </c>
      <c r="E69" s="49" t="str">
        <f aca="false">IFERROR(INDEX(DATABASE!$E$4:$E$2003,MATCH($B69,DATABASE!$V$4:$V$2003,0))&amp;"","")</f>
        <v/>
      </c>
      <c r="F69" s="51" t="str">
        <f aca="false">IFERROR(INDEX(DATABASE!$F$4:$F$2003,MATCH($B69,DATABASE!$V$4:$V$2003,0))&amp;"","")</f>
        <v/>
      </c>
      <c r="G69" s="79" t="str">
        <f aca="false">IFERROR(INDEX(DATABASE!$T$4:$T$2003,MATCH($B69,DATABASE!$V$4:$V$2003,0))&amp;"","")</f>
        <v/>
      </c>
      <c r="H69" s="49" t="str">
        <f aca="false">IFERROR(INDEX(DATABASE!$I$4:$I$2003,MATCH($B69,DATABASE!$V$4:$V$2003,0))&amp;"","")</f>
        <v/>
      </c>
    </row>
    <row r="70" customFormat="false" ht="15" hidden="false" customHeight="false" outlineLevel="0" collapsed="false">
      <c r="B70" s="46" t="n">
        <v>49</v>
      </c>
      <c r="C70" s="47" t="str">
        <f aca="false">IFERROR(INDEX(DATABASE!$B$4:$B$2003,MATCH($B70,DATABASE!$V$4:$V$2003,0))&amp;"","")</f>
        <v/>
      </c>
      <c r="D70" s="48" t="str">
        <f aca="false">IFERROR(INDEX(DATABASE!$C$4:$C$2003,MATCH($B70,DATABASE!$V$4:$V$2003,0))&amp;"","")</f>
        <v/>
      </c>
      <c r="E70" s="46" t="str">
        <f aca="false">IFERROR(INDEX(DATABASE!$E$4:$E$2003,MATCH($B70,DATABASE!$V$4:$V$2003,0))&amp;"","")</f>
        <v/>
      </c>
      <c r="F70" s="48" t="str">
        <f aca="false">IFERROR(INDEX(DATABASE!$F$4:$F$2003,MATCH($B70,DATABASE!$V$4:$V$2003,0))&amp;"","")</f>
        <v/>
      </c>
      <c r="G70" s="78" t="str">
        <f aca="false">IFERROR(INDEX(DATABASE!$T$4:$T$2003,MATCH($B70,DATABASE!$V$4:$V$2003,0))&amp;"","")</f>
        <v/>
      </c>
      <c r="H70" s="46" t="str">
        <f aca="false">IFERROR(INDEX(DATABASE!$I$4:$I$2003,MATCH($B70,DATABASE!$V$4:$V$2003,0))&amp;"","")</f>
        <v/>
      </c>
    </row>
    <row r="71" customFormat="false" ht="15" hidden="false" customHeight="false" outlineLevel="0" collapsed="false">
      <c r="B71" s="49" t="n">
        <v>50</v>
      </c>
      <c r="C71" s="50" t="str">
        <f aca="false">IFERROR(INDEX(DATABASE!$B$4:$B$2003,MATCH($B71,DATABASE!$V$4:$V$2003,0))&amp;"","")</f>
        <v/>
      </c>
      <c r="D71" s="51" t="str">
        <f aca="false">IFERROR(INDEX(DATABASE!$C$4:$C$2003,MATCH($B71,DATABASE!$V$4:$V$2003,0))&amp;"","")</f>
        <v/>
      </c>
      <c r="E71" s="49" t="str">
        <f aca="false">IFERROR(INDEX(DATABASE!$E$4:$E$2003,MATCH($B71,DATABASE!$V$4:$V$2003,0))&amp;"","")</f>
        <v/>
      </c>
      <c r="F71" s="51" t="str">
        <f aca="false">IFERROR(INDEX(DATABASE!$F$4:$F$2003,MATCH($B71,DATABASE!$V$4:$V$2003,0))&amp;"","")</f>
        <v/>
      </c>
      <c r="G71" s="79" t="str">
        <f aca="false">IFERROR(INDEX(DATABASE!$T$4:$T$2003,MATCH($B71,DATABASE!$V$4:$V$2003,0))&amp;"","")</f>
        <v/>
      </c>
      <c r="H71" s="49" t="str">
        <f aca="false">IFERROR(INDEX(DATABASE!$I$4:$I$2003,MATCH($B71,DATABASE!$V$4:$V$2003,0))&amp;"","")</f>
        <v/>
      </c>
    </row>
    <row r="72" customFormat="false" ht="15" hidden="false" customHeight="false" outlineLevel="0" collapsed="false">
      <c r="B72" s="46" t="n">
        <v>51</v>
      </c>
      <c r="C72" s="47" t="str">
        <f aca="false">IFERROR(INDEX(DATABASE!$B$4:$B$2003,MATCH($B72,DATABASE!$V$4:$V$2003,0))&amp;"","")</f>
        <v/>
      </c>
      <c r="D72" s="48" t="str">
        <f aca="false">IFERROR(INDEX(DATABASE!$C$4:$C$2003,MATCH($B72,DATABASE!$V$4:$V$2003,0))&amp;"","")</f>
        <v/>
      </c>
      <c r="E72" s="46" t="str">
        <f aca="false">IFERROR(INDEX(DATABASE!$E$4:$E$2003,MATCH($B72,DATABASE!$V$4:$V$2003,0))&amp;"","")</f>
        <v/>
      </c>
      <c r="F72" s="48" t="str">
        <f aca="false">IFERROR(INDEX(DATABASE!$F$4:$F$2003,MATCH($B72,DATABASE!$V$4:$V$2003,0))&amp;"","")</f>
        <v/>
      </c>
      <c r="G72" s="78" t="str">
        <f aca="false">IFERROR(INDEX(DATABASE!$T$4:$T$2003,MATCH($B72,DATABASE!$V$4:$V$2003,0))&amp;"","")</f>
        <v/>
      </c>
      <c r="H72" s="46" t="str">
        <f aca="false">IFERROR(INDEX(DATABASE!$I$4:$I$2003,MATCH($B72,DATABASE!$V$4:$V$2003,0))&amp;"","")</f>
        <v/>
      </c>
    </row>
    <row r="73" customFormat="false" ht="15" hidden="false" customHeight="false" outlineLevel="0" collapsed="false">
      <c r="B73" s="49" t="n">
        <v>52</v>
      </c>
      <c r="C73" s="50" t="str">
        <f aca="false">IFERROR(INDEX(DATABASE!$B$4:$B$2003,MATCH($B73,DATABASE!$V$4:$V$2003,0))&amp;"","")</f>
        <v/>
      </c>
      <c r="D73" s="51" t="str">
        <f aca="false">IFERROR(INDEX(DATABASE!$C$4:$C$2003,MATCH($B73,DATABASE!$V$4:$V$2003,0))&amp;"","")</f>
        <v/>
      </c>
      <c r="E73" s="49" t="str">
        <f aca="false">IFERROR(INDEX(DATABASE!$E$4:$E$2003,MATCH($B73,DATABASE!$V$4:$V$2003,0))&amp;"","")</f>
        <v/>
      </c>
      <c r="F73" s="51" t="str">
        <f aca="false">IFERROR(INDEX(DATABASE!$F$4:$F$2003,MATCH($B73,DATABASE!$V$4:$V$2003,0))&amp;"","")</f>
        <v/>
      </c>
      <c r="G73" s="79" t="str">
        <f aca="false">IFERROR(INDEX(DATABASE!$T$4:$T$2003,MATCH($B73,DATABASE!$V$4:$V$2003,0))&amp;"","")</f>
        <v/>
      </c>
      <c r="H73" s="49" t="str">
        <f aca="false">IFERROR(INDEX(DATABASE!$I$4:$I$2003,MATCH($B73,DATABASE!$V$4:$V$2003,0))&amp;"","")</f>
        <v/>
      </c>
    </row>
    <row r="74" customFormat="false" ht="15" hidden="false" customHeight="false" outlineLevel="0" collapsed="false">
      <c r="B74" s="46" t="n">
        <v>53</v>
      </c>
      <c r="C74" s="47" t="str">
        <f aca="false">IFERROR(INDEX(DATABASE!$B$4:$B$2003,MATCH($B74,DATABASE!$V$4:$V$2003,0))&amp;"","")</f>
        <v/>
      </c>
      <c r="D74" s="48" t="str">
        <f aca="false">IFERROR(INDEX(DATABASE!$C$4:$C$2003,MATCH($B74,DATABASE!$V$4:$V$2003,0))&amp;"","")</f>
        <v/>
      </c>
      <c r="E74" s="46" t="str">
        <f aca="false">IFERROR(INDEX(DATABASE!$E$4:$E$2003,MATCH($B74,DATABASE!$V$4:$V$2003,0))&amp;"","")</f>
        <v/>
      </c>
      <c r="F74" s="48" t="str">
        <f aca="false">IFERROR(INDEX(DATABASE!$F$4:$F$2003,MATCH($B74,DATABASE!$V$4:$V$2003,0))&amp;"","")</f>
        <v/>
      </c>
      <c r="G74" s="78" t="str">
        <f aca="false">IFERROR(INDEX(DATABASE!$T$4:$T$2003,MATCH($B74,DATABASE!$V$4:$V$2003,0))&amp;"","")</f>
        <v/>
      </c>
      <c r="H74" s="46" t="str">
        <f aca="false">IFERROR(INDEX(DATABASE!$I$4:$I$2003,MATCH($B74,DATABASE!$V$4:$V$2003,0))&amp;"","")</f>
        <v/>
      </c>
    </row>
    <row r="75" customFormat="false" ht="15" hidden="false" customHeight="false" outlineLevel="0" collapsed="false">
      <c r="B75" s="49" t="n">
        <v>54</v>
      </c>
      <c r="C75" s="50" t="str">
        <f aca="false">IFERROR(INDEX(DATABASE!$B$4:$B$2003,MATCH($B75,DATABASE!$V$4:$V$2003,0))&amp;"","")</f>
        <v/>
      </c>
      <c r="D75" s="51" t="str">
        <f aca="false">IFERROR(INDEX(DATABASE!$C$4:$C$2003,MATCH($B75,DATABASE!$V$4:$V$2003,0))&amp;"","")</f>
        <v/>
      </c>
      <c r="E75" s="49" t="str">
        <f aca="false">IFERROR(INDEX(DATABASE!$E$4:$E$2003,MATCH($B75,DATABASE!$V$4:$V$2003,0))&amp;"","")</f>
        <v/>
      </c>
      <c r="F75" s="51" t="str">
        <f aca="false">IFERROR(INDEX(DATABASE!$F$4:$F$2003,MATCH($B75,DATABASE!$V$4:$V$2003,0))&amp;"","")</f>
        <v/>
      </c>
      <c r="G75" s="79" t="str">
        <f aca="false">IFERROR(INDEX(DATABASE!$T$4:$T$2003,MATCH($B75,DATABASE!$V$4:$V$2003,0))&amp;"","")</f>
        <v/>
      </c>
      <c r="H75" s="49" t="str">
        <f aca="false">IFERROR(INDEX(DATABASE!$I$4:$I$2003,MATCH($B75,DATABASE!$V$4:$V$2003,0))&amp;"","")</f>
        <v/>
      </c>
    </row>
    <row r="76" customFormat="false" ht="15" hidden="false" customHeight="false" outlineLevel="0" collapsed="false">
      <c r="B76" s="46" t="n">
        <v>55</v>
      </c>
      <c r="C76" s="47" t="str">
        <f aca="false">IFERROR(INDEX(DATABASE!$B$4:$B$2003,MATCH($B76,DATABASE!$V$4:$V$2003,0))&amp;"","")</f>
        <v/>
      </c>
      <c r="D76" s="48" t="str">
        <f aca="false">IFERROR(INDEX(DATABASE!$C$4:$C$2003,MATCH($B76,DATABASE!$V$4:$V$2003,0))&amp;"","")</f>
        <v/>
      </c>
      <c r="E76" s="46" t="str">
        <f aca="false">IFERROR(INDEX(DATABASE!$E$4:$E$2003,MATCH($B76,DATABASE!$V$4:$V$2003,0))&amp;"","")</f>
        <v/>
      </c>
      <c r="F76" s="48" t="str">
        <f aca="false">IFERROR(INDEX(DATABASE!$F$4:$F$2003,MATCH($B76,DATABASE!$V$4:$V$2003,0))&amp;"","")</f>
        <v/>
      </c>
      <c r="G76" s="78" t="str">
        <f aca="false">IFERROR(INDEX(DATABASE!$T$4:$T$2003,MATCH($B76,DATABASE!$V$4:$V$2003,0))&amp;"","")</f>
        <v/>
      </c>
      <c r="H76" s="46" t="str">
        <f aca="false">IFERROR(INDEX(DATABASE!$I$4:$I$2003,MATCH($B76,DATABASE!$V$4:$V$2003,0))&amp;"","")</f>
        <v/>
      </c>
    </row>
    <row r="77" customFormat="false" ht="15" hidden="false" customHeight="false" outlineLevel="0" collapsed="false">
      <c r="B77" s="49" t="n">
        <v>56</v>
      </c>
      <c r="C77" s="50" t="str">
        <f aca="false">IFERROR(INDEX(DATABASE!$B$4:$B$2003,MATCH($B77,DATABASE!$V$4:$V$2003,0))&amp;"","")</f>
        <v/>
      </c>
      <c r="D77" s="51" t="str">
        <f aca="false">IFERROR(INDEX(DATABASE!$C$4:$C$2003,MATCH($B77,DATABASE!$V$4:$V$2003,0))&amp;"","")</f>
        <v/>
      </c>
      <c r="E77" s="49" t="str">
        <f aca="false">IFERROR(INDEX(DATABASE!$E$4:$E$2003,MATCH($B77,DATABASE!$V$4:$V$2003,0))&amp;"","")</f>
        <v/>
      </c>
      <c r="F77" s="51" t="str">
        <f aca="false">IFERROR(INDEX(DATABASE!$F$4:$F$2003,MATCH($B77,DATABASE!$V$4:$V$2003,0))&amp;"","")</f>
        <v/>
      </c>
      <c r="G77" s="79" t="str">
        <f aca="false">IFERROR(INDEX(DATABASE!$T$4:$T$2003,MATCH($B77,DATABASE!$V$4:$V$2003,0))&amp;"","")</f>
        <v/>
      </c>
      <c r="H77" s="49" t="str">
        <f aca="false">IFERROR(INDEX(DATABASE!$I$4:$I$2003,MATCH($B77,DATABASE!$V$4:$V$2003,0))&amp;"","")</f>
        <v/>
      </c>
    </row>
    <row r="78" customFormat="false" ht="15" hidden="false" customHeight="false" outlineLevel="0" collapsed="false">
      <c r="B78" s="46" t="n">
        <v>57</v>
      </c>
      <c r="C78" s="47" t="str">
        <f aca="false">IFERROR(INDEX(DATABASE!$B$4:$B$2003,MATCH($B78,DATABASE!$V$4:$V$2003,0))&amp;"","")</f>
        <v/>
      </c>
      <c r="D78" s="48" t="str">
        <f aca="false">IFERROR(INDEX(DATABASE!$C$4:$C$2003,MATCH($B78,DATABASE!$V$4:$V$2003,0))&amp;"","")</f>
        <v/>
      </c>
      <c r="E78" s="46" t="str">
        <f aca="false">IFERROR(INDEX(DATABASE!$E$4:$E$2003,MATCH($B78,DATABASE!$V$4:$V$2003,0))&amp;"","")</f>
        <v/>
      </c>
      <c r="F78" s="48" t="str">
        <f aca="false">IFERROR(INDEX(DATABASE!$F$4:$F$2003,MATCH($B78,DATABASE!$V$4:$V$2003,0))&amp;"","")</f>
        <v/>
      </c>
      <c r="G78" s="78" t="str">
        <f aca="false">IFERROR(INDEX(DATABASE!$T$4:$T$2003,MATCH($B78,DATABASE!$V$4:$V$2003,0))&amp;"","")</f>
        <v/>
      </c>
      <c r="H78" s="46" t="str">
        <f aca="false">IFERROR(INDEX(DATABASE!$I$4:$I$2003,MATCH($B78,DATABASE!$V$4:$V$2003,0))&amp;"","")</f>
        <v/>
      </c>
    </row>
    <row r="79" customFormat="false" ht="15" hidden="false" customHeight="false" outlineLevel="0" collapsed="false">
      <c r="B79" s="49" t="n">
        <v>58</v>
      </c>
      <c r="C79" s="50" t="str">
        <f aca="false">IFERROR(INDEX(DATABASE!$B$4:$B$2003,MATCH($B79,DATABASE!$V$4:$V$2003,0))&amp;"","")</f>
        <v/>
      </c>
      <c r="D79" s="51" t="str">
        <f aca="false">IFERROR(INDEX(DATABASE!$C$4:$C$2003,MATCH($B79,DATABASE!$V$4:$V$2003,0))&amp;"","")</f>
        <v/>
      </c>
      <c r="E79" s="49" t="str">
        <f aca="false">IFERROR(INDEX(DATABASE!$E$4:$E$2003,MATCH($B79,DATABASE!$V$4:$V$2003,0))&amp;"","")</f>
        <v/>
      </c>
      <c r="F79" s="51" t="str">
        <f aca="false">IFERROR(INDEX(DATABASE!$F$4:$F$2003,MATCH($B79,DATABASE!$V$4:$V$2003,0))&amp;"","")</f>
        <v/>
      </c>
      <c r="G79" s="79" t="str">
        <f aca="false">IFERROR(INDEX(DATABASE!$T$4:$T$2003,MATCH($B79,DATABASE!$V$4:$V$2003,0))&amp;"","")</f>
        <v/>
      </c>
      <c r="H79" s="49" t="str">
        <f aca="false">IFERROR(INDEX(DATABASE!$I$4:$I$2003,MATCH($B79,DATABASE!$V$4:$V$2003,0))&amp;"","")</f>
        <v/>
      </c>
    </row>
    <row r="80" customFormat="false" ht="15" hidden="false" customHeight="false" outlineLevel="0" collapsed="false">
      <c r="B80" s="46" t="n">
        <v>59</v>
      </c>
      <c r="C80" s="47" t="str">
        <f aca="false">IFERROR(INDEX(DATABASE!$B$4:$B$2003,MATCH($B80,DATABASE!$V$4:$V$2003,0))&amp;"","")</f>
        <v/>
      </c>
      <c r="D80" s="48" t="str">
        <f aca="false">IFERROR(INDEX(DATABASE!$C$4:$C$2003,MATCH($B80,DATABASE!$V$4:$V$2003,0))&amp;"","")</f>
        <v/>
      </c>
      <c r="E80" s="46" t="str">
        <f aca="false">IFERROR(INDEX(DATABASE!$E$4:$E$2003,MATCH($B80,DATABASE!$V$4:$V$2003,0))&amp;"","")</f>
        <v/>
      </c>
      <c r="F80" s="48" t="str">
        <f aca="false">IFERROR(INDEX(DATABASE!$F$4:$F$2003,MATCH($B80,DATABASE!$V$4:$V$2003,0))&amp;"","")</f>
        <v/>
      </c>
      <c r="G80" s="78" t="str">
        <f aca="false">IFERROR(INDEX(DATABASE!$T$4:$T$2003,MATCH($B80,DATABASE!$V$4:$V$2003,0))&amp;"","")</f>
        <v/>
      </c>
      <c r="H80" s="46" t="str">
        <f aca="false">IFERROR(INDEX(DATABASE!$I$4:$I$2003,MATCH($B80,DATABASE!$V$4:$V$2003,0))&amp;"","")</f>
        <v/>
      </c>
    </row>
    <row r="81" customFormat="false" ht="15" hidden="false" customHeight="false" outlineLevel="0" collapsed="false">
      <c r="B81" s="49" t="n">
        <v>60</v>
      </c>
      <c r="C81" s="50" t="str">
        <f aca="false">IFERROR(INDEX(DATABASE!$B$4:$B$2003,MATCH($B81,DATABASE!$V$4:$V$2003,0))&amp;"","")</f>
        <v/>
      </c>
      <c r="D81" s="51" t="str">
        <f aca="false">IFERROR(INDEX(DATABASE!$C$4:$C$2003,MATCH($B81,DATABASE!$V$4:$V$2003,0))&amp;"","")</f>
        <v/>
      </c>
      <c r="E81" s="49" t="str">
        <f aca="false">IFERROR(INDEX(DATABASE!$E$4:$E$2003,MATCH($B81,DATABASE!$V$4:$V$2003,0))&amp;"","")</f>
        <v/>
      </c>
      <c r="F81" s="51" t="str">
        <f aca="false">IFERROR(INDEX(DATABASE!$F$4:$F$2003,MATCH($B81,DATABASE!$V$4:$V$2003,0))&amp;"","")</f>
        <v/>
      </c>
      <c r="G81" s="79" t="str">
        <f aca="false">IFERROR(INDEX(DATABASE!$T$4:$T$2003,MATCH($B81,DATABASE!$V$4:$V$2003,0))&amp;"","")</f>
        <v/>
      </c>
      <c r="H81" s="49" t="str">
        <f aca="false">IFERROR(INDEX(DATABASE!$I$4:$I$2003,MATCH($B81,DATABASE!$V$4:$V$2003,0))&amp;"","")</f>
        <v/>
      </c>
    </row>
    <row r="82" customFormat="false" ht="15" hidden="false" customHeight="false" outlineLevel="0" collapsed="false">
      <c r="B82" s="46" t="n">
        <v>61</v>
      </c>
      <c r="C82" s="47" t="str">
        <f aca="false">IFERROR(INDEX(DATABASE!$B$4:$B$2003,MATCH($B82,DATABASE!$V$4:$V$2003,0))&amp;"","")</f>
        <v/>
      </c>
      <c r="D82" s="48" t="str">
        <f aca="false">IFERROR(INDEX(DATABASE!$C$4:$C$2003,MATCH($B82,DATABASE!$V$4:$V$2003,0))&amp;"","")</f>
        <v/>
      </c>
      <c r="E82" s="46" t="str">
        <f aca="false">IFERROR(INDEX(DATABASE!$E$4:$E$2003,MATCH($B82,DATABASE!$V$4:$V$2003,0))&amp;"","")</f>
        <v/>
      </c>
      <c r="F82" s="48" t="str">
        <f aca="false">IFERROR(INDEX(DATABASE!$F$4:$F$2003,MATCH($B82,DATABASE!$V$4:$V$2003,0))&amp;"","")</f>
        <v/>
      </c>
      <c r="G82" s="78" t="str">
        <f aca="false">IFERROR(INDEX(DATABASE!$T$4:$T$2003,MATCH($B82,DATABASE!$V$4:$V$2003,0))&amp;"","")</f>
        <v/>
      </c>
      <c r="H82" s="46" t="str">
        <f aca="false">IFERROR(INDEX(DATABASE!$I$4:$I$2003,MATCH($B82,DATABASE!$V$4:$V$2003,0))&amp;"","")</f>
        <v/>
      </c>
    </row>
    <row r="83" customFormat="false" ht="15" hidden="false" customHeight="false" outlineLevel="0" collapsed="false">
      <c r="B83" s="49" t="n">
        <v>62</v>
      </c>
      <c r="C83" s="50" t="str">
        <f aca="false">IFERROR(INDEX(DATABASE!$B$4:$B$2003,MATCH($B83,DATABASE!$V$4:$V$2003,0))&amp;"","")</f>
        <v/>
      </c>
      <c r="D83" s="51" t="str">
        <f aca="false">IFERROR(INDEX(DATABASE!$C$4:$C$2003,MATCH($B83,DATABASE!$V$4:$V$2003,0))&amp;"","")</f>
        <v/>
      </c>
      <c r="E83" s="49" t="str">
        <f aca="false">IFERROR(INDEX(DATABASE!$E$4:$E$2003,MATCH($B83,DATABASE!$V$4:$V$2003,0))&amp;"","")</f>
        <v/>
      </c>
      <c r="F83" s="51" t="str">
        <f aca="false">IFERROR(INDEX(DATABASE!$F$4:$F$2003,MATCH($B83,DATABASE!$V$4:$V$2003,0))&amp;"","")</f>
        <v/>
      </c>
      <c r="G83" s="79" t="str">
        <f aca="false">IFERROR(INDEX(DATABASE!$T$4:$T$2003,MATCH($B83,DATABASE!$V$4:$V$2003,0))&amp;"","")</f>
        <v/>
      </c>
      <c r="H83" s="49" t="str">
        <f aca="false">IFERROR(INDEX(DATABASE!$I$4:$I$2003,MATCH($B83,DATABASE!$V$4:$V$2003,0))&amp;"","")</f>
        <v/>
      </c>
    </row>
    <row r="84" customFormat="false" ht="15" hidden="false" customHeight="false" outlineLevel="0" collapsed="false">
      <c r="B84" s="46" t="n">
        <v>63</v>
      </c>
      <c r="C84" s="47" t="str">
        <f aca="false">IFERROR(INDEX(DATABASE!$B$4:$B$2003,MATCH($B84,DATABASE!$V$4:$V$2003,0))&amp;"","")</f>
        <v/>
      </c>
      <c r="D84" s="48" t="str">
        <f aca="false">IFERROR(INDEX(DATABASE!$C$4:$C$2003,MATCH($B84,DATABASE!$V$4:$V$2003,0))&amp;"","")</f>
        <v/>
      </c>
      <c r="E84" s="46" t="str">
        <f aca="false">IFERROR(INDEX(DATABASE!$E$4:$E$2003,MATCH($B84,DATABASE!$V$4:$V$2003,0))&amp;"","")</f>
        <v/>
      </c>
      <c r="F84" s="48" t="str">
        <f aca="false">IFERROR(INDEX(DATABASE!$F$4:$F$2003,MATCH($B84,DATABASE!$V$4:$V$2003,0))&amp;"","")</f>
        <v/>
      </c>
      <c r="G84" s="78" t="str">
        <f aca="false">IFERROR(INDEX(DATABASE!$T$4:$T$2003,MATCH($B84,DATABASE!$V$4:$V$2003,0))&amp;"","")</f>
        <v/>
      </c>
      <c r="H84" s="46" t="str">
        <f aca="false">IFERROR(INDEX(DATABASE!$I$4:$I$2003,MATCH($B84,DATABASE!$V$4:$V$2003,0))&amp;"","")</f>
        <v/>
      </c>
    </row>
    <row r="85" customFormat="false" ht="15" hidden="false" customHeight="false" outlineLevel="0" collapsed="false">
      <c r="B85" s="49" t="n">
        <v>64</v>
      </c>
      <c r="C85" s="50" t="str">
        <f aca="false">IFERROR(INDEX(DATABASE!$B$4:$B$2003,MATCH($B85,DATABASE!$V$4:$V$2003,0))&amp;"","")</f>
        <v/>
      </c>
      <c r="D85" s="51" t="str">
        <f aca="false">IFERROR(INDEX(DATABASE!$C$4:$C$2003,MATCH($B85,DATABASE!$V$4:$V$2003,0))&amp;"","")</f>
        <v/>
      </c>
      <c r="E85" s="49" t="str">
        <f aca="false">IFERROR(INDEX(DATABASE!$E$4:$E$2003,MATCH($B85,DATABASE!$V$4:$V$2003,0))&amp;"","")</f>
        <v/>
      </c>
      <c r="F85" s="51" t="str">
        <f aca="false">IFERROR(INDEX(DATABASE!$F$4:$F$2003,MATCH($B85,DATABASE!$V$4:$V$2003,0))&amp;"","")</f>
        <v/>
      </c>
      <c r="G85" s="79" t="str">
        <f aca="false">IFERROR(INDEX(DATABASE!$T$4:$T$2003,MATCH($B85,DATABASE!$V$4:$V$2003,0))&amp;"","")</f>
        <v/>
      </c>
      <c r="H85" s="49" t="str">
        <f aca="false">IFERROR(INDEX(DATABASE!$I$4:$I$2003,MATCH($B85,DATABASE!$V$4:$V$2003,0))&amp;"","")</f>
        <v/>
      </c>
    </row>
    <row r="86" customFormat="false" ht="15" hidden="false" customHeight="false" outlineLevel="0" collapsed="false">
      <c r="B86" s="46" t="n">
        <v>65</v>
      </c>
      <c r="C86" s="47" t="str">
        <f aca="false">IFERROR(INDEX(DATABASE!$B$4:$B$2003,MATCH($B86,DATABASE!$V$4:$V$2003,0))&amp;"","")</f>
        <v/>
      </c>
      <c r="D86" s="48" t="str">
        <f aca="false">IFERROR(INDEX(DATABASE!$C$4:$C$2003,MATCH($B86,DATABASE!$V$4:$V$2003,0))&amp;"","")</f>
        <v/>
      </c>
      <c r="E86" s="46" t="str">
        <f aca="false">IFERROR(INDEX(DATABASE!$E$4:$E$2003,MATCH($B86,DATABASE!$V$4:$V$2003,0))&amp;"","")</f>
        <v/>
      </c>
      <c r="F86" s="48" t="str">
        <f aca="false">IFERROR(INDEX(DATABASE!$F$4:$F$2003,MATCH($B86,DATABASE!$V$4:$V$2003,0))&amp;"","")</f>
        <v/>
      </c>
      <c r="G86" s="78" t="str">
        <f aca="false">IFERROR(INDEX(DATABASE!$T$4:$T$2003,MATCH($B86,DATABASE!$V$4:$V$2003,0))&amp;"","")</f>
        <v/>
      </c>
      <c r="H86" s="46" t="str">
        <f aca="false">IFERROR(INDEX(DATABASE!$I$4:$I$2003,MATCH($B86,DATABASE!$V$4:$V$2003,0))&amp;"","")</f>
        <v/>
      </c>
    </row>
    <row r="87" customFormat="false" ht="15" hidden="false" customHeight="false" outlineLevel="0" collapsed="false">
      <c r="B87" s="49" t="n">
        <v>66</v>
      </c>
      <c r="C87" s="50" t="str">
        <f aca="false">IFERROR(INDEX(DATABASE!$B$4:$B$2003,MATCH($B87,DATABASE!$V$4:$V$2003,0))&amp;"","")</f>
        <v/>
      </c>
      <c r="D87" s="51" t="str">
        <f aca="false">IFERROR(INDEX(DATABASE!$C$4:$C$2003,MATCH($B87,DATABASE!$V$4:$V$2003,0))&amp;"","")</f>
        <v/>
      </c>
      <c r="E87" s="49" t="str">
        <f aca="false">IFERROR(INDEX(DATABASE!$E$4:$E$2003,MATCH($B87,DATABASE!$V$4:$V$2003,0))&amp;"","")</f>
        <v/>
      </c>
      <c r="F87" s="51" t="str">
        <f aca="false">IFERROR(INDEX(DATABASE!$F$4:$F$2003,MATCH($B87,DATABASE!$V$4:$V$2003,0))&amp;"","")</f>
        <v/>
      </c>
      <c r="G87" s="79" t="str">
        <f aca="false">IFERROR(INDEX(DATABASE!$T$4:$T$2003,MATCH($B87,DATABASE!$V$4:$V$2003,0))&amp;"","")</f>
        <v/>
      </c>
      <c r="H87" s="49" t="str">
        <f aca="false">IFERROR(INDEX(DATABASE!$I$4:$I$2003,MATCH($B87,DATABASE!$V$4:$V$2003,0))&amp;"","")</f>
        <v/>
      </c>
    </row>
    <row r="88" customFormat="false" ht="15" hidden="false" customHeight="false" outlineLevel="0" collapsed="false">
      <c r="B88" s="46" t="n">
        <v>67</v>
      </c>
      <c r="C88" s="47" t="str">
        <f aca="false">IFERROR(INDEX(DATABASE!$B$4:$B$2003,MATCH($B88,DATABASE!$V$4:$V$2003,0))&amp;"","")</f>
        <v/>
      </c>
      <c r="D88" s="48" t="str">
        <f aca="false">IFERROR(INDEX(DATABASE!$C$4:$C$2003,MATCH($B88,DATABASE!$V$4:$V$2003,0))&amp;"","")</f>
        <v/>
      </c>
      <c r="E88" s="46" t="str">
        <f aca="false">IFERROR(INDEX(DATABASE!$E$4:$E$2003,MATCH($B88,DATABASE!$V$4:$V$2003,0))&amp;"","")</f>
        <v/>
      </c>
      <c r="F88" s="48" t="str">
        <f aca="false">IFERROR(INDEX(DATABASE!$F$4:$F$2003,MATCH($B88,DATABASE!$V$4:$V$2003,0))&amp;"","")</f>
        <v/>
      </c>
      <c r="G88" s="78" t="str">
        <f aca="false">IFERROR(INDEX(DATABASE!$T$4:$T$2003,MATCH($B88,DATABASE!$V$4:$V$2003,0))&amp;"","")</f>
        <v/>
      </c>
      <c r="H88" s="46" t="str">
        <f aca="false">IFERROR(INDEX(DATABASE!$I$4:$I$2003,MATCH($B88,DATABASE!$V$4:$V$2003,0))&amp;"","")</f>
        <v/>
      </c>
    </row>
    <row r="89" customFormat="false" ht="15" hidden="false" customHeight="false" outlineLevel="0" collapsed="false">
      <c r="B89" s="49" t="n">
        <v>68</v>
      </c>
      <c r="C89" s="50" t="str">
        <f aca="false">IFERROR(INDEX(DATABASE!$B$4:$B$2003,MATCH($B89,DATABASE!$V$4:$V$2003,0))&amp;"","")</f>
        <v/>
      </c>
      <c r="D89" s="51" t="str">
        <f aca="false">IFERROR(INDEX(DATABASE!$C$4:$C$2003,MATCH($B89,DATABASE!$V$4:$V$2003,0))&amp;"","")</f>
        <v/>
      </c>
      <c r="E89" s="49" t="str">
        <f aca="false">IFERROR(INDEX(DATABASE!$E$4:$E$2003,MATCH($B89,DATABASE!$V$4:$V$2003,0))&amp;"","")</f>
        <v/>
      </c>
      <c r="F89" s="51" t="str">
        <f aca="false">IFERROR(INDEX(DATABASE!$F$4:$F$2003,MATCH($B89,DATABASE!$V$4:$V$2003,0))&amp;"","")</f>
        <v/>
      </c>
      <c r="G89" s="79" t="str">
        <f aca="false">IFERROR(INDEX(DATABASE!$T$4:$T$2003,MATCH($B89,DATABASE!$V$4:$V$2003,0))&amp;"","")</f>
        <v/>
      </c>
      <c r="H89" s="49" t="str">
        <f aca="false">IFERROR(INDEX(DATABASE!$I$4:$I$2003,MATCH($B89,DATABASE!$V$4:$V$2003,0))&amp;"","")</f>
        <v/>
      </c>
    </row>
    <row r="90" customFormat="false" ht="15" hidden="false" customHeight="false" outlineLevel="0" collapsed="false">
      <c r="B90" s="46" t="n">
        <v>69</v>
      </c>
      <c r="C90" s="47" t="str">
        <f aca="false">IFERROR(INDEX(DATABASE!$B$4:$B$2003,MATCH($B90,DATABASE!$V$4:$V$2003,0))&amp;"","")</f>
        <v/>
      </c>
      <c r="D90" s="48" t="str">
        <f aca="false">IFERROR(INDEX(DATABASE!$C$4:$C$2003,MATCH($B90,DATABASE!$V$4:$V$2003,0))&amp;"","")</f>
        <v/>
      </c>
      <c r="E90" s="46" t="str">
        <f aca="false">IFERROR(INDEX(DATABASE!$E$4:$E$2003,MATCH($B90,DATABASE!$V$4:$V$2003,0))&amp;"","")</f>
        <v/>
      </c>
      <c r="F90" s="48" t="str">
        <f aca="false">IFERROR(INDEX(DATABASE!$F$4:$F$2003,MATCH($B90,DATABASE!$V$4:$V$2003,0))&amp;"","")</f>
        <v/>
      </c>
      <c r="G90" s="78" t="str">
        <f aca="false">IFERROR(INDEX(DATABASE!$T$4:$T$2003,MATCH($B90,DATABASE!$V$4:$V$2003,0))&amp;"","")</f>
        <v/>
      </c>
      <c r="H90" s="46" t="str">
        <f aca="false">IFERROR(INDEX(DATABASE!$I$4:$I$2003,MATCH($B90,DATABASE!$V$4:$V$2003,0))&amp;"","")</f>
        <v/>
      </c>
    </row>
    <row r="91" customFormat="false" ht="15" hidden="false" customHeight="false" outlineLevel="0" collapsed="false">
      <c r="B91" s="49" t="n">
        <v>70</v>
      </c>
      <c r="C91" s="50" t="str">
        <f aca="false">IFERROR(INDEX(DATABASE!$B$4:$B$2003,MATCH($B91,DATABASE!$V$4:$V$2003,0))&amp;"","")</f>
        <v/>
      </c>
      <c r="D91" s="51" t="str">
        <f aca="false">IFERROR(INDEX(DATABASE!$C$4:$C$2003,MATCH($B91,DATABASE!$V$4:$V$2003,0))&amp;"","")</f>
        <v/>
      </c>
      <c r="E91" s="49" t="str">
        <f aca="false">IFERROR(INDEX(DATABASE!$E$4:$E$2003,MATCH($B91,DATABASE!$V$4:$V$2003,0))&amp;"","")</f>
        <v/>
      </c>
      <c r="F91" s="51" t="str">
        <f aca="false">IFERROR(INDEX(DATABASE!$F$4:$F$2003,MATCH($B91,DATABASE!$V$4:$V$2003,0))&amp;"","")</f>
        <v/>
      </c>
      <c r="G91" s="79" t="str">
        <f aca="false">IFERROR(INDEX(DATABASE!$T$4:$T$2003,MATCH($B91,DATABASE!$V$4:$V$2003,0))&amp;"","")</f>
        <v/>
      </c>
      <c r="H91" s="49" t="str">
        <f aca="false">IFERROR(INDEX(DATABASE!$I$4:$I$2003,MATCH($B91,DATABASE!$V$4:$V$2003,0))&amp;"","")</f>
        <v/>
      </c>
    </row>
    <row r="92" customFormat="false" ht="15" hidden="false" customHeight="false" outlineLevel="0" collapsed="false">
      <c r="B92" s="46" t="n">
        <v>71</v>
      </c>
      <c r="C92" s="47" t="str">
        <f aca="false">IFERROR(INDEX(DATABASE!$B$4:$B$2003,MATCH($B92,DATABASE!$V$4:$V$2003,0))&amp;"","")</f>
        <v/>
      </c>
      <c r="D92" s="48" t="str">
        <f aca="false">IFERROR(INDEX(DATABASE!$C$4:$C$2003,MATCH($B92,DATABASE!$V$4:$V$2003,0))&amp;"","")</f>
        <v/>
      </c>
      <c r="E92" s="46" t="str">
        <f aca="false">IFERROR(INDEX(DATABASE!$E$4:$E$2003,MATCH($B92,DATABASE!$V$4:$V$2003,0))&amp;"","")</f>
        <v/>
      </c>
      <c r="F92" s="48" t="str">
        <f aca="false">IFERROR(INDEX(DATABASE!$F$4:$F$2003,MATCH($B92,DATABASE!$V$4:$V$2003,0))&amp;"","")</f>
        <v/>
      </c>
      <c r="G92" s="78" t="str">
        <f aca="false">IFERROR(INDEX(DATABASE!$T$4:$T$2003,MATCH($B92,DATABASE!$V$4:$V$2003,0))&amp;"","")</f>
        <v/>
      </c>
      <c r="H92" s="46" t="str">
        <f aca="false">IFERROR(INDEX(DATABASE!$I$4:$I$2003,MATCH($B92,DATABASE!$V$4:$V$2003,0))&amp;"","")</f>
        <v/>
      </c>
    </row>
    <row r="93" customFormat="false" ht="15" hidden="false" customHeight="false" outlineLevel="0" collapsed="false">
      <c r="B93" s="49" t="n">
        <v>72</v>
      </c>
      <c r="C93" s="50" t="str">
        <f aca="false">IFERROR(INDEX(DATABASE!$B$4:$B$2003,MATCH($B93,DATABASE!$V$4:$V$2003,0))&amp;"","")</f>
        <v/>
      </c>
      <c r="D93" s="51" t="str">
        <f aca="false">IFERROR(INDEX(DATABASE!$C$4:$C$2003,MATCH($B93,DATABASE!$V$4:$V$2003,0))&amp;"","")</f>
        <v/>
      </c>
      <c r="E93" s="49" t="str">
        <f aca="false">IFERROR(INDEX(DATABASE!$E$4:$E$2003,MATCH($B93,DATABASE!$V$4:$V$2003,0))&amp;"","")</f>
        <v/>
      </c>
      <c r="F93" s="51" t="str">
        <f aca="false">IFERROR(INDEX(DATABASE!$F$4:$F$2003,MATCH($B93,DATABASE!$V$4:$V$2003,0))&amp;"","")</f>
        <v/>
      </c>
      <c r="G93" s="79" t="str">
        <f aca="false">IFERROR(INDEX(DATABASE!$T$4:$T$2003,MATCH($B93,DATABASE!$V$4:$V$2003,0))&amp;"","")</f>
        <v/>
      </c>
      <c r="H93" s="49" t="str">
        <f aca="false">IFERROR(INDEX(DATABASE!$I$4:$I$2003,MATCH($B93,DATABASE!$V$4:$V$2003,0))&amp;"","")</f>
        <v/>
      </c>
    </row>
    <row r="94" customFormat="false" ht="15" hidden="false" customHeight="false" outlineLevel="0" collapsed="false">
      <c r="B94" s="46" t="n">
        <v>73</v>
      </c>
      <c r="C94" s="47" t="str">
        <f aca="false">IFERROR(INDEX(DATABASE!$B$4:$B$2003,MATCH($B94,DATABASE!$V$4:$V$2003,0))&amp;"","")</f>
        <v/>
      </c>
      <c r="D94" s="48" t="str">
        <f aca="false">IFERROR(INDEX(DATABASE!$C$4:$C$2003,MATCH($B94,DATABASE!$V$4:$V$2003,0))&amp;"","")</f>
        <v/>
      </c>
      <c r="E94" s="46" t="str">
        <f aca="false">IFERROR(INDEX(DATABASE!$E$4:$E$2003,MATCH($B94,DATABASE!$V$4:$V$2003,0))&amp;"","")</f>
        <v/>
      </c>
      <c r="F94" s="48" t="str">
        <f aca="false">IFERROR(INDEX(DATABASE!$F$4:$F$2003,MATCH($B94,DATABASE!$V$4:$V$2003,0))&amp;"","")</f>
        <v/>
      </c>
      <c r="G94" s="78" t="str">
        <f aca="false">IFERROR(INDEX(DATABASE!$T$4:$T$2003,MATCH($B94,DATABASE!$V$4:$V$2003,0))&amp;"","")</f>
        <v/>
      </c>
      <c r="H94" s="46" t="str">
        <f aca="false">IFERROR(INDEX(DATABASE!$I$4:$I$2003,MATCH($B94,DATABASE!$V$4:$V$2003,0))&amp;"","")</f>
        <v/>
      </c>
    </row>
    <row r="95" customFormat="false" ht="15" hidden="false" customHeight="false" outlineLevel="0" collapsed="false">
      <c r="B95" s="49" t="n">
        <v>74</v>
      </c>
      <c r="C95" s="50" t="str">
        <f aca="false">IFERROR(INDEX(DATABASE!$B$4:$B$2003,MATCH($B95,DATABASE!$V$4:$V$2003,0))&amp;"","")</f>
        <v/>
      </c>
      <c r="D95" s="51" t="str">
        <f aca="false">IFERROR(INDEX(DATABASE!$C$4:$C$2003,MATCH($B95,DATABASE!$V$4:$V$2003,0))&amp;"","")</f>
        <v/>
      </c>
      <c r="E95" s="49" t="str">
        <f aca="false">IFERROR(INDEX(DATABASE!$E$4:$E$2003,MATCH($B95,DATABASE!$V$4:$V$2003,0))&amp;"","")</f>
        <v/>
      </c>
      <c r="F95" s="51" t="str">
        <f aca="false">IFERROR(INDEX(DATABASE!$F$4:$F$2003,MATCH($B95,DATABASE!$V$4:$V$2003,0))&amp;"","")</f>
        <v/>
      </c>
      <c r="G95" s="79" t="str">
        <f aca="false">IFERROR(INDEX(DATABASE!$T$4:$T$2003,MATCH($B95,DATABASE!$V$4:$V$2003,0))&amp;"","")</f>
        <v/>
      </c>
      <c r="H95" s="49" t="str">
        <f aca="false">IFERROR(INDEX(DATABASE!$I$4:$I$2003,MATCH($B95,DATABASE!$V$4:$V$2003,0))&amp;"","")</f>
        <v/>
      </c>
    </row>
    <row r="96" customFormat="false" ht="15" hidden="false" customHeight="false" outlineLevel="0" collapsed="false">
      <c r="B96" s="46" t="n">
        <v>75</v>
      </c>
      <c r="C96" s="47" t="str">
        <f aca="false">IFERROR(INDEX(DATABASE!$B$4:$B$2003,MATCH($B96,DATABASE!$V$4:$V$2003,0))&amp;"","")</f>
        <v/>
      </c>
      <c r="D96" s="48" t="str">
        <f aca="false">IFERROR(INDEX(DATABASE!$C$4:$C$2003,MATCH($B96,DATABASE!$V$4:$V$2003,0))&amp;"","")</f>
        <v/>
      </c>
      <c r="E96" s="46" t="str">
        <f aca="false">IFERROR(INDEX(DATABASE!$E$4:$E$2003,MATCH($B96,DATABASE!$V$4:$V$2003,0))&amp;"","")</f>
        <v/>
      </c>
      <c r="F96" s="48" t="str">
        <f aca="false">IFERROR(INDEX(DATABASE!$F$4:$F$2003,MATCH($B96,DATABASE!$V$4:$V$2003,0))&amp;"","")</f>
        <v/>
      </c>
      <c r="G96" s="78" t="str">
        <f aca="false">IFERROR(INDEX(DATABASE!$T$4:$T$2003,MATCH($B96,DATABASE!$V$4:$V$2003,0))&amp;"","")</f>
        <v/>
      </c>
      <c r="H96" s="46" t="str">
        <f aca="false">IFERROR(INDEX(DATABASE!$I$4:$I$2003,MATCH($B96,DATABASE!$V$4:$V$2003,0))&amp;"","")</f>
        <v/>
      </c>
    </row>
    <row r="97" customFormat="false" ht="15" hidden="false" customHeight="false" outlineLevel="0" collapsed="false">
      <c r="B97" s="49" t="n">
        <v>76</v>
      </c>
      <c r="C97" s="50" t="str">
        <f aca="false">IFERROR(INDEX(DATABASE!$B$4:$B$2003,MATCH($B97,DATABASE!$V$4:$V$2003,0))&amp;"","")</f>
        <v/>
      </c>
      <c r="D97" s="51" t="str">
        <f aca="false">IFERROR(INDEX(DATABASE!$C$4:$C$2003,MATCH($B97,DATABASE!$V$4:$V$2003,0))&amp;"","")</f>
        <v/>
      </c>
      <c r="E97" s="49" t="str">
        <f aca="false">IFERROR(INDEX(DATABASE!$E$4:$E$2003,MATCH($B97,DATABASE!$V$4:$V$2003,0))&amp;"","")</f>
        <v/>
      </c>
      <c r="F97" s="51" t="str">
        <f aca="false">IFERROR(INDEX(DATABASE!$F$4:$F$2003,MATCH($B97,DATABASE!$V$4:$V$2003,0))&amp;"","")</f>
        <v/>
      </c>
      <c r="G97" s="79" t="str">
        <f aca="false">IFERROR(INDEX(DATABASE!$T$4:$T$2003,MATCH($B97,DATABASE!$V$4:$V$2003,0))&amp;"","")</f>
        <v/>
      </c>
      <c r="H97" s="49" t="str">
        <f aca="false">IFERROR(INDEX(DATABASE!$I$4:$I$2003,MATCH($B97,DATABASE!$V$4:$V$2003,0))&amp;"","")</f>
        <v/>
      </c>
    </row>
    <row r="98" customFormat="false" ht="15" hidden="false" customHeight="false" outlineLevel="0" collapsed="false">
      <c r="B98" s="46" t="n">
        <v>77</v>
      </c>
      <c r="C98" s="47" t="str">
        <f aca="false">IFERROR(INDEX(DATABASE!$B$4:$B$2003,MATCH($B98,DATABASE!$V$4:$V$2003,0))&amp;"","")</f>
        <v/>
      </c>
      <c r="D98" s="48" t="str">
        <f aca="false">IFERROR(INDEX(DATABASE!$C$4:$C$2003,MATCH($B98,DATABASE!$V$4:$V$2003,0))&amp;"","")</f>
        <v/>
      </c>
      <c r="E98" s="46" t="str">
        <f aca="false">IFERROR(INDEX(DATABASE!$E$4:$E$2003,MATCH($B98,DATABASE!$V$4:$V$2003,0))&amp;"","")</f>
        <v/>
      </c>
      <c r="F98" s="48" t="str">
        <f aca="false">IFERROR(INDEX(DATABASE!$F$4:$F$2003,MATCH($B98,DATABASE!$V$4:$V$2003,0))&amp;"","")</f>
        <v/>
      </c>
      <c r="G98" s="78" t="str">
        <f aca="false">IFERROR(INDEX(DATABASE!$T$4:$T$2003,MATCH($B98,DATABASE!$V$4:$V$2003,0))&amp;"","")</f>
        <v/>
      </c>
      <c r="H98" s="46" t="str">
        <f aca="false">IFERROR(INDEX(DATABASE!$I$4:$I$2003,MATCH($B98,DATABASE!$V$4:$V$2003,0))&amp;"","")</f>
        <v/>
      </c>
    </row>
    <row r="99" customFormat="false" ht="15" hidden="false" customHeight="false" outlineLevel="0" collapsed="false">
      <c r="B99" s="49" t="n">
        <v>78</v>
      </c>
      <c r="C99" s="50" t="str">
        <f aca="false">IFERROR(INDEX(DATABASE!$B$4:$B$2003,MATCH($B99,DATABASE!$V$4:$V$2003,0))&amp;"","")</f>
        <v/>
      </c>
      <c r="D99" s="51" t="str">
        <f aca="false">IFERROR(INDEX(DATABASE!$C$4:$C$2003,MATCH($B99,DATABASE!$V$4:$V$2003,0))&amp;"","")</f>
        <v/>
      </c>
      <c r="E99" s="49" t="str">
        <f aca="false">IFERROR(INDEX(DATABASE!$E$4:$E$2003,MATCH($B99,DATABASE!$V$4:$V$2003,0))&amp;"","")</f>
        <v/>
      </c>
      <c r="F99" s="51" t="str">
        <f aca="false">IFERROR(INDEX(DATABASE!$F$4:$F$2003,MATCH($B99,DATABASE!$V$4:$V$2003,0))&amp;"","")</f>
        <v/>
      </c>
      <c r="G99" s="79" t="str">
        <f aca="false">IFERROR(INDEX(DATABASE!$T$4:$T$2003,MATCH($B99,DATABASE!$V$4:$V$2003,0))&amp;"","")</f>
        <v/>
      </c>
      <c r="H99" s="49" t="str">
        <f aca="false">IFERROR(INDEX(DATABASE!$I$4:$I$2003,MATCH($B99,DATABASE!$V$4:$V$2003,0))&amp;"","")</f>
        <v/>
      </c>
    </row>
    <row r="100" customFormat="false" ht="15" hidden="false" customHeight="false" outlineLevel="0" collapsed="false">
      <c r="B100" s="46" t="n">
        <v>79</v>
      </c>
      <c r="C100" s="47" t="str">
        <f aca="false">IFERROR(INDEX(DATABASE!$B$4:$B$2003,MATCH($B100,DATABASE!$V$4:$V$2003,0))&amp;"","")</f>
        <v/>
      </c>
      <c r="D100" s="48" t="str">
        <f aca="false">IFERROR(INDEX(DATABASE!$C$4:$C$2003,MATCH($B100,DATABASE!$V$4:$V$2003,0))&amp;"","")</f>
        <v/>
      </c>
      <c r="E100" s="46" t="str">
        <f aca="false">IFERROR(INDEX(DATABASE!$E$4:$E$2003,MATCH($B100,DATABASE!$V$4:$V$2003,0))&amp;"","")</f>
        <v/>
      </c>
      <c r="F100" s="48" t="str">
        <f aca="false">IFERROR(INDEX(DATABASE!$F$4:$F$2003,MATCH($B100,DATABASE!$V$4:$V$2003,0))&amp;"","")</f>
        <v/>
      </c>
      <c r="G100" s="78" t="str">
        <f aca="false">IFERROR(INDEX(DATABASE!$T$4:$T$2003,MATCH($B100,DATABASE!$V$4:$V$2003,0))&amp;"","")</f>
        <v/>
      </c>
      <c r="H100" s="46" t="str">
        <f aca="false">IFERROR(INDEX(DATABASE!$I$4:$I$2003,MATCH($B100,DATABASE!$V$4:$V$2003,0))&amp;"","")</f>
        <v/>
      </c>
    </row>
    <row r="101" customFormat="false" ht="15" hidden="false" customHeight="false" outlineLevel="0" collapsed="false">
      <c r="B101" s="49" t="n">
        <v>80</v>
      </c>
      <c r="C101" s="50" t="str">
        <f aca="false">IFERROR(INDEX(DATABASE!$B$4:$B$2003,MATCH($B101,DATABASE!$V$4:$V$2003,0))&amp;"","")</f>
        <v/>
      </c>
      <c r="D101" s="51" t="str">
        <f aca="false">IFERROR(INDEX(DATABASE!$C$4:$C$2003,MATCH($B101,DATABASE!$V$4:$V$2003,0))&amp;"","")</f>
        <v/>
      </c>
      <c r="E101" s="49" t="str">
        <f aca="false">IFERROR(INDEX(DATABASE!$E$4:$E$2003,MATCH($B101,DATABASE!$V$4:$V$2003,0))&amp;"","")</f>
        <v/>
      </c>
      <c r="F101" s="51" t="str">
        <f aca="false">IFERROR(INDEX(DATABASE!$F$4:$F$2003,MATCH($B101,DATABASE!$V$4:$V$2003,0))&amp;"","")</f>
        <v/>
      </c>
      <c r="G101" s="79" t="str">
        <f aca="false">IFERROR(INDEX(DATABASE!$T$4:$T$2003,MATCH($B101,DATABASE!$V$4:$V$2003,0))&amp;"","")</f>
        <v/>
      </c>
      <c r="H101" s="49" t="str">
        <f aca="false">IFERROR(INDEX(DATABASE!$I$4:$I$2003,MATCH($B101,DATABASE!$V$4:$V$2003,0))&amp;"","")</f>
        <v/>
      </c>
    </row>
    <row r="102" customFormat="false" ht="15" hidden="false" customHeight="false" outlineLevel="0" collapsed="false">
      <c r="B102" s="46" t="n">
        <v>81</v>
      </c>
      <c r="C102" s="47" t="str">
        <f aca="false">IFERROR(INDEX(DATABASE!$B$4:$B$2003,MATCH($B102,DATABASE!$V$4:$V$2003,0))&amp;"","")</f>
        <v/>
      </c>
      <c r="D102" s="48" t="str">
        <f aca="false">IFERROR(INDEX(DATABASE!$C$4:$C$2003,MATCH($B102,DATABASE!$V$4:$V$2003,0))&amp;"","")</f>
        <v/>
      </c>
      <c r="E102" s="46" t="str">
        <f aca="false">IFERROR(INDEX(DATABASE!$E$4:$E$2003,MATCH($B102,DATABASE!$V$4:$V$2003,0))&amp;"","")</f>
        <v/>
      </c>
      <c r="F102" s="48" t="str">
        <f aca="false">IFERROR(INDEX(DATABASE!$F$4:$F$2003,MATCH($B102,DATABASE!$V$4:$V$2003,0))&amp;"","")</f>
        <v/>
      </c>
      <c r="G102" s="78" t="str">
        <f aca="false">IFERROR(INDEX(DATABASE!$T$4:$T$2003,MATCH($B102,DATABASE!$V$4:$V$2003,0))&amp;"","")</f>
        <v/>
      </c>
      <c r="H102" s="46" t="str">
        <f aca="false">IFERROR(INDEX(DATABASE!$I$4:$I$2003,MATCH($B102,DATABASE!$V$4:$V$2003,0))&amp;"","")</f>
        <v/>
      </c>
    </row>
    <row r="103" customFormat="false" ht="15" hidden="false" customHeight="false" outlineLevel="0" collapsed="false">
      <c r="B103" s="49" t="n">
        <v>82</v>
      </c>
      <c r="C103" s="50" t="str">
        <f aca="false">IFERROR(INDEX(DATABASE!$B$4:$B$2003,MATCH($B103,DATABASE!$V$4:$V$2003,0))&amp;"","")</f>
        <v/>
      </c>
      <c r="D103" s="51" t="str">
        <f aca="false">IFERROR(INDEX(DATABASE!$C$4:$C$2003,MATCH($B103,DATABASE!$V$4:$V$2003,0))&amp;"","")</f>
        <v/>
      </c>
      <c r="E103" s="49" t="str">
        <f aca="false">IFERROR(INDEX(DATABASE!$E$4:$E$2003,MATCH($B103,DATABASE!$V$4:$V$2003,0))&amp;"","")</f>
        <v/>
      </c>
      <c r="F103" s="51" t="str">
        <f aca="false">IFERROR(INDEX(DATABASE!$F$4:$F$2003,MATCH($B103,DATABASE!$V$4:$V$2003,0))&amp;"","")</f>
        <v/>
      </c>
      <c r="G103" s="79" t="str">
        <f aca="false">IFERROR(INDEX(DATABASE!$T$4:$T$2003,MATCH($B103,DATABASE!$V$4:$V$2003,0))&amp;"","")</f>
        <v/>
      </c>
      <c r="H103" s="49" t="str">
        <f aca="false">IFERROR(INDEX(DATABASE!$I$4:$I$2003,MATCH($B103,DATABASE!$V$4:$V$2003,0))&amp;"","")</f>
        <v/>
      </c>
    </row>
    <row r="104" customFormat="false" ht="15" hidden="false" customHeight="false" outlineLevel="0" collapsed="false">
      <c r="B104" s="46" t="n">
        <v>83</v>
      </c>
      <c r="C104" s="47" t="str">
        <f aca="false">IFERROR(INDEX(DATABASE!$B$4:$B$2003,MATCH($B104,DATABASE!$V$4:$V$2003,0))&amp;"","")</f>
        <v/>
      </c>
      <c r="D104" s="48" t="str">
        <f aca="false">IFERROR(INDEX(DATABASE!$C$4:$C$2003,MATCH($B104,DATABASE!$V$4:$V$2003,0))&amp;"","")</f>
        <v/>
      </c>
      <c r="E104" s="46" t="str">
        <f aca="false">IFERROR(INDEX(DATABASE!$E$4:$E$2003,MATCH($B104,DATABASE!$V$4:$V$2003,0))&amp;"","")</f>
        <v/>
      </c>
      <c r="F104" s="48" t="str">
        <f aca="false">IFERROR(INDEX(DATABASE!$F$4:$F$2003,MATCH($B104,DATABASE!$V$4:$V$2003,0))&amp;"","")</f>
        <v/>
      </c>
      <c r="G104" s="78" t="str">
        <f aca="false">IFERROR(INDEX(DATABASE!$T$4:$T$2003,MATCH($B104,DATABASE!$V$4:$V$2003,0))&amp;"","")</f>
        <v/>
      </c>
      <c r="H104" s="46" t="str">
        <f aca="false">IFERROR(INDEX(DATABASE!$I$4:$I$2003,MATCH($B104,DATABASE!$V$4:$V$2003,0))&amp;"","")</f>
        <v/>
      </c>
    </row>
    <row r="105" customFormat="false" ht="15" hidden="false" customHeight="false" outlineLevel="0" collapsed="false">
      <c r="B105" s="49" t="n">
        <v>84</v>
      </c>
      <c r="C105" s="50" t="str">
        <f aca="false">IFERROR(INDEX(DATABASE!$B$4:$B$2003,MATCH($B105,DATABASE!$V$4:$V$2003,0))&amp;"","")</f>
        <v/>
      </c>
      <c r="D105" s="51" t="str">
        <f aca="false">IFERROR(INDEX(DATABASE!$C$4:$C$2003,MATCH($B105,DATABASE!$V$4:$V$2003,0))&amp;"","")</f>
        <v/>
      </c>
      <c r="E105" s="49" t="str">
        <f aca="false">IFERROR(INDEX(DATABASE!$E$4:$E$2003,MATCH($B105,DATABASE!$V$4:$V$2003,0))&amp;"","")</f>
        <v/>
      </c>
      <c r="F105" s="51" t="str">
        <f aca="false">IFERROR(INDEX(DATABASE!$F$4:$F$2003,MATCH($B105,DATABASE!$V$4:$V$2003,0))&amp;"","")</f>
        <v/>
      </c>
      <c r="G105" s="79" t="str">
        <f aca="false">IFERROR(INDEX(DATABASE!$T$4:$T$2003,MATCH($B105,DATABASE!$V$4:$V$2003,0))&amp;"","")</f>
        <v/>
      </c>
      <c r="H105" s="49" t="str">
        <f aca="false">IFERROR(INDEX(DATABASE!$I$4:$I$2003,MATCH($B105,DATABASE!$V$4:$V$2003,0))&amp;"","")</f>
        <v/>
      </c>
    </row>
    <row r="106" customFormat="false" ht="15" hidden="false" customHeight="false" outlineLevel="0" collapsed="false">
      <c r="B106" s="46" t="n">
        <v>85</v>
      </c>
      <c r="C106" s="47" t="str">
        <f aca="false">IFERROR(INDEX(DATABASE!$B$4:$B$2003,MATCH($B106,DATABASE!$V$4:$V$2003,0))&amp;"","")</f>
        <v/>
      </c>
      <c r="D106" s="48" t="str">
        <f aca="false">IFERROR(INDEX(DATABASE!$C$4:$C$2003,MATCH($B106,DATABASE!$V$4:$V$2003,0))&amp;"","")</f>
        <v/>
      </c>
      <c r="E106" s="46" t="str">
        <f aca="false">IFERROR(INDEX(DATABASE!$E$4:$E$2003,MATCH($B106,DATABASE!$V$4:$V$2003,0))&amp;"","")</f>
        <v/>
      </c>
      <c r="F106" s="48" t="str">
        <f aca="false">IFERROR(INDEX(DATABASE!$F$4:$F$2003,MATCH($B106,DATABASE!$V$4:$V$2003,0))&amp;"","")</f>
        <v/>
      </c>
      <c r="G106" s="78" t="str">
        <f aca="false">IFERROR(INDEX(DATABASE!$T$4:$T$2003,MATCH($B106,DATABASE!$V$4:$V$2003,0))&amp;"","")</f>
        <v/>
      </c>
      <c r="H106" s="46" t="str">
        <f aca="false">IFERROR(INDEX(DATABASE!$I$4:$I$2003,MATCH($B106,DATABASE!$V$4:$V$2003,0))&amp;"","")</f>
        <v/>
      </c>
    </row>
    <row r="107" customFormat="false" ht="15" hidden="false" customHeight="false" outlineLevel="0" collapsed="false">
      <c r="B107" s="49" t="n">
        <v>86</v>
      </c>
      <c r="C107" s="50" t="str">
        <f aca="false">IFERROR(INDEX(DATABASE!$B$4:$B$2003,MATCH($B107,DATABASE!$V$4:$V$2003,0))&amp;"","")</f>
        <v/>
      </c>
      <c r="D107" s="51" t="str">
        <f aca="false">IFERROR(INDEX(DATABASE!$C$4:$C$2003,MATCH($B107,DATABASE!$V$4:$V$2003,0))&amp;"","")</f>
        <v/>
      </c>
      <c r="E107" s="49" t="str">
        <f aca="false">IFERROR(INDEX(DATABASE!$E$4:$E$2003,MATCH($B107,DATABASE!$V$4:$V$2003,0))&amp;"","")</f>
        <v/>
      </c>
      <c r="F107" s="51" t="str">
        <f aca="false">IFERROR(INDEX(DATABASE!$F$4:$F$2003,MATCH($B107,DATABASE!$V$4:$V$2003,0))&amp;"","")</f>
        <v/>
      </c>
      <c r="G107" s="79" t="str">
        <f aca="false">IFERROR(INDEX(DATABASE!$T$4:$T$2003,MATCH($B107,DATABASE!$V$4:$V$2003,0))&amp;"","")</f>
        <v/>
      </c>
      <c r="H107" s="49" t="str">
        <f aca="false">IFERROR(INDEX(DATABASE!$I$4:$I$2003,MATCH($B107,DATABASE!$V$4:$V$2003,0))&amp;"","")</f>
        <v/>
      </c>
    </row>
    <row r="108" customFormat="false" ht="15" hidden="false" customHeight="false" outlineLevel="0" collapsed="false">
      <c r="B108" s="46" t="n">
        <v>87</v>
      </c>
      <c r="C108" s="47" t="str">
        <f aca="false">IFERROR(INDEX(DATABASE!$B$4:$B$2003,MATCH($B108,DATABASE!$V$4:$V$2003,0))&amp;"","")</f>
        <v/>
      </c>
      <c r="D108" s="48" t="str">
        <f aca="false">IFERROR(INDEX(DATABASE!$C$4:$C$2003,MATCH($B108,DATABASE!$V$4:$V$2003,0))&amp;"","")</f>
        <v/>
      </c>
      <c r="E108" s="46" t="str">
        <f aca="false">IFERROR(INDEX(DATABASE!$E$4:$E$2003,MATCH($B108,DATABASE!$V$4:$V$2003,0))&amp;"","")</f>
        <v/>
      </c>
      <c r="F108" s="48" t="str">
        <f aca="false">IFERROR(INDEX(DATABASE!$F$4:$F$2003,MATCH($B108,DATABASE!$V$4:$V$2003,0))&amp;"","")</f>
        <v/>
      </c>
      <c r="G108" s="78" t="str">
        <f aca="false">IFERROR(INDEX(DATABASE!$T$4:$T$2003,MATCH($B108,DATABASE!$V$4:$V$2003,0))&amp;"","")</f>
        <v/>
      </c>
      <c r="H108" s="46" t="str">
        <f aca="false">IFERROR(INDEX(DATABASE!$I$4:$I$2003,MATCH($B108,DATABASE!$V$4:$V$2003,0))&amp;"","")</f>
        <v/>
      </c>
    </row>
    <row r="109" customFormat="false" ht="15" hidden="false" customHeight="false" outlineLevel="0" collapsed="false">
      <c r="B109" s="49" t="n">
        <v>88</v>
      </c>
      <c r="C109" s="50" t="str">
        <f aca="false">IFERROR(INDEX(DATABASE!$B$4:$B$2003,MATCH($B109,DATABASE!$V$4:$V$2003,0))&amp;"","")</f>
        <v/>
      </c>
      <c r="D109" s="51" t="str">
        <f aca="false">IFERROR(INDEX(DATABASE!$C$4:$C$2003,MATCH($B109,DATABASE!$V$4:$V$2003,0))&amp;"","")</f>
        <v/>
      </c>
      <c r="E109" s="49" t="str">
        <f aca="false">IFERROR(INDEX(DATABASE!$E$4:$E$2003,MATCH($B109,DATABASE!$V$4:$V$2003,0))&amp;"","")</f>
        <v/>
      </c>
      <c r="F109" s="51" t="str">
        <f aca="false">IFERROR(INDEX(DATABASE!$F$4:$F$2003,MATCH($B109,DATABASE!$V$4:$V$2003,0))&amp;"","")</f>
        <v/>
      </c>
      <c r="G109" s="79" t="str">
        <f aca="false">IFERROR(INDEX(DATABASE!$T$4:$T$2003,MATCH($B109,DATABASE!$V$4:$V$2003,0))&amp;"","")</f>
        <v/>
      </c>
      <c r="H109" s="49" t="str">
        <f aca="false">IFERROR(INDEX(DATABASE!$I$4:$I$2003,MATCH($B109,DATABASE!$V$4:$V$2003,0))&amp;"","")</f>
        <v/>
      </c>
    </row>
    <row r="110" customFormat="false" ht="15" hidden="false" customHeight="false" outlineLevel="0" collapsed="false">
      <c r="B110" s="46" t="n">
        <v>89</v>
      </c>
      <c r="C110" s="47" t="str">
        <f aca="false">IFERROR(INDEX(DATABASE!$B$4:$B$2003,MATCH($B110,DATABASE!$V$4:$V$2003,0))&amp;"","")</f>
        <v/>
      </c>
      <c r="D110" s="48" t="str">
        <f aca="false">IFERROR(INDEX(DATABASE!$C$4:$C$2003,MATCH($B110,DATABASE!$V$4:$V$2003,0))&amp;"","")</f>
        <v/>
      </c>
      <c r="E110" s="46" t="str">
        <f aca="false">IFERROR(INDEX(DATABASE!$E$4:$E$2003,MATCH($B110,DATABASE!$V$4:$V$2003,0))&amp;"","")</f>
        <v/>
      </c>
      <c r="F110" s="48" t="str">
        <f aca="false">IFERROR(INDEX(DATABASE!$F$4:$F$2003,MATCH($B110,DATABASE!$V$4:$V$2003,0))&amp;"","")</f>
        <v/>
      </c>
      <c r="G110" s="78" t="str">
        <f aca="false">IFERROR(INDEX(DATABASE!$T$4:$T$2003,MATCH($B110,DATABASE!$V$4:$V$2003,0))&amp;"","")</f>
        <v/>
      </c>
      <c r="H110" s="46" t="str">
        <f aca="false">IFERROR(INDEX(DATABASE!$I$4:$I$2003,MATCH($B110,DATABASE!$V$4:$V$2003,0))&amp;"","")</f>
        <v/>
      </c>
    </row>
    <row r="111" customFormat="false" ht="15" hidden="false" customHeight="false" outlineLevel="0" collapsed="false">
      <c r="B111" s="49" t="n">
        <v>90</v>
      </c>
      <c r="C111" s="50" t="str">
        <f aca="false">IFERROR(INDEX(DATABASE!$B$4:$B$2003,MATCH($B111,DATABASE!$V$4:$V$2003,0))&amp;"","")</f>
        <v/>
      </c>
      <c r="D111" s="51" t="str">
        <f aca="false">IFERROR(INDEX(DATABASE!$C$4:$C$2003,MATCH($B111,DATABASE!$V$4:$V$2003,0))&amp;"","")</f>
        <v/>
      </c>
      <c r="E111" s="49" t="str">
        <f aca="false">IFERROR(INDEX(DATABASE!$E$4:$E$2003,MATCH($B111,DATABASE!$V$4:$V$2003,0))&amp;"","")</f>
        <v/>
      </c>
      <c r="F111" s="51" t="str">
        <f aca="false">IFERROR(INDEX(DATABASE!$F$4:$F$2003,MATCH($B111,DATABASE!$V$4:$V$2003,0))&amp;"","")</f>
        <v/>
      </c>
      <c r="G111" s="79" t="str">
        <f aca="false">IFERROR(INDEX(DATABASE!$T$4:$T$2003,MATCH($B111,DATABASE!$V$4:$V$2003,0))&amp;"","")</f>
        <v/>
      </c>
      <c r="H111" s="49" t="str">
        <f aca="false">IFERROR(INDEX(DATABASE!$I$4:$I$2003,MATCH($B111,DATABASE!$V$4:$V$2003,0))&amp;"","")</f>
        <v/>
      </c>
    </row>
    <row r="112" customFormat="false" ht="15" hidden="false" customHeight="false" outlineLevel="0" collapsed="false">
      <c r="B112" s="46" t="n">
        <v>91</v>
      </c>
      <c r="C112" s="47" t="str">
        <f aca="false">IFERROR(INDEX(DATABASE!$B$4:$B$2003,MATCH($B112,DATABASE!$V$4:$V$2003,0))&amp;"","")</f>
        <v/>
      </c>
      <c r="D112" s="48" t="str">
        <f aca="false">IFERROR(INDEX(DATABASE!$C$4:$C$2003,MATCH($B112,DATABASE!$V$4:$V$2003,0))&amp;"","")</f>
        <v/>
      </c>
      <c r="E112" s="46" t="str">
        <f aca="false">IFERROR(INDEX(DATABASE!$E$4:$E$2003,MATCH($B112,DATABASE!$V$4:$V$2003,0))&amp;"","")</f>
        <v/>
      </c>
      <c r="F112" s="48" t="str">
        <f aca="false">IFERROR(INDEX(DATABASE!$F$4:$F$2003,MATCH($B112,DATABASE!$V$4:$V$2003,0))&amp;"","")</f>
        <v/>
      </c>
      <c r="G112" s="78" t="str">
        <f aca="false">IFERROR(INDEX(DATABASE!$T$4:$T$2003,MATCH($B112,DATABASE!$V$4:$V$2003,0))&amp;"","")</f>
        <v/>
      </c>
      <c r="H112" s="46" t="str">
        <f aca="false">IFERROR(INDEX(DATABASE!$I$4:$I$2003,MATCH($B112,DATABASE!$V$4:$V$2003,0))&amp;"","")</f>
        <v/>
      </c>
    </row>
    <row r="113" customFormat="false" ht="15" hidden="false" customHeight="false" outlineLevel="0" collapsed="false">
      <c r="B113" s="49" t="n">
        <v>92</v>
      </c>
      <c r="C113" s="50" t="str">
        <f aca="false">IFERROR(INDEX(DATABASE!$B$4:$B$2003,MATCH($B113,DATABASE!$V$4:$V$2003,0))&amp;"","")</f>
        <v/>
      </c>
      <c r="D113" s="51" t="str">
        <f aca="false">IFERROR(INDEX(DATABASE!$C$4:$C$2003,MATCH($B113,DATABASE!$V$4:$V$2003,0))&amp;"","")</f>
        <v/>
      </c>
      <c r="E113" s="49" t="str">
        <f aca="false">IFERROR(INDEX(DATABASE!$E$4:$E$2003,MATCH($B113,DATABASE!$V$4:$V$2003,0))&amp;"","")</f>
        <v/>
      </c>
      <c r="F113" s="51" t="str">
        <f aca="false">IFERROR(INDEX(DATABASE!$F$4:$F$2003,MATCH($B113,DATABASE!$V$4:$V$2003,0))&amp;"","")</f>
        <v/>
      </c>
      <c r="G113" s="79" t="str">
        <f aca="false">IFERROR(INDEX(DATABASE!$T$4:$T$2003,MATCH($B113,DATABASE!$V$4:$V$2003,0))&amp;"","")</f>
        <v/>
      </c>
      <c r="H113" s="49" t="str">
        <f aca="false">IFERROR(INDEX(DATABASE!$I$4:$I$2003,MATCH($B113,DATABASE!$V$4:$V$2003,0))&amp;"","")</f>
        <v/>
      </c>
    </row>
    <row r="114" customFormat="false" ht="15" hidden="false" customHeight="false" outlineLevel="0" collapsed="false">
      <c r="B114" s="46" t="n">
        <v>93</v>
      </c>
      <c r="C114" s="47" t="str">
        <f aca="false">IFERROR(INDEX(DATABASE!$B$4:$B$2003,MATCH($B114,DATABASE!$V$4:$V$2003,0))&amp;"","")</f>
        <v/>
      </c>
      <c r="D114" s="48" t="str">
        <f aca="false">IFERROR(INDEX(DATABASE!$C$4:$C$2003,MATCH($B114,DATABASE!$V$4:$V$2003,0))&amp;"","")</f>
        <v/>
      </c>
      <c r="E114" s="46" t="str">
        <f aca="false">IFERROR(INDEX(DATABASE!$E$4:$E$2003,MATCH($B114,DATABASE!$V$4:$V$2003,0))&amp;"","")</f>
        <v/>
      </c>
      <c r="F114" s="48" t="str">
        <f aca="false">IFERROR(INDEX(DATABASE!$F$4:$F$2003,MATCH($B114,DATABASE!$V$4:$V$2003,0))&amp;"","")</f>
        <v/>
      </c>
      <c r="G114" s="78" t="str">
        <f aca="false">IFERROR(INDEX(DATABASE!$T$4:$T$2003,MATCH($B114,DATABASE!$V$4:$V$2003,0))&amp;"","")</f>
        <v/>
      </c>
      <c r="H114" s="46" t="str">
        <f aca="false">IFERROR(INDEX(DATABASE!$I$4:$I$2003,MATCH($B114,DATABASE!$V$4:$V$2003,0))&amp;"","")</f>
        <v/>
      </c>
    </row>
    <row r="115" customFormat="false" ht="15" hidden="false" customHeight="false" outlineLevel="0" collapsed="false">
      <c r="B115" s="49" t="n">
        <v>94</v>
      </c>
      <c r="C115" s="50" t="str">
        <f aca="false">IFERROR(INDEX(DATABASE!$B$4:$B$2003,MATCH($B115,DATABASE!$V$4:$V$2003,0))&amp;"","")</f>
        <v/>
      </c>
      <c r="D115" s="51" t="str">
        <f aca="false">IFERROR(INDEX(DATABASE!$C$4:$C$2003,MATCH($B115,DATABASE!$V$4:$V$2003,0))&amp;"","")</f>
        <v/>
      </c>
      <c r="E115" s="49" t="str">
        <f aca="false">IFERROR(INDEX(DATABASE!$E$4:$E$2003,MATCH($B115,DATABASE!$V$4:$V$2003,0))&amp;"","")</f>
        <v/>
      </c>
      <c r="F115" s="51" t="str">
        <f aca="false">IFERROR(INDEX(DATABASE!$F$4:$F$2003,MATCH($B115,DATABASE!$V$4:$V$2003,0))&amp;"","")</f>
        <v/>
      </c>
      <c r="G115" s="79" t="str">
        <f aca="false">IFERROR(INDEX(DATABASE!$T$4:$T$2003,MATCH($B115,DATABASE!$V$4:$V$2003,0))&amp;"","")</f>
        <v/>
      </c>
      <c r="H115" s="49" t="str">
        <f aca="false">IFERROR(INDEX(DATABASE!$I$4:$I$2003,MATCH($B115,DATABASE!$V$4:$V$2003,0))&amp;"","")</f>
        <v/>
      </c>
    </row>
    <row r="116" customFormat="false" ht="15" hidden="false" customHeight="false" outlineLevel="0" collapsed="false">
      <c r="B116" s="46" t="n">
        <v>95</v>
      </c>
      <c r="C116" s="47" t="str">
        <f aca="false">IFERROR(INDEX(DATABASE!$B$4:$B$2003,MATCH($B116,DATABASE!$V$4:$V$2003,0))&amp;"","")</f>
        <v/>
      </c>
      <c r="D116" s="48" t="str">
        <f aca="false">IFERROR(INDEX(DATABASE!$C$4:$C$2003,MATCH($B116,DATABASE!$V$4:$V$2003,0))&amp;"","")</f>
        <v/>
      </c>
      <c r="E116" s="46" t="str">
        <f aca="false">IFERROR(INDEX(DATABASE!$E$4:$E$2003,MATCH($B116,DATABASE!$V$4:$V$2003,0))&amp;"","")</f>
        <v/>
      </c>
      <c r="F116" s="48" t="str">
        <f aca="false">IFERROR(INDEX(DATABASE!$F$4:$F$2003,MATCH($B116,DATABASE!$V$4:$V$2003,0))&amp;"","")</f>
        <v/>
      </c>
      <c r="G116" s="78" t="str">
        <f aca="false">IFERROR(INDEX(DATABASE!$T$4:$T$2003,MATCH($B116,DATABASE!$V$4:$V$2003,0))&amp;"","")</f>
        <v/>
      </c>
      <c r="H116" s="46" t="str">
        <f aca="false">IFERROR(INDEX(DATABASE!$I$4:$I$2003,MATCH($B116,DATABASE!$V$4:$V$2003,0))&amp;"","")</f>
        <v/>
      </c>
    </row>
    <row r="117" customFormat="false" ht="15" hidden="false" customHeight="false" outlineLevel="0" collapsed="false">
      <c r="B117" s="49" t="n">
        <v>96</v>
      </c>
      <c r="C117" s="50" t="str">
        <f aca="false">IFERROR(INDEX(DATABASE!$B$4:$B$2003,MATCH($B117,DATABASE!$V$4:$V$2003,0))&amp;"","")</f>
        <v/>
      </c>
      <c r="D117" s="51" t="str">
        <f aca="false">IFERROR(INDEX(DATABASE!$C$4:$C$2003,MATCH($B117,DATABASE!$V$4:$V$2003,0))&amp;"","")</f>
        <v/>
      </c>
      <c r="E117" s="49" t="str">
        <f aca="false">IFERROR(INDEX(DATABASE!$E$4:$E$2003,MATCH($B117,DATABASE!$V$4:$V$2003,0))&amp;"","")</f>
        <v/>
      </c>
      <c r="F117" s="51" t="str">
        <f aca="false">IFERROR(INDEX(DATABASE!$F$4:$F$2003,MATCH($B117,DATABASE!$V$4:$V$2003,0))&amp;"","")</f>
        <v/>
      </c>
      <c r="G117" s="79" t="str">
        <f aca="false">IFERROR(INDEX(DATABASE!$T$4:$T$2003,MATCH($B117,DATABASE!$V$4:$V$2003,0))&amp;"","")</f>
        <v/>
      </c>
      <c r="H117" s="49" t="str">
        <f aca="false">IFERROR(INDEX(DATABASE!$I$4:$I$2003,MATCH($B117,DATABASE!$V$4:$V$2003,0))&amp;"","")</f>
        <v/>
      </c>
    </row>
    <row r="118" customFormat="false" ht="15" hidden="false" customHeight="false" outlineLevel="0" collapsed="false">
      <c r="B118" s="46" t="n">
        <v>97</v>
      </c>
      <c r="C118" s="47" t="str">
        <f aca="false">IFERROR(INDEX(DATABASE!$B$4:$B$2003,MATCH($B118,DATABASE!$V$4:$V$2003,0))&amp;"","")</f>
        <v/>
      </c>
      <c r="D118" s="48" t="str">
        <f aca="false">IFERROR(INDEX(DATABASE!$C$4:$C$2003,MATCH($B118,DATABASE!$V$4:$V$2003,0))&amp;"","")</f>
        <v/>
      </c>
      <c r="E118" s="46" t="str">
        <f aca="false">IFERROR(INDEX(DATABASE!$E$4:$E$2003,MATCH($B118,DATABASE!$V$4:$V$2003,0))&amp;"","")</f>
        <v/>
      </c>
      <c r="F118" s="48" t="str">
        <f aca="false">IFERROR(INDEX(DATABASE!$F$4:$F$2003,MATCH($B118,DATABASE!$V$4:$V$2003,0))&amp;"","")</f>
        <v/>
      </c>
      <c r="G118" s="78" t="str">
        <f aca="false">IFERROR(INDEX(DATABASE!$T$4:$T$2003,MATCH($B118,DATABASE!$V$4:$V$2003,0))&amp;"","")</f>
        <v/>
      </c>
      <c r="H118" s="46" t="str">
        <f aca="false">IFERROR(INDEX(DATABASE!$I$4:$I$2003,MATCH($B118,DATABASE!$V$4:$V$2003,0))&amp;"","")</f>
        <v/>
      </c>
    </row>
    <row r="119" customFormat="false" ht="15" hidden="false" customHeight="false" outlineLevel="0" collapsed="false">
      <c r="B119" s="49" t="n">
        <v>98</v>
      </c>
      <c r="C119" s="50" t="str">
        <f aca="false">IFERROR(INDEX(DATABASE!$B$4:$B$2003,MATCH($B119,DATABASE!$V$4:$V$2003,0))&amp;"","")</f>
        <v/>
      </c>
      <c r="D119" s="51" t="str">
        <f aca="false">IFERROR(INDEX(DATABASE!$C$4:$C$2003,MATCH($B119,DATABASE!$V$4:$V$2003,0))&amp;"","")</f>
        <v/>
      </c>
      <c r="E119" s="49" t="str">
        <f aca="false">IFERROR(INDEX(DATABASE!$E$4:$E$2003,MATCH($B119,DATABASE!$V$4:$V$2003,0))&amp;"","")</f>
        <v/>
      </c>
      <c r="F119" s="51" t="str">
        <f aca="false">IFERROR(INDEX(DATABASE!$F$4:$F$2003,MATCH($B119,DATABASE!$V$4:$V$2003,0))&amp;"","")</f>
        <v/>
      </c>
      <c r="G119" s="79" t="str">
        <f aca="false">IFERROR(INDEX(DATABASE!$T$4:$T$2003,MATCH($B119,DATABASE!$V$4:$V$2003,0))&amp;"","")</f>
        <v/>
      </c>
      <c r="H119" s="49" t="str">
        <f aca="false">IFERROR(INDEX(DATABASE!$I$4:$I$2003,MATCH($B119,DATABASE!$V$4:$V$2003,0))&amp;"","")</f>
        <v/>
      </c>
    </row>
    <row r="120" customFormat="false" ht="15" hidden="false" customHeight="false" outlineLevel="0" collapsed="false">
      <c r="B120" s="46" t="n">
        <v>99</v>
      </c>
      <c r="C120" s="47" t="str">
        <f aca="false">IFERROR(INDEX(DATABASE!$B$4:$B$2003,MATCH($B120,DATABASE!$V$4:$V$2003,0))&amp;"","")</f>
        <v/>
      </c>
      <c r="D120" s="48" t="str">
        <f aca="false">IFERROR(INDEX(DATABASE!$C$4:$C$2003,MATCH($B120,DATABASE!$V$4:$V$2003,0))&amp;"","")</f>
        <v/>
      </c>
      <c r="E120" s="46" t="str">
        <f aca="false">IFERROR(INDEX(DATABASE!$E$4:$E$2003,MATCH($B120,DATABASE!$V$4:$V$2003,0))&amp;"","")</f>
        <v/>
      </c>
      <c r="F120" s="48" t="str">
        <f aca="false">IFERROR(INDEX(DATABASE!$F$4:$F$2003,MATCH($B120,DATABASE!$V$4:$V$2003,0))&amp;"","")</f>
        <v/>
      </c>
      <c r="G120" s="78" t="str">
        <f aca="false">IFERROR(INDEX(DATABASE!$T$4:$T$2003,MATCH($B120,DATABASE!$V$4:$V$2003,0))&amp;"","")</f>
        <v/>
      </c>
      <c r="H120" s="46" t="str">
        <f aca="false">IFERROR(INDEX(DATABASE!$I$4:$I$2003,MATCH($B120,DATABASE!$V$4:$V$2003,0))&amp;"","")</f>
        <v/>
      </c>
    </row>
    <row r="121" customFormat="false" ht="15" hidden="false" customHeight="false" outlineLevel="0" collapsed="false">
      <c r="B121" s="49" t="n">
        <v>100</v>
      </c>
      <c r="C121" s="50" t="str">
        <f aca="false">IFERROR(INDEX(DATABASE!$B$4:$B$2003,MATCH($B121,DATABASE!$V$4:$V$2003,0))&amp;"","")</f>
        <v/>
      </c>
      <c r="D121" s="51" t="str">
        <f aca="false">IFERROR(INDEX(DATABASE!$C$4:$C$2003,MATCH($B121,DATABASE!$V$4:$V$2003,0))&amp;"","")</f>
        <v/>
      </c>
      <c r="E121" s="49" t="str">
        <f aca="false">IFERROR(INDEX(DATABASE!$E$4:$E$2003,MATCH($B121,DATABASE!$V$4:$V$2003,0))&amp;"","")</f>
        <v/>
      </c>
      <c r="F121" s="51" t="str">
        <f aca="false">IFERROR(INDEX(DATABASE!$F$4:$F$2003,MATCH($B121,DATABASE!$V$4:$V$2003,0))&amp;"","")</f>
        <v/>
      </c>
      <c r="G121" s="79" t="str">
        <f aca="false">IFERROR(INDEX(DATABASE!$T$4:$T$2003,MATCH($B121,DATABASE!$V$4:$V$2003,0))&amp;"","")</f>
        <v/>
      </c>
      <c r="H121" s="49" t="str">
        <f aca="false">IFERROR(INDEX(DATABASE!$I$4:$I$2003,MATCH($B121,DATABASE!$V$4:$V$2003,0))&amp;"","")</f>
        <v/>
      </c>
    </row>
    <row r="122" customFormat="false" ht="15" hidden="false" customHeight="false" outlineLevel="0" collapsed="false">
      <c r="B122" s="46" t="n">
        <v>101</v>
      </c>
      <c r="C122" s="47" t="str">
        <f aca="false">IFERROR(INDEX(DATABASE!$B$4:$B$2003,MATCH($B122,DATABASE!$V$4:$V$2003,0))&amp;"","")</f>
        <v/>
      </c>
      <c r="D122" s="48" t="str">
        <f aca="false">IFERROR(INDEX(DATABASE!$C$4:$C$2003,MATCH($B122,DATABASE!$V$4:$V$2003,0))&amp;"","")</f>
        <v/>
      </c>
      <c r="E122" s="46" t="str">
        <f aca="false">IFERROR(INDEX(DATABASE!$E$4:$E$2003,MATCH($B122,DATABASE!$V$4:$V$2003,0))&amp;"","")</f>
        <v/>
      </c>
      <c r="F122" s="48" t="str">
        <f aca="false">IFERROR(INDEX(DATABASE!$F$4:$F$2003,MATCH($B122,DATABASE!$V$4:$V$2003,0))&amp;"","")</f>
        <v/>
      </c>
      <c r="G122" s="78" t="str">
        <f aca="false">IFERROR(INDEX(DATABASE!$T$4:$T$2003,MATCH($B122,DATABASE!$V$4:$V$2003,0))&amp;"","")</f>
        <v/>
      </c>
      <c r="H122" s="46" t="str">
        <f aca="false">IFERROR(INDEX(DATABASE!$I$4:$I$2003,MATCH($B122,DATABASE!$V$4:$V$2003,0))&amp;"","")</f>
        <v/>
      </c>
    </row>
    <row r="123" customFormat="false" ht="15" hidden="false" customHeight="false" outlineLevel="0" collapsed="false">
      <c r="B123" s="49" t="n">
        <v>102</v>
      </c>
      <c r="C123" s="50" t="str">
        <f aca="false">IFERROR(INDEX(DATABASE!$B$4:$B$2003,MATCH($B123,DATABASE!$V$4:$V$2003,0))&amp;"","")</f>
        <v/>
      </c>
      <c r="D123" s="51" t="str">
        <f aca="false">IFERROR(INDEX(DATABASE!$C$4:$C$2003,MATCH($B123,DATABASE!$V$4:$V$2003,0))&amp;"","")</f>
        <v/>
      </c>
      <c r="E123" s="49" t="str">
        <f aca="false">IFERROR(INDEX(DATABASE!$E$4:$E$2003,MATCH($B123,DATABASE!$V$4:$V$2003,0))&amp;"","")</f>
        <v/>
      </c>
      <c r="F123" s="51" t="str">
        <f aca="false">IFERROR(INDEX(DATABASE!$F$4:$F$2003,MATCH($B123,DATABASE!$V$4:$V$2003,0))&amp;"","")</f>
        <v/>
      </c>
      <c r="G123" s="79" t="str">
        <f aca="false">IFERROR(INDEX(DATABASE!$T$4:$T$2003,MATCH($B123,DATABASE!$V$4:$V$2003,0))&amp;"","")</f>
        <v/>
      </c>
      <c r="H123" s="49" t="str">
        <f aca="false">IFERROR(INDEX(DATABASE!$I$4:$I$2003,MATCH($B123,DATABASE!$V$4:$V$2003,0))&amp;"","")</f>
        <v/>
      </c>
    </row>
    <row r="124" customFormat="false" ht="15" hidden="false" customHeight="false" outlineLevel="0" collapsed="false">
      <c r="B124" s="46" t="n">
        <v>103</v>
      </c>
      <c r="C124" s="47" t="str">
        <f aca="false">IFERROR(INDEX(DATABASE!$B$4:$B$2003,MATCH($B124,DATABASE!$V$4:$V$2003,0))&amp;"","")</f>
        <v/>
      </c>
      <c r="D124" s="48" t="str">
        <f aca="false">IFERROR(INDEX(DATABASE!$C$4:$C$2003,MATCH($B124,DATABASE!$V$4:$V$2003,0))&amp;"","")</f>
        <v/>
      </c>
      <c r="E124" s="46" t="str">
        <f aca="false">IFERROR(INDEX(DATABASE!$E$4:$E$2003,MATCH($B124,DATABASE!$V$4:$V$2003,0))&amp;"","")</f>
        <v/>
      </c>
      <c r="F124" s="48" t="str">
        <f aca="false">IFERROR(INDEX(DATABASE!$F$4:$F$2003,MATCH($B124,DATABASE!$V$4:$V$2003,0))&amp;"","")</f>
        <v/>
      </c>
      <c r="G124" s="78" t="str">
        <f aca="false">IFERROR(INDEX(DATABASE!$T$4:$T$2003,MATCH($B124,DATABASE!$V$4:$V$2003,0))&amp;"","")</f>
        <v/>
      </c>
      <c r="H124" s="46" t="str">
        <f aca="false">IFERROR(INDEX(DATABASE!$I$4:$I$2003,MATCH($B124,DATABASE!$V$4:$V$2003,0))&amp;"","")</f>
        <v/>
      </c>
    </row>
    <row r="125" customFormat="false" ht="15" hidden="false" customHeight="false" outlineLevel="0" collapsed="false">
      <c r="B125" s="49" t="n">
        <v>104</v>
      </c>
      <c r="C125" s="50" t="str">
        <f aca="false">IFERROR(INDEX(DATABASE!$B$4:$B$2003,MATCH($B125,DATABASE!$V$4:$V$2003,0))&amp;"","")</f>
        <v/>
      </c>
      <c r="D125" s="51" t="str">
        <f aca="false">IFERROR(INDEX(DATABASE!$C$4:$C$2003,MATCH($B125,DATABASE!$V$4:$V$2003,0))&amp;"","")</f>
        <v/>
      </c>
      <c r="E125" s="49" t="str">
        <f aca="false">IFERROR(INDEX(DATABASE!$E$4:$E$2003,MATCH($B125,DATABASE!$V$4:$V$2003,0))&amp;"","")</f>
        <v/>
      </c>
      <c r="F125" s="51" t="str">
        <f aca="false">IFERROR(INDEX(DATABASE!$F$4:$F$2003,MATCH($B125,DATABASE!$V$4:$V$2003,0))&amp;"","")</f>
        <v/>
      </c>
      <c r="G125" s="79" t="str">
        <f aca="false">IFERROR(INDEX(DATABASE!$T$4:$T$2003,MATCH($B125,DATABASE!$V$4:$V$2003,0))&amp;"","")</f>
        <v/>
      </c>
      <c r="H125" s="49" t="str">
        <f aca="false">IFERROR(INDEX(DATABASE!$I$4:$I$2003,MATCH($B125,DATABASE!$V$4:$V$2003,0))&amp;"","")</f>
        <v/>
      </c>
    </row>
    <row r="126" customFormat="false" ht="15" hidden="false" customHeight="false" outlineLevel="0" collapsed="false">
      <c r="B126" s="46" t="n">
        <v>105</v>
      </c>
      <c r="C126" s="47" t="str">
        <f aca="false">IFERROR(INDEX(DATABASE!$B$4:$B$2003,MATCH($B126,DATABASE!$V$4:$V$2003,0))&amp;"","")</f>
        <v/>
      </c>
      <c r="D126" s="48" t="str">
        <f aca="false">IFERROR(INDEX(DATABASE!$C$4:$C$2003,MATCH($B126,DATABASE!$V$4:$V$2003,0))&amp;"","")</f>
        <v/>
      </c>
      <c r="E126" s="46" t="str">
        <f aca="false">IFERROR(INDEX(DATABASE!$E$4:$E$2003,MATCH($B126,DATABASE!$V$4:$V$2003,0))&amp;"","")</f>
        <v/>
      </c>
      <c r="F126" s="48" t="str">
        <f aca="false">IFERROR(INDEX(DATABASE!$F$4:$F$2003,MATCH($B126,DATABASE!$V$4:$V$2003,0))&amp;"","")</f>
        <v/>
      </c>
      <c r="G126" s="78" t="str">
        <f aca="false">IFERROR(INDEX(DATABASE!$T$4:$T$2003,MATCH($B126,DATABASE!$V$4:$V$2003,0))&amp;"","")</f>
        <v/>
      </c>
      <c r="H126" s="46" t="str">
        <f aca="false">IFERROR(INDEX(DATABASE!$I$4:$I$2003,MATCH($B126,DATABASE!$V$4:$V$2003,0))&amp;"","")</f>
        <v/>
      </c>
    </row>
    <row r="127" customFormat="false" ht="15" hidden="false" customHeight="false" outlineLevel="0" collapsed="false">
      <c r="B127" s="49" t="n">
        <v>106</v>
      </c>
      <c r="C127" s="50" t="str">
        <f aca="false">IFERROR(INDEX(DATABASE!$B$4:$B$2003,MATCH($B127,DATABASE!$V$4:$V$2003,0))&amp;"","")</f>
        <v/>
      </c>
      <c r="D127" s="51" t="str">
        <f aca="false">IFERROR(INDEX(DATABASE!$C$4:$C$2003,MATCH($B127,DATABASE!$V$4:$V$2003,0))&amp;"","")</f>
        <v/>
      </c>
      <c r="E127" s="49" t="str">
        <f aca="false">IFERROR(INDEX(DATABASE!$E$4:$E$2003,MATCH($B127,DATABASE!$V$4:$V$2003,0))&amp;"","")</f>
        <v/>
      </c>
      <c r="F127" s="51" t="str">
        <f aca="false">IFERROR(INDEX(DATABASE!$F$4:$F$2003,MATCH($B127,DATABASE!$V$4:$V$2003,0))&amp;"","")</f>
        <v/>
      </c>
      <c r="G127" s="79" t="str">
        <f aca="false">IFERROR(INDEX(DATABASE!$T$4:$T$2003,MATCH($B127,DATABASE!$V$4:$V$2003,0))&amp;"","")</f>
        <v/>
      </c>
      <c r="H127" s="49" t="str">
        <f aca="false">IFERROR(INDEX(DATABASE!$I$4:$I$2003,MATCH($B127,DATABASE!$V$4:$V$2003,0))&amp;"","")</f>
        <v/>
      </c>
    </row>
    <row r="128" customFormat="false" ht="15" hidden="false" customHeight="false" outlineLevel="0" collapsed="false">
      <c r="B128" s="46" t="n">
        <v>107</v>
      </c>
      <c r="C128" s="47" t="str">
        <f aca="false">IFERROR(INDEX(DATABASE!$B$4:$B$2003,MATCH($B128,DATABASE!$V$4:$V$2003,0))&amp;"","")</f>
        <v/>
      </c>
      <c r="D128" s="48" t="str">
        <f aca="false">IFERROR(INDEX(DATABASE!$C$4:$C$2003,MATCH($B128,DATABASE!$V$4:$V$2003,0))&amp;"","")</f>
        <v/>
      </c>
      <c r="E128" s="46" t="str">
        <f aca="false">IFERROR(INDEX(DATABASE!$E$4:$E$2003,MATCH($B128,DATABASE!$V$4:$V$2003,0))&amp;"","")</f>
        <v/>
      </c>
      <c r="F128" s="48" t="str">
        <f aca="false">IFERROR(INDEX(DATABASE!$F$4:$F$2003,MATCH($B128,DATABASE!$V$4:$V$2003,0))&amp;"","")</f>
        <v/>
      </c>
      <c r="G128" s="78" t="str">
        <f aca="false">IFERROR(INDEX(DATABASE!$T$4:$T$2003,MATCH($B128,DATABASE!$V$4:$V$2003,0))&amp;"","")</f>
        <v/>
      </c>
      <c r="H128" s="46" t="str">
        <f aca="false">IFERROR(INDEX(DATABASE!$I$4:$I$2003,MATCH($B128,DATABASE!$V$4:$V$2003,0))&amp;"","")</f>
        <v/>
      </c>
    </row>
    <row r="129" customFormat="false" ht="15" hidden="false" customHeight="false" outlineLevel="0" collapsed="false">
      <c r="B129" s="49" t="n">
        <v>108</v>
      </c>
      <c r="C129" s="50" t="str">
        <f aca="false">IFERROR(INDEX(DATABASE!$B$4:$B$2003,MATCH($B129,DATABASE!$V$4:$V$2003,0))&amp;"","")</f>
        <v/>
      </c>
      <c r="D129" s="51" t="str">
        <f aca="false">IFERROR(INDEX(DATABASE!$C$4:$C$2003,MATCH($B129,DATABASE!$V$4:$V$2003,0))&amp;"","")</f>
        <v/>
      </c>
      <c r="E129" s="49" t="str">
        <f aca="false">IFERROR(INDEX(DATABASE!$E$4:$E$2003,MATCH($B129,DATABASE!$V$4:$V$2003,0))&amp;"","")</f>
        <v/>
      </c>
      <c r="F129" s="51" t="str">
        <f aca="false">IFERROR(INDEX(DATABASE!$F$4:$F$2003,MATCH($B129,DATABASE!$V$4:$V$2003,0))&amp;"","")</f>
        <v/>
      </c>
      <c r="G129" s="79" t="str">
        <f aca="false">IFERROR(INDEX(DATABASE!$T$4:$T$2003,MATCH($B129,DATABASE!$V$4:$V$2003,0))&amp;"","")</f>
        <v/>
      </c>
      <c r="H129" s="49" t="str">
        <f aca="false">IFERROR(INDEX(DATABASE!$I$4:$I$2003,MATCH($B129,DATABASE!$V$4:$V$2003,0))&amp;"","")</f>
        <v/>
      </c>
    </row>
    <row r="130" customFormat="false" ht="15" hidden="false" customHeight="false" outlineLevel="0" collapsed="false">
      <c r="B130" s="46" t="n">
        <v>109</v>
      </c>
      <c r="C130" s="47" t="str">
        <f aca="false">IFERROR(INDEX(DATABASE!$B$4:$B$2003,MATCH($B130,DATABASE!$V$4:$V$2003,0))&amp;"","")</f>
        <v/>
      </c>
      <c r="D130" s="48" t="str">
        <f aca="false">IFERROR(INDEX(DATABASE!$C$4:$C$2003,MATCH($B130,DATABASE!$V$4:$V$2003,0))&amp;"","")</f>
        <v/>
      </c>
      <c r="E130" s="46" t="str">
        <f aca="false">IFERROR(INDEX(DATABASE!$E$4:$E$2003,MATCH($B130,DATABASE!$V$4:$V$2003,0))&amp;"","")</f>
        <v/>
      </c>
      <c r="F130" s="48" t="str">
        <f aca="false">IFERROR(INDEX(DATABASE!$F$4:$F$2003,MATCH($B130,DATABASE!$V$4:$V$2003,0))&amp;"","")</f>
        <v/>
      </c>
      <c r="G130" s="78" t="str">
        <f aca="false">IFERROR(INDEX(DATABASE!$T$4:$T$2003,MATCH($B130,DATABASE!$V$4:$V$2003,0))&amp;"","")</f>
        <v/>
      </c>
      <c r="H130" s="46" t="str">
        <f aca="false">IFERROR(INDEX(DATABASE!$I$4:$I$2003,MATCH($B130,DATABASE!$V$4:$V$2003,0))&amp;"","")</f>
        <v/>
      </c>
    </row>
    <row r="131" customFormat="false" ht="15" hidden="false" customHeight="false" outlineLevel="0" collapsed="false">
      <c r="B131" s="49" t="n">
        <v>110</v>
      </c>
      <c r="C131" s="50" t="str">
        <f aca="false">IFERROR(INDEX(DATABASE!$B$4:$B$2003,MATCH($B131,DATABASE!$V$4:$V$2003,0))&amp;"","")</f>
        <v/>
      </c>
      <c r="D131" s="51" t="str">
        <f aca="false">IFERROR(INDEX(DATABASE!$C$4:$C$2003,MATCH($B131,DATABASE!$V$4:$V$2003,0))&amp;"","")</f>
        <v/>
      </c>
      <c r="E131" s="49" t="str">
        <f aca="false">IFERROR(INDEX(DATABASE!$E$4:$E$2003,MATCH($B131,DATABASE!$V$4:$V$2003,0))&amp;"","")</f>
        <v/>
      </c>
      <c r="F131" s="51" t="str">
        <f aca="false">IFERROR(INDEX(DATABASE!$F$4:$F$2003,MATCH($B131,DATABASE!$V$4:$V$2003,0))&amp;"","")</f>
        <v/>
      </c>
      <c r="G131" s="79" t="str">
        <f aca="false">IFERROR(INDEX(DATABASE!$T$4:$T$2003,MATCH($B131,DATABASE!$V$4:$V$2003,0))&amp;"","")</f>
        <v/>
      </c>
      <c r="H131" s="49" t="str">
        <f aca="false">IFERROR(INDEX(DATABASE!$I$4:$I$2003,MATCH($B131,DATABASE!$V$4:$V$2003,0))&amp;"","")</f>
        <v/>
      </c>
    </row>
    <row r="132" customFormat="false" ht="15" hidden="false" customHeight="false" outlineLevel="0" collapsed="false">
      <c r="B132" s="46" t="n">
        <v>111</v>
      </c>
      <c r="C132" s="47" t="str">
        <f aca="false">IFERROR(INDEX(DATABASE!$B$4:$B$2003,MATCH($B132,DATABASE!$V$4:$V$2003,0))&amp;"","")</f>
        <v/>
      </c>
      <c r="D132" s="48" t="str">
        <f aca="false">IFERROR(INDEX(DATABASE!$C$4:$C$2003,MATCH($B132,DATABASE!$V$4:$V$2003,0))&amp;"","")</f>
        <v/>
      </c>
      <c r="E132" s="46" t="str">
        <f aca="false">IFERROR(INDEX(DATABASE!$E$4:$E$2003,MATCH($B132,DATABASE!$V$4:$V$2003,0))&amp;"","")</f>
        <v/>
      </c>
      <c r="F132" s="48" t="str">
        <f aca="false">IFERROR(INDEX(DATABASE!$F$4:$F$2003,MATCH($B132,DATABASE!$V$4:$V$2003,0))&amp;"","")</f>
        <v/>
      </c>
      <c r="G132" s="78" t="str">
        <f aca="false">IFERROR(INDEX(DATABASE!$T$4:$T$2003,MATCH($B132,DATABASE!$V$4:$V$2003,0))&amp;"","")</f>
        <v/>
      </c>
      <c r="H132" s="46" t="str">
        <f aca="false">IFERROR(INDEX(DATABASE!$I$4:$I$2003,MATCH($B132,DATABASE!$V$4:$V$2003,0))&amp;"","")</f>
        <v/>
      </c>
    </row>
    <row r="133" customFormat="false" ht="15" hidden="false" customHeight="false" outlineLevel="0" collapsed="false">
      <c r="B133" s="49" t="n">
        <v>112</v>
      </c>
      <c r="C133" s="50" t="str">
        <f aca="false">IFERROR(INDEX(DATABASE!$B$4:$B$2003,MATCH($B133,DATABASE!$V$4:$V$2003,0))&amp;"","")</f>
        <v/>
      </c>
      <c r="D133" s="51" t="str">
        <f aca="false">IFERROR(INDEX(DATABASE!$C$4:$C$2003,MATCH($B133,DATABASE!$V$4:$V$2003,0))&amp;"","")</f>
        <v/>
      </c>
      <c r="E133" s="49" t="str">
        <f aca="false">IFERROR(INDEX(DATABASE!$E$4:$E$2003,MATCH($B133,DATABASE!$V$4:$V$2003,0))&amp;"","")</f>
        <v/>
      </c>
      <c r="F133" s="51" t="str">
        <f aca="false">IFERROR(INDEX(DATABASE!$F$4:$F$2003,MATCH($B133,DATABASE!$V$4:$V$2003,0))&amp;"","")</f>
        <v/>
      </c>
      <c r="G133" s="79" t="str">
        <f aca="false">IFERROR(INDEX(DATABASE!$T$4:$T$2003,MATCH($B133,DATABASE!$V$4:$V$2003,0))&amp;"","")</f>
        <v/>
      </c>
      <c r="H133" s="49" t="str">
        <f aca="false">IFERROR(INDEX(DATABASE!$I$4:$I$2003,MATCH($B133,DATABASE!$V$4:$V$2003,0))&amp;"","")</f>
        <v/>
      </c>
    </row>
    <row r="134" customFormat="false" ht="15" hidden="false" customHeight="false" outlineLevel="0" collapsed="false">
      <c r="B134" s="46" t="n">
        <v>113</v>
      </c>
      <c r="C134" s="47" t="str">
        <f aca="false">IFERROR(INDEX(DATABASE!$B$4:$B$2003,MATCH($B134,DATABASE!$V$4:$V$2003,0))&amp;"","")</f>
        <v/>
      </c>
      <c r="D134" s="48" t="str">
        <f aca="false">IFERROR(INDEX(DATABASE!$C$4:$C$2003,MATCH($B134,DATABASE!$V$4:$V$2003,0))&amp;"","")</f>
        <v/>
      </c>
      <c r="E134" s="46" t="str">
        <f aca="false">IFERROR(INDEX(DATABASE!$E$4:$E$2003,MATCH($B134,DATABASE!$V$4:$V$2003,0))&amp;"","")</f>
        <v/>
      </c>
      <c r="F134" s="48" t="str">
        <f aca="false">IFERROR(INDEX(DATABASE!$F$4:$F$2003,MATCH($B134,DATABASE!$V$4:$V$2003,0))&amp;"","")</f>
        <v/>
      </c>
      <c r="G134" s="78" t="str">
        <f aca="false">IFERROR(INDEX(DATABASE!$T$4:$T$2003,MATCH($B134,DATABASE!$V$4:$V$2003,0))&amp;"","")</f>
        <v/>
      </c>
      <c r="H134" s="46" t="str">
        <f aca="false">IFERROR(INDEX(DATABASE!$I$4:$I$2003,MATCH($B134,DATABASE!$V$4:$V$2003,0))&amp;"","")</f>
        <v/>
      </c>
    </row>
    <row r="135" customFormat="false" ht="15" hidden="false" customHeight="false" outlineLevel="0" collapsed="false">
      <c r="B135" s="49" t="n">
        <v>114</v>
      </c>
      <c r="C135" s="50" t="str">
        <f aca="false">IFERROR(INDEX(DATABASE!$B$4:$B$2003,MATCH($B135,DATABASE!$V$4:$V$2003,0))&amp;"","")</f>
        <v/>
      </c>
      <c r="D135" s="51" t="str">
        <f aca="false">IFERROR(INDEX(DATABASE!$C$4:$C$2003,MATCH($B135,DATABASE!$V$4:$V$2003,0))&amp;"","")</f>
        <v/>
      </c>
      <c r="E135" s="49" t="str">
        <f aca="false">IFERROR(INDEX(DATABASE!$E$4:$E$2003,MATCH($B135,DATABASE!$V$4:$V$2003,0))&amp;"","")</f>
        <v/>
      </c>
      <c r="F135" s="51" t="str">
        <f aca="false">IFERROR(INDEX(DATABASE!$F$4:$F$2003,MATCH($B135,DATABASE!$V$4:$V$2003,0))&amp;"","")</f>
        <v/>
      </c>
      <c r="G135" s="79" t="str">
        <f aca="false">IFERROR(INDEX(DATABASE!$T$4:$T$2003,MATCH($B135,DATABASE!$V$4:$V$2003,0))&amp;"","")</f>
        <v/>
      </c>
      <c r="H135" s="49" t="str">
        <f aca="false">IFERROR(INDEX(DATABASE!$I$4:$I$2003,MATCH($B135,DATABASE!$V$4:$V$2003,0))&amp;"","")</f>
        <v/>
      </c>
    </row>
    <row r="136" customFormat="false" ht="15" hidden="false" customHeight="false" outlineLevel="0" collapsed="false">
      <c r="B136" s="46" t="n">
        <v>115</v>
      </c>
      <c r="C136" s="47" t="str">
        <f aca="false">IFERROR(INDEX(DATABASE!$B$4:$B$2003,MATCH($B136,DATABASE!$V$4:$V$2003,0))&amp;"","")</f>
        <v/>
      </c>
      <c r="D136" s="48" t="str">
        <f aca="false">IFERROR(INDEX(DATABASE!$C$4:$C$2003,MATCH($B136,DATABASE!$V$4:$V$2003,0))&amp;"","")</f>
        <v/>
      </c>
      <c r="E136" s="46" t="str">
        <f aca="false">IFERROR(INDEX(DATABASE!$E$4:$E$2003,MATCH($B136,DATABASE!$V$4:$V$2003,0))&amp;"","")</f>
        <v/>
      </c>
      <c r="F136" s="48" t="str">
        <f aca="false">IFERROR(INDEX(DATABASE!$F$4:$F$2003,MATCH($B136,DATABASE!$V$4:$V$2003,0))&amp;"","")</f>
        <v/>
      </c>
      <c r="G136" s="78" t="str">
        <f aca="false">IFERROR(INDEX(DATABASE!$T$4:$T$2003,MATCH($B136,DATABASE!$V$4:$V$2003,0))&amp;"","")</f>
        <v/>
      </c>
      <c r="H136" s="46" t="str">
        <f aca="false">IFERROR(INDEX(DATABASE!$I$4:$I$2003,MATCH($B136,DATABASE!$V$4:$V$2003,0))&amp;"","")</f>
        <v/>
      </c>
    </row>
    <row r="137" customFormat="false" ht="15" hidden="false" customHeight="false" outlineLevel="0" collapsed="false">
      <c r="B137" s="49" t="n">
        <v>116</v>
      </c>
      <c r="C137" s="50" t="str">
        <f aca="false">IFERROR(INDEX(DATABASE!$B$4:$B$2003,MATCH($B137,DATABASE!$V$4:$V$2003,0))&amp;"","")</f>
        <v/>
      </c>
      <c r="D137" s="51" t="str">
        <f aca="false">IFERROR(INDEX(DATABASE!$C$4:$C$2003,MATCH($B137,DATABASE!$V$4:$V$2003,0))&amp;"","")</f>
        <v/>
      </c>
      <c r="E137" s="49" t="str">
        <f aca="false">IFERROR(INDEX(DATABASE!$E$4:$E$2003,MATCH($B137,DATABASE!$V$4:$V$2003,0))&amp;"","")</f>
        <v/>
      </c>
      <c r="F137" s="51" t="str">
        <f aca="false">IFERROR(INDEX(DATABASE!$F$4:$F$2003,MATCH($B137,DATABASE!$V$4:$V$2003,0))&amp;"","")</f>
        <v/>
      </c>
      <c r="G137" s="79" t="str">
        <f aca="false">IFERROR(INDEX(DATABASE!$T$4:$T$2003,MATCH($B137,DATABASE!$V$4:$V$2003,0))&amp;"","")</f>
        <v/>
      </c>
      <c r="H137" s="49" t="str">
        <f aca="false">IFERROR(INDEX(DATABASE!$I$4:$I$2003,MATCH($B137,DATABASE!$V$4:$V$2003,0))&amp;"","")</f>
        <v/>
      </c>
    </row>
    <row r="138" customFormat="false" ht="15" hidden="false" customHeight="false" outlineLevel="0" collapsed="false">
      <c r="B138" s="46" t="n">
        <v>117</v>
      </c>
      <c r="C138" s="47" t="str">
        <f aca="false">IFERROR(INDEX(DATABASE!$B$4:$B$2003,MATCH($B138,DATABASE!$V$4:$V$2003,0))&amp;"","")</f>
        <v/>
      </c>
      <c r="D138" s="48" t="str">
        <f aca="false">IFERROR(INDEX(DATABASE!$C$4:$C$2003,MATCH($B138,DATABASE!$V$4:$V$2003,0))&amp;"","")</f>
        <v/>
      </c>
      <c r="E138" s="46" t="str">
        <f aca="false">IFERROR(INDEX(DATABASE!$E$4:$E$2003,MATCH($B138,DATABASE!$V$4:$V$2003,0))&amp;"","")</f>
        <v/>
      </c>
      <c r="F138" s="48" t="str">
        <f aca="false">IFERROR(INDEX(DATABASE!$F$4:$F$2003,MATCH($B138,DATABASE!$V$4:$V$2003,0))&amp;"","")</f>
        <v/>
      </c>
      <c r="G138" s="78" t="str">
        <f aca="false">IFERROR(INDEX(DATABASE!$T$4:$T$2003,MATCH($B138,DATABASE!$V$4:$V$2003,0))&amp;"","")</f>
        <v/>
      </c>
      <c r="H138" s="46" t="str">
        <f aca="false">IFERROR(INDEX(DATABASE!$I$4:$I$2003,MATCH($B138,DATABASE!$V$4:$V$2003,0))&amp;"","")</f>
        <v/>
      </c>
    </row>
    <row r="139" customFormat="false" ht="15" hidden="false" customHeight="false" outlineLevel="0" collapsed="false">
      <c r="B139" s="49" t="n">
        <v>118</v>
      </c>
      <c r="C139" s="50" t="str">
        <f aca="false">IFERROR(INDEX(DATABASE!$B$4:$B$2003,MATCH($B139,DATABASE!$V$4:$V$2003,0))&amp;"","")</f>
        <v/>
      </c>
      <c r="D139" s="51" t="str">
        <f aca="false">IFERROR(INDEX(DATABASE!$C$4:$C$2003,MATCH($B139,DATABASE!$V$4:$V$2003,0))&amp;"","")</f>
        <v/>
      </c>
      <c r="E139" s="49" t="str">
        <f aca="false">IFERROR(INDEX(DATABASE!$E$4:$E$2003,MATCH($B139,DATABASE!$V$4:$V$2003,0))&amp;"","")</f>
        <v/>
      </c>
      <c r="F139" s="51" t="str">
        <f aca="false">IFERROR(INDEX(DATABASE!$F$4:$F$2003,MATCH($B139,DATABASE!$V$4:$V$2003,0))&amp;"","")</f>
        <v/>
      </c>
      <c r="G139" s="79" t="str">
        <f aca="false">IFERROR(INDEX(DATABASE!$T$4:$T$2003,MATCH($B139,DATABASE!$V$4:$V$2003,0))&amp;"","")</f>
        <v/>
      </c>
      <c r="H139" s="49" t="str">
        <f aca="false">IFERROR(INDEX(DATABASE!$I$4:$I$2003,MATCH($B139,DATABASE!$V$4:$V$2003,0))&amp;"","")</f>
        <v/>
      </c>
    </row>
    <row r="140" customFormat="false" ht="15" hidden="false" customHeight="false" outlineLevel="0" collapsed="false">
      <c r="B140" s="46" t="n">
        <v>119</v>
      </c>
      <c r="C140" s="47" t="str">
        <f aca="false">IFERROR(INDEX(DATABASE!$B$4:$B$2003,MATCH($B140,DATABASE!$V$4:$V$2003,0))&amp;"","")</f>
        <v/>
      </c>
      <c r="D140" s="48" t="str">
        <f aca="false">IFERROR(INDEX(DATABASE!$C$4:$C$2003,MATCH($B140,DATABASE!$V$4:$V$2003,0))&amp;"","")</f>
        <v/>
      </c>
      <c r="E140" s="46" t="str">
        <f aca="false">IFERROR(INDEX(DATABASE!$E$4:$E$2003,MATCH($B140,DATABASE!$V$4:$V$2003,0))&amp;"","")</f>
        <v/>
      </c>
      <c r="F140" s="48" t="str">
        <f aca="false">IFERROR(INDEX(DATABASE!$F$4:$F$2003,MATCH($B140,DATABASE!$V$4:$V$2003,0))&amp;"","")</f>
        <v/>
      </c>
      <c r="G140" s="78" t="str">
        <f aca="false">IFERROR(INDEX(DATABASE!$T$4:$T$2003,MATCH($B140,DATABASE!$V$4:$V$2003,0))&amp;"","")</f>
        <v/>
      </c>
      <c r="H140" s="46" t="str">
        <f aca="false">IFERROR(INDEX(DATABASE!$I$4:$I$2003,MATCH($B140,DATABASE!$V$4:$V$2003,0))&amp;"","")</f>
        <v/>
      </c>
    </row>
    <row r="141" customFormat="false" ht="15" hidden="false" customHeight="false" outlineLevel="0" collapsed="false">
      <c r="B141" s="49" t="n">
        <v>120</v>
      </c>
      <c r="C141" s="50" t="str">
        <f aca="false">IFERROR(INDEX(DATABASE!$B$4:$B$2003,MATCH($B141,DATABASE!$V$4:$V$2003,0))&amp;"","")</f>
        <v/>
      </c>
      <c r="D141" s="51" t="str">
        <f aca="false">IFERROR(INDEX(DATABASE!$C$4:$C$2003,MATCH($B141,DATABASE!$V$4:$V$2003,0))&amp;"","")</f>
        <v/>
      </c>
      <c r="E141" s="49" t="str">
        <f aca="false">IFERROR(INDEX(DATABASE!$E$4:$E$2003,MATCH($B141,DATABASE!$V$4:$V$2003,0))&amp;"","")</f>
        <v/>
      </c>
      <c r="F141" s="51" t="str">
        <f aca="false">IFERROR(INDEX(DATABASE!$F$4:$F$2003,MATCH($B141,DATABASE!$V$4:$V$2003,0))&amp;"","")</f>
        <v/>
      </c>
      <c r="G141" s="79" t="str">
        <f aca="false">IFERROR(INDEX(DATABASE!$T$4:$T$2003,MATCH($B141,DATABASE!$V$4:$V$2003,0))&amp;"","")</f>
        <v/>
      </c>
      <c r="H141" s="49" t="str">
        <f aca="false">IFERROR(INDEX(DATABASE!$I$4:$I$2003,MATCH($B141,DATABASE!$V$4:$V$2003,0))&amp;"","")</f>
        <v/>
      </c>
    </row>
    <row r="142" customFormat="false" ht="15" hidden="false" customHeight="false" outlineLevel="0" collapsed="false">
      <c r="B142" s="46" t="n">
        <v>121</v>
      </c>
      <c r="C142" s="47" t="str">
        <f aca="false">IFERROR(INDEX(DATABASE!$B$4:$B$2003,MATCH($B142,DATABASE!$V$4:$V$2003,0))&amp;"","")</f>
        <v/>
      </c>
      <c r="D142" s="48" t="str">
        <f aca="false">IFERROR(INDEX(DATABASE!$C$4:$C$2003,MATCH($B142,DATABASE!$V$4:$V$2003,0))&amp;"","")</f>
        <v/>
      </c>
      <c r="E142" s="46" t="str">
        <f aca="false">IFERROR(INDEX(DATABASE!$E$4:$E$2003,MATCH($B142,DATABASE!$V$4:$V$2003,0))&amp;"","")</f>
        <v/>
      </c>
      <c r="F142" s="48" t="str">
        <f aca="false">IFERROR(INDEX(DATABASE!$F$4:$F$2003,MATCH($B142,DATABASE!$V$4:$V$2003,0))&amp;"","")</f>
        <v/>
      </c>
      <c r="G142" s="78" t="str">
        <f aca="false">IFERROR(INDEX(DATABASE!$T$4:$T$2003,MATCH($B142,DATABASE!$V$4:$V$2003,0))&amp;"","")</f>
        <v/>
      </c>
      <c r="H142" s="46" t="str">
        <f aca="false">IFERROR(INDEX(DATABASE!$I$4:$I$2003,MATCH($B142,DATABASE!$V$4:$V$2003,0))&amp;"","")</f>
        <v/>
      </c>
    </row>
    <row r="143" customFormat="false" ht="15" hidden="false" customHeight="false" outlineLevel="0" collapsed="false">
      <c r="B143" s="49" t="n">
        <v>122</v>
      </c>
      <c r="C143" s="50" t="str">
        <f aca="false">IFERROR(INDEX(DATABASE!$B$4:$B$2003,MATCH($B143,DATABASE!$V$4:$V$2003,0))&amp;"","")</f>
        <v/>
      </c>
      <c r="D143" s="51" t="str">
        <f aca="false">IFERROR(INDEX(DATABASE!$C$4:$C$2003,MATCH($B143,DATABASE!$V$4:$V$2003,0))&amp;"","")</f>
        <v/>
      </c>
      <c r="E143" s="49" t="str">
        <f aca="false">IFERROR(INDEX(DATABASE!$E$4:$E$2003,MATCH($B143,DATABASE!$V$4:$V$2003,0))&amp;"","")</f>
        <v/>
      </c>
      <c r="F143" s="51" t="str">
        <f aca="false">IFERROR(INDEX(DATABASE!$F$4:$F$2003,MATCH($B143,DATABASE!$V$4:$V$2003,0))&amp;"","")</f>
        <v/>
      </c>
      <c r="G143" s="79" t="str">
        <f aca="false">IFERROR(INDEX(DATABASE!$T$4:$T$2003,MATCH($B143,DATABASE!$V$4:$V$2003,0))&amp;"","")</f>
        <v/>
      </c>
      <c r="H143" s="49" t="str">
        <f aca="false">IFERROR(INDEX(DATABASE!$I$4:$I$2003,MATCH($B143,DATABASE!$V$4:$V$2003,0))&amp;"","")</f>
        <v/>
      </c>
    </row>
    <row r="144" customFormat="false" ht="15" hidden="false" customHeight="false" outlineLevel="0" collapsed="false">
      <c r="B144" s="46" t="n">
        <v>123</v>
      </c>
      <c r="C144" s="47" t="str">
        <f aca="false">IFERROR(INDEX(DATABASE!$B$4:$B$2003,MATCH($B144,DATABASE!$V$4:$V$2003,0))&amp;"","")</f>
        <v/>
      </c>
      <c r="D144" s="48" t="str">
        <f aca="false">IFERROR(INDEX(DATABASE!$C$4:$C$2003,MATCH($B144,DATABASE!$V$4:$V$2003,0))&amp;"","")</f>
        <v/>
      </c>
      <c r="E144" s="46" t="str">
        <f aca="false">IFERROR(INDEX(DATABASE!$E$4:$E$2003,MATCH($B144,DATABASE!$V$4:$V$2003,0))&amp;"","")</f>
        <v/>
      </c>
      <c r="F144" s="48" t="str">
        <f aca="false">IFERROR(INDEX(DATABASE!$F$4:$F$2003,MATCH($B144,DATABASE!$V$4:$V$2003,0))&amp;"","")</f>
        <v/>
      </c>
      <c r="G144" s="78" t="str">
        <f aca="false">IFERROR(INDEX(DATABASE!$T$4:$T$2003,MATCH($B144,DATABASE!$V$4:$V$2003,0))&amp;"","")</f>
        <v/>
      </c>
      <c r="H144" s="46" t="str">
        <f aca="false">IFERROR(INDEX(DATABASE!$I$4:$I$2003,MATCH($B144,DATABASE!$V$4:$V$2003,0))&amp;"","")</f>
        <v/>
      </c>
    </row>
    <row r="145" customFormat="false" ht="15" hidden="false" customHeight="false" outlineLevel="0" collapsed="false">
      <c r="B145" s="49" t="n">
        <v>124</v>
      </c>
      <c r="C145" s="50" t="str">
        <f aca="false">IFERROR(INDEX(DATABASE!$B$4:$B$2003,MATCH($B145,DATABASE!$V$4:$V$2003,0))&amp;"","")</f>
        <v/>
      </c>
      <c r="D145" s="51" t="str">
        <f aca="false">IFERROR(INDEX(DATABASE!$C$4:$C$2003,MATCH($B145,DATABASE!$V$4:$V$2003,0))&amp;"","")</f>
        <v/>
      </c>
      <c r="E145" s="49" t="str">
        <f aca="false">IFERROR(INDEX(DATABASE!$E$4:$E$2003,MATCH($B145,DATABASE!$V$4:$V$2003,0))&amp;"","")</f>
        <v/>
      </c>
      <c r="F145" s="51" t="str">
        <f aca="false">IFERROR(INDEX(DATABASE!$F$4:$F$2003,MATCH($B145,DATABASE!$V$4:$V$2003,0))&amp;"","")</f>
        <v/>
      </c>
      <c r="G145" s="79" t="str">
        <f aca="false">IFERROR(INDEX(DATABASE!$T$4:$T$2003,MATCH($B145,DATABASE!$V$4:$V$2003,0))&amp;"","")</f>
        <v/>
      </c>
      <c r="H145" s="49" t="str">
        <f aca="false">IFERROR(INDEX(DATABASE!$I$4:$I$2003,MATCH($B145,DATABASE!$V$4:$V$2003,0))&amp;"","")</f>
        <v/>
      </c>
    </row>
    <row r="146" customFormat="false" ht="15" hidden="false" customHeight="false" outlineLevel="0" collapsed="false">
      <c r="B146" s="46" t="n">
        <v>125</v>
      </c>
      <c r="C146" s="47" t="str">
        <f aca="false">IFERROR(INDEX(DATABASE!$B$4:$B$2003,MATCH($B146,DATABASE!$V$4:$V$2003,0))&amp;"","")</f>
        <v/>
      </c>
      <c r="D146" s="48" t="str">
        <f aca="false">IFERROR(INDEX(DATABASE!$C$4:$C$2003,MATCH($B146,DATABASE!$V$4:$V$2003,0))&amp;"","")</f>
        <v/>
      </c>
      <c r="E146" s="46" t="str">
        <f aca="false">IFERROR(INDEX(DATABASE!$E$4:$E$2003,MATCH($B146,DATABASE!$V$4:$V$2003,0))&amp;"","")</f>
        <v/>
      </c>
      <c r="F146" s="48" t="str">
        <f aca="false">IFERROR(INDEX(DATABASE!$F$4:$F$2003,MATCH($B146,DATABASE!$V$4:$V$2003,0))&amp;"","")</f>
        <v/>
      </c>
      <c r="G146" s="78" t="str">
        <f aca="false">IFERROR(INDEX(DATABASE!$T$4:$T$2003,MATCH($B146,DATABASE!$V$4:$V$2003,0))&amp;"","")</f>
        <v/>
      </c>
      <c r="H146" s="46" t="str">
        <f aca="false">IFERROR(INDEX(DATABASE!$I$4:$I$2003,MATCH($B146,DATABASE!$V$4:$V$2003,0))&amp;"","")</f>
        <v/>
      </c>
    </row>
    <row r="147" customFormat="false" ht="15" hidden="false" customHeight="false" outlineLevel="0" collapsed="false">
      <c r="B147" s="49" t="n">
        <v>126</v>
      </c>
      <c r="C147" s="50" t="str">
        <f aca="false">IFERROR(INDEX(DATABASE!$B$4:$B$2003,MATCH($B147,DATABASE!$V$4:$V$2003,0))&amp;"","")</f>
        <v/>
      </c>
      <c r="D147" s="51" t="str">
        <f aca="false">IFERROR(INDEX(DATABASE!$C$4:$C$2003,MATCH($B147,DATABASE!$V$4:$V$2003,0))&amp;"","")</f>
        <v/>
      </c>
      <c r="E147" s="49" t="str">
        <f aca="false">IFERROR(INDEX(DATABASE!$E$4:$E$2003,MATCH($B147,DATABASE!$V$4:$V$2003,0))&amp;"","")</f>
        <v/>
      </c>
      <c r="F147" s="51" t="str">
        <f aca="false">IFERROR(INDEX(DATABASE!$F$4:$F$2003,MATCH($B147,DATABASE!$V$4:$V$2003,0))&amp;"","")</f>
        <v/>
      </c>
      <c r="G147" s="79" t="str">
        <f aca="false">IFERROR(INDEX(DATABASE!$T$4:$T$2003,MATCH($B147,DATABASE!$V$4:$V$2003,0))&amp;"","")</f>
        <v/>
      </c>
      <c r="H147" s="49" t="str">
        <f aca="false">IFERROR(INDEX(DATABASE!$I$4:$I$2003,MATCH($B147,DATABASE!$V$4:$V$2003,0))&amp;"","")</f>
        <v/>
      </c>
    </row>
    <row r="148" customFormat="false" ht="15" hidden="false" customHeight="false" outlineLevel="0" collapsed="false">
      <c r="B148" s="46" t="n">
        <v>127</v>
      </c>
      <c r="C148" s="47" t="str">
        <f aca="false">IFERROR(INDEX(DATABASE!$B$4:$B$2003,MATCH($B148,DATABASE!$V$4:$V$2003,0))&amp;"","")</f>
        <v/>
      </c>
      <c r="D148" s="48" t="str">
        <f aca="false">IFERROR(INDEX(DATABASE!$C$4:$C$2003,MATCH($B148,DATABASE!$V$4:$V$2003,0))&amp;"","")</f>
        <v/>
      </c>
      <c r="E148" s="46" t="str">
        <f aca="false">IFERROR(INDEX(DATABASE!$E$4:$E$2003,MATCH($B148,DATABASE!$V$4:$V$2003,0))&amp;"","")</f>
        <v/>
      </c>
      <c r="F148" s="48" t="str">
        <f aca="false">IFERROR(INDEX(DATABASE!$F$4:$F$2003,MATCH($B148,DATABASE!$V$4:$V$2003,0))&amp;"","")</f>
        <v/>
      </c>
      <c r="G148" s="78" t="str">
        <f aca="false">IFERROR(INDEX(DATABASE!$T$4:$T$2003,MATCH($B148,DATABASE!$V$4:$V$2003,0))&amp;"","")</f>
        <v/>
      </c>
      <c r="H148" s="46" t="str">
        <f aca="false">IFERROR(INDEX(DATABASE!$I$4:$I$2003,MATCH($B148,DATABASE!$V$4:$V$2003,0))&amp;"","")</f>
        <v/>
      </c>
    </row>
    <row r="149" customFormat="false" ht="15" hidden="false" customHeight="false" outlineLevel="0" collapsed="false">
      <c r="B149" s="49" t="n">
        <v>128</v>
      </c>
      <c r="C149" s="50" t="str">
        <f aca="false">IFERROR(INDEX(DATABASE!$B$4:$B$2003,MATCH($B149,DATABASE!$V$4:$V$2003,0))&amp;"","")</f>
        <v/>
      </c>
      <c r="D149" s="51" t="str">
        <f aca="false">IFERROR(INDEX(DATABASE!$C$4:$C$2003,MATCH($B149,DATABASE!$V$4:$V$2003,0))&amp;"","")</f>
        <v/>
      </c>
      <c r="E149" s="49" t="str">
        <f aca="false">IFERROR(INDEX(DATABASE!$E$4:$E$2003,MATCH($B149,DATABASE!$V$4:$V$2003,0))&amp;"","")</f>
        <v/>
      </c>
      <c r="F149" s="51" t="str">
        <f aca="false">IFERROR(INDEX(DATABASE!$F$4:$F$2003,MATCH($B149,DATABASE!$V$4:$V$2003,0))&amp;"","")</f>
        <v/>
      </c>
      <c r="G149" s="79" t="str">
        <f aca="false">IFERROR(INDEX(DATABASE!$T$4:$T$2003,MATCH($B149,DATABASE!$V$4:$V$2003,0))&amp;"","")</f>
        <v/>
      </c>
      <c r="H149" s="49" t="str">
        <f aca="false">IFERROR(INDEX(DATABASE!$I$4:$I$2003,MATCH($B149,DATABASE!$V$4:$V$2003,0))&amp;"","")</f>
        <v/>
      </c>
    </row>
    <row r="150" customFormat="false" ht="15" hidden="false" customHeight="false" outlineLevel="0" collapsed="false">
      <c r="B150" s="46" t="n">
        <v>129</v>
      </c>
      <c r="C150" s="47" t="str">
        <f aca="false">IFERROR(INDEX(DATABASE!$B$4:$B$2003,MATCH($B150,DATABASE!$V$4:$V$2003,0))&amp;"","")</f>
        <v/>
      </c>
      <c r="D150" s="48" t="str">
        <f aca="false">IFERROR(INDEX(DATABASE!$C$4:$C$2003,MATCH($B150,DATABASE!$V$4:$V$2003,0))&amp;"","")</f>
        <v/>
      </c>
      <c r="E150" s="46" t="str">
        <f aca="false">IFERROR(INDEX(DATABASE!$E$4:$E$2003,MATCH($B150,DATABASE!$V$4:$V$2003,0))&amp;"","")</f>
        <v/>
      </c>
      <c r="F150" s="48" t="str">
        <f aca="false">IFERROR(INDEX(DATABASE!$F$4:$F$2003,MATCH($B150,DATABASE!$V$4:$V$2003,0))&amp;"","")</f>
        <v/>
      </c>
      <c r="G150" s="78" t="str">
        <f aca="false">IFERROR(INDEX(DATABASE!$T$4:$T$2003,MATCH($B150,DATABASE!$V$4:$V$2003,0))&amp;"","")</f>
        <v/>
      </c>
      <c r="H150" s="46" t="str">
        <f aca="false">IFERROR(INDEX(DATABASE!$I$4:$I$2003,MATCH($B150,DATABASE!$V$4:$V$2003,0))&amp;"","")</f>
        <v/>
      </c>
    </row>
    <row r="151" customFormat="false" ht="15" hidden="false" customHeight="false" outlineLevel="0" collapsed="false">
      <c r="B151" s="49" t="n">
        <v>130</v>
      </c>
      <c r="C151" s="50" t="str">
        <f aca="false">IFERROR(INDEX(DATABASE!$B$4:$B$2003,MATCH($B151,DATABASE!$V$4:$V$2003,0))&amp;"","")</f>
        <v/>
      </c>
      <c r="D151" s="51" t="str">
        <f aca="false">IFERROR(INDEX(DATABASE!$C$4:$C$2003,MATCH($B151,DATABASE!$V$4:$V$2003,0))&amp;"","")</f>
        <v/>
      </c>
      <c r="E151" s="49" t="str">
        <f aca="false">IFERROR(INDEX(DATABASE!$E$4:$E$2003,MATCH($B151,DATABASE!$V$4:$V$2003,0))&amp;"","")</f>
        <v/>
      </c>
      <c r="F151" s="51" t="str">
        <f aca="false">IFERROR(INDEX(DATABASE!$F$4:$F$2003,MATCH($B151,DATABASE!$V$4:$V$2003,0))&amp;"","")</f>
        <v/>
      </c>
      <c r="G151" s="79" t="str">
        <f aca="false">IFERROR(INDEX(DATABASE!$T$4:$T$2003,MATCH($B151,DATABASE!$V$4:$V$2003,0))&amp;"","")</f>
        <v/>
      </c>
      <c r="H151" s="49" t="str">
        <f aca="false">IFERROR(INDEX(DATABASE!$I$4:$I$2003,MATCH($B151,DATABASE!$V$4:$V$2003,0))&amp;"","")</f>
        <v/>
      </c>
    </row>
    <row r="152" customFormat="false" ht="15" hidden="false" customHeight="false" outlineLevel="0" collapsed="false">
      <c r="B152" s="46" t="n">
        <v>131</v>
      </c>
      <c r="C152" s="47" t="str">
        <f aca="false">IFERROR(INDEX(DATABASE!$B$4:$B$2003,MATCH($B152,DATABASE!$V$4:$V$2003,0))&amp;"","")</f>
        <v/>
      </c>
      <c r="D152" s="48" t="str">
        <f aca="false">IFERROR(INDEX(DATABASE!$C$4:$C$2003,MATCH($B152,DATABASE!$V$4:$V$2003,0))&amp;"","")</f>
        <v/>
      </c>
      <c r="E152" s="46" t="str">
        <f aca="false">IFERROR(INDEX(DATABASE!$E$4:$E$2003,MATCH($B152,DATABASE!$V$4:$V$2003,0))&amp;"","")</f>
        <v/>
      </c>
      <c r="F152" s="48" t="str">
        <f aca="false">IFERROR(INDEX(DATABASE!$F$4:$F$2003,MATCH($B152,DATABASE!$V$4:$V$2003,0))&amp;"","")</f>
        <v/>
      </c>
      <c r="G152" s="78" t="str">
        <f aca="false">IFERROR(INDEX(DATABASE!$T$4:$T$2003,MATCH($B152,DATABASE!$V$4:$V$2003,0))&amp;"","")</f>
        <v/>
      </c>
      <c r="H152" s="46" t="str">
        <f aca="false">IFERROR(INDEX(DATABASE!$I$4:$I$2003,MATCH($B152,DATABASE!$V$4:$V$2003,0))&amp;"","")</f>
        <v/>
      </c>
    </row>
    <row r="153" customFormat="false" ht="15" hidden="false" customHeight="false" outlineLevel="0" collapsed="false">
      <c r="B153" s="49" t="n">
        <v>132</v>
      </c>
      <c r="C153" s="50" t="str">
        <f aca="false">IFERROR(INDEX(DATABASE!$B$4:$B$2003,MATCH($B153,DATABASE!$V$4:$V$2003,0))&amp;"","")</f>
        <v/>
      </c>
      <c r="D153" s="51" t="str">
        <f aca="false">IFERROR(INDEX(DATABASE!$C$4:$C$2003,MATCH($B153,DATABASE!$V$4:$V$2003,0))&amp;"","")</f>
        <v/>
      </c>
      <c r="E153" s="49" t="str">
        <f aca="false">IFERROR(INDEX(DATABASE!$E$4:$E$2003,MATCH($B153,DATABASE!$V$4:$V$2003,0))&amp;"","")</f>
        <v/>
      </c>
      <c r="F153" s="51" t="str">
        <f aca="false">IFERROR(INDEX(DATABASE!$F$4:$F$2003,MATCH($B153,DATABASE!$V$4:$V$2003,0))&amp;"","")</f>
        <v/>
      </c>
      <c r="G153" s="79" t="str">
        <f aca="false">IFERROR(INDEX(DATABASE!$T$4:$T$2003,MATCH($B153,DATABASE!$V$4:$V$2003,0))&amp;"","")</f>
        <v/>
      </c>
      <c r="H153" s="49" t="str">
        <f aca="false">IFERROR(INDEX(DATABASE!$I$4:$I$2003,MATCH($B153,DATABASE!$V$4:$V$2003,0))&amp;"","")</f>
        <v/>
      </c>
    </row>
    <row r="154" customFormat="false" ht="15" hidden="false" customHeight="false" outlineLevel="0" collapsed="false">
      <c r="B154" s="46" t="n">
        <v>133</v>
      </c>
      <c r="C154" s="47" t="str">
        <f aca="false">IFERROR(INDEX(DATABASE!$B$4:$B$2003,MATCH($B154,DATABASE!$V$4:$V$2003,0))&amp;"","")</f>
        <v/>
      </c>
      <c r="D154" s="48" t="str">
        <f aca="false">IFERROR(INDEX(DATABASE!$C$4:$C$2003,MATCH($B154,DATABASE!$V$4:$V$2003,0))&amp;"","")</f>
        <v/>
      </c>
      <c r="E154" s="46" t="str">
        <f aca="false">IFERROR(INDEX(DATABASE!$E$4:$E$2003,MATCH($B154,DATABASE!$V$4:$V$2003,0))&amp;"","")</f>
        <v/>
      </c>
      <c r="F154" s="48" t="str">
        <f aca="false">IFERROR(INDEX(DATABASE!$F$4:$F$2003,MATCH($B154,DATABASE!$V$4:$V$2003,0))&amp;"","")</f>
        <v/>
      </c>
      <c r="G154" s="78" t="str">
        <f aca="false">IFERROR(INDEX(DATABASE!$T$4:$T$2003,MATCH($B154,DATABASE!$V$4:$V$2003,0))&amp;"","")</f>
        <v/>
      </c>
      <c r="H154" s="46" t="str">
        <f aca="false">IFERROR(INDEX(DATABASE!$I$4:$I$2003,MATCH($B154,DATABASE!$V$4:$V$2003,0))&amp;"","")</f>
        <v/>
      </c>
    </row>
    <row r="155" customFormat="false" ht="15" hidden="false" customHeight="false" outlineLevel="0" collapsed="false">
      <c r="B155" s="49" t="n">
        <v>134</v>
      </c>
      <c r="C155" s="50" t="str">
        <f aca="false">IFERROR(INDEX(DATABASE!$B$4:$B$2003,MATCH($B155,DATABASE!$V$4:$V$2003,0))&amp;"","")</f>
        <v/>
      </c>
      <c r="D155" s="51" t="str">
        <f aca="false">IFERROR(INDEX(DATABASE!$C$4:$C$2003,MATCH($B155,DATABASE!$V$4:$V$2003,0))&amp;"","")</f>
        <v/>
      </c>
      <c r="E155" s="49" t="str">
        <f aca="false">IFERROR(INDEX(DATABASE!$E$4:$E$2003,MATCH($B155,DATABASE!$V$4:$V$2003,0))&amp;"","")</f>
        <v/>
      </c>
      <c r="F155" s="51" t="str">
        <f aca="false">IFERROR(INDEX(DATABASE!$F$4:$F$2003,MATCH($B155,DATABASE!$V$4:$V$2003,0))&amp;"","")</f>
        <v/>
      </c>
      <c r="G155" s="79" t="str">
        <f aca="false">IFERROR(INDEX(DATABASE!$T$4:$T$2003,MATCH($B155,DATABASE!$V$4:$V$2003,0))&amp;"","")</f>
        <v/>
      </c>
      <c r="H155" s="49" t="str">
        <f aca="false">IFERROR(INDEX(DATABASE!$I$4:$I$2003,MATCH($B155,DATABASE!$V$4:$V$2003,0))&amp;"","")</f>
        <v/>
      </c>
    </row>
    <row r="156" customFormat="false" ht="15" hidden="false" customHeight="false" outlineLevel="0" collapsed="false">
      <c r="B156" s="46" t="n">
        <v>135</v>
      </c>
      <c r="C156" s="47" t="str">
        <f aca="false">IFERROR(INDEX(DATABASE!$B$4:$B$2003,MATCH($B156,DATABASE!$V$4:$V$2003,0))&amp;"","")</f>
        <v/>
      </c>
      <c r="D156" s="48" t="str">
        <f aca="false">IFERROR(INDEX(DATABASE!$C$4:$C$2003,MATCH($B156,DATABASE!$V$4:$V$2003,0))&amp;"","")</f>
        <v/>
      </c>
      <c r="E156" s="46" t="str">
        <f aca="false">IFERROR(INDEX(DATABASE!$E$4:$E$2003,MATCH($B156,DATABASE!$V$4:$V$2003,0))&amp;"","")</f>
        <v/>
      </c>
      <c r="F156" s="48" t="str">
        <f aca="false">IFERROR(INDEX(DATABASE!$F$4:$F$2003,MATCH($B156,DATABASE!$V$4:$V$2003,0))&amp;"","")</f>
        <v/>
      </c>
      <c r="G156" s="78" t="str">
        <f aca="false">IFERROR(INDEX(DATABASE!$T$4:$T$2003,MATCH($B156,DATABASE!$V$4:$V$2003,0))&amp;"","")</f>
        <v/>
      </c>
      <c r="H156" s="46" t="str">
        <f aca="false">IFERROR(INDEX(DATABASE!$I$4:$I$2003,MATCH($B156,DATABASE!$V$4:$V$2003,0))&amp;"","")</f>
        <v/>
      </c>
    </row>
    <row r="157" customFormat="false" ht="15" hidden="false" customHeight="false" outlineLevel="0" collapsed="false">
      <c r="B157" s="49" t="n">
        <v>136</v>
      </c>
      <c r="C157" s="50" t="str">
        <f aca="false">IFERROR(INDEX(DATABASE!$B$4:$B$2003,MATCH($B157,DATABASE!$V$4:$V$2003,0))&amp;"","")</f>
        <v/>
      </c>
      <c r="D157" s="51" t="str">
        <f aca="false">IFERROR(INDEX(DATABASE!$C$4:$C$2003,MATCH($B157,DATABASE!$V$4:$V$2003,0))&amp;"","")</f>
        <v/>
      </c>
      <c r="E157" s="49" t="str">
        <f aca="false">IFERROR(INDEX(DATABASE!$E$4:$E$2003,MATCH($B157,DATABASE!$V$4:$V$2003,0))&amp;"","")</f>
        <v/>
      </c>
      <c r="F157" s="51" t="str">
        <f aca="false">IFERROR(INDEX(DATABASE!$F$4:$F$2003,MATCH($B157,DATABASE!$V$4:$V$2003,0))&amp;"","")</f>
        <v/>
      </c>
      <c r="G157" s="79" t="str">
        <f aca="false">IFERROR(INDEX(DATABASE!$T$4:$T$2003,MATCH($B157,DATABASE!$V$4:$V$2003,0))&amp;"","")</f>
        <v/>
      </c>
      <c r="H157" s="49" t="str">
        <f aca="false">IFERROR(INDEX(DATABASE!$I$4:$I$2003,MATCH($B157,DATABASE!$V$4:$V$2003,0))&amp;"","")</f>
        <v/>
      </c>
    </row>
    <row r="158" customFormat="false" ht="15" hidden="false" customHeight="false" outlineLevel="0" collapsed="false">
      <c r="B158" s="46" t="n">
        <v>137</v>
      </c>
      <c r="C158" s="47" t="str">
        <f aca="false">IFERROR(INDEX(DATABASE!$B$4:$B$2003,MATCH($B158,DATABASE!$V$4:$V$2003,0))&amp;"","")</f>
        <v/>
      </c>
      <c r="D158" s="48" t="str">
        <f aca="false">IFERROR(INDEX(DATABASE!$C$4:$C$2003,MATCH($B158,DATABASE!$V$4:$V$2003,0))&amp;"","")</f>
        <v/>
      </c>
      <c r="E158" s="46" t="str">
        <f aca="false">IFERROR(INDEX(DATABASE!$E$4:$E$2003,MATCH($B158,DATABASE!$V$4:$V$2003,0))&amp;"","")</f>
        <v/>
      </c>
      <c r="F158" s="48" t="str">
        <f aca="false">IFERROR(INDEX(DATABASE!$F$4:$F$2003,MATCH($B158,DATABASE!$V$4:$V$2003,0))&amp;"","")</f>
        <v/>
      </c>
      <c r="G158" s="78" t="str">
        <f aca="false">IFERROR(INDEX(DATABASE!$T$4:$T$2003,MATCH($B158,DATABASE!$V$4:$V$2003,0))&amp;"","")</f>
        <v/>
      </c>
      <c r="H158" s="46" t="str">
        <f aca="false">IFERROR(INDEX(DATABASE!$I$4:$I$2003,MATCH($B158,DATABASE!$V$4:$V$2003,0))&amp;"","")</f>
        <v/>
      </c>
    </row>
    <row r="159" customFormat="false" ht="15" hidden="false" customHeight="false" outlineLevel="0" collapsed="false">
      <c r="B159" s="49" t="n">
        <v>138</v>
      </c>
      <c r="C159" s="50" t="str">
        <f aca="false">IFERROR(INDEX(DATABASE!$B$4:$B$2003,MATCH($B159,DATABASE!$V$4:$V$2003,0))&amp;"","")</f>
        <v/>
      </c>
      <c r="D159" s="51" t="str">
        <f aca="false">IFERROR(INDEX(DATABASE!$C$4:$C$2003,MATCH($B159,DATABASE!$V$4:$V$2003,0))&amp;"","")</f>
        <v/>
      </c>
      <c r="E159" s="49" t="str">
        <f aca="false">IFERROR(INDEX(DATABASE!$E$4:$E$2003,MATCH($B159,DATABASE!$V$4:$V$2003,0))&amp;"","")</f>
        <v/>
      </c>
      <c r="F159" s="51" t="str">
        <f aca="false">IFERROR(INDEX(DATABASE!$F$4:$F$2003,MATCH($B159,DATABASE!$V$4:$V$2003,0))&amp;"","")</f>
        <v/>
      </c>
      <c r="G159" s="79" t="str">
        <f aca="false">IFERROR(INDEX(DATABASE!$T$4:$T$2003,MATCH($B159,DATABASE!$V$4:$V$2003,0))&amp;"","")</f>
        <v/>
      </c>
      <c r="H159" s="49" t="str">
        <f aca="false">IFERROR(INDEX(DATABASE!$I$4:$I$2003,MATCH($B159,DATABASE!$V$4:$V$2003,0))&amp;"","")</f>
        <v/>
      </c>
    </row>
    <row r="160" customFormat="false" ht="15" hidden="false" customHeight="false" outlineLevel="0" collapsed="false">
      <c r="B160" s="46" t="n">
        <v>139</v>
      </c>
      <c r="C160" s="47" t="str">
        <f aca="false">IFERROR(INDEX(DATABASE!$B$4:$B$2003,MATCH($B160,DATABASE!$V$4:$V$2003,0))&amp;"","")</f>
        <v/>
      </c>
      <c r="D160" s="48" t="str">
        <f aca="false">IFERROR(INDEX(DATABASE!$C$4:$C$2003,MATCH($B160,DATABASE!$V$4:$V$2003,0))&amp;"","")</f>
        <v/>
      </c>
      <c r="E160" s="46" t="str">
        <f aca="false">IFERROR(INDEX(DATABASE!$E$4:$E$2003,MATCH($B160,DATABASE!$V$4:$V$2003,0))&amp;"","")</f>
        <v/>
      </c>
      <c r="F160" s="48" t="str">
        <f aca="false">IFERROR(INDEX(DATABASE!$F$4:$F$2003,MATCH($B160,DATABASE!$V$4:$V$2003,0))&amp;"","")</f>
        <v/>
      </c>
      <c r="G160" s="78" t="str">
        <f aca="false">IFERROR(INDEX(DATABASE!$T$4:$T$2003,MATCH($B160,DATABASE!$V$4:$V$2003,0))&amp;"","")</f>
        <v/>
      </c>
      <c r="H160" s="46" t="str">
        <f aca="false">IFERROR(INDEX(DATABASE!$I$4:$I$2003,MATCH($B160,DATABASE!$V$4:$V$2003,0))&amp;"","")</f>
        <v/>
      </c>
    </row>
    <row r="161" customFormat="false" ht="15" hidden="false" customHeight="false" outlineLevel="0" collapsed="false">
      <c r="B161" s="49" t="n">
        <v>140</v>
      </c>
      <c r="C161" s="50" t="str">
        <f aca="false">IFERROR(INDEX(DATABASE!$B$4:$B$2003,MATCH($B161,DATABASE!$V$4:$V$2003,0))&amp;"","")</f>
        <v/>
      </c>
      <c r="D161" s="51" t="str">
        <f aca="false">IFERROR(INDEX(DATABASE!$C$4:$C$2003,MATCH($B161,DATABASE!$V$4:$V$2003,0))&amp;"","")</f>
        <v/>
      </c>
      <c r="E161" s="49" t="str">
        <f aca="false">IFERROR(INDEX(DATABASE!$E$4:$E$2003,MATCH($B161,DATABASE!$V$4:$V$2003,0))&amp;"","")</f>
        <v/>
      </c>
      <c r="F161" s="51" t="str">
        <f aca="false">IFERROR(INDEX(DATABASE!$F$4:$F$2003,MATCH($B161,DATABASE!$V$4:$V$2003,0))&amp;"","")</f>
        <v/>
      </c>
      <c r="G161" s="79" t="str">
        <f aca="false">IFERROR(INDEX(DATABASE!$T$4:$T$2003,MATCH($B161,DATABASE!$V$4:$V$2003,0))&amp;"","")</f>
        <v/>
      </c>
      <c r="H161" s="49" t="str">
        <f aca="false">IFERROR(INDEX(DATABASE!$I$4:$I$2003,MATCH($B161,DATABASE!$V$4:$V$2003,0))&amp;"","")</f>
        <v/>
      </c>
    </row>
    <row r="162" customFormat="false" ht="15" hidden="false" customHeight="false" outlineLevel="0" collapsed="false">
      <c r="B162" s="46" t="n">
        <v>141</v>
      </c>
      <c r="C162" s="47" t="str">
        <f aca="false">IFERROR(INDEX(DATABASE!$B$4:$B$2003,MATCH($B162,DATABASE!$V$4:$V$2003,0))&amp;"","")</f>
        <v/>
      </c>
      <c r="D162" s="48" t="str">
        <f aca="false">IFERROR(INDEX(DATABASE!$C$4:$C$2003,MATCH($B162,DATABASE!$V$4:$V$2003,0))&amp;"","")</f>
        <v/>
      </c>
      <c r="E162" s="46" t="str">
        <f aca="false">IFERROR(INDEX(DATABASE!$E$4:$E$2003,MATCH($B162,DATABASE!$V$4:$V$2003,0))&amp;"","")</f>
        <v/>
      </c>
      <c r="F162" s="48" t="str">
        <f aca="false">IFERROR(INDEX(DATABASE!$F$4:$F$2003,MATCH($B162,DATABASE!$V$4:$V$2003,0))&amp;"","")</f>
        <v/>
      </c>
      <c r="G162" s="78" t="str">
        <f aca="false">IFERROR(INDEX(DATABASE!$T$4:$T$2003,MATCH($B162,DATABASE!$V$4:$V$2003,0))&amp;"","")</f>
        <v/>
      </c>
      <c r="H162" s="46" t="str">
        <f aca="false">IFERROR(INDEX(DATABASE!$I$4:$I$2003,MATCH($B162,DATABASE!$V$4:$V$2003,0))&amp;"","")</f>
        <v/>
      </c>
    </row>
    <row r="163" customFormat="false" ht="15" hidden="false" customHeight="false" outlineLevel="0" collapsed="false">
      <c r="B163" s="49" t="n">
        <v>142</v>
      </c>
      <c r="C163" s="50" t="str">
        <f aca="false">IFERROR(INDEX(DATABASE!$B$4:$B$2003,MATCH($B163,DATABASE!$V$4:$V$2003,0))&amp;"","")</f>
        <v/>
      </c>
      <c r="D163" s="51" t="str">
        <f aca="false">IFERROR(INDEX(DATABASE!$C$4:$C$2003,MATCH($B163,DATABASE!$V$4:$V$2003,0))&amp;"","")</f>
        <v/>
      </c>
      <c r="E163" s="49" t="str">
        <f aca="false">IFERROR(INDEX(DATABASE!$E$4:$E$2003,MATCH($B163,DATABASE!$V$4:$V$2003,0))&amp;"","")</f>
        <v/>
      </c>
      <c r="F163" s="51" t="str">
        <f aca="false">IFERROR(INDEX(DATABASE!$F$4:$F$2003,MATCH($B163,DATABASE!$V$4:$V$2003,0))&amp;"","")</f>
        <v/>
      </c>
      <c r="G163" s="79" t="str">
        <f aca="false">IFERROR(INDEX(DATABASE!$T$4:$T$2003,MATCH($B163,DATABASE!$V$4:$V$2003,0))&amp;"","")</f>
        <v/>
      </c>
      <c r="H163" s="49" t="str">
        <f aca="false">IFERROR(INDEX(DATABASE!$I$4:$I$2003,MATCH($B163,DATABASE!$V$4:$V$2003,0))&amp;"","")</f>
        <v/>
      </c>
    </row>
    <row r="164" customFormat="false" ht="15" hidden="false" customHeight="false" outlineLevel="0" collapsed="false">
      <c r="B164" s="46" t="n">
        <v>143</v>
      </c>
      <c r="C164" s="47" t="str">
        <f aca="false">IFERROR(INDEX(DATABASE!$B$4:$B$2003,MATCH($B164,DATABASE!$V$4:$V$2003,0))&amp;"","")</f>
        <v/>
      </c>
      <c r="D164" s="48" t="str">
        <f aca="false">IFERROR(INDEX(DATABASE!$C$4:$C$2003,MATCH($B164,DATABASE!$V$4:$V$2003,0))&amp;"","")</f>
        <v/>
      </c>
      <c r="E164" s="46" t="str">
        <f aca="false">IFERROR(INDEX(DATABASE!$E$4:$E$2003,MATCH($B164,DATABASE!$V$4:$V$2003,0))&amp;"","")</f>
        <v/>
      </c>
      <c r="F164" s="48" t="str">
        <f aca="false">IFERROR(INDEX(DATABASE!$F$4:$F$2003,MATCH($B164,DATABASE!$V$4:$V$2003,0))&amp;"","")</f>
        <v/>
      </c>
      <c r="G164" s="78" t="str">
        <f aca="false">IFERROR(INDEX(DATABASE!$T$4:$T$2003,MATCH($B164,DATABASE!$V$4:$V$2003,0))&amp;"","")</f>
        <v/>
      </c>
      <c r="H164" s="46" t="str">
        <f aca="false">IFERROR(INDEX(DATABASE!$I$4:$I$2003,MATCH($B164,DATABASE!$V$4:$V$2003,0))&amp;"","")</f>
        <v/>
      </c>
    </row>
    <row r="165" customFormat="false" ht="15" hidden="false" customHeight="false" outlineLevel="0" collapsed="false">
      <c r="B165" s="49" t="n">
        <v>144</v>
      </c>
      <c r="C165" s="50" t="str">
        <f aca="false">IFERROR(INDEX(DATABASE!$B$4:$B$2003,MATCH($B165,DATABASE!$V$4:$V$2003,0))&amp;"","")</f>
        <v/>
      </c>
      <c r="D165" s="51" t="str">
        <f aca="false">IFERROR(INDEX(DATABASE!$C$4:$C$2003,MATCH($B165,DATABASE!$V$4:$V$2003,0))&amp;"","")</f>
        <v/>
      </c>
      <c r="E165" s="49" t="str">
        <f aca="false">IFERROR(INDEX(DATABASE!$E$4:$E$2003,MATCH($B165,DATABASE!$V$4:$V$2003,0))&amp;"","")</f>
        <v/>
      </c>
      <c r="F165" s="51" t="str">
        <f aca="false">IFERROR(INDEX(DATABASE!$F$4:$F$2003,MATCH($B165,DATABASE!$V$4:$V$2003,0))&amp;"","")</f>
        <v/>
      </c>
      <c r="G165" s="79" t="str">
        <f aca="false">IFERROR(INDEX(DATABASE!$T$4:$T$2003,MATCH($B165,DATABASE!$V$4:$V$2003,0))&amp;"","")</f>
        <v/>
      </c>
      <c r="H165" s="49" t="str">
        <f aca="false">IFERROR(INDEX(DATABASE!$I$4:$I$2003,MATCH($B165,DATABASE!$V$4:$V$2003,0))&amp;"","")</f>
        <v/>
      </c>
    </row>
    <row r="166" customFormat="false" ht="15" hidden="false" customHeight="false" outlineLevel="0" collapsed="false">
      <c r="B166" s="46" t="n">
        <v>145</v>
      </c>
      <c r="C166" s="47" t="str">
        <f aca="false">IFERROR(INDEX(DATABASE!$B$4:$B$2003,MATCH($B166,DATABASE!$V$4:$V$2003,0))&amp;"","")</f>
        <v/>
      </c>
      <c r="D166" s="48" t="str">
        <f aca="false">IFERROR(INDEX(DATABASE!$C$4:$C$2003,MATCH($B166,DATABASE!$V$4:$V$2003,0))&amp;"","")</f>
        <v/>
      </c>
      <c r="E166" s="46" t="str">
        <f aca="false">IFERROR(INDEX(DATABASE!$E$4:$E$2003,MATCH($B166,DATABASE!$V$4:$V$2003,0))&amp;"","")</f>
        <v/>
      </c>
      <c r="F166" s="48" t="str">
        <f aca="false">IFERROR(INDEX(DATABASE!$F$4:$F$2003,MATCH($B166,DATABASE!$V$4:$V$2003,0))&amp;"","")</f>
        <v/>
      </c>
      <c r="G166" s="78" t="str">
        <f aca="false">IFERROR(INDEX(DATABASE!$T$4:$T$2003,MATCH($B166,DATABASE!$V$4:$V$2003,0))&amp;"","")</f>
        <v/>
      </c>
      <c r="H166" s="46" t="str">
        <f aca="false">IFERROR(INDEX(DATABASE!$I$4:$I$2003,MATCH($B166,DATABASE!$V$4:$V$2003,0))&amp;"","")</f>
        <v/>
      </c>
    </row>
    <row r="167" customFormat="false" ht="15" hidden="false" customHeight="false" outlineLevel="0" collapsed="false">
      <c r="B167" s="49" t="n">
        <v>146</v>
      </c>
      <c r="C167" s="50" t="str">
        <f aca="false">IFERROR(INDEX(DATABASE!$B$4:$B$2003,MATCH($B167,DATABASE!$V$4:$V$2003,0))&amp;"","")</f>
        <v/>
      </c>
      <c r="D167" s="51" t="str">
        <f aca="false">IFERROR(INDEX(DATABASE!$C$4:$C$2003,MATCH($B167,DATABASE!$V$4:$V$2003,0))&amp;"","")</f>
        <v/>
      </c>
      <c r="E167" s="49" t="str">
        <f aca="false">IFERROR(INDEX(DATABASE!$E$4:$E$2003,MATCH($B167,DATABASE!$V$4:$V$2003,0))&amp;"","")</f>
        <v/>
      </c>
      <c r="F167" s="51" t="str">
        <f aca="false">IFERROR(INDEX(DATABASE!$F$4:$F$2003,MATCH($B167,DATABASE!$V$4:$V$2003,0))&amp;"","")</f>
        <v/>
      </c>
      <c r="G167" s="79" t="str">
        <f aca="false">IFERROR(INDEX(DATABASE!$T$4:$T$2003,MATCH($B167,DATABASE!$V$4:$V$2003,0))&amp;"","")</f>
        <v/>
      </c>
      <c r="H167" s="49" t="str">
        <f aca="false">IFERROR(INDEX(DATABASE!$I$4:$I$2003,MATCH($B167,DATABASE!$V$4:$V$2003,0))&amp;"","")</f>
        <v/>
      </c>
    </row>
    <row r="168" customFormat="false" ht="15" hidden="false" customHeight="false" outlineLevel="0" collapsed="false">
      <c r="B168" s="46" t="n">
        <v>147</v>
      </c>
      <c r="C168" s="47" t="str">
        <f aca="false">IFERROR(INDEX(DATABASE!$B$4:$B$2003,MATCH($B168,DATABASE!$V$4:$V$2003,0))&amp;"","")</f>
        <v/>
      </c>
      <c r="D168" s="48" t="str">
        <f aca="false">IFERROR(INDEX(DATABASE!$C$4:$C$2003,MATCH($B168,DATABASE!$V$4:$V$2003,0))&amp;"","")</f>
        <v/>
      </c>
      <c r="E168" s="46" t="str">
        <f aca="false">IFERROR(INDEX(DATABASE!$E$4:$E$2003,MATCH($B168,DATABASE!$V$4:$V$2003,0))&amp;"","")</f>
        <v/>
      </c>
      <c r="F168" s="48" t="str">
        <f aca="false">IFERROR(INDEX(DATABASE!$F$4:$F$2003,MATCH($B168,DATABASE!$V$4:$V$2003,0))&amp;"","")</f>
        <v/>
      </c>
      <c r="G168" s="78" t="str">
        <f aca="false">IFERROR(INDEX(DATABASE!$T$4:$T$2003,MATCH($B168,DATABASE!$V$4:$V$2003,0))&amp;"","")</f>
        <v/>
      </c>
      <c r="H168" s="46" t="str">
        <f aca="false">IFERROR(INDEX(DATABASE!$I$4:$I$2003,MATCH($B168,DATABASE!$V$4:$V$2003,0))&amp;"","")</f>
        <v/>
      </c>
    </row>
    <row r="169" customFormat="false" ht="15" hidden="false" customHeight="false" outlineLevel="0" collapsed="false">
      <c r="B169" s="49" t="n">
        <v>148</v>
      </c>
      <c r="C169" s="50" t="str">
        <f aca="false">IFERROR(INDEX(DATABASE!$B$4:$B$2003,MATCH($B169,DATABASE!$V$4:$V$2003,0))&amp;"","")</f>
        <v/>
      </c>
      <c r="D169" s="51" t="str">
        <f aca="false">IFERROR(INDEX(DATABASE!$C$4:$C$2003,MATCH($B169,DATABASE!$V$4:$V$2003,0))&amp;"","")</f>
        <v/>
      </c>
      <c r="E169" s="49" t="str">
        <f aca="false">IFERROR(INDEX(DATABASE!$E$4:$E$2003,MATCH($B169,DATABASE!$V$4:$V$2003,0))&amp;"","")</f>
        <v/>
      </c>
      <c r="F169" s="51" t="str">
        <f aca="false">IFERROR(INDEX(DATABASE!$F$4:$F$2003,MATCH($B169,DATABASE!$V$4:$V$2003,0))&amp;"","")</f>
        <v/>
      </c>
      <c r="G169" s="79" t="str">
        <f aca="false">IFERROR(INDEX(DATABASE!$T$4:$T$2003,MATCH($B169,DATABASE!$V$4:$V$2003,0))&amp;"","")</f>
        <v/>
      </c>
      <c r="H169" s="49" t="str">
        <f aca="false">IFERROR(INDEX(DATABASE!$I$4:$I$2003,MATCH($B169,DATABASE!$V$4:$V$2003,0))&amp;"","")</f>
        <v/>
      </c>
    </row>
    <row r="170" customFormat="false" ht="15" hidden="false" customHeight="false" outlineLevel="0" collapsed="false">
      <c r="B170" s="46" t="n">
        <v>149</v>
      </c>
      <c r="C170" s="47" t="str">
        <f aca="false">IFERROR(INDEX(DATABASE!$B$4:$B$2003,MATCH($B170,DATABASE!$V$4:$V$2003,0))&amp;"","")</f>
        <v/>
      </c>
      <c r="D170" s="48" t="str">
        <f aca="false">IFERROR(INDEX(DATABASE!$C$4:$C$2003,MATCH($B170,DATABASE!$V$4:$V$2003,0))&amp;"","")</f>
        <v/>
      </c>
      <c r="E170" s="46" t="str">
        <f aca="false">IFERROR(INDEX(DATABASE!$E$4:$E$2003,MATCH($B170,DATABASE!$V$4:$V$2003,0))&amp;"","")</f>
        <v/>
      </c>
      <c r="F170" s="48" t="str">
        <f aca="false">IFERROR(INDEX(DATABASE!$F$4:$F$2003,MATCH($B170,DATABASE!$V$4:$V$2003,0))&amp;"","")</f>
        <v/>
      </c>
      <c r="G170" s="78" t="str">
        <f aca="false">IFERROR(INDEX(DATABASE!$T$4:$T$2003,MATCH($B170,DATABASE!$V$4:$V$2003,0))&amp;"","")</f>
        <v/>
      </c>
      <c r="H170" s="46" t="str">
        <f aca="false">IFERROR(INDEX(DATABASE!$I$4:$I$2003,MATCH($B170,DATABASE!$V$4:$V$2003,0))&amp;"","")</f>
        <v/>
      </c>
    </row>
    <row r="171" customFormat="false" ht="15" hidden="false" customHeight="false" outlineLevel="0" collapsed="false">
      <c r="B171" s="49" t="n">
        <v>150</v>
      </c>
      <c r="C171" s="50" t="str">
        <f aca="false">IFERROR(INDEX(DATABASE!$B$4:$B$2003,MATCH($B171,DATABASE!$V$4:$V$2003,0))&amp;"","")</f>
        <v/>
      </c>
      <c r="D171" s="51" t="str">
        <f aca="false">IFERROR(INDEX(DATABASE!$C$4:$C$2003,MATCH($B171,DATABASE!$V$4:$V$2003,0))&amp;"","")</f>
        <v/>
      </c>
      <c r="E171" s="49" t="str">
        <f aca="false">IFERROR(INDEX(DATABASE!$E$4:$E$2003,MATCH($B171,DATABASE!$V$4:$V$2003,0))&amp;"","")</f>
        <v/>
      </c>
      <c r="F171" s="51" t="str">
        <f aca="false">IFERROR(INDEX(DATABASE!$F$4:$F$2003,MATCH($B171,DATABASE!$V$4:$V$2003,0))&amp;"","")</f>
        <v/>
      </c>
      <c r="G171" s="79" t="str">
        <f aca="false">IFERROR(INDEX(DATABASE!$T$4:$T$2003,MATCH($B171,DATABASE!$V$4:$V$2003,0))&amp;"","")</f>
        <v/>
      </c>
      <c r="H171" s="49" t="str">
        <f aca="false">IFERROR(INDEX(DATABASE!$I$4:$I$2003,MATCH($B171,DATABASE!$V$4:$V$2003,0))&amp;"","")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L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7"/>
    <col collapsed="false" customWidth="true" hidden="false" outlineLevel="0" max="4" min="3" style="0" width="19"/>
    <col collapsed="false" customWidth="true" hidden="false" outlineLevel="0" max="5" min="5" style="0" width="17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3"/>
    <col collapsed="false" customWidth="true" hidden="false" outlineLevel="0" max="9" min="9" style="0" width="19"/>
    <col collapsed="false" customWidth="true" hidden="false" outlineLevel="0" max="10" min="10" style="0" width="17"/>
    <col collapsed="false" customWidth="true" hidden="false" outlineLevel="0" max="11" min="11" style="0" width="3"/>
    <col collapsed="false" customWidth="true" hidden="true" outlineLevel="0" max="12" min="12" style="0" width="9"/>
  </cols>
  <sheetData>
    <row r="2" customFormat="false" ht="19.7" hidden="false" customHeight="false" outlineLevel="0" collapsed="false">
      <c r="A2" s="80" t="str">
        <f aca="false">id_team</f>
        <v>TEAM PEMENANGAN</v>
      </c>
      <c r="B2" s="80"/>
      <c r="C2" s="80"/>
      <c r="D2" s="80"/>
      <c r="E2" s="80"/>
      <c r="F2" s="80"/>
      <c r="G2" s="80"/>
    </row>
    <row r="3" customFormat="false" ht="17.35" hidden="false" customHeight="false" outlineLevel="0" collapsed="false">
      <c r="A3" s="81" t="str">
        <f aca="false">id_calon</f>
        <v>JONI FAHAMSYAH</v>
      </c>
      <c r="B3" s="81"/>
      <c r="C3" s="81"/>
      <c r="D3" s="81"/>
      <c r="E3" s="81"/>
      <c r="F3" s="81"/>
      <c r="G3" s="81"/>
    </row>
    <row r="4" customFormat="false" ht="15" hidden="false" customHeight="false" outlineLevel="0" collapsed="false">
      <c r="A4" s="82" t="str">
        <f aca="false">id_periode</f>
        <v>PERIODE 2026 S/D 2034</v>
      </c>
      <c r="B4" s="82"/>
      <c r="C4" s="82"/>
      <c r="D4" s="82"/>
      <c r="E4" s="82"/>
      <c r="F4" s="82"/>
      <c r="G4" s="82"/>
    </row>
    <row r="5" customFormat="false" ht="15" hidden="false" customHeight="false" outlineLevel="0" collapsed="false">
      <c r="A5" s="83" t="str">
        <f aca="false">"DESA "&amp;id_desa&amp;IF(id_kecamatan="-",""," • KECAMATAN "&amp;id_kecamatan)&amp;IF(id_kabupaten="-",""," • KABUPATEN "&amp;id_kabupaten)</f>
        <v>DESA SUKAKARYA</v>
      </c>
      <c r="B5" s="83"/>
      <c r="C5" s="83"/>
      <c r="D5" s="83"/>
      <c r="E5" s="83"/>
      <c r="F5" s="83"/>
      <c r="G5" s="83"/>
    </row>
    <row r="6" customFormat="false" ht="15" hidden="false" customHeight="false" outlineLevel="0" collapsed="false">
      <c r="A6" s="84"/>
      <c r="B6" s="84"/>
      <c r="C6" s="84"/>
      <c r="D6" s="84"/>
      <c r="E6" s="84"/>
      <c r="F6" s="84"/>
      <c r="G6" s="84"/>
    </row>
    <row r="8" customFormat="false" ht="15" hidden="false" customHeight="false" outlineLevel="0" collapsed="false">
      <c r="A8" s="85" t="s">
        <v>126</v>
      </c>
      <c r="B8" s="85"/>
      <c r="C8" s="85"/>
      <c r="D8" s="85"/>
      <c r="E8" s="85"/>
      <c r="F8" s="85"/>
      <c r="G8" s="85"/>
    </row>
    <row r="9" customFormat="false" ht="15" hidden="false" customHeight="false" outlineLevel="0" collapsed="false">
      <c r="I9" s="86" t="s">
        <v>127</v>
      </c>
      <c r="J9" s="86"/>
    </row>
    <row r="10" customFormat="false" ht="15" hidden="false" customHeight="false" outlineLevel="0" collapsed="false">
      <c r="A10" s="87" t="s">
        <v>128</v>
      </c>
      <c r="C10" s="88" t="s">
        <v>129</v>
      </c>
      <c r="D10" s="89" t="str">
        <f aca="false">IF(COUNTA($J$10:$J$14)=0,"SELURUH ANGGOTA",MID(IF($J$10="",""," • "&amp;$J$10)&amp;IF($J$11="",""," • RT "&amp;$J$11)&amp;IF($J$12="",""," • TPS "&amp;$J$12)&amp;IF($J$13="",""," • "&amp;$J$13)&amp;IF($J$14="",""," • "&amp;$J$14),4,200))</f>
        <v>SELURUH ANGGOTA</v>
      </c>
      <c r="E10" s="89"/>
      <c r="F10" s="89"/>
      <c r="G10" s="89"/>
      <c r="I10" s="42" t="s">
        <v>130</v>
      </c>
      <c r="J10" s="66"/>
    </row>
    <row r="11" customFormat="false" ht="15" hidden="false" customHeight="false" outlineLevel="0" collapsed="false">
      <c r="A11" s="87" t="s">
        <v>25</v>
      </c>
      <c r="C11" s="88" t="s">
        <v>129</v>
      </c>
      <c r="D11" s="90" t="str">
        <f aca="false">$J$16&amp;" orang"&amp;IF($J$17&gt;1,"     (halaman "&amp;$J$15&amp;" dari "&amp;$J$17&amp;")","")</f>
        <v>0 orang</v>
      </c>
      <c r="E11" s="90"/>
      <c r="F11" s="90"/>
      <c r="G11" s="90"/>
      <c r="I11" s="42" t="s">
        <v>131</v>
      </c>
      <c r="J11" s="66"/>
    </row>
    <row r="12" customFormat="false" ht="15" hidden="false" customHeight="false" outlineLevel="0" collapsed="false">
      <c r="I12" s="42" t="s">
        <v>132</v>
      </c>
      <c r="J12" s="66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76</v>
      </c>
      <c r="D13" s="16" t="s">
        <v>43</v>
      </c>
      <c r="E13" s="16" t="s">
        <v>44</v>
      </c>
      <c r="F13" s="16" t="s">
        <v>45</v>
      </c>
      <c r="G13" s="16" t="s">
        <v>133</v>
      </c>
      <c r="I13" s="42" t="s">
        <v>134</v>
      </c>
      <c r="J13" s="66"/>
    </row>
    <row r="14" customFormat="false" ht="21.75" hidden="false" customHeight="true" outlineLevel="0" collapsed="false">
      <c r="A14" s="39" t="str">
        <f aca="false">IF($L14="","",(($J$15-1)*25+1))</f>
        <v/>
      </c>
      <c r="B14" s="37" t="str">
        <f aca="false">IF($L14="","",INDEX(DATABASE!$B$4:$B$2003,$L14)&amp;"")</f>
        <v/>
      </c>
      <c r="C14" s="91" t="str">
        <f aca="false">IF($L14="","",INDEX(DATABASE!$C$4:$C$2003,$L14)&amp;"")</f>
        <v/>
      </c>
      <c r="D14" s="37" t="str">
        <f aca="false">IF($L14="","",INDEX(DATABASE!$G$4:$G$2003,$L14)&amp;"")</f>
        <v/>
      </c>
      <c r="E14" s="37" t="str">
        <f aca="false">IF($L14="","",INDEX(DATABASE!$H$4:$H$2003,$L14)&amp;"")</f>
        <v/>
      </c>
      <c r="F14" s="91" t="str">
        <f aca="false">IF($L14="","",INDEX(DATABASE!$I$4:$I$2003,$L14)&amp;"")</f>
        <v/>
      </c>
      <c r="G14" s="92" t="str">
        <f aca="false">IF($L14="","",$A14&amp;".")</f>
        <v/>
      </c>
      <c r="I14" s="42" t="s">
        <v>135</v>
      </c>
      <c r="J14" s="66"/>
      <c r="L14" s="52" t="str">
        <f aca="false">IFERROR(MATCH((($J$15-1)*25+1),DATABASE!$X$4:$X$2003,0),"")</f>
        <v/>
      </c>
    </row>
    <row r="15" customFormat="false" ht="21.75" hidden="false" customHeight="true" outlineLevel="0" collapsed="false">
      <c r="A15" s="39" t="str">
        <f aca="false">IF($L15="","",(($J$15-1)*25+2))</f>
        <v/>
      </c>
      <c r="B15" s="37" t="str">
        <f aca="false">IF($L15="","",INDEX(DATABASE!$B$4:$B$2003,$L15)&amp;"")</f>
        <v/>
      </c>
      <c r="C15" s="91" t="str">
        <f aca="false">IF($L15="","",INDEX(DATABASE!$C$4:$C$2003,$L15)&amp;"")</f>
        <v/>
      </c>
      <c r="D15" s="37" t="str">
        <f aca="false">IF($L15="","",INDEX(DATABASE!$G$4:$G$2003,$L15)&amp;"")</f>
        <v/>
      </c>
      <c r="E15" s="37" t="str">
        <f aca="false">IF($L15="","",INDEX(DATABASE!$H$4:$H$2003,$L15)&amp;"")</f>
        <v/>
      </c>
      <c r="F15" s="91" t="str">
        <f aca="false">IF($L15="","",INDEX(DATABASE!$I$4:$I$2003,$L15)&amp;"")</f>
        <v/>
      </c>
      <c r="G15" s="92" t="str">
        <f aca="false">IF($L15="","",$A15&amp;".")</f>
        <v/>
      </c>
      <c r="I15" s="42" t="s">
        <v>136</v>
      </c>
      <c r="J15" s="93" t="n">
        <v>1</v>
      </c>
      <c r="L15" s="52" t="str">
        <f aca="false">IFERROR(MATCH((($J$15-1)*25+2),DATABASE!$X$4:$X$2003,0),"")</f>
        <v/>
      </c>
    </row>
    <row r="16" customFormat="false" ht="21.75" hidden="false" customHeight="true" outlineLevel="0" collapsed="false">
      <c r="A16" s="39" t="str">
        <f aca="false">IF($L16="","",(($J$15-1)*25+3))</f>
        <v/>
      </c>
      <c r="B16" s="37" t="str">
        <f aca="false">IF($L16="","",INDEX(DATABASE!$B$4:$B$2003,$L16)&amp;"")</f>
        <v/>
      </c>
      <c r="C16" s="91" t="str">
        <f aca="false">IF($L16="","",INDEX(DATABASE!$C$4:$C$2003,$L16)&amp;"")</f>
        <v/>
      </c>
      <c r="D16" s="37" t="str">
        <f aca="false">IF($L16="","",INDEX(DATABASE!$G$4:$G$2003,$L16)&amp;"")</f>
        <v/>
      </c>
      <c r="E16" s="37" t="str">
        <f aca="false">IF($L16="","",INDEX(DATABASE!$H$4:$H$2003,$L16)&amp;"")</f>
        <v/>
      </c>
      <c r="F16" s="91" t="str">
        <f aca="false">IF($L16="","",INDEX(DATABASE!$I$4:$I$2003,$L16)&amp;"")</f>
        <v/>
      </c>
      <c r="G16" s="92" t="str">
        <f aca="false">IF($L16="","",$A16&amp;".")</f>
        <v/>
      </c>
      <c r="I16" s="42" t="s">
        <v>137</v>
      </c>
      <c r="J16" s="67" t="n">
        <f aca="false">COUNT(DATABASE!$X$4:$X$2003)</f>
        <v>0</v>
      </c>
      <c r="L16" s="52" t="str">
        <f aca="false">IFERROR(MATCH((($J$15-1)*25+3),DATABASE!$X$4:$X$2003,0),"")</f>
        <v/>
      </c>
    </row>
    <row r="17" customFormat="false" ht="21.75" hidden="false" customHeight="true" outlineLevel="0" collapsed="false">
      <c r="A17" s="39" t="str">
        <f aca="false">IF($L17="","",(($J$15-1)*25+4))</f>
        <v/>
      </c>
      <c r="B17" s="37" t="str">
        <f aca="false">IF($L17="","",INDEX(DATABASE!$B$4:$B$2003,$L17)&amp;"")</f>
        <v/>
      </c>
      <c r="C17" s="91" t="str">
        <f aca="false">IF($L17="","",INDEX(DATABASE!$C$4:$C$2003,$L17)&amp;"")</f>
        <v/>
      </c>
      <c r="D17" s="37" t="str">
        <f aca="false">IF($L17="","",INDEX(DATABASE!$G$4:$G$2003,$L17)&amp;"")</f>
        <v/>
      </c>
      <c r="E17" s="37" t="str">
        <f aca="false">IF($L17="","",INDEX(DATABASE!$H$4:$H$2003,$L17)&amp;"")</f>
        <v/>
      </c>
      <c r="F17" s="91" t="str">
        <f aca="false">IF($L17="","",INDEX(DATABASE!$I$4:$I$2003,$L17)&amp;"")</f>
        <v/>
      </c>
      <c r="G17" s="92" t="str">
        <f aca="false">IF($L17="","",$A17&amp;".")</f>
        <v/>
      </c>
      <c r="I17" s="42" t="s">
        <v>138</v>
      </c>
      <c r="J17" s="94" t="n">
        <f aca="false">MAX(1,ROUNDUP($J$16/25,0))</f>
        <v>1</v>
      </c>
      <c r="L17" s="52" t="str">
        <f aca="false">IFERROR(MATCH((($J$15-1)*25+4),DATABASE!$X$4:$X$2003,0),"")</f>
        <v/>
      </c>
    </row>
    <row r="18" customFormat="false" ht="21.75" hidden="false" customHeight="true" outlineLevel="0" collapsed="false">
      <c r="A18" s="39" t="str">
        <f aca="false">IF($L18="","",(($J$15-1)*25+5))</f>
        <v/>
      </c>
      <c r="B18" s="37" t="str">
        <f aca="false">IF($L18="","",INDEX(DATABASE!$B$4:$B$2003,$L18)&amp;"")</f>
        <v/>
      </c>
      <c r="C18" s="91" t="str">
        <f aca="false">IF($L18="","",INDEX(DATABASE!$C$4:$C$2003,$L18)&amp;"")</f>
        <v/>
      </c>
      <c r="D18" s="37" t="str">
        <f aca="false">IF($L18="","",INDEX(DATABASE!$G$4:$G$2003,$L18)&amp;"")</f>
        <v/>
      </c>
      <c r="E18" s="37" t="str">
        <f aca="false">IF($L18="","",INDEX(DATABASE!$H$4:$H$2003,$L18)&amp;"")</f>
        <v/>
      </c>
      <c r="F18" s="91" t="str">
        <f aca="false">IF($L18="","",INDEX(DATABASE!$I$4:$I$2003,$L18)&amp;"")</f>
        <v/>
      </c>
      <c r="G18" s="92" t="str">
        <f aca="false">IF($L18="","",$A18&amp;".")</f>
        <v/>
      </c>
      <c r="L18" s="52" t="str">
        <f aca="false">IFERROR(MATCH((($J$15-1)*25+5),DATABASE!$X$4:$X$2003,0),"")</f>
        <v/>
      </c>
    </row>
    <row r="19" customFormat="false" ht="21.75" hidden="false" customHeight="true" outlineLevel="0" collapsed="false">
      <c r="A19" s="39" t="str">
        <f aca="false">IF($L19="","",(($J$15-1)*25+6))</f>
        <v/>
      </c>
      <c r="B19" s="37" t="str">
        <f aca="false">IF($L19="","",INDEX(DATABASE!$B$4:$B$2003,$L19)&amp;"")</f>
        <v/>
      </c>
      <c r="C19" s="91" t="str">
        <f aca="false">IF($L19="","",INDEX(DATABASE!$C$4:$C$2003,$L19)&amp;"")</f>
        <v/>
      </c>
      <c r="D19" s="37" t="str">
        <f aca="false">IF($L19="","",INDEX(DATABASE!$G$4:$G$2003,$L19)&amp;"")</f>
        <v/>
      </c>
      <c r="E19" s="37" t="str">
        <f aca="false">IF($L19="","",INDEX(DATABASE!$H$4:$H$2003,$L19)&amp;"")</f>
        <v/>
      </c>
      <c r="F19" s="91" t="str">
        <f aca="false">IF($L19="","",INDEX(DATABASE!$I$4:$I$2003,$L19)&amp;"")</f>
        <v/>
      </c>
      <c r="G19" s="92" t="str">
        <f aca="false">IF($L19="","",$A19&amp;".")</f>
        <v/>
      </c>
      <c r="I19" s="31" t="s">
        <v>34</v>
      </c>
      <c r="L19" s="52" t="str">
        <f aca="false">IFERROR(MATCH((($J$15-1)*25+6),DATABASE!$X$4:$X$2003,0),"")</f>
        <v/>
      </c>
    </row>
    <row r="20" customFormat="false" ht="21.75" hidden="false" customHeight="true" outlineLevel="0" collapsed="false">
      <c r="A20" s="39" t="str">
        <f aca="false">IF($L20="","",(($J$15-1)*25+7))</f>
        <v/>
      </c>
      <c r="B20" s="37" t="str">
        <f aca="false">IF($L20="","",INDEX(DATABASE!$B$4:$B$2003,$L20)&amp;"")</f>
        <v/>
      </c>
      <c r="C20" s="91" t="str">
        <f aca="false">IF($L20="","",INDEX(DATABASE!$C$4:$C$2003,$L20)&amp;"")</f>
        <v/>
      </c>
      <c r="D20" s="37" t="str">
        <f aca="false">IF($L20="","",INDEX(DATABASE!$G$4:$G$2003,$L20)&amp;"")</f>
        <v/>
      </c>
      <c r="E20" s="37" t="str">
        <f aca="false">IF($L20="","",INDEX(DATABASE!$H$4:$H$2003,$L20)&amp;"")</f>
        <v/>
      </c>
      <c r="F20" s="91" t="str">
        <f aca="false">IF($L20="","",INDEX(DATABASE!$I$4:$I$2003,$L20)&amp;"")</f>
        <v/>
      </c>
      <c r="G20" s="92" t="str">
        <f aca="false">IF($L20="","",$A20&amp;".")</f>
        <v/>
      </c>
      <c r="I20" s="32" t="s">
        <v>139</v>
      </c>
      <c r="L20" s="52" t="str">
        <f aca="false">IFERROR(MATCH((($J$15-1)*25+7),DATABASE!$X$4:$X$2003,0),"")</f>
        <v/>
      </c>
    </row>
    <row r="21" customFormat="false" ht="21.75" hidden="false" customHeight="true" outlineLevel="0" collapsed="false">
      <c r="A21" s="39" t="str">
        <f aca="false">IF($L21="","",(($J$15-1)*25+8))</f>
        <v/>
      </c>
      <c r="B21" s="37" t="str">
        <f aca="false">IF($L21="","",INDEX(DATABASE!$B$4:$B$2003,$L21)&amp;"")</f>
        <v/>
      </c>
      <c r="C21" s="91" t="str">
        <f aca="false">IF($L21="","",INDEX(DATABASE!$C$4:$C$2003,$L21)&amp;"")</f>
        <v/>
      </c>
      <c r="D21" s="37" t="str">
        <f aca="false">IF($L21="","",INDEX(DATABASE!$G$4:$G$2003,$L21)&amp;"")</f>
        <v/>
      </c>
      <c r="E21" s="37" t="str">
        <f aca="false">IF($L21="","",INDEX(DATABASE!$H$4:$H$2003,$L21)&amp;"")</f>
        <v/>
      </c>
      <c r="F21" s="91" t="str">
        <f aca="false">IF($L21="","",INDEX(DATABASE!$I$4:$I$2003,$L21)&amp;"")</f>
        <v/>
      </c>
      <c r="G21" s="92" t="str">
        <f aca="false">IF($L21="","",$A21&amp;".")</f>
        <v/>
      </c>
      <c r="I21" s="32" t="s">
        <v>140</v>
      </c>
      <c r="L21" s="52" t="str">
        <f aca="false">IFERROR(MATCH((($J$15-1)*25+8),DATABASE!$X$4:$X$2003,0),"")</f>
        <v/>
      </c>
    </row>
    <row r="22" customFormat="false" ht="21.75" hidden="false" customHeight="true" outlineLevel="0" collapsed="false">
      <c r="A22" s="39" t="str">
        <f aca="false">IF($L22="","",(($J$15-1)*25+9))</f>
        <v/>
      </c>
      <c r="B22" s="37" t="str">
        <f aca="false">IF($L22="","",INDEX(DATABASE!$B$4:$B$2003,$L22)&amp;"")</f>
        <v/>
      </c>
      <c r="C22" s="91" t="str">
        <f aca="false">IF($L22="","",INDEX(DATABASE!$C$4:$C$2003,$L22)&amp;"")</f>
        <v/>
      </c>
      <c r="D22" s="37" t="str">
        <f aca="false">IF($L22="","",INDEX(DATABASE!$G$4:$G$2003,$L22)&amp;"")</f>
        <v/>
      </c>
      <c r="E22" s="37" t="str">
        <f aca="false">IF($L22="","",INDEX(DATABASE!$H$4:$H$2003,$L22)&amp;"")</f>
        <v/>
      </c>
      <c r="F22" s="91" t="str">
        <f aca="false">IF($L22="","",INDEX(DATABASE!$I$4:$I$2003,$L22)&amp;"")</f>
        <v/>
      </c>
      <c r="G22" s="92" t="str">
        <f aca="false">IF($L22="","",$A22&amp;".")</f>
        <v/>
      </c>
      <c r="I22" s="32" t="s">
        <v>141</v>
      </c>
      <c r="L22" s="52" t="str">
        <f aca="false">IFERROR(MATCH((($J$15-1)*25+9),DATABASE!$X$4:$X$2003,0),"")</f>
        <v/>
      </c>
    </row>
    <row r="23" customFormat="false" ht="21.75" hidden="false" customHeight="true" outlineLevel="0" collapsed="false">
      <c r="A23" s="39" t="str">
        <f aca="false">IF($L23="","",(($J$15-1)*25+10))</f>
        <v/>
      </c>
      <c r="B23" s="37" t="str">
        <f aca="false">IF($L23="","",INDEX(DATABASE!$B$4:$B$2003,$L23)&amp;"")</f>
        <v/>
      </c>
      <c r="C23" s="91" t="str">
        <f aca="false">IF($L23="","",INDEX(DATABASE!$C$4:$C$2003,$L23)&amp;"")</f>
        <v/>
      </c>
      <c r="D23" s="37" t="str">
        <f aca="false">IF($L23="","",INDEX(DATABASE!$G$4:$G$2003,$L23)&amp;"")</f>
        <v/>
      </c>
      <c r="E23" s="37" t="str">
        <f aca="false">IF($L23="","",INDEX(DATABASE!$H$4:$H$2003,$L23)&amp;"")</f>
        <v/>
      </c>
      <c r="F23" s="91" t="str">
        <f aca="false">IF($L23="","",INDEX(DATABASE!$I$4:$I$2003,$L23)&amp;"")</f>
        <v/>
      </c>
      <c r="G23" s="92" t="str">
        <f aca="false">IF($L23="","",$A23&amp;".")</f>
        <v/>
      </c>
      <c r="I23" s="32" t="s">
        <v>142</v>
      </c>
      <c r="L23" s="52" t="str">
        <f aca="false">IFERROR(MATCH((($J$15-1)*25+10),DATABASE!$X$4:$X$2003,0),"")</f>
        <v/>
      </c>
    </row>
    <row r="24" customFormat="false" ht="21.75" hidden="false" customHeight="true" outlineLevel="0" collapsed="false">
      <c r="A24" s="39" t="str">
        <f aca="false">IF($L24="","",(($J$15-1)*25+11))</f>
        <v/>
      </c>
      <c r="B24" s="37" t="str">
        <f aca="false">IF($L24="","",INDEX(DATABASE!$B$4:$B$2003,$L24)&amp;"")</f>
        <v/>
      </c>
      <c r="C24" s="91" t="str">
        <f aca="false">IF($L24="","",INDEX(DATABASE!$C$4:$C$2003,$L24)&amp;"")</f>
        <v/>
      </c>
      <c r="D24" s="37" t="str">
        <f aca="false">IF($L24="","",INDEX(DATABASE!$G$4:$G$2003,$L24)&amp;"")</f>
        <v/>
      </c>
      <c r="E24" s="37" t="str">
        <f aca="false">IF($L24="","",INDEX(DATABASE!$H$4:$H$2003,$L24)&amp;"")</f>
        <v/>
      </c>
      <c r="F24" s="91" t="str">
        <f aca="false">IF($L24="","",INDEX(DATABASE!$I$4:$I$2003,$L24)&amp;"")</f>
        <v/>
      </c>
      <c r="G24" s="92" t="str">
        <f aca="false">IF($L24="","",$A24&amp;".")</f>
        <v/>
      </c>
      <c r="I24" s="32" t="s">
        <v>143</v>
      </c>
      <c r="L24" s="52" t="str">
        <f aca="false">IFERROR(MATCH((($J$15-1)*25+11),DATABASE!$X$4:$X$2003,0),"")</f>
        <v/>
      </c>
    </row>
    <row r="25" customFormat="false" ht="21.75" hidden="false" customHeight="true" outlineLevel="0" collapsed="false">
      <c r="A25" s="39" t="str">
        <f aca="false">IF($L25="","",(($J$15-1)*25+12))</f>
        <v/>
      </c>
      <c r="B25" s="37" t="str">
        <f aca="false">IF($L25="","",INDEX(DATABASE!$B$4:$B$2003,$L25)&amp;"")</f>
        <v/>
      </c>
      <c r="C25" s="91" t="str">
        <f aca="false">IF($L25="","",INDEX(DATABASE!$C$4:$C$2003,$L25)&amp;"")</f>
        <v/>
      </c>
      <c r="D25" s="37" t="str">
        <f aca="false">IF($L25="","",INDEX(DATABASE!$G$4:$G$2003,$L25)&amp;"")</f>
        <v/>
      </c>
      <c r="E25" s="37" t="str">
        <f aca="false">IF($L25="","",INDEX(DATABASE!$H$4:$H$2003,$L25)&amp;"")</f>
        <v/>
      </c>
      <c r="F25" s="91" t="str">
        <f aca="false">IF($L25="","",INDEX(DATABASE!$I$4:$I$2003,$L25)&amp;"")</f>
        <v/>
      </c>
      <c r="G25" s="92" t="str">
        <f aca="false">IF($L25="","",$A25&amp;".")</f>
        <v/>
      </c>
      <c r="I25" s="32" t="s">
        <v>144</v>
      </c>
      <c r="L25" s="52" t="str">
        <f aca="false">IFERROR(MATCH((($J$15-1)*25+12),DATABASE!$X$4:$X$2003,0),"")</f>
        <v/>
      </c>
    </row>
    <row r="26" customFormat="false" ht="21.75" hidden="false" customHeight="true" outlineLevel="0" collapsed="false">
      <c r="A26" s="39" t="str">
        <f aca="false">IF($L26="","",(($J$15-1)*25+13))</f>
        <v/>
      </c>
      <c r="B26" s="37" t="str">
        <f aca="false">IF($L26="","",INDEX(DATABASE!$B$4:$B$2003,$L26)&amp;"")</f>
        <v/>
      </c>
      <c r="C26" s="91" t="str">
        <f aca="false">IF($L26="","",INDEX(DATABASE!$C$4:$C$2003,$L26)&amp;"")</f>
        <v/>
      </c>
      <c r="D26" s="37" t="str">
        <f aca="false">IF($L26="","",INDEX(DATABASE!$G$4:$G$2003,$L26)&amp;"")</f>
        <v/>
      </c>
      <c r="E26" s="37" t="str">
        <f aca="false">IF($L26="","",INDEX(DATABASE!$H$4:$H$2003,$L26)&amp;"")</f>
        <v/>
      </c>
      <c r="F26" s="91" t="str">
        <f aca="false">IF($L26="","",INDEX(DATABASE!$I$4:$I$2003,$L26)&amp;"")</f>
        <v/>
      </c>
      <c r="G26" s="92" t="str">
        <f aca="false">IF($L26="","",$A26&amp;".")</f>
        <v/>
      </c>
      <c r="I26" s="32" t="s">
        <v>145</v>
      </c>
      <c r="L26" s="52" t="str">
        <f aca="false">IFERROR(MATCH((($J$15-1)*25+13),DATABASE!$X$4:$X$2003,0),"")</f>
        <v/>
      </c>
    </row>
    <row r="27" customFormat="false" ht="21.75" hidden="false" customHeight="true" outlineLevel="0" collapsed="false">
      <c r="A27" s="39" t="str">
        <f aca="false">IF($L27="","",(($J$15-1)*25+14))</f>
        <v/>
      </c>
      <c r="B27" s="37" t="str">
        <f aca="false">IF($L27="","",INDEX(DATABASE!$B$4:$B$2003,$L27)&amp;"")</f>
        <v/>
      </c>
      <c r="C27" s="91" t="str">
        <f aca="false">IF($L27="","",INDEX(DATABASE!$C$4:$C$2003,$L27)&amp;"")</f>
        <v/>
      </c>
      <c r="D27" s="37" t="str">
        <f aca="false">IF($L27="","",INDEX(DATABASE!$G$4:$G$2003,$L27)&amp;"")</f>
        <v/>
      </c>
      <c r="E27" s="37" t="str">
        <f aca="false">IF($L27="","",INDEX(DATABASE!$H$4:$H$2003,$L27)&amp;"")</f>
        <v/>
      </c>
      <c r="F27" s="91" t="str">
        <f aca="false">IF($L27="","",INDEX(DATABASE!$I$4:$I$2003,$L27)&amp;"")</f>
        <v/>
      </c>
      <c r="G27" s="92" t="str">
        <f aca="false">IF($L27="","",$A27&amp;".")</f>
        <v/>
      </c>
      <c r="L27" s="52" t="str">
        <f aca="false">IFERROR(MATCH((($J$15-1)*25+14),DATABASE!$X$4:$X$2003,0),"")</f>
        <v/>
      </c>
    </row>
    <row r="28" customFormat="false" ht="21.75" hidden="false" customHeight="true" outlineLevel="0" collapsed="false">
      <c r="A28" s="39" t="str">
        <f aca="false">IF($L28="","",(($J$15-1)*25+15))</f>
        <v/>
      </c>
      <c r="B28" s="37" t="str">
        <f aca="false">IF($L28="","",INDEX(DATABASE!$B$4:$B$2003,$L28)&amp;"")</f>
        <v/>
      </c>
      <c r="C28" s="91" t="str">
        <f aca="false">IF($L28="","",INDEX(DATABASE!$C$4:$C$2003,$L28)&amp;"")</f>
        <v/>
      </c>
      <c r="D28" s="37" t="str">
        <f aca="false">IF($L28="","",INDEX(DATABASE!$G$4:$G$2003,$L28)&amp;"")</f>
        <v/>
      </c>
      <c r="E28" s="37" t="str">
        <f aca="false">IF($L28="","",INDEX(DATABASE!$H$4:$H$2003,$L28)&amp;"")</f>
        <v/>
      </c>
      <c r="F28" s="91" t="str">
        <f aca="false">IF($L28="","",INDEX(DATABASE!$I$4:$I$2003,$L28)&amp;"")</f>
        <v/>
      </c>
      <c r="G28" s="92" t="str">
        <f aca="false">IF($L28="","",$A28&amp;".")</f>
        <v/>
      </c>
      <c r="L28" s="52" t="str">
        <f aca="false">IFERROR(MATCH((($J$15-1)*25+15),DATABASE!$X$4:$X$2003,0),"")</f>
        <v/>
      </c>
    </row>
    <row r="29" customFormat="false" ht="21.75" hidden="false" customHeight="true" outlineLevel="0" collapsed="false">
      <c r="A29" s="39" t="str">
        <f aca="false">IF($L29="","",(($J$15-1)*25+16))</f>
        <v/>
      </c>
      <c r="B29" s="37" t="str">
        <f aca="false">IF($L29="","",INDEX(DATABASE!$B$4:$B$2003,$L29)&amp;"")</f>
        <v/>
      </c>
      <c r="C29" s="91" t="str">
        <f aca="false">IF($L29="","",INDEX(DATABASE!$C$4:$C$2003,$L29)&amp;"")</f>
        <v/>
      </c>
      <c r="D29" s="37" t="str">
        <f aca="false">IF($L29="","",INDEX(DATABASE!$G$4:$G$2003,$L29)&amp;"")</f>
        <v/>
      </c>
      <c r="E29" s="37" t="str">
        <f aca="false">IF($L29="","",INDEX(DATABASE!$H$4:$H$2003,$L29)&amp;"")</f>
        <v/>
      </c>
      <c r="F29" s="91" t="str">
        <f aca="false">IF($L29="","",INDEX(DATABASE!$I$4:$I$2003,$L29)&amp;"")</f>
        <v/>
      </c>
      <c r="G29" s="92" t="str">
        <f aca="false">IF($L29="","",$A29&amp;".")</f>
        <v/>
      </c>
      <c r="L29" s="52" t="str">
        <f aca="false">IFERROR(MATCH((($J$15-1)*25+16),DATABASE!$X$4:$X$2003,0),"")</f>
        <v/>
      </c>
    </row>
    <row r="30" customFormat="false" ht="21.75" hidden="false" customHeight="true" outlineLevel="0" collapsed="false">
      <c r="A30" s="39" t="str">
        <f aca="false">IF($L30="","",(($J$15-1)*25+17))</f>
        <v/>
      </c>
      <c r="B30" s="37" t="str">
        <f aca="false">IF($L30="","",INDEX(DATABASE!$B$4:$B$2003,$L30)&amp;"")</f>
        <v/>
      </c>
      <c r="C30" s="91" t="str">
        <f aca="false">IF($L30="","",INDEX(DATABASE!$C$4:$C$2003,$L30)&amp;"")</f>
        <v/>
      </c>
      <c r="D30" s="37" t="str">
        <f aca="false">IF($L30="","",INDEX(DATABASE!$G$4:$G$2003,$L30)&amp;"")</f>
        <v/>
      </c>
      <c r="E30" s="37" t="str">
        <f aca="false">IF($L30="","",INDEX(DATABASE!$H$4:$H$2003,$L30)&amp;"")</f>
        <v/>
      </c>
      <c r="F30" s="91" t="str">
        <f aca="false">IF($L30="","",INDEX(DATABASE!$I$4:$I$2003,$L30)&amp;"")</f>
        <v/>
      </c>
      <c r="G30" s="92" t="str">
        <f aca="false">IF($L30="","",$A30&amp;".")</f>
        <v/>
      </c>
      <c r="L30" s="52" t="str">
        <f aca="false">IFERROR(MATCH((($J$15-1)*25+17),DATABASE!$X$4:$X$2003,0),"")</f>
        <v/>
      </c>
    </row>
    <row r="31" customFormat="false" ht="21.75" hidden="false" customHeight="true" outlineLevel="0" collapsed="false">
      <c r="A31" s="39" t="str">
        <f aca="false">IF($L31="","",(($J$15-1)*25+18))</f>
        <v/>
      </c>
      <c r="B31" s="37" t="str">
        <f aca="false">IF($L31="","",INDEX(DATABASE!$B$4:$B$2003,$L31)&amp;"")</f>
        <v/>
      </c>
      <c r="C31" s="91" t="str">
        <f aca="false">IF($L31="","",INDEX(DATABASE!$C$4:$C$2003,$L31)&amp;"")</f>
        <v/>
      </c>
      <c r="D31" s="37" t="str">
        <f aca="false">IF($L31="","",INDEX(DATABASE!$G$4:$G$2003,$L31)&amp;"")</f>
        <v/>
      </c>
      <c r="E31" s="37" t="str">
        <f aca="false">IF($L31="","",INDEX(DATABASE!$H$4:$H$2003,$L31)&amp;"")</f>
        <v/>
      </c>
      <c r="F31" s="91" t="str">
        <f aca="false">IF($L31="","",INDEX(DATABASE!$I$4:$I$2003,$L31)&amp;"")</f>
        <v/>
      </c>
      <c r="G31" s="92" t="str">
        <f aca="false">IF($L31="","",$A31&amp;".")</f>
        <v/>
      </c>
      <c r="L31" s="52" t="str">
        <f aca="false">IFERROR(MATCH((($J$15-1)*25+18),DATABASE!$X$4:$X$2003,0),"")</f>
        <v/>
      </c>
    </row>
    <row r="32" customFormat="false" ht="21.75" hidden="false" customHeight="true" outlineLevel="0" collapsed="false">
      <c r="A32" s="39" t="str">
        <f aca="false">IF($L32="","",(($J$15-1)*25+19))</f>
        <v/>
      </c>
      <c r="B32" s="37" t="str">
        <f aca="false">IF($L32="","",INDEX(DATABASE!$B$4:$B$2003,$L32)&amp;"")</f>
        <v/>
      </c>
      <c r="C32" s="91" t="str">
        <f aca="false">IF($L32="","",INDEX(DATABASE!$C$4:$C$2003,$L32)&amp;"")</f>
        <v/>
      </c>
      <c r="D32" s="37" t="str">
        <f aca="false">IF($L32="","",INDEX(DATABASE!$G$4:$G$2003,$L32)&amp;"")</f>
        <v/>
      </c>
      <c r="E32" s="37" t="str">
        <f aca="false">IF($L32="","",INDEX(DATABASE!$H$4:$H$2003,$L32)&amp;"")</f>
        <v/>
      </c>
      <c r="F32" s="91" t="str">
        <f aca="false">IF($L32="","",INDEX(DATABASE!$I$4:$I$2003,$L32)&amp;"")</f>
        <v/>
      </c>
      <c r="G32" s="92" t="str">
        <f aca="false">IF($L32="","",$A32&amp;".")</f>
        <v/>
      </c>
      <c r="L32" s="52" t="str">
        <f aca="false">IFERROR(MATCH((($J$15-1)*25+19),DATABASE!$X$4:$X$2003,0),"")</f>
        <v/>
      </c>
    </row>
    <row r="33" customFormat="false" ht="21.75" hidden="false" customHeight="true" outlineLevel="0" collapsed="false">
      <c r="A33" s="39" t="str">
        <f aca="false">IF($L33="","",(($J$15-1)*25+20))</f>
        <v/>
      </c>
      <c r="B33" s="37" t="str">
        <f aca="false">IF($L33="","",INDEX(DATABASE!$B$4:$B$2003,$L33)&amp;"")</f>
        <v/>
      </c>
      <c r="C33" s="91" t="str">
        <f aca="false">IF($L33="","",INDEX(DATABASE!$C$4:$C$2003,$L33)&amp;"")</f>
        <v/>
      </c>
      <c r="D33" s="37" t="str">
        <f aca="false">IF($L33="","",INDEX(DATABASE!$G$4:$G$2003,$L33)&amp;"")</f>
        <v/>
      </c>
      <c r="E33" s="37" t="str">
        <f aca="false">IF($L33="","",INDEX(DATABASE!$H$4:$H$2003,$L33)&amp;"")</f>
        <v/>
      </c>
      <c r="F33" s="91" t="str">
        <f aca="false">IF($L33="","",INDEX(DATABASE!$I$4:$I$2003,$L33)&amp;"")</f>
        <v/>
      </c>
      <c r="G33" s="92" t="str">
        <f aca="false">IF($L33="","",$A33&amp;".")</f>
        <v/>
      </c>
      <c r="L33" s="52" t="str">
        <f aca="false">IFERROR(MATCH((($J$15-1)*25+20),DATABASE!$X$4:$X$2003,0),"")</f>
        <v/>
      </c>
    </row>
    <row r="34" customFormat="false" ht="21.75" hidden="false" customHeight="true" outlineLevel="0" collapsed="false">
      <c r="A34" s="39" t="str">
        <f aca="false">IF($L34="","",(($J$15-1)*25+21))</f>
        <v/>
      </c>
      <c r="B34" s="37" t="str">
        <f aca="false">IF($L34="","",INDEX(DATABASE!$B$4:$B$2003,$L34)&amp;"")</f>
        <v/>
      </c>
      <c r="C34" s="91" t="str">
        <f aca="false">IF($L34="","",INDEX(DATABASE!$C$4:$C$2003,$L34)&amp;"")</f>
        <v/>
      </c>
      <c r="D34" s="37" t="str">
        <f aca="false">IF($L34="","",INDEX(DATABASE!$G$4:$G$2003,$L34)&amp;"")</f>
        <v/>
      </c>
      <c r="E34" s="37" t="str">
        <f aca="false">IF($L34="","",INDEX(DATABASE!$H$4:$H$2003,$L34)&amp;"")</f>
        <v/>
      </c>
      <c r="F34" s="91" t="str">
        <f aca="false">IF($L34="","",INDEX(DATABASE!$I$4:$I$2003,$L34)&amp;"")</f>
        <v/>
      </c>
      <c r="G34" s="92" t="str">
        <f aca="false">IF($L34="","",$A34&amp;".")</f>
        <v/>
      </c>
      <c r="L34" s="52" t="str">
        <f aca="false">IFERROR(MATCH((($J$15-1)*25+21),DATABASE!$X$4:$X$2003,0),"")</f>
        <v/>
      </c>
    </row>
    <row r="35" customFormat="false" ht="21.75" hidden="false" customHeight="true" outlineLevel="0" collapsed="false">
      <c r="A35" s="39" t="str">
        <f aca="false">IF($L35="","",(($J$15-1)*25+22))</f>
        <v/>
      </c>
      <c r="B35" s="37" t="str">
        <f aca="false">IF($L35="","",INDEX(DATABASE!$B$4:$B$2003,$L35)&amp;"")</f>
        <v/>
      </c>
      <c r="C35" s="91" t="str">
        <f aca="false">IF($L35="","",INDEX(DATABASE!$C$4:$C$2003,$L35)&amp;"")</f>
        <v/>
      </c>
      <c r="D35" s="37" t="str">
        <f aca="false">IF($L35="","",INDEX(DATABASE!$G$4:$G$2003,$L35)&amp;"")</f>
        <v/>
      </c>
      <c r="E35" s="37" t="str">
        <f aca="false">IF($L35="","",INDEX(DATABASE!$H$4:$H$2003,$L35)&amp;"")</f>
        <v/>
      </c>
      <c r="F35" s="91" t="str">
        <f aca="false">IF($L35="","",INDEX(DATABASE!$I$4:$I$2003,$L35)&amp;"")</f>
        <v/>
      </c>
      <c r="G35" s="92" t="str">
        <f aca="false">IF($L35="","",$A35&amp;".")</f>
        <v/>
      </c>
      <c r="L35" s="52" t="str">
        <f aca="false">IFERROR(MATCH((($J$15-1)*25+22),DATABASE!$X$4:$X$2003,0),"")</f>
        <v/>
      </c>
    </row>
    <row r="36" customFormat="false" ht="21.75" hidden="false" customHeight="true" outlineLevel="0" collapsed="false">
      <c r="A36" s="39" t="str">
        <f aca="false">IF($L36="","",(($J$15-1)*25+23))</f>
        <v/>
      </c>
      <c r="B36" s="37" t="str">
        <f aca="false">IF($L36="","",INDEX(DATABASE!$B$4:$B$2003,$L36)&amp;"")</f>
        <v/>
      </c>
      <c r="C36" s="91" t="str">
        <f aca="false">IF($L36="","",INDEX(DATABASE!$C$4:$C$2003,$L36)&amp;"")</f>
        <v/>
      </c>
      <c r="D36" s="37" t="str">
        <f aca="false">IF($L36="","",INDEX(DATABASE!$G$4:$G$2003,$L36)&amp;"")</f>
        <v/>
      </c>
      <c r="E36" s="37" t="str">
        <f aca="false">IF($L36="","",INDEX(DATABASE!$H$4:$H$2003,$L36)&amp;"")</f>
        <v/>
      </c>
      <c r="F36" s="91" t="str">
        <f aca="false">IF($L36="","",INDEX(DATABASE!$I$4:$I$2003,$L36)&amp;"")</f>
        <v/>
      </c>
      <c r="G36" s="92" t="str">
        <f aca="false">IF($L36="","",$A36&amp;".")</f>
        <v/>
      </c>
      <c r="L36" s="52" t="str">
        <f aca="false">IFERROR(MATCH((($J$15-1)*25+23),DATABASE!$X$4:$X$2003,0),"")</f>
        <v/>
      </c>
    </row>
    <row r="37" customFormat="false" ht="21.75" hidden="false" customHeight="true" outlineLevel="0" collapsed="false">
      <c r="A37" s="39" t="str">
        <f aca="false">IF($L37="","",(($J$15-1)*25+24))</f>
        <v/>
      </c>
      <c r="B37" s="37" t="str">
        <f aca="false">IF($L37="","",INDEX(DATABASE!$B$4:$B$2003,$L37)&amp;"")</f>
        <v/>
      </c>
      <c r="C37" s="91" t="str">
        <f aca="false">IF($L37="","",INDEX(DATABASE!$C$4:$C$2003,$L37)&amp;"")</f>
        <v/>
      </c>
      <c r="D37" s="37" t="str">
        <f aca="false">IF($L37="","",INDEX(DATABASE!$G$4:$G$2003,$L37)&amp;"")</f>
        <v/>
      </c>
      <c r="E37" s="37" t="str">
        <f aca="false">IF($L37="","",INDEX(DATABASE!$H$4:$H$2003,$L37)&amp;"")</f>
        <v/>
      </c>
      <c r="F37" s="91" t="str">
        <f aca="false">IF($L37="","",INDEX(DATABASE!$I$4:$I$2003,$L37)&amp;"")</f>
        <v/>
      </c>
      <c r="G37" s="92" t="str">
        <f aca="false">IF($L37="","",$A37&amp;".")</f>
        <v/>
      </c>
      <c r="L37" s="52" t="str">
        <f aca="false">IFERROR(MATCH((($J$15-1)*25+24),DATABASE!$X$4:$X$2003,0),"")</f>
        <v/>
      </c>
    </row>
    <row r="38" customFormat="false" ht="21.75" hidden="false" customHeight="true" outlineLevel="0" collapsed="false">
      <c r="A38" s="39" t="str">
        <f aca="false">IF($L38="","",(($J$15-1)*25+25))</f>
        <v/>
      </c>
      <c r="B38" s="37" t="str">
        <f aca="false">IF($L38="","",INDEX(DATABASE!$B$4:$B$2003,$L38)&amp;"")</f>
        <v/>
      </c>
      <c r="C38" s="91" t="str">
        <f aca="false">IF($L38="","",INDEX(DATABASE!$C$4:$C$2003,$L38)&amp;"")</f>
        <v/>
      </c>
      <c r="D38" s="37" t="str">
        <f aca="false">IF($L38="","",INDEX(DATABASE!$G$4:$G$2003,$L38)&amp;"")</f>
        <v/>
      </c>
      <c r="E38" s="37" t="str">
        <f aca="false">IF($L38="","",INDEX(DATABASE!$H$4:$H$2003,$L38)&amp;"")</f>
        <v/>
      </c>
      <c r="F38" s="91" t="str">
        <f aca="false">IF($L38="","",INDEX(DATABASE!$I$4:$I$2003,$L38)&amp;"")</f>
        <v/>
      </c>
      <c r="G38" s="92" t="str">
        <f aca="false">IF($L38="","",$A38&amp;".")</f>
        <v/>
      </c>
      <c r="L38" s="52" t="str">
        <f aca="false">IFERROR(MATCH((($J$15-1)*25+25),DATABASE!$X$4:$X$2003,0),"")</f>
        <v/>
      </c>
    </row>
    <row r="40" customFormat="false" ht="15" hidden="false" customHeight="false" outlineLevel="0" collapsed="false">
      <c r="E40" s="82" t="str">
        <f aca="false">id_desa&amp;", ......................... "&amp;id_tahun</f>
        <v>SUKAKARYA, ......................... 2026</v>
      </c>
      <c r="F40" s="82"/>
      <c r="G40" s="82"/>
    </row>
    <row r="41" customFormat="false" ht="15" hidden="false" customHeight="false" outlineLevel="0" collapsed="false">
      <c r="E41" s="82" t="str">
        <f aca="false">id_jabatan_ttd</f>
        <v>Ketua Team</v>
      </c>
      <c r="F41" s="82"/>
      <c r="G41" s="82"/>
    </row>
    <row r="45" customFormat="false" ht="15" hidden="false" customHeight="false" outlineLevel="0" collapsed="false">
      <c r="E45" s="95" t="str">
        <f aca="false">id_ketua</f>
        <v>IDRUS KAMSENO</v>
      </c>
      <c r="F45" s="95"/>
      <c r="G45" s="95"/>
    </row>
  </sheetData>
  <sheetProtection sheet="true" formatCells="false" formatColumns="false" formatRows="false" sort="false" autoFilter="false"/>
  <mergeCells count="11">
    <mergeCell ref="A2:G2"/>
    <mergeCell ref="A3:G3"/>
    <mergeCell ref="A4:G4"/>
    <mergeCell ref="A5:G5"/>
    <mergeCell ref="A8:G8"/>
    <mergeCell ref="I9:J9"/>
    <mergeCell ref="D10:G10"/>
    <mergeCell ref="D11:G11"/>
    <mergeCell ref="E40:G40"/>
    <mergeCell ref="E41:G41"/>
    <mergeCell ref="E45:G45"/>
  </mergeCells>
  <dataValidations count="6">
    <dataValidation allowBlank="true" errorStyle="stop" operator="between" showDropDown="false" showErrorMessage="false" showInputMessage="false" sqref="J10" type="list">
      <formula1>daftar_kadus</formula1>
      <formula2>0</formula2>
    </dataValidation>
    <dataValidation allowBlank="true" errorStyle="stop" operator="between" showDropDown="false" showErrorMessage="false" showInputMessage="false" sqref="J11" type="list">
      <formula1>daftar_rt</formula1>
      <formula2>0</formula2>
    </dataValidation>
    <dataValidation allowBlank="true" errorStyle="stop" operator="between" showDropDown="false" showErrorMessage="false" showInputMessage="false" sqref="J12" type="list">
      <formula1>daftar_tps</formula1>
      <formula2>0</formula2>
    </dataValidation>
    <dataValidation allowBlank="true" errorStyle="stop" operator="between" showDropDown="false" showErrorMessage="false" showInputMessage="false" sqref="J13" type="list">
      <formula1>daftar_jabatan</formula1>
      <formula2>0</formula2>
    </dataValidation>
    <dataValidation allowBlank="true" errorStyle="stop" operator="between" showDropDown="false" showErrorMessage="false" showInputMessage="false" sqref="J14" type="list">
      <formula1>daftar_status</formula1>
      <formula2>0</formula2>
    </dataValidation>
    <dataValidation allowBlank="false" error="Isi angka 1 atau lebih." errorStyle="warning" errorTitle="Halaman" operator="greaterThanOrEqual" showDropDown="false" showErrorMessage="true" showInputMessage="false" sqref="J15" type="whole">
      <formula1>1</formula1>
      <formula2>0</formula2>
    </dataValidation>
  </dataValidations>
  <hyperlinks>
    <hyperlink ref="I1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30" t="s">
        <v>146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34</v>
      </c>
      <c r="C2" s="32" t="s">
        <v>147</v>
      </c>
    </row>
    <row r="4" customFormat="false" ht="19.5" hidden="false" customHeight="true" outlineLevel="0" collapsed="false">
      <c r="B4" s="96" t="str">
        <f aca="false">id_team&amp;" — "&amp;id_calon</f>
        <v>TEAM PEMENANGAN — JONI FAHAMSYAH</v>
      </c>
      <c r="C4" s="96"/>
      <c r="D4" s="96"/>
      <c r="F4" s="96" t="str">
        <f aca="false">id_team&amp;" — "&amp;id_calon</f>
        <v>TEAM PEMENANGAN — JONI FAHAMSYAH</v>
      </c>
      <c r="G4" s="96"/>
      <c r="H4" s="96"/>
      <c r="J4" s="86" t="s">
        <v>148</v>
      </c>
      <c r="K4" s="86"/>
    </row>
    <row r="5" customFormat="false" ht="16.5" hidden="false" customHeight="true" outlineLevel="0" collapsed="false">
      <c r="B5" s="97"/>
      <c r="C5" s="98" t="s">
        <v>149</v>
      </c>
      <c r="D5" s="99" t="str">
        <f aca="false">IFERROR(INDEX(DATABASE!$B$4:$B$2003,MATCH(($K$5+0),DATABASE!$Z$4:$Z$2003,0))&amp;"","")</f>
        <v/>
      </c>
      <c r="F5" s="97"/>
      <c r="G5" s="98" t="s">
        <v>149</v>
      </c>
      <c r="H5" s="99" t="str">
        <f aca="false">IFERROR(INDEX(DATABASE!$B$4:$B$2003,MATCH(($K$5+1),DATABASE!$Z$4:$Z$2003,0))&amp;"","")</f>
        <v/>
      </c>
      <c r="J5" s="42" t="s">
        <v>150</v>
      </c>
      <c r="K5" s="93" t="n">
        <v>1</v>
      </c>
    </row>
    <row r="6" customFormat="false" ht="16.5" hidden="false" customHeight="true" outlineLevel="0" collapsed="false">
      <c r="B6" s="97"/>
      <c r="C6" s="98" t="s">
        <v>76</v>
      </c>
      <c r="D6" s="100" t="str">
        <f aca="false">IFERROR(INDEX(DATABASE!$C$4:$C$2003,MATCH(($K$5+0),DATABASE!$Z$4:$Z$2003,0))&amp;"","")</f>
        <v/>
      </c>
      <c r="F6" s="97"/>
      <c r="G6" s="98" t="s">
        <v>76</v>
      </c>
      <c r="H6" s="100" t="str">
        <f aca="false">IFERROR(INDEX(DATABASE!$C$4:$C$2003,MATCH(($K$5+1),DATABASE!$Z$4:$Z$2003,0))&amp;"","")</f>
        <v/>
      </c>
      <c r="J6" s="42" t="s">
        <v>130</v>
      </c>
      <c r="K6" s="66"/>
    </row>
    <row r="7" customFormat="false" ht="16.5" hidden="false" customHeight="true" outlineLevel="0" collapsed="false">
      <c r="B7" s="97"/>
      <c r="C7" s="98" t="s">
        <v>43</v>
      </c>
      <c r="D7" s="101" t="str">
        <f aca="false">IFERROR(INDEX(DATABASE!$G$4:$G$2003,MATCH(($K$5+0),DATABASE!$Z$4:$Z$2003,0))&amp;"","")</f>
        <v/>
      </c>
      <c r="F7" s="97"/>
      <c r="G7" s="98" t="s">
        <v>43</v>
      </c>
      <c r="H7" s="101" t="str">
        <f aca="false">IFERROR(INDEX(DATABASE!$G$4:$G$2003,MATCH(($K$5+1),DATABASE!$Z$4:$Z$2003,0))&amp;"","")</f>
        <v/>
      </c>
      <c r="J7" s="42" t="s">
        <v>131</v>
      </c>
      <c r="K7" s="66"/>
    </row>
    <row r="8" customFormat="false" ht="16.5" hidden="false" customHeight="true" outlineLevel="0" collapsed="false">
      <c r="B8" s="97"/>
      <c r="C8" s="98" t="s">
        <v>44</v>
      </c>
      <c r="D8" s="101" t="str">
        <f aca="false">IFERROR(INDEX(DATABASE!$H$4:$H$2003,MATCH(($K$5+0),DATABASE!$Z$4:$Z$2003,0))&amp;"","")</f>
        <v/>
      </c>
      <c r="F8" s="97"/>
      <c r="G8" s="98" t="s">
        <v>44</v>
      </c>
      <c r="H8" s="101" t="str">
        <f aca="false">IFERROR(INDEX(DATABASE!$H$4:$H$2003,MATCH(($K$5+1),DATABASE!$Z$4:$Z$2003,0))&amp;"","")</f>
        <v/>
      </c>
      <c r="J8" s="42" t="s">
        <v>132</v>
      </c>
      <c r="K8" s="66"/>
    </row>
    <row r="9" customFormat="false" ht="16.5" hidden="false" customHeight="true" outlineLevel="0" collapsed="false">
      <c r="B9" s="97"/>
      <c r="C9" s="98" t="s">
        <v>45</v>
      </c>
      <c r="D9" s="100" t="str">
        <f aca="false">IFERROR(INDEX(DATABASE!$I$4:$I$2003,MATCH(($K$5+0),DATABASE!$Z$4:$Z$2003,0))&amp;"","")</f>
        <v/>
      </c>
      <c r="F9" s="97"/>
      <c r="G9" s="98" t="s">
        <v>45</v>
      </c>
      <c r="H9" s="100" t="str">
        <f aca="false">IFERROR(INDEX(DATABASE!$I$4:$I$2003,MATCH(($K$5+1),DATABASE!$Z$4:$Z$2003,0))&amp;"","")</f>
        <v/>
      </c>
      <c r="J9" s="42" t="s">
        <v>151</v>
      </c>
      <c r="K9" s="67" t="n">
        <f aca="false">COUNT(DATABASE!$Z$4:$Z$2003)</f>
        <v>0</v>
      </c>
    </row>
    <row r="10" customFormat="false" ht="15" hidden="false" customHeight="false" outlineLevel="0" collapsed="false">
      <c r="B10" s="102" t="str">
        <f aca="false">"No. "&amp;($K$5+0)</f>
        <v>No. 1</v>
      </c>
      <c r="C10" s="102"/>
      <c r="D10" s="103" t="str">
        <f aca="false">id_periode</f>
        <v>PERIODE 2026 S/D 2034</v>
      </c>
      <c r="F10" s="102" t="str">
        <f aca="false">"No. "&amp;($K$5+1)</f>
        <v>No. 2</v>
      </c>
      <c r="G10" s="102"/>
      <c r="H10" s="103" t="str">
        <f aca="false">id_periode</f>
        <v>PERIODE 2026 S/D 2034</v>
      </c>
      <c r="J10" s="42" t="s">
        <v>152</v>
      </c>
      <c r="K10" s="104" t="str">
        <f aca="false">IF($K$5+8&gt;$K$9,"— sudah halaman terakhir —","isi "&amp;($K$5+8)&amp;" untuk 8 kartu berikutnya")</f>
        <v>— sudah halaman terakhir —</v>
      </c>
    </row>
    <row r="12" customFormat="false" ht="19.5" hidden="false" customHeight="true" outlineLevel="0" collapsed="false">
      <c r="B12" s="96" t="str">
        <f aca="false">id_team&amp;" — "&amp;id_calon</f>
        <v>TEAM PEMENANGAN — JONI FAHAMSYAH</v>
      </c>
      <c r="C12" s="96"/>
      <c r="D12" s="96"/>
      <c r="F12" s="96" t="str">
        <f aca="false">id_team&amp;" — "&amp;id_calon</f>
        <v>TEAM PEMENANGAN — JONI FAHAMSYAH</v>
      </c>
      <c r="G12" s="96"/>
      <c r="H12" s="96"/>
      <c r="J12" s="31" t="s">
        <v>34</v>
      </c>
    </row>
    <row r="13" customFormat="false" ht="16.5" hidden="false" customHeight="true" outlineLevel="0" collapsed="false">
      <c r="B13" s="97"/>
      <c r="C13" s="98" t="s">
        <v>149</v>
      </c>
      <c r="D13" s="99" t="str">
        <f aca="false">IFERROR(INDEX(DATABASE!$B$4:$B$2003,MATCH(($K$5+2),DATABASE!$Z$4:$Z$2003,0))&amp;"","")</f>
        <v/>
      </c>
      <c r="F13" s="97"/>
      <c r="G13" s="98" t="s">
        <v>149</v>
      </c>
      <c r="H13" s="99" t="str">
        <f aca="false">IFERROR(INDEX(DATABASE!$B$4:$B$2003,MATCH(($K$5+3),DATABASE!$Z$4:$Z$2003,0))&amp;"","")</f>
        <v/>
      </c>
      <c r="J13" s="32" t="s">
        <v>153</v>
      </c>
    </row>
    <row r="14" customFormat="false" ht="16.5" hidden="false" customHeight="true" outlineLevel="0" collapsed="false">
      <c r="B14" s="97"/>
      <c r="C14" s="98" t="s">
        <v>76</v>
      </c>
      <c r="D14" s="100" t="str">
        <f aca="false">IFERROR(INDEX(DATABASE!$C$4:$C$2003,MATCH(($K$5+2),DATABASE!$Z$4:$Z$2003,0))&amp;"","")</f>
        <v/>
      </c>
      <c r="F14" s="97"/>
      <c r="G14" s="98" t="s">
        <v>76</v>
      </c>
      <c r="H14" s="100" t="str">
        <f aca="false">IFERROR(INDEX(DATABASE!$C$4:$C$2003,MATCH(($K$5+3),DATABASE!$Z$4:$Z$2003,0))&amp;"","")</f>
        <v/>
      </c>
    </row>
    <row r="15" customFormat="false" ht="16.5" hidden="false" customHeight="true" outlineLevel="0" collapsed="false">
      <c r="B15" s="97"/>
      <c r="C15" s="98" t="s">
        <v>43</v>
      </c>
      <c r="D15" s="101" t="str">
        <f aca="false">IFERROR(INDEX(DATABASE!$G$4:$G$2003,MATCH(($K$5+2),DATABASE!$Z$4:$Z$2003,0))&amp;"","")</f>
        <v/>
      </c>
      <c r="F15" s="97"/>
      <c r="G15" s="98" t="s">
        <v>43</v>
      </c>
      <c r="H15" s="101" t="str">
        <f aca="false">IFERROR(INDEX(DATABASE!$G$4:$G$2003,MATCH(($K$5+3),DATABASE!$Z$4:$Z$2003,0))&amp;"","")</f>
        <v/>
      </c>
    </row>
    <row r="16" customFormat="false" ht="16.5" hidden="false" customHeight="true" outlineLevel="0" collapsed="false">
      <c r="B16" s="97"/>
      <c r="C16" s="98" t="s">
        <v>44</v>
      </c>
      <c r="D16" s="101" t="str">
        <f aca="false">IFERROR(INDEX(DATABASE!$H$4:$H$2003,MATCH(($K$5+2),DATABASE!$Z$4:$Z$2003,0))&amp;"","")</f>
        <v/>
      </c>
      <c r="F16" s="97"/>
      <c r="G16" s="98" t="s">
        <v>44</v>
      </c>
      <c r="H16" s="101" t="str">
        <f aca="false">IFERROR(INDEX(DATABASE!$H$4:$H$2003,MATCH(($K$5+3),DATABASE!$Z$4:$Z$2003,0))&amp;"","")</f>
        <v/>
      </c>
    </row>
    <row r="17" customFormat="false" ht="16.5" hidden="false" customHeight="true" outlineLevel="0" collapsed="false">
      <c r="B17" s="97"/>
      <c r="C17" s="98" t="s">
        <v>45</v>
      </c>
      <c r="D17" s="100" t="str">
        <f aca="false">IFERROR(INDEX(DATABASE!$I$4:$I$2003,MATCH(($K$5+2),DATABASE!$Z$4:$Z$2003,0))&amp;"","")</f>
        <v/>
      </c>
      <c r="F17" s="97"/>
      <c r="G17" s="98" t="s">
        <v>45</v>
      </c>
      <c r="H17" s="100" t="str">
        <f aca="false">IFERROR(INDEX(DATABASE!$I$4:$I$2003,MATCH(($K$5+3),DATABASE!$Z$4:$Z$2003,0))&amp;"","")</f>
        <v/>
      </c>
    </row>
    <row r="18" customFormat="false" ht="15" hidden="false" customHeight="false" outlineLevel="0" collapsed="false">
      <c r="B18" s="102" t="str">
        <f aca="false">"No. "&amp;($K$5+2)</f>
        <v>No. 3</v>
      </c>
      <c r="C18" s="102"/>
      <c r="D18" s="103" t="str">
        <f aca="false">id_periode</f>
        <v>PERIODE 2026 S/D 2034</v>
      </c>
      <c r="F18" s="102" t="str">
        <f aca="false">"No. "&amp;($K$5+3)</f>
        <v>No. 4</v>
      </c>
      <c r="G18" s="102"/>
      <c r="H18" s="103" t="str">
        <f aca="false">id_periode</f>
        <v>PERIODE 2026 S/D 2034</v>
      </c>
    </row>
    <row r="20" customFormat="false" ht="19.5" hidden="false" customHeight="true" outlineLevel="0" collapsed="false">
      <c r="B20" s="96" t="str">
        <f aca="false">id_team&amp;" — "&amp;id_calon</f>
        <v>TEAM PEMENANGAN — JONI FAHAMSYAH</v>
      </c>
      <c r="C20" s="96"/>
      <c r="D20" s="96"/>
      <c r="F20" s="96" t="str">
        <f aca="false">id_team&amp;" — "&amp;id_calon</f>
        <v>TEAM PEMENANGAN — JONI FAHAMSYAH</v>
      </c>
      <c r="G20" s="96"/>
      <c r="H20" s="96"/>
    </row>
    <row r="21" customFormat="false" ht="16.5" hidden="false" customHeight="true" outlineLevel="0" collapsed="false">
      <c r="B21" s="97"/>
      <c r="C21" s="98" t="s">
        <v>149</v>
      </c>
      <c r="D21" s="99" t="str">
        <f aca="false">IFERROR(INDEX(DATABASE!$B$4:$B$2003,MATCH(($K$5+4),DATABASE!$Z$4:$Z$2003,0))&amp;"","")</f>
        <v/>
      </c>
      <c r="F21" s="97"/>
      <c r="G21" s="98" t="s">
        <v>149</v>
      </c>
      <c r="H21" s="99" t="str">
        <f aca="false">IFERROR(INDEX(DATABASE!$B$4:$B$2003,MATCH(($K$5+5),DATABASE!$Z$4:$Z$2003,0))&amp;"","")</f>
        <v/>
      </c>
    </row>
    <row r="22" customFormat="false" ht="16.5" hidden="false" customHeight="true" outlineLevel="0" collapsed="false">
      <c r="B22" s="97"/>
      <c r="C22" s="98" t="s">
        <v>76</v>
      </c>
      <c r="D22" s="100" t="str">
        <f aca="false">IFERROR(INDEX(DATABASE!$C$4:$C$2003,MATCH(($K$5+4),DATABASE!$Z$4:$Z$2003,0))&amp;"","")</f>
        <v/>
      </c>
      <c r="F22" s="97"/>
      <c r="G22" s="98" t="s">
        <v>76</v>
      </c>
      <c r="H22" s="100" t="str">
        <f aca="false">IFERROR(INDEX(DATABASE!$C$4:$C$2003,MATCH(($K$5+5),DATABASE!$Z$4:$Z$2003,0))&amp;"","")</f>
        <v/>
      </c>
    </row>
    <row r="23" customFormat="false" ht="16.5" hidden="false" customHeight="true" outlineLevel="0" collapsed="false">
      <c r="B23" s="97"/>
      <c r="C23" s="98" t="s">
        <v>43</v>
      </c>
      <c r="D23" s="101" t="str">
        <f aca="false">IFERROR(INDEX(DATABASE!$G$4:$G$2003,MATCH(($K$5+4),DATABASE!$Z$4:$Z$2003,0))&amp;"","")</f>
        <v/>
      </c>
      <c r="F23" s="97"/>
      <c r="G23" s="98" t="s">
        <v>43</v>
      </c>
      <c r="H23" s="101" t="str">
        <f aca="false">IFERROR(INDEX(DATABASE!$G$4:$G$2003,MATCH(($K$5+5),DATABASE!$Z$4:$Z$2003,0))&amp;"","")</f>
        <v/>
      </c>
    </row>
    <row r="24" customFormat="false" ht="16.5" hidden="false" customHeight="true" outlineLevel="0" collapsed="false">
      <c r="B24" s="97"/>
      <c r="C24" s="98" t="s">
        <v>44</v>
      </c>
      <c r="D24" s="101" t="str">
        <f aca="false">IFERROR(INDEX(DATABASE!$H$4:$H$2003,MATCH(($K$5+4),DATABASE!$Z$4:$Z$2003,0))&amp;"","")</f>
        <v/>
      </c>
      <c r="F24" s="97"/>
      <c r="G24" s="98" t="s">
        <v>44</v>
      </c>
      <c r="H24" s="101" t="str">
        <f aca="false">IFERROR(INDEX(DATABASE!$H$4:$H$2003,MATCH(($K$5+5),DATABASE!$Z$4:$Z$2003,0))&amp;"","")</f>
        <v/>
      </c>
    </row>
    <row r="25" customFormat="false" ht="16.5" hidden="false" customHeight="true" outlineLevel="0" collapsed="false">
      <c r="B25" s="97"/>
      <c r="C25" s="98" t="s">
        <v>45</v>
      </c>
      <c r="D25" s="100" t="str">
        <f aca="false">IFERROR(INDEX(DATABASE!$I$4:$I$2003,MATCH(($K$5+4),DATABASE!$Z$4:$Z$2003,0))&amp;"","")</f>
        <v/>
      </c>
      <c r="F25" s="97"/>
      <c r="G25" s="98" t="s">
        <v>45</v>
      </c>
      <c r="H25" s="100" t="str">
        <f aca="false">IFERROR(INDEX(DATABASE!$I$4:$I$2003,MATCH(($K$5+5),DATABASE!$Z$4:$Z$2003,0))&amp;"","")</f>
        <v/>
      </c>
    </row>
    <row r="26" customFormat="false" ht="15" hidden="false" customHeight="false" outlineLevel="0" collapsed="false">
      <c r="B26" s="102" t="str">
        <f aca="false">"No. "&amp;($K$5+4)</f>
        <v>No. 5</v>
      </c>
      <c r="C26" s="102"/>
      <c r="D26" s="103" t="str">
        <f aca="false">id_periode</f>
        <v>PERIODE 2026 S/D 2034</v>
      </c>
      <c r="F26" s="102" t="str">
        <f aca="false">"No. "&amp;($K$5+5)</f>
        <v>No. 6</v>
      </c>
      <c r="G26" s="102"/>
      <c r="H26" s="103" t="str">
        <f aca="false">id_periode</f>
        <v>PERIODE 2026 S/D 2034</v>
      </c>
    </row>
    <row r="28" customFormat="false" ht="19.5" hidden="false" customHeight="true" outlineLevel="0" collapsed="false">
      <c r="B28" s="96" t="str">
        <f aca="false">id_team&amp;" — "&amp;id_calon</f>
        <v>TEAM PEMENANGAN — JONI FAHAMSYAH</v>
      </c>
      <c r="C28" s="96"/>
      <c r="D28" s="96"/>
      <c r="F28" s="96" t="str">
        <f aca="false">id_team&amp;" — "&amp;id_calon</f>
        <v>TEAM PEMENANGAN — JONI FAHAMSYAH</v>
      </c>
      <c r="G28" s="96"/>
      <c r="H28" s="96"/>
    </row>
    <row r="29" customFormat="false" ht="16.5" hidden="false" customHeight="true" outlineLevel="0" collapsed="false">
      <c r="B29" s="97"/>
      <c r="C29" s="98" t="s">
        <v>149</v>
      </c>
      <c r="D29" s="99" t="str">
        <f aca="false">IFERROR(INDEX(DATABASE!$B$4:$B$2003,MATCH(($K$5+6),DATABASE!$Z$4:$Z$2003,0))&amp;"","")</f>
        <v/>
      </c>
      <c r="F29" s="97"/>
      <c r="G29" s="98" t="s">
        <v>149</v>
      </c>
      <c r="H29" s="99" t="str">
        <f aca="false">IFERROR(INDEX(DATABASE!$B$4:$B$2003,MATCH(($K$5+7),DATABASE!$Z$4:$Z$2003,0))&amp;"","")</f>
        <v/>
      </c>
    </row>
    <row r="30" customFormat="false" ht="16.5" hidden="false" customHeight="true" outlineLevel="0" collapsed="false">
      <c r="B30" s="97"/>
      <c r="C30" s="98" t="s">
        <v>76</v>
      </c>
      <c r="D30" s="100" t="str">
        <f aca="false">IFERROR(INDEX(DATABASE!$C$4:$C$2003,MATCH(($K$5+6),DATABASE!$Z$4:$Z$2003,0))&amp;"","")</f>
        <v/>
      </c>
      <c r="F30" s="97"/>
      <c r="G30" s="98" t="s">
        <v>76</v>
      </c>
      <c r="H30" s="100" t="str">
        <f aca="false">IFERROR(INDEX(DATABASE!$C$4:$C$2003,MATCH(($K$5+7),DATABASE!$Z$4:$Z$2003,0))&amp;"","")</f>
        <v/>
      </c>
    </row>
    <row r="31" customFormat="false" ht="16.5" hidden="false" customHeight="true" outlineLevel="0" collapsed="false">
      <c r="B31" s="97"/>
      <c r="C31" s="98" t="s">
        <v>43</v>
      </c>
      <c r="D31" s="101" t="str">
        <f aca="false">IFERROR(INDEX(DATABASE!$G$4:$G$2003,MATCH(($K$5+6),DATABASE!$Z$4:$Z$2003,0))&amp;"","")</f>
        <v/>
      </c>
      <c r="F31" s="97"/>
      <c r="G31" s="98" t="s">
        <v>43</v>
      </c>
      <c r="H31" s="101" t="str">
        <f aca="false">IFERROR(INDEX(DATABASE!$G$4:$G$2003,MATCH(($K$5+7),DATABASE!$Z$4:$Z$2003,0))&amp;"","")</f>
        <v/>
      </c>
    </row>
    <row r="32" customFormat="false" ht="16.5" hidden="false" customHeight="true" outlineLevel="0" collapsed="false">
      <c r="B32" s="97"/>
      <c r="C32" s="98" t="s">
        <v>44</v>
      </c>
      <c r="D32" s="101" t="str">
        <f aca="false">IFERROR(INDEX(DATABASE!$H$4:$H$2003,MATCH(($K$5+6),DATABASE!$Z$4:$Z$2003,0))&amp;"","")</f>
        <v/>
      </c>
      <c r="F32" s="97"/>
      <c r="G32" s="98" t="s">
        <v>44</v>
      </c>
      <c r="H32" s="101" t="str">
        <f aca="false">IFERROR(INDEX(DATABASE!$H$4:$H$2003,MATCH(($K$5+7),DATABASE!$Z$4:$Z$2003,0))&amp;"","")</f>
        <v/>
      </c>
    </row>
    <row r="33" customFormat="false" ht="16.5" hidden="false" customHeight="true" outlineLevel="0" collapsed="false">
      <c r="B33" s="97"/>
      <c r="C33" s="98" t="s">
        <v>45</v>
      </c>
      <c r="D33" s="100" t="str">
        <f aca="false">IFERROR(INDEX(DATABASE!$I$4:$I$2003,MATCH(($K$5+6),DATABASE!$Z$4:$Z$2003,0))&amp;"","")</f>
        <v/>
      </c>
      <c r="F33" s="97"/>
      <c r="G33" s="98" t="s">
        <v>45</v>
      </c>
      <c r="H33" s="100" t="str">
        <f aca="false">IFERROR(INDEX(DATABASE!$I$4:$I$2003,MATCH(($K$5+7),DATABASE!$Z$4:$Z$2003,0))&amp;"","")</f>
        <v/>
      </c>
    </row>
    <row r="34" customFormat="false" ht="15" hidden="false" customHeight="false" outlineLevel="0" collapsed="false">
      <c r="B34" s="102" t="str">
        <f aca="false">"No. "&amp;($K$5+6)</f>
        <v>No. 7</v>
      </c>
      <c r="C34" s="102"/>
      <c r="D34" s="103" t="str">
        <f aca="false">id_periode</f>
        <v>PERIODE 2026 S/D 2034</v>
      </c>
      <c r="F34" s="102" t="str">
        <f aca="false">"No. "&amp;($K$5+7)</f>
        <v>No. 8</v>
      </c>
      <c r="G34" s="102"/>
      <c r="H34" s="103" t="str">
        <f aca="false">id_periode</f>
        <v>PERIODE 2026 S/D 2034</v>
      </c>
    </row>
    <row r="36" customFormat="false" ht="15" hidden="false" customHeight="false" outlineLevel="0" collapsed="false">
      <c r="B36" s="28" t="s">
        <v>154</v>
      </c>
      <c r="C36" s="28"/>
      <c r="D36" s="28"/>
      <c r="E36" s="28"/>
      <c r="F36" s="28"/>
      <c r="G36" s="28"/>
      <c r="H36" s="28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4">
    <dataValidation allowBlank="true" errorStyle="stop" operator="between" showDropDown="false" showErrorMessage="false" showInputMessage="false" sqref="K6" type="list">
      <formula1>daftar_kadus</formula1>
      <formula2>0</formula2>
    </dataValidation>
    <dataValidation allowBlank="true" errorStyle="stop" operator="between" showDropDown="false" showErrorMessage="false" showInputMessage="false" sqref="K7" type="list">
      <formula1>daftar_rt</formula1>
      <formula2>0</formula2>
    </dataValidation>
    <dataValidation allowBlank="true" errorStyle="stop" operator="between" showDropDown="false" showErrorMessage="false" showInputMessage="false" sqref="K8" type="list">
      <formula1>daftar_tps</formula1>
      <formula2>0</formula2>
    </dataValidation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1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0" max="10" min="10" style="0" width="3"/>
  </cols>
  <sheetData>
    <row r="2" customFormat="false" ht="19.7" hidden="false" customHeight="false" outlineLevel="0" collapsed="false">
      <c r="A2" s="80" t="s">
        <v>155</v>
      </c>
      <c r="B2" s="80"/>
      <c r="C2" s="80"/>
      <c r="D2" s="80"/>
      <c r="E2" s="80"/>
    </row>
    <row r="3" customFormat="false" ht="15" hidden="false" customHeight="false" outlineLevel="0" collapsed="false">
      <c r="A3" s="85" t="str">
        <f aca="false">id_team&amp;"  —  "&amp;id_calon</f>
        <v>TEAM PEMENANGAN  —  JONI FAHAMSYAH</v>
      </c>
      <c r="B3" s="85"/>
      <c r="C3" s="85"/>
      <c r="D3" s="85"/>
      <c r="E3" s="85"/>
    </row>
    <row r="4" customFormat="false" ht="15" hidden="false" customHeight="false" outlineLevel="0" collapsed="false">
      <c r="A4" s="83" t="str">
        <f aca="false">"DESA "&amp;id_desa</f>
        <v>DESA SUKAKARYA</v>
      </c>
      <c r="B4" s="83"/>
      <c r="C4" s="83"/>
      <c r="D4" s="83"/>
      <c r="E4" s="83"/>
    </row>
    <row r="5" customFormat="false" ht="15" hidden="false" customHeight="false" outlineLevel="0" collapsed="false">
      <c r="A5" s="84"/>
      <c r="B5" s="84"/>
      <c r="C5" s="84"/>
      <c r="D5" s="84"/>
      <c r="E5" s="84"/>
    </row>
    <row r="6" customFormat="false" ht="15" hidden="false" customHeight="false" outlineLevel="0" collapsed="false">
      <c r="G6" s="86" t="s">
        <v>148</v>
      </c>
      <c r="H6" s="86"/>
    </row>
    <row r="7" customFormat="false" ht="15" hidden="false" customHeight="false" outlineLevel="0" collapsed="false">
      <c r="A7" s="105" t="s">
        <v>156</v>
      </c>
      <c r="B7" s="105"/>
      <c r="C7" s="106" t="s">
        <v>129</v>
      </c>
      <c r="D7" s="29" t="str">
        <f aca="false">IF($H$7="","......................................",$H$7)</f>
        <v>......................................</v>
      </c>
      <c r="E7" s="29"/>
      <c r="G7" s="42" t="s">
        <v>157</v>
      </c>
      <c r="H7" s="107"/>
    </row>
    <row r="8" customFormat="false" ht="15" hidden="false" customHeight="false" outlineLevel="0" collapsed="false">
      <c r="A8" s="105" t="s">
        <v>158</v>
      </c>
      <c r="B8" s="105"/>
      <c r="C8" s="106" t="s">
        <v>129</v>
      </c>
      <c r="D8" s="29" t="str">
        <f aca="false">IF($H$8="","......................................",$H$8)</f>
        <v>......................................</v>
      </c>
      <c r="E8" s="29"/>
      <c r="G8" s="42" t="s">
        <v>159</v>
      </c>
      <c r="H8" s="107"/>
    </row>
    <row r="9" customFormat="false" ht="15" hidden="false" customHeight="false" outlineLevel="0" collapsed="false">
      <c r="A9" s="105" t="s">
        <v>160</v>
      </c>
      <c r="B9" s="105"/>
      <c r="C9" s="106" t="s">
        <v>129</v>
      </c>
      <c r="D9" s="29" t="str">
        <f aca="false">IF($H$9="","......................................",$H$9)</f>
        <v>......................................</v>
      </c>
      <c r="E9" s="29"/>
      <c r="G9" s="42" t="s">
        <v>161</v>
      </c>
      <c r="H9" s="107"/>
    </row>
    <row r="10" customFormat="false" ht="15" hidden="false" customHeight="false" outlineLevel="0" collapsed="false">
      <c r="A10" s="105" t="s">
        <v>128</v>
      </c>
      <c r="B10" s="105"/>
      <c r="C10" s="106" t="s">
        <v>129</v>
      </c>
      <c r="D10" s="29" t="str">
        <f aca="false">IF(COUNTA($H$10:$H$12)=0,"SELURUH ANGGOTA",MID(IF($H$10="",""," • "&amp;$H$10)&amp;IF($H$11="",""," • RT "&amp;$H$11)&amp;IF($H$12="",""," • TPS "&amp;$H$12),4,200))</f>
        <v>SELURUH ANGGOTA</v>
      </c>
      <c r="E10" s="29"/>
      <c r="G10" s="42" t="s">
        <v>130</v>
      </c>
      <c r="H10" s="107"/>
    </row>
    <row r="11" customFormat="false" ht="15" hidden="false" customHeight="false" outlineLevel="0" collapsed="false">
      <c r="A11" s="105" t="s">
        <v>25</v>
      </c>
      <c r="B11" s="105"/>
      <c r="C11" s="106" t="s">
        <v>129</v>
      </c>
      <c r="D11" s="29" t="str">
        <f aca="false">$H$14&amp;" orang"&amp;IF($H$15&gt;1,"     (halaman "&amp;$H$13&amp;" dari "&amp;$H$15&amp;")","")</f>
        <v>0 orang</v>
      </c>
      <c r="E11" s="29"/>
      <c r="G11" s="42" t="s">
        <v>131</v>
      </c>
      <c r="H11" s="107"/>
    </row>
    <row r="12" customFormat="false" ht="15" hidden="false" customHeight="false" outlineLevel="0" collapsed="false">
      <c r="G12" s="42" t="s">
        <v>132</v>
      </c>
      <c r="H12" s="107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44</v>
      </c>
      <c r="D13" s="16" t="s">
        <v>45</v>
      </c>
      <c r="E13" s="16" t="s">
        <v>133</v>
      </c>
      <c r="G13" s="42" t="s">
        <v>136</v>
      </c>
      <c r="H13" s="93" t="n">
        <v>1</v>
      </c>
    </row>
    <row r="14" customFormat="false" ht="21.75" hidden="false" customHeight="true" outlineLevel="0" collapsed="false">
      <c r="A14" s="39" t="str">
        <f aca="false">IF($J14="","",(($H$13-1)*25+1))</f>
        <v/>
      </c>
      <c r="B14" s="37" t="str">
        <f aca="false">IF($J14="","",INDEX(DATABASE!$B$4:$B$2003,$J14)&amp;"")</f>
        <v/>
      </c>
      <c r="C14" s="37" t="str">
        <f aca="false">IF($J14="","",INDEX(DATABASE!$H$4:$H$2003,$J14)&amp;"")</f>
        <v/>
      </c>
      <c r="D14" s="91" t="str">
        <f aca="false">IF($J14="","",INDEX(DATABASE!$I$4:$I$2003,$J14)&amp;"")</f>
        <v/>
      </c>
      <c r="E14" s="92" t="str">
        <f aca="false">IF($J14="","",$A14&amp;".")</f>
        <v/>
      </c>
      <c r="G14" s="42" t="s">
        <v>162</v>
      </c>
      <c r="H14" s="67" t="n">
        <f aca="false">COUNT(DATABASE!$Y$4:$Y$2003)</f>
        <v>0</v>
      </c>
      <c r="J14" s="52" t="str">
        <f aca="false">IFERROR(MATCH((($H$13-1)*25+1),DATABASE!$Y$4:$Y$2003,0),"")</f>
        <v/>
      </c>
    </row>
    <row r="15" customFormat="false" ht="21.75" hidden="false" customHeight="true" outlineLevel="0" collapsed="false">
      <c r="A15" s="39" t="str">
        <f aca="false">IF($J15="","",(($H$13-1)*25+2))</f>
        <v/>
      </c>
      <c r="B15" s="37" t="str">
        <f aca="false">IF($J15="","",INDEX(DATABASE!$B$4:$B$2003,$J15)&amp;"")</f>
        <v/>
      </c>
      <c r="C15" s="37" t="str">
        <f aca="false">IF($J15="","",INDEX(DATABASE!$H$4:$H$2003,$J15)&amp;"")</f>
        <v/>
      </c>
      <c r="D15" s="91" t="str">
        <f aca="false">IF($J15="","",INDEX(DATABASE!$I$4:$I$2003,$J15)&amp;"")</f>
        <v/>
      </c>
      <c r="E15" s="92" t="str">
        <f aca="false">IF($J15="","",$A15&amp;".")</f>
        <v/>
      </c>
      <c r="G15" s="42" t="s">
        <v>138</v>
      </c>
      <c r="H15" s="94" t="n">
        <f aca="false">MAX(1,ROUNDUP($H$14/25,0))</f>
        <v>1</v>
      </c>
      <c r="J15" s="52" t="str">
        <f aca="false">IFERROR(MATCH((($H$13-1)*25+2),DATABASE!$Y$4:$Y$2003,0),"")</f>
        <v/>
      </c>
    </row>
    <row r="16" customFormat="false" ht="21.75" hidden="false" customHeight="true" outlineLevel="0" collapsed="false">
      <c r="A16" s="39" t="str">
        <f aca="false">IF($J16="","",(($H$13-1)*25+3))</f>
        <v/>
      </c>
      <c r="B16" s="37" t="str">
        <f aca="false">IF($J16="","",INDEX(DATABASE!$B$4:$B$2003,$J16)&amp;"")</f>
        <v/>
      </c>
      <c r="C16" s="37" t="str">
        <f aca="false">IF($J16="","",INDEX(DATABASE!$H$4:$H$2003,$J16)&amp;"")</f>
        <v/>
      </c>
      <c r="D16" s="91" t="str">
        <f aca="false">IF($J16="","",INDEX(DATABASE!$I$4:$I$2003,$J16)&amp;"")</f>
        <v/>
      </c>
      <c r="E16" s="92" t="str">
        <f aca="false">IF($J16="","",$A16&amp;".")</f>
        <v/>
      </c>
      <c r="J16" s="52" t="str">
        <f aca="false">IFERROR(MATCH((($H$13-1)*25+3),DATABASE!$Y$4:$Y$2003,0),"")</f>
        <v/>
      </c>
    </row>
    <row r="17" customFormat="false" ht="21.75" hidden="false" customHeight="true" outlineLevel="0" collapsed="false">
      <c r="A17" s="39" t="str">
        <f aca="false">IF($J17="","",(($H$13-1)*25+4))</f>
        <v/>
      </c>
      <c r="B17" s="37" t="str">
        <f aca="false">IF($J17="","",INDEX(DATABASE!$B$4:$B$2003,$J17)&amp;"")</f>
        <v/>
      </c>
      <c r="C17" s="37" t="str">
        <f aca="false">IF($J17="","",INDEX(DATABASE!$H$4:$H$2003,$J17)&amp;"")</f>
        <v/>
      </c>
      <c r="D17" s="91" t="str">
        <f aca="false">IF($J17="","",INDEX(DATABASE!$I$4:$I$2003,$J17)&amp;"")</f>
        <v/>
      </c>
      <c r="E17" s="92" t="str">
        <f aca="false">IF($J17="","",$A17&amp;".")</f>
        <v/>
      </c>
      <c r="G17" s="31" t="s">
        <v>34</v>
      </c>
      <c r="J17" s="52" t="str">
        <f aca="false">IFERROR(MATCH((($H$13-1)*25+4),DATABASE!$Y$4:$Y$2003,0),"")</f>
        <v/>
      </c>
    </row>
    <row r="18" customFormat="false" ht="21.75" hidden="false" customHeight="true" outlineLevel="0" collapsed="false">
      <c r="A18" s="39" t="str">
        <f aca="false">IF($J18="","",(($H$13-1)*25+5))</f>
        <v/>
      </c>
      <c r="B18" s="37" t="str">
        <f aca="false">IF($J18="","",INDEX(DATABASE!$B$4:$B$2003,$J18)&amp;"")</f>
        <v/>
      </c>
      <c r="C18" s="37" t="str">
        <f aca="false">IF($J18="","",INDEX(DATABASE!$H$4:$H$2003,$J18)&amp;"")</f>
        <v/>
      </c>
      <c r="D18" s="91" t="str">
        <f aca="false">IF($J18="","",INDEX(DATABASE!$I$4:$I$2003,$J18)&amp;"")</f>
        <v/>
      </c>
      <c r="E18" s="92" t="str">
        <f aca="false">IF($J18="","",$A18&amp;".")</f>
        <v/>
      </c>
      <c r="G18" s="32" t="s">
        <v>163</v>
      </c>
      <c r="J18" s="52" t="str">
        <f aca="false">IFERROR(MATCH((($H$13-1)*25+5),DATABASE!$Y$4:$Y$2003,0),"")</f>
        <v/>
      </c>
    </row>
    <row r="19" customFormat="false" ht="21.75" hidden="false" customHeight="true" outlineLevel="0" collapsed="false">
      <c r="A19" s="39" t="str">
        <f aca="false">IF($J19="","",(($H$13-1)*25+6))</f>
        <v/>
      </c>
      <c r="B19" s="37" t="str">
        <f aca="false">IF($J19="","",INDEX(DATABASE!$B$4:$B$2003,$J19)&amp;"")</f>
        <v/>
      </c>
      <c r="C19" s="37" t="str">
        <f aca="false">IF($J19="","",INDEX(DATABASE!$H$4:$H$2003,$J19)&amp;"")</f>
        <v/>
      </c>
      <c r="D19" s="91" t="str">
        <f aca="false">IF($J19="","",INDEX(DATABASE!$I$4:$I$2003,$J19)&amp;"")</f>
        <v/>
      </c>
      <c r="E19" s="92" t="str">
        <f aca="false">IF($J19="","",$A19&amp;".")</f>
        <v/>
      </c>
      <c r="G19" s="32" t="s">
        <v>164</v>
      </c>
      <c r="J19" s="52" t="str">
        <f aca="false">IFERROR(MATCH((($H$13-1)*25+6),DATABASE!$Y$4:$Y$2003,0),"")</f>
        <v/>
      </c>
    </row>
    <row r="20" customFormat="false" ht="21.75" hidden="false" customHeight="true" outlineLevel="0" collapsed="false">
      <c r="A20" s="39" t="str">
        <f aca="false">IF($J20="","",(($H$13-1)*25+7))</f>
        <v/>
      </c>
      <c r="B20" s="37" t="str">
        <f aca="false">IF($J20="","",INDEX(DATABASE!$B$4:$B$2003,$J20)&amp;"")</f>
        <v/>
      </c>
      <c r="C20" s="37" t="str">
        <f aca="false">IF($J20="","",INDEX(DATABASE!$H$4:$H$2003,$J20)&amp;"")</f>
        <v/>
      </c>
      <c r="D20" s="91" t="str">
        <f aca="false">IF($J20="","",INDEX(DATABASE!$I$4:$I$2003,$J20)&amp;"")</f>
        <v/>
      </c>
      <c r="E20" s="92" t="str">
        <f aca="false">IF($J20="","",$A20&amp;".")</f>
        <v/>
      </c>
      <c r="G20" s="32" t="s">
        <v>165</v>
      </c>
      <c r="J20" s="52" t="str">
        <f aca="false">IFERROR(MATCH((($H$13-1)*25+7),DATABASE!$Y$4:$Y$2003,0),"")</f>
        <v/>
      </c>
    </row>
    <row r="21" customFormat="false" ht="21.75" hidden="false" customHeight="true" outlineLevel="0" collapsed="false">
      <c r="A21" s="39" t="str">
        <f aca="false">IF($J21="","",(($H$13-1)*25+8))</f>
        <v/>
      </c>
      <c r="B21" s="37" t="str">
        <f aca="false">IF($J21="","",INDEX(DATABASE!$B$4:$B$2003,$J21)&amp;"")</f>
        <v/>
      </c>
      <c r="C21" s="37" t="str">
        <f aca="false">IF($J21="","",INDEX(DATABASE!$H$4:$H$2003,$J21)&amp;"")</f>
        <v/>
      </c>
      <c r="D21" s="91" t="str">
        <f aca="false">IF($J21="","",INDEX(DATABASE!$I$4:$I$2003,$J21)&amp;"")</f>
        <v/>
      </c>
      <c r="E21" s="92" t="str">
        <f aca="false">IF($J21="","",$A21&amp;".")</f>
        <v/>
      </c>
      <c r="G21" s="32" t="s">
        <v>166</v>
      </c>
      <c r="J21" s="52" t="str">
        <f aca="false">IFERROR(MATCH((($H$13-1)*25+8),DATABASE!$Y$4:$Y$2003,0),"")</f>
        <v/>
      </c>
    </row>
    <row r="22" customFormat="false" ht="21.75" hidden="false" customHeight="true" outlineLevel="0" collapsed="false">
      <c r="A22" s="39" t="str">
        <f aca="false">IF($J22="","",(($H$13-1)*25+9))</f>
        <v/>
      </c>
      <c r="B22" s="37" t="str">
        <f aca="false">IF($J22="","",INDEX(DATABASE!$B$4:$B$2003,$J22)&amp;"")</f>
        <v/>
      </c>
      <c r="C22" s="37" t="str">
        <f aca="false">IF($J22="","",INDEX(DATABASE!$H$4:$H$2003,$J22)&amp;"")</f>
        <v/>
      </c>
      <c r="D22" s="91" t="str">
        <f aca="false">IF($J22="","",INDEX(DATABASE!$I$4:$I$2003,$J22)&amp;"")</f>
        <v/>
      </c>
      <c r="E22" s="92" t="str">
        <f aca="false">IF($J22="","",$A22&amp;".")</f>
        <v/>
      </c>
      <c r="J22" s="52" t="str">
        <f aca="false">IFERROR(MATCH((($H$13-1)*25+9),DATABASE!$Y$4:$Y$2003,0),"")</f>
        <v/>
      </c>
    </row>
    <row r="23" customFormat="false" ht="21.75" hidden="false" customHeight="true" outlineLevel="0" collapsed="false">
      <c r="A23" s="39" t="str">
        <f aca="false">IF($J23="","",(($H$13-1)*25+10))</f>
        <v/>
      </c>
      <c r="B23" s="37" t="str">
        <f aca="false">IF($J23="","",INDEX(DATABASE!$B$4:$B$2003,$J23)&amp;"")</f>
        <v/>
      </c>
      <c r="C23" s="37" t="str">
        <f aca="false">IF($J23="","",INDEX(DATABASE!$H$4:$H$2003,$J23)&amp;"")</f>
        <v/>
      </c>
      <c r="D23" s="91" t="str">
        <f aca="false">IF($J23="","",INDEX(DATABASE!$I$4:$I$2003,$J23)&amp;"")</f>
        <v/>
      </c>
      <c r="E23" s="92" t="str">
        <f aca="false">IF($J23="","",$A23&amp;".")</f>
        <v/>
      </c>
      <c r="J23" s="52" t="str">
        <f aca="false">IFERROR(MATCH((($H$13-1)*25+10),DATABASE!$Y$4:$Y$2003,0),"")</f>
        <v/>
      </c>
    </row>
    <row r="24" customFormat="false" ht="21.75" hidden="false" customHeight="true" outlineLevel="0" collapsed="false">
      <c r="A24" s="39" t="str">
        <f aca="false">IF($J24="","",(($H$13-1)*25+11))</f>
        <v/>
      </c>
      <c r="B24" s="37" t="str">
        <f aca="false">IF($J24="","",INDEX(DATABASE!$B$4:$B$2003,$J24)&amp;"")</f>
        <v/>
      </c>
      <c r="C24" s="37" t="str">
        <f aca="false">IF($J24="","",INDEX(DATABASE!$H$4:$H$2003,$J24)&amp;"")</f>
        <v/>
      </c>
      <c r="D24" s="91" t="str">
        <f aca="false">IF($J24="","",INDEX(DATABASE!$I$4:$I$2003,$J24)&amp;"")</f>
        <v/>
      </c>
      <c r="E24" s="92" t="str">
        <f aca="false">IF($J24="","",$A24&amp;".")</f>
        <v/>
      </c>
      <c r="J24" s="52" t="str">
        <f aca="false">IFERROR(MATCH((($H$13-1)*25+11),DATABASE!$Y$4:$Y$2003,0),"")</f>
        <v/>
      </c>
    </row>
    <row r="25" customFormat="false" ht="21.75" hidden="false" customHeight="true" outlineLevel="0" collapsed="false">
      <c r="A25" s="39" t="str">
        <f aca="false">IF($J25="","",(($H$13-1)*25+12))</f>
        <v/>
      </c>
      <c r="B25" s="37" t="str">
        <f aca="false">IF($J25="","",INDEX(DATABASE!$B$4:$B$2003,$J25)&amp;"")</f>
        <v/>
      </c>
      <c r="C25" s="37" t="str">
        <f aca="false">IF($J25="","",INDEX(DATABASE!$H$4:$H$2003,$J25)&amp;"")</f>
        <v/>
      </c>
      <c r="D25" s="91" t="str">
        <f aca="false">IF($J25="","",INDEX(DATABASE!$I$4:$I$2003,$J25)&amp;"")</f>
        <v/>
      </c>
      <c r="E25" s="92" t="str">
        <f aca="false">IF($J25="","",$A25&amp;".")</f>
        <v/>
      </c>
      <c r="J25" s="52" t="str">
        <f aca="false">IFERROR(MATCH((($H$13-1)*25+12),DATABASE!$Y$4:$Y$2003,0),"")</f>
        <v/>
      </c>
    </row>
    <row r="26" customFormat="false" ht="21.75" hidden="false" customHeight="true" outlineLevel="0" collapsed="false">
      <c r="A26" s="39" t="str">
        <f aca="false">IF($J26="","",(($H$13-1)*25+13))</f>
        <v/>
      </c>
      <c r="B26" s="37" t="str">
        <f aca="false">IF($J26="","",INDEX(DATABASE!$B$4:$B$2003,$J26)&amp;"")</f>
        <v/>
      </c>
      <c r="C26" s="37" t="str">
        <f aca="false">IF($J26="","",INDEX(DATABASE!$H$4:$H$2003,$J26)&amp;"")</f>
        <v/>
      </c>
      <c r="D26" s="91" t="str">
        <f aca="false">IF($J26="","",INDEX(DATABASE!$I$4:$I$2003,$J26)&amp;"")</f>
        <v/>
      </c>
      <c r="E26" s="92" t="str">
        <f aca="false">IF($J26="","",$A26&amp;".")</f>
        <v/>
      </c>
      <c r="J26" s="52" t="str">
        <f aca="false">IFERROR(MATCH((($H$13-1)*25+13),DATABASE!$Y$4:$Y$2003,0),"")</f>
        <v/>
      </c>
    </row>
    <row r="27" customFormat="false" ht="21.75" hidden="false" customHeight="true" outlineLevel="0" collapsed="false">
      <c r="A27" s="39" t="str">
        <f aca="false">IF($J27="","",(($H$13-1)*25+14))</f>
        <v/>
      </c>
      <c r="B27" s="37" t="str">
        <f aca="false">IF($J27="","",INDEX(DATABASE!$B$4:$B$2003,$J27)&amp;"")</f>
        <v/>
      </c>
      <c r="C27" s="37" t="str">
        <f aca="false">IF($J27="","",INDEX(DATABASE!$H$4:$H$2003,$J27)&amp;"")</f>
        <v/>
      </c>
      <c r="D27" s="91" t="str">
        <f aca="false">IF($J27="","",INDEX(DATABASE!$I$4:$I$2003,$J27)&amp;"")</f>
        <v/>
      </c>
      <c r="E27" s="92" t="str">
        <f aca="false">IF($J27="","",$A27&amp;".")</f>
        <v/>
      </c>
      <c r="J27" s="52" t="str">
        <f aca="false">IFERROR(MATCH((($H$13-1)*25+14),DATABASE!$Y$4:$Y$2003,0),"")</f>
        <v/>
      </c>
    </row>
    <row r="28" customFormat="false" ht="21.75" hidden="false" customHeight="true" outlineLevel="0" collapsed="false">
      <c r="A28" s="39" t="str">
        <f aca="false">IF($J28="","",(($H$13-1)*25+15))</f>
        <v/>
      </c>
      <c r="B28" s="37" t="str">
        <f aca="false">IF($J28="","",INDEX(DATABASE!$B$4:$B$2003,$J28)&amp;"")</f>
        <v/>
      </c>
      <c r="C28" s="37" t="str">
        <f aca="false">IF($J28="","",INDEX(DATABASE!$H$4:$H$2003,$J28)&amp;"")</f>
        <v/>
      </c>
      <c r="D28" s="91" t="str">
        <f aca="false">IF($J28="","",INDEX(DATABASE!$I$4:$I$2003,$J28)&amp;"")</f>
        <v/>
      </c>
      <c r="E28" s="92" t="str">
        <f aca="false">IF($J28="","",$A28&amp;".")</f>
        <v/>
      </c>
      <c r="J28" s="52" t="str">
        <f aca="false">IFERROR(MATCH((($H$13-1)*25+15),DATABASE!$Y$4:$Y$2003,0),"")</f>
        <v/>
      </c>
    </row>
    <row r="29" customFormat="false" ht="21.75" hidden="false" customHeight="true" outlineLevel="0" collapsed="false">
      <c r="A29" s="39" t="str">
        <f aca="false">IF($J29="","",(($H$13-1)*25+16))</f>
        <v/>
      </c>
      <c r="B29" s="37" t="str">
        <f aca="false">IF($J29="","",INDEX(DATABASE!$B$4:$B$2003,$J29)&amp;"")</f>
        <v/>
      </c>
      <c r="C29" s="37" t="str">
        <f aca="false">IF($J29="","",INDEX(DATABASE!$H$4:$H$2003,$J29)&amp;"")</f>
        <v/>
      </c>
      <c r="D29" s="91" t="str">
        <f aca="false">IF($J29="","",INDEX(DATABASE!$I$4:$I$2003,$J29)&amp;"")</f>
        <v/>
      </c>
      <c r="E29" s="92" t="str">
        <f aca="false">IF($J29="","",$A29&amp;".")</f>
        <v/>
      </c>
      <c r="J29" s="52" t="str">
        <f aca="false">IFERROR(MATCH((($H$13-1)*25+16),DATABASE!$Y$4:$Y$2003,0),"")</f>
        <v/>
      </c>
    </row>
    <row r="30" customFormat="false" ht="21.75" hidden="false" customHeight="true" outlineLevel="0" collapsed="false">
      <c r="A30" s="39" t="str">
        <f aca="false">IF($J30="","",(($H$13-1)*25+17))</f>
        <v/>
      </c>
      <c r="B30" s="37" t="str">
        <f aca="false">IF($J30="","",INDEX(DATABASE!$B$4:$B$2003,$J30)&amp;"")</f>
        <v/>
      </c>
      <c r="C30" s="37" t="str">
        <f aca="false">IF($J30="","",INDEX(DATABASE!$H$4:$H$2003,$J30)&amp;"")</f>
        <v/>
      </c>
      <c r="D30" s="91" t="str">
        <f aca="false">IF($J30="","",INDEX(DATABASE!$I$4:$I$2003,$J30)&amp;"")</f>
        <v/>
      </c>
      <c r="E30" s="92" t="str">
        <f aca="false">IF($J30="","",$A30&amp;".")</f>
        <v/>
      </c>
      <c r="J30" s="52" t="str">
        <f aca="false">IFERROR(MATCH((($H$13-1)*25+17),DATABASE!$Y$4:$Y$2003,0),"")</f>
        <v/>
      </c>
    </row>
    <row r="31" customFormat="false" ht="21.75" hidden="false" customHeight="true" outlineLevel="0" collapsed="false">
      <c r="A31" s="39" t="str">
        <f aca="false">IF($J31="","",(($H$13-1)*25+18))</f>
        <v/>
      </c>
      <c r="B31" s="37" t="str">
        <f aca="false">IF($J31="","",INDEX(DATABASE!$B$4:$B$2003,$J31)&amp;"")</f>
        <v/>
      </c>
      <c r="C31" s="37" t="str">
        <f aca="false">IF($J31="","",INDEX(DATABASE!$H$4:$H$2003,$J31)&amp;"")</f>
        <v/>
      </c>
      <c r="D31" s="91" t="str">
        <f aca="false">IF($J31="","",INDEX(DATABASE!$I$4:$I$2003,$J31)&amp;"")</f>
        <v/>
      </c>
      <c r="E31" s="92" t="str">
        <f aca="false">IF($J31="","",$A31&amp;".")</f>
        <v/>
      </c>
      <c r="J31" s="52" t="str">
        <f aca="false">IFERROR(MATCH((($H$13-1)*25+18),DATABASE!$Y$4:$Y$2003,0),"")</f>
        <v/>
      </c>
    </row>
    <row r="32" customFormat="false" ht="21.75" hidden="false" customHeight="true" outlineLevel="0" collapsed="false">
      <c r="A32" s="39" t="str">
        <f aca="false">IF($J32="","",(($H$13-1)*25+19))</f>
        <v/>
      </c>
      <c r="B32" s="37" t="str">
        <f aca="false">IF($J32="","",INDEX(DATABASE!$B$4:$B$2003,$J32)&amp;"")</f>
        <v/>
      </c>
      <c r="C32" s="37" t="str">
        <f aca="false">IF($J32="","",INDEX(DATABASE!$H$4:$H$2003,$J32)&amp;"")</f>
        <v/>
      </c>
      <c r="D32" s="91" t="str">
        <f aca="false">IF($J32="","",INDEX(DATABASE!$I$4:$I$2003,$J32)&amp;"")</f>
        <v/>
      </c>
      <c r="E32" s="92" t="str">
        <f aca="false">IF($J32="","",$A32&amp;".")</f>
        <v/>
      </c>
      <c r="J32" s="52" t="str">
        <f aca="false">IFERROR(MATCH((($H$13-1)*25+19),DATABASE!$Y$4:$Y$2003,0),"")</f>
        <v/>
      </c>
    </row>
    <row r="33" customFormat="false" ht="21.75" hidden="false" customHeight="true" outlineLevel="0" collapsed="false">
      <c r="A33" s="39" t="str">
        <f aca="false">IF($J33="","",(($H$13-1)*25+20))</f>
        <v/>
      </c>
      <c r="B33" s="37" t="str">
        <f aca="false">IF($J33="","",INDEX(DATABASE!$B$4:$B$2003,$J33)&amp;"")</f>
        <v/>
      </c>
      <c r="C33" s="37" t="str">
        <f aca="false">IF($J33="","",INDEX(DATABASE!$H$4:$H$2003,$J33)&amp;"")</f>
        <v/>
      </c>
      <c r="D33" s="91" t="str">
        <f aca="false">IF($J33="","",INDEX(DATABASE!$I$4:$I$2003,$J33)&amp;"")</f>
        <v/>
      </c>
      <c r="E33" s="92" t="str">
        <f aca="false">IF($J33="","",$A33&amp;".")</f>
        <v/>
      </c>
      <c r="J33" s="52" t="str">
        <f aca="false">IFERROR(MATCH((($H$13-1)*25+20),DATABASE!$Y$4:$Y$2003,0),"")</f>
        <v/>
      </c>
    </row>
    <row r="34" customFormat="false" ht="21.75" hidden="false" customHeight="true" outlineLevel="0" collapsed="false">
      <c r="A34" s="39" t="str">
        <f aca="false">IF($J34="","",(($H$13-1)*25+21))</f>
        <v/>
      </c>
      <c r="B34" s="37" t="str">
        <f aca="false">IF($J34="","",INDEX(DATABASE!$B$4:$B$2003,$J34)&amp;"")</f>
        <v/>
      </c>
      <c r="C34" s="37" t="str">
        <f aca="false">IF($J34="","",INDEX(DATABASE!$H$4:$H$2003,$J34)&amp;"")</f>
        <v/>
      </c>
      <c r="D34" s="91" t="str">
        <f aca="false">IF($J34="","",INDEX(DATABASE!$I$4:$I$2003,$J34)&amp;"")</f>
        <v/>
      </c>
      <c r="E34" s="92" t="str">
        <f aca="false">IF($J34="","",$A34&amp;".")</f>
        <v/>
      </c>
      <c r="J34" s="52" t="str">
        <f aca="false">IFERROR(MATCH((($H$13-1)*25+21),DATABASE!$Y$4:$Y$2003,0),"")</f>
        <v/>
      </c>
    </row>
    <row r="35" customFormat="false" ht="21.75" hidden="false" customHeight="true" outlineLevel="0" collapsed="false">
      <c r="A35" s="39" t="str">
        <f aca="false">IF($J35="","",(($H$13-1)*25+22))</f>
        <v/>
      </c>
      <c r="B35" s="37" t="str">
        <f aca="false">IF($J35="","",INDEX(DATABASE!$B$4:$B$2003,$J35)&amp;"")</f>
        <v/>
      </c>
      <c r="C35" s="37" t="str">
        <f aca="false">IF($J35="","",INDEX(DATABASE!$H$4:$H$2003,$J35)&amp;"")</f>
        <v/>
      </c>
      <c r="D35" s="91" t="str">
        <f aca="false">IF($J35="","",INDEX(DATABASE!$I$4:$I$2003,$J35)&amp;"")</f>
        <v/>
      </c>
      <c r="E35" s="92" t="str">
        <f aca="false">IF($J35="","",$A35&amp;".")</f>
        <v/>
      </c>
      <c r="J35" s="52" t="str">
        <f aca="false">IFERROR(MATCH((($H$13-1)*25+22),DATABASE!$Y$4:$Y$2003,0),"")</f>
        <v/>
      </c>
    </row>
    <row r="36" customFormat="false" ht="21.75" hidden="false" customHeight="true" outlineLevel="0" collapsed="false">
      <c r="A36" s="39" t="str">
        <f aca="false">IF($J36="","",(($H$13-1)*25+23))</f>
        <v/>
      </c>
      <c r="B36" s="37" t="str">
        <f aca="false">IF($J36="","",INDEX(DATABASE!$B$4:$B$2003,$J36)&amp;"")</f>
        <v/>
      </c>
      <c r="C36" s="37" t="str">
        <f aca="false">IF($J36="","",INDEX(DATABASE!$H$4:$H$2003,$J36)&amp;"")</f>
        <v/>
      </c>
      <c r="D36" s="91" t="str">
        <f aca="false">IF($J36="","",INDEX(DATABASE!$I$4:$I$2003,$J36)&amp;"")</f>
        <v/>
      </c>
      <c r="E36" s="92" t="str">
        <f aca="false">IF($J36="","",$A36&amp;".")</f>
        <v/>
      </c>
      <c r="J36" s="52" t="str">
        <f aca="false">IFERROR(MATCH((($H$13-1)*25+23),DATABASE!$Y$4:$Y$2003,0),"")</f>
        <v/>
      </c>
    </row>
    <row r="37" customFormat="false" ht="21.75" hidden="false" customHeight="true" outlineLevel="0" collapsed="false">
      <c r="A37" s="39" t="str">
        <f aca="false">IF($J37="","",(($H$13-1)*25+24))</f>
        <v/>
      </c>
      <c r="B37" s="37" t="str">
        <f aca="false">IF($J37="","",INDEX(DATABASE!$B$4:$B$2003,$J37)&amp;"")</f>
        <v/>
      </c>
      <c r="C37" s="37" t="str">
        <f aca="false">IF($J37="","",INDEX(DATABASE!$H$4:$H$2003,$J37)&amp;"")</f>
        <v/>
      </c>
      <c r="D37" s="91" t="str">
        <f aca="false">IF($J37="","",INDEX(DATABASE!$I$4:$I$2003,$J37)&amp;"")</f>
        <v/>
      </c>
      <c r="E37" s="92" t="str">
        <f aca="false">IF($J37="","",$A37&amp;".")</f>
        <v/>
      </c>
      <c r="J37" s="52" t="str">
        <f aca="false">IFERROR(MATCH((($H$13-1)*25+24),DATABASE!$Y$4:$Y$2003,0),"")</f>
        <v/>
      </c>
    </row>
    <row r="38" customFormat="false" ht="21.75" hidden="false" customHeight="true" outlineLevel="0" collapsed="false">
      <c r="A38" s="39" t="str">
        <f aca="false">IF($J38="","",(($H$13-1)*25+25))</f>
        <v/>
      </c>
      <c r="B38" s="37" t="str">
        <f aca="false">IF($J38="","",INDEX(DATABASE!$B$4:$B$2003,$J38)&amp;"")</f>
        <v/>
      </c>
      <c r="C38" s="37" t="str">
        <f aca="false">IF($J38="","",INDEX(DATABASE!$H$4:$H$2003,$J38)&amp;"")</f>
        <v/>
      </c>
      <c r="D38" s="91" t="str">
        <f aca="false">IF($J38="","",INDEX(DATABASE!$I$4:$I$2003,$J38)&amp;"")</f>
        <v/>
      </c>
      <c r="E38" s="92" t="str">
        <f aca="false">IF($J38="","",$A38&amp;".")</f>
        <v/>
      </c>
      <c r="J38" s="52" t="str">
        <f aca="false">IFERROR(MATCH((($H$13-1)*25+25),DATABASE!$Y$4:$Y$2003,0),"")</f>
        <v/>
      </c>
    </row>
    <row r="40" customFormat="false" ht="15" hidden="false" customHeight="false" outlineLevel="0" collapsed="false">
      <c r="D40" s="82" t="str">
        <f aca="false">id_desa&amp;", ......................... "&amp;id_tahun</f>
        <v>SUKAKARYA, ......................... 2026</v>
      </c>
      <c r="E40" s="82"/>
    </row>
    <row r="41" customFormat="false" ht="15" hidden="false" customHeight="false" outlineLevel="0" collapsed="false">
      <c r="D41" s="82" t="str">
        <f aca="false">id_jabatan_ttd</f>
        <v>Ketua Team</v>
      </c>
      <c r="E41" s="82"/>
    </row>
    <row r="45" customFormat="false" ht="15" hidden="false" customHeight="false" outlineLevel="0" collapsed="false">
      <c r="D45" s="95" t="str">
        <f aca="false">id_ketua</f>
        <v>IDRUS KAMSENO</v>
      </c>
      <c r="E45" s="95"/>
    </row>
  </sheetData>
  <sheetProtection sheet="true" formatCells="false" formatColumns="false" formatRows="false" sort="false" autoFilter="false"/>
  <mergeCells count="17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A11:B11"/>
    <mergeCell ref="D11:E11"/>
    <mergeCell ref="D40:E40"/>
    <mergeCell ref="D41:E41"/>
    <mergeCell ref="D45:E45"/>
  </mergeCells>
  <dataValidations count="4">
    <dataValidation allowBlank="false" error="Isi angka 1 atau lebih." errorStyle="warning" errorTitle="Halaman" operator="greaterThanOrEqual" showDropDown="false" showErrorMessage="true" showInputMessage="false" sqref="H13" type="whole">
      <formula1>1</formula1>
      <formula2>0</formula2>
    </dataValidation>
    <dataValidation allowBlank="true" errorStyle="stop" operator="between" showDropDown="false" showErrorMessage="false" showInputMessage="false" sqref="H10" type="list">
      <formula1>daftar_kadus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  <dataValidation allowBlank="true" errorStyle="stop" operator="between" showDropDown="false" showErrorMessage="false" showInputMessage="false" sqref="H12" type="list">
      <formula1>daftar_tps</formula1>
      <formula2>0</formula2>
    </dataValidation>
  </dataValidations>
  <hyperlinks>
    <hyperlink ref="G17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30" t="s">
        <v>167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34</v>
      </c>
      <c r="C2" s="32" t="s">
        <v>168</v>
      </c>
    </row>
    <row r="4" customFormat="false" ht="19.5" hidden="false" customHeight="true" outlineLevel="0" collapsed="false">
      <c r="B4" s="5" t="s">
        <v>169</v>
      </c>
      <c r="C4" s="5"/>
      <c r="D4" s="5"/>
      <c r="E4" s="5"/>
      <c r="F4" s="5"/>
      <c r="H4" s="108" t="s">
        <v>170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9" t="s">
        <v>171</v>
      </c>
    </row>
    <row r="17" customFormat="false" ht="15" hidden="false" customHeight="true" outlineLevel="0" collapsed="false">
      <c r="H17" s="109"/>
    </row>
    <row r="18" customFormat="false" ht="15" hidden="false" customHeight="true" outlineLevel="0" collapsed="false">
      <c r="H18" s="109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9" t="s">
        <v>172</v>
      </c>
    </row>
    <row r="32" customFormat="false" ht="15" hidden="false" customHeight="true" outlineLevel="0" collapsed="false">
      <c r="H32" s="109"/>
    </row>
    <row r="33" customFormat="false" ht="15" hidden="false" customHeight="true" outlineLevel="0" collapsed="false">
      <c r="H33" s="109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10" t="s">
        <v>173</v>
      </c>
    </row>
    <row r="37" customFormat="false" ht="15" hidden="false" customHeight="true" outlineLevel="0" collapsed="false">
      <c r="H37" s="110"/>
    </row>
    <row r="38" customFormat="false" ht="15" hidden="false" customHeight="true" outlineLevel="0" collapsed="false">
      <c r="H38" s="110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11" t="s">
        <v>174</v>
      </c>
      <c r="C49" s="111"/>
      <c r="D49" s="111"/>
      <c r="E49" s="111"/>
      <c r="F49" s="111"/>
    </row>
    <row r="50" customFormat="false" ht="15" hidden="false" customHeight="false" outlineLevel="0" collapsed="false">
      <c r="B50" s="111"/>
      <c r="C50" s="111"/>
      <c r="D50" s="111"/>
      <c r="E50" s="111"/>
      <c r="F50" s="111"/>
    </row>
    <row r="51" customFormat="false" ht="15" hidden="false" customHeight="false" outlineLevel="0" collapsed="false">
      <c r="B51" s="111"/>
      <c r="C51" s="111"/>
      <c r="D51" s="111"/>
      <c r="E51" s="111"/>
      <c r="F51" s="111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4" min="3" style="0" width="10"/>
    <col collapsed="false" customWidth="true" hidden="false" outlineLevel="0" max="5" min="5" style="0" width="3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5" min="15" style="0" width="46"/>
  </cols>
  <sheetData>
    <row r="1" customFormat="false" ht="25.5" hidden="false" customHeight="true" outlineLevel="0" collapsed="false">
      <c r="A1" s="30" t="s">
        <v>175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customFormat="false" ht="15" hidden="false" customHeight="false" outlineLevel="0" collapsed="false">
      <c r="A2" s="31" t="s">
        <v>34</v>
      </c>
      <c r="C2" s="32" t="s">
        <v>176</v>
      </c>
    </row>
    <row r="5" customFormat="false" ht="15" hidden="false" customHeight="false" outlineLevel="0" collapsed="false">
      <c r="B5" s="16" t="s">
        <v>177</v>
      </c>
      <c r="C5" s="16" t="s">
        <v>26</v>
      </c>
      <c r="D5" s="16" t="s">
        <v>178</v>
      </c>
      <c r="F5" s="16" t="s">
        <v>179</v>
      </c>
      <c r="H5" s="16" t="s">
        <v>180</v>
      </c>
      <c r="J5" s="16" t="s">
        <v>181</v>
      </c>
      <c r="L5" s="16" t="s">
        <v>50</v>
      </c>
      <c r="M5" s="16" t="s">
        <v>182</v>
      </c>
      <c r="O5" s="112" t="s">
        <v>183</v>
      </c>
    </row>
    <row r="6" customFormat="false" ht="15" hidden="false" customHeight="false" outlineLevel="0" collapsed="false">
      <c r="B6" s="113" t="s">
        <v>184</v>
      </c>
      <c r="C6" s="113" t="n">
        <v>50</v>
      </c>
      <c r="D6" s="114" t="s">
        <v>185</v>
      </c>
      <c r="F6" s="113" t="s">
        <v>186</v>
      </c>
      <c r="H6" s="114" t="s">
        <v>187</v>
      </c>
      <c r="J6" s="113" t="s">
        <v>188</v>
      </c>
      <c r="L6" s="113" t="s">
        <v>189</v>
      </c>
      <c r="M6" s="115" t="n">
        <v>0</v>
      </c>
      <c r="O6" s="116" t="s">
        <v>190</v>
      </c>
    </row>
    <row r="7" customFormat="false" ht="15" hidden="false" customHeight="false" outlineLevel="0" collapsed="false">
      <c r="B7" s="113" t="s">
        <v>191</v>
      </c>
      <c r="C7" s="113" t="n">
        <v>50</v>
      </c>
      <c r="D7" s="114" t="s">
        <v>192</v>
      </c>
      <c r="F7" s="113" t="s">
        <v>193</v>
      </c>
      <c r="H7" s="114" t="s">
        <v>194</v>
      </c>
      <c r="J7" s="113" t="s">
        <v>195</v>
      </c>
      <c r="L7" s="113" t="s">
        <v>196</v>
      </c>
      <c r="M7" s="115" t="n">
        <v>17</v>
      </c>
      <c r="O7" s="116" t="s">
        <v>197</v>
      </c>
    </row>
    <row r="8" customFormat="false" ht="15" hidden="false" customHeight="false" outlineLevel="0" collapsed="false">
      <c r="B8" s="113" t="s">
        <v>198</v>
      </c>
      <c r="C8" s="113" t="n">
        <v>50</v>
      </c>
      <c r="D8" s="114" t="s">
        <v>199</v>
      </c>
      <c r="F8" s="113" t="s">
        <v>200</v>
      </c>
      <c r="H8" s="114" t="s">
        <v>201</v>
      </c>
      <c r="J8" s="113" t="s">
        <v>202</v>
      </c>
      <c r="L8" s="113" t="s">
        <v>203</v>
      </c>
      <c r="M8" s="115" t="n">
        <v>23</v>
      </c>
      <c r="O8" s="116" t="s">
        <v>204</v>
      </c>
    </row>
    <row r="9" customFormat="false" ht="15" hidden="false" customHeight="false" outlineLevel="0" collapsed="false">
      <c r="B9" s="113" t="s">
        <v>205</v>
      </c>
      <c r="C9" s="113" t="n">
        <v>50</v>
      </c>
      <c r="D9" s="114" t="s">
        <v>206</v>
      </c>
      <c r="F9" s="113" t="s">
        <v>207</v>
      </c>
      <c r="H9" s="114" t="s">
        <v>208</v>
      </c>
      <c r="J9" s="113"/>
      <c r="L9" s="113" t="s">
        <v>209</v>
      </c>
      <c r="M9" s="115" t="n">
        <v>36</v>
      </c>
      <c r="O9" s="116" t="s">
        <v>210</v>
      </c>
    </row>
    <row r="10" customFormat="false" ht="15" hidden="false" customHeight="false" outlineLevel="0" collapsed="false">
      <c r="B10" s="113" t="s">
        <v>211</v>
      </c>
      <c r="C10" s="113" t="n">
        <v>50</v>
      </c>
      <c r="D10" s="114" t="s">
        <v>212</v>
      </c>
      <c r="F10" s="113" t="s">
        <v>213</v>
      </c>
      <c r="H10" s="114" t="s">
        <v>214</v>
      </c>
      <c r="J10" s="113"/>
      <c r="L10" s="113" t="s">
        <v>215</v>
      </c>
      <c r="M10" s="115" t="n">
        <v>51</v>
      </c>
      <c r="O10" s="116" t="s">
        <v>216</v>
      </c>
    </row>
    <row r="11" customFormat="false" ht="15" hidden="false" customHeight="false" outlineLevel="0" collapsed="false">
      <c r="B11" s="113"/>
      <c r="C11" s="113"/>
      <c r="D11" s="114" t="s">
        <v>217</v>
      </c>
      <c r="F11" s="113" t="s">
        <v>218</v>
      </c>
      <c r="H11" s="114" t="s">
        <v>219</v>
      </c>
      <c r="L11" s="113" t="s">
        <v>220</v>
      </c>
      <c r="M11" s="115" t="n">
        <v>66</v>
      </c>
      <c r="O11" s="116" t="s">
        <v>221</v>
      </c>
    </row>
    <row r="12" customFormat="false" ht="15" hidden="false" customHeight="false" outlineLevel="0" collapsed="false">
      <c r="B12" s="113"/>
      <c r="C12" s="113"/>
      <c r="D12" s="114" t="s">
        <v>222</v>
      </c>
      <c r="F12" s="113" t="s">
        <v>223</v>
      </c>
      <c r="H12" s="114" t="s">
        <v>224</v>
      </c>
      <c r="O12" s="116" t="s">
        <v>225</v>
      </c>
    </row>
    <row r="13" customFormat="false" ht="15" hidden="false" customHeight="false" outlineLevel="0" collapsed="false">
      <c r="B13" s="113"/>
      <c r="C13" s="113"/>
      <c r="D13" s="114" t="s">
        <v>226</v>
      </c>
      <c r="F13" s="113" t="s">
        <v>227</v>
      </c>
      <c r="H13" s="114" t="s">
        <v>228</v>
      </c>
      <c r="O13" s="116" t="s">
        <v>229</v>
      </c>
    </row>
    <row r="14" customFormat="false" ht="15" hidden="false" customHeight="false" outlineLevel="0" collapsed="false">
      <c r="B14" s="113"/>
      <c r="C14" s="113"/>
      <c r="D14" s="114" t="s">
        <v>230</v>
      </c>
      <c r="F14" s="113"/>
      <c r="H14" s="114" t="s">
        <v>231</v>
      </c>
      <c r="O14" s="116" t="s">
        <v>232</v>
      </c>
    </row>
    <row r="15" customFormat="false" ht="15" hidden="false" customHeight="false" outlineLevel="0" collapsed="false">
      <c r="B15" s="113"/>
      <c r="C15" s="113"/>
      <c r="D15" s="114" t="s">
        <v>233</v>
      </c>
      <c r="F15" s="113"/>
      <c r="H15" s="114" t="s">
        <v>234</v>
      </c>
      <c r="O15" s="116" t="s">
        <v>235</v>
      </c>
    </row>
    <row r="16" customFormat="false" ht="15" hidden="false" customHeight="false" outlineLevel="0" collapsed="false">
      <c r="B16" s="113"/>
      <c r="C16" s="113"/>
      <c r="D16" s="114" t="s">
        <v>236</v>
      </c>
      <c r="F16" s="113"/>
      <c r="H16" s="114"/>
      <c r="O16" s="116" t="s">
        <v>237</v>
      </c>
    </row>
    <row r="17" customFormat="false" ht="15" hidden="false" customHeight="false" outlineLevel="0" collapsed="false">
      <c r="B17" s="113"/>
      <c r="C17" s="113"/>
      <c r="D17" s="114" t="s">
        <v>238</v>
      </c>
      <c r="F17" s="113"/>
      <c r="H17" s="114"/>
    </row>
    <row r="18" customFormat="false" ht="15" hidden="false" customHeight="false" outlineLevel="0" collapsed="false">
      <c r="B18" s="113"/>
      <c r="C18" s="113"/>
      <c r="D18" s="114" t="s">
        <v>239</v>
      </c>
      <c r="F18" s="113"/>
      <c r="H18" s="114"/>
    </row>
    <row r="19" customFormat="false" ht="15" hidden="false" customHeight="false" outlineLevel="0" collapsed="false">
      <c r="B19" s="113"/>
      <c r="C19" s="113"/>
      <c r="D19" s="114" t="s">
        <v>240</v>
      </c>
      <c r="F19" s="113"/>
      <c r="H19" s="114"/>
    </row>
    <row r="20" customFormat="false" ht="15" hidden="false" customHeight="false" outlineLevel="0" collapsed="false">
      <c r="B20" s="113"/>
      <c r="C20" s="113"/>
      <c r="D20" s="114" t="s">
        <v>241</v>
      </c>
      <c r="F20" s="113"/>
      <c r="H20" s="114"/>
    </row>
    <row r="21" customFormat="false" ht="15" hidden="false" customHeight="false" outlineLevel="0" collapsed="false">
      <c r="B21" s="113"/>
      <c r="C21" s="113"/>
      <c r="D21" s="114"/>
      <c r="F21" s="113"/>
      <c r="H21" s="114"/>
    </row>
    <row r="22" customFormat="false" ht="15" hidden="false" customHeight="false" outlineLevel="0" collapsed="false">
      <c r="B22" s="113"/>
      <c r="C22" s="113"/>
      <c r="D22" s="114"/>
      <c r="F22" s="113"/>
      <c r="H22" s="114"/>
    </row>
    <row r="23" customFormat="false" ht="15" hidden="false" customHeight="false" outlineLevel="0" collapsed="false">
      <c r="B23" s="113"/>
      <c r="C23" s="113"/>
      <c r="D23" s="114"/>
      <c r="F23" s="113"/>
      <c r="H23" s="114"/>
    </row>
    <row r="24" customFormat="false" ht="15" hidden="false" customHeight="false" outlineLevel="0" collapsed="false">
      <c r="B24" s="113"/>
      <c r="C24" s="113"/>
      <c r="D24" s="114"/>
      <c r="F24" s="113"/>
      <c r="H24" s="114"/>
    </row>
    <row r="25" customFormat="false" ht="15" hidden="false" customHeight="false" outlineLevel="0" collapsed="false">
      <c r="B25" s="113"/>
      <c r="C25" s="113"/>
      <c r="D25" s="114"/>
      <c r="F25" s="113"/>
      <c r="H25" s="114"/>
    </row>
    <row r="26" customFormat="false" ht="15" hidden="false" customHeight="false" outlineLevel="0" collapsed="false">
      <c r="B26" s="113"/>
      <c r="C26" s="113"/>
      <c r="D26" s="114"/>
      <c r="F26" s="113"/>
      <c r="H26" s="114"/>
    </row>
    <row r="27" customFormat="false" ht="15" hidden="false" customHeight="false" outlineLevel="0" collapsed="false">
      <c r="B27" s="113"/>
      <c r="C27" s="113"/>
      <c r="D27" s="114"/>
      <c r="F27" s="113"/>
      <c r="H27" s="114"/>
    </row>
    <row r="28" customFormat="false" ht="15" hidden="false" customHeight="false" outlineLevel="0" collapsed="false">
      <c r="B28" s="113"/>
      <c r="C28" s="113"/>
      <c r="D28" s="114"/>
      <c r="F28" s="113"/>
      <c r="H28" s="114"/>
    </row>
    <row r="29" customFormat="false" ht="15" hidden="false" customHeight="false" outlineLevel="0" collapsed="false">
      <c r="B29" s="113"/>
      <c r="C29" s="113"/>
      <c r="D29" s="114"/>
      <c r="F29" s="113"/>
      <c r="H29" s="114"/>
    </row>
    <row r="30" customFormat="false" ht="15" hidden="false" customHeight="false" outlineLevel="0" collapsed="false">
      <c r="B30" s="113"/>
      <c r="C30" s="113"/>
      <c r="D30" s="114"/>
      <c r="F30" s="113"/>
      <c r="H30" s="114"/>
    </row>
    <row r="31" customFormat="false" ht="15" hidden="false" customHeight="false" outlineLevel="0" collapsed="false">
      <c r="B31" s="113"/>
      <c r="C31" s="113"/>
      <c r="D31" s="114"/>
      <c r="F31" s="113"/>
      <c r="H31" s="114"/>
    </row>
    <row r="32" customFormat="false" ht="15" hidden="false" customHeight="false" outlineLevel="0" collapsed="false">
      <c r="B32" s="113"/>
      <c r="C32" s="113"/>
      <c r="D32" s="114"/>
      <c r="F32" s="113"/>
      <c r="H32" s="114"/>
    </row>
    <row r="33" customFormat="false" ht="15" hidden="false" customHeight="false" outlineLevel="0" collapsed="false">
      <c r="B33" s="113"/>
      <c r="C33" s="113"/>
      <c r="D33" s="114"/>
      <c r="F33" s="113"/>
      <c r="H33" s="114"/>
    </row>
    <row r="34" customFormat="false" ht="15" hidden="false" customHeight="false" outlineLevel="0" collapsed="false">
      <c r="B34" s="113"/>
      <c r="C34" s="113"/>
      <c r="D34" s="114"/>
      <c r="F34" s="113"/>
      <c r="H34" s="114"/>
    </row>
    <row r="35" customFormat="false" ht="15" hidden="false" customHeight="false" outlineLevel="0" collapsed="false">
      <c r="B35" s="113"/>
      <c r="C35" s="113"/>
      <c r="D35" s="114"/>
      <c r="F35" s="113"/>
      <c r="H35" s="114"/>
    </row>
    <row r="36" customFormat="false" ht="15" hidden="false" customHeight="false" outlineLevel="0" collapsed="false">
      <c r="B36" s="113"/>
      <c r="C36" s="113"/>
      <c r="D36" s="114"/>
      <c r="F36" s="113"/>
      <c r="H36" s="114"/>
    </row>
    <row r="37" customFormat="false" ht="15" hidden="false" customHeight="false" outlineLevel="0" collapsed="false">
      <c r="B37" s="113"/>
      <c r="C37" s="113"/>
      <c r="D37" s="114"/>
      <c r="F37" s="113"/>
      <c r="H37" s="114"/>
    </row>
    <row r="38" customFormat="false" ht="15" hidden="false" customHeight="false" outlineLevel="0" collapsed="false">
      <c r="B38" s="113"/>
      <c r="C38" s="113"/>
      <c r="D38" s="114"/>
      <c r="F38" s="113"/>
      <c r="H38" s="114"/>
    </row>
    <row r="39" customFormat="false" ht="15" hidden="false" customHeight="false" outlineLevel="0" collapsed="false">
      <c r="B39" s="113"/>
      <c r="C39" s="113"/>
      <c r="D39" s="114"/>
      <c r="F39" s="113"/>
      <c r="H39" s="114"/>
    </row>
    <row r="40" customFormat="false" ht="15" hidden="false" customHeight="false" outlineLevel="0" collapsed="false">
      <c r="B40" s="113"/>
      <c r="C40" s="113"/>
      <c r="D40" s="114"/>
      <c r="F40" s="113"/>
      <c r="H40" s="114"/>
    </row>
    <row r="41" customFormat="false" ht="15" hidden="false" customHeight="false" outlineLevel="0" collapsed="false">
      <c r="B41" s="113"/>
      <c r="C41" s="113"/>
      <c r="D41" s="114"/>
      <c r="F41" s="113"/>
      <c r="H41" s="114"/>
    </row>
    <row r="42" customFormat="false" ht="15" hidden="false" customHeight="false" outlineLevel="0" collapsed="false">
      <c r="B42" s="113"/>
      <c r="C42" s="113"/>
      <c r="D42" s="114"/>
      <c r="F42" s="113"/>
      <c r="H42" s="114"/>
    </row>
    <row r="43" customFormat="false" ht="15" hidden="false" customHeight="false" outlineLevel="0" collapsed="false">
      <c r="B43" s="113"/>
      <c r="C43" s="113"/>
      <c r="D43" s="114"/>
      <c r="F43" s="113"/>
      <c r="H43" s="114"/>
    </row>
    <row r="44" customFormat="false" ht="15" hidden="false" customHeight="false" outlineLevel="0" collapsed="false">
      <c r="B44" s="113"/>
      <c r="C44" s="113"/>
      <c r="D44" s="114"/>
      <c r="F44" s="113"/>
      <c r="H44" s="114"/>
    </row>
    <row r="45" customFormat="false" ht="15" hidden="false" customHeight="false" outlineLevel="0" collapsed="false">
      <c r="B45" s="113"/>
      <c r="C45" s="113"/>
      <c r="D45" s="114"/>
      <c r="F45" s="113"/>
      <c r="H45" s="114"/>
    </row>
    <row r="48" customFormat="false" ht="15" hidden="false" customHeight="false" outlineLevel="0" collapsed="false">
      <c r="B48" s="117" t="s">
        <v>242</v>
      </c>
      <c r="C48" s="117"/>
      <c r="D48" s="117"/>
      <c r="E48" s="117"/>
      <c r="F48" s="117"/>
    </row>
    <row r="49" customFormat="false" ht="15" hidden="false" customHeight="false" outlineLevel="0" collapsed="false">
      <c r="B49" s="42" t="s">
        <v>243</v>
      </c>
      <c r="C49" s="118" t="s">
        <v>244</v>
      </c>
      <c r="D49" s="118"/>
      <c r="E49" s="118"/>
      <c r="F49" s="118"/>
    </row>
    <row r="50" customFormat="false" ht="15" hidden="false" customHeight="false" outlineLevel="0" collapsed="false">
      <c r="B50" s="42" t="s">
        <v>245</v>
      </c>
      <c r="C50" s="118" t="s">
        <v>246</v>
      </c>
      <c r="D50" s="118"/>
      <c r="E50" s="118"/>
      <c r="F50" s="118"/>
    </row>
    <row r="51" customFormat="false" ht="15" hidden="false" customHeight="false" outlineLevel="0" collapsed="false">
      <c r="B51" s="42" t="s">
        <v>247</v>
      </c>
      <c r="C51" s="118" t="s">
        <v>248</v>
      </c>
      <c r="D51" s="118"/>
      <c r="E51" s="118"/>
      <c r="F51" s="118"/>
    </row>
    <row r="52" customFormat="false" ht="15" hidden="false" customHeight="false" outlineLevel="0" collapsed="false">
      <c r="B52" s="42" t="s">
        <v>249</v>
      </c>
      <c r="C52" s="118" t="s">
        <v>250</v>
      </c>
      <c r="D52" s="118"/>
      <c r="E52" s="118"/>
      <c r="F52" s="118"/>
    </row>
    <row r="53" customFormat="false" ht="15" hidden="false" customHeight="false" outlineLevel="0" collapsed="false">
      <c r="B53" s="42" t="s">
        <v>251</v>
      </c>
      <c r="C53" s="118" t="s">
        <v>252</v>
      </c>
      <c r="D53" s="118"/>
      <c r="E53" s="118"/>
      <c r="F53" s="118"/>
    </row>
    <row r="54" customFormat="false" ht="15" hidden="false" customHeight="false" outlineLevel="0" collapsed="false">
      <c r="B54" s="42" t="s">
        <v>253</v>
      </c>
      <c r="C54" s="118" t="s">
        <v>254</v>
      </c>
      <c r="D54" s="118"/>
      <c r="E54" s="118"/>
      <c r="F54" s="118"/>
    </row>
    <row r="55" customFormat="false" ht="15" hidden="false" customHeight="false" outlineLevel="0" collapsed="false">
      <c r="B55" s="42" t="s">
        <v>255</v>
      </c>
      <c r="C55" s="118" t="s">
        <v>254</v>
      </c>
      <c r="D55" s="118"/>
      <c r="E55" s="118"/>
      <c r="F55" s="118"/>
    </row>
    <row r="56" customFormat="false" ht="15" hidden="false" customHeight="false" outlineLevel="0" collapsed="false">
      <c r="B56" s="42" t="s">
        <v>256</v>
      </c>
      <c r="C56" s="118" t="s">
        <v>257</v>
      </c>
      <c r="D56" s="118"/>
      <c r="E56" s="118"/>
      <c r="F56" s="118"/>
    </row>
    <row r="57" customFormat="false" ht="15" hidden="false" customHeight="false" outlineLevel="0" collapsed="false">
      <c r="B57" s="42" t="s">
        <v>258</v>
      </c>
      <c r="C57" s="118" t="s">
        <v>186</v>
      </c>
      <c r="D57" s="118"/>
      <c r="E57" s="118"/>
      <c r="F57" s="118"/>
    </row>
  </sheetData>
  <mergeCells count="11">
    <mergeCell ref="A1:O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30" t="s">
        <v>259</v>
      </c>
      <c r="B1" s="30"/>
      <c r="C1" s="30"/>
      <c r="D1" s="30"/>
      <c r="E1" s="30"/>
    </row>
    <row r="2" customFormat="false" ht="15" hidden="false" customHeight="false" outlineLevel="0" collapsed="false">
      <c r="A2" s="31" t="s">
        <v>34</v>
      </c>
    </row>
    <row r="4" customFormat="false" ht="18.75" hidden="false" customHeight="true" outlineLevel="0" collapsed="false">
      <c r="B4" s="5" t="s">
        <v>260</v>
      </c>
      <c r="C4" s="5"/>
      <c r="D4" s="5"/>
      <c r="E4" s="5"/>
    </row>
    <row r="5" customFormat="false" ht="15" hidden="false" customHeight="false" outlineLevel="0" collapsed="false">
      <c r="C5" s="119" t="s">
        <v>261</v>
      </c>
      <c r="D5" s="119"/>
      <c r="E5" s="119"/>
    </row>
    <row r="6" customFormat="false" ht="15" hidden="false" customHeight="false" outlineLevel="0" collapsed="false">
      <c r="C6" s="119" t="s">
        <v>262</v>
      </c>
      <c r="D6" s="119"/>
      <c r="E6" s="119"/>
    </row>
    <row r="7" customFormat="false" ht="15" hidden="false" customHeight="false" outlineLevel="0" collapsed="false">
      <c r="C7" s="119" t="s">
        <v>263</v>
      </c>
      <c r="D7" s="119"/>
      <c r="E7" s="119"/>
    </row>
    <row r="8" customFormat="false" ht="15" hidden="false" customHeight="false" outlineLevel="0" collapsed="false">
      <c r="C8" s="119" t="s">
        <v>264</v>
      </c>
      <c r="D8" s="119"/>
      <c r="E8" s="119"/>
    </row>
    <row r="9" customFormat="false" ht="15" hidden="false" customHeight="false" outlineLevel="0" collapsed="false">
      <c r="C9" s="119" t="s">
        <v>265</v>
      </c>
      <c r="D9" s="119"/>
      <c r="E9" s="119"/>
    </row>
    <row r="10" customFormat="false" ht="15" hidden="false" customHeight="false" outlineLevel="0" collapsed="false">
      <c r="C10" s="119" t="s">
        <v>266</v>
      </c>
      <c r="D10" s="119"/>
      <c r="E10" s="119"/>
    </row>
    <row r="11" customFormat="false" ht="15" hidden="false" customHeight="false" outlineLevel="0" collapsed="false">
      <c r="C11" s="119" t="s">
        <v>267</v>
      </c>
      <c r="D11" s="119"/>
      <c r="E11" s="119"/>
    </row>
    <row r="12" customFormat="false" ht="15" hidden="false" customHeight="false" outlineLevel="0" collapsed="false">
      <c r="C12" s="119" t="s">
        <v>268</v>
      </c>
      <c r="D12" s="119"/>
      <c r="E12" s="119"/>
    </row>
    <row r="14" customFormat="false" ht="18.75" hidden="false" customHeight="true" outlineLevel="0" collapsed="false">
      <c r="B14" s="5" t="s">
        <v>269</v>
      </c>
      <c r="C14" s="5"/>
      <c r="D14" s="5"/>
      <c r="E14" s="5"/>
    </row>
    <row r="15" customFormat="false" ht="15" hidden="false" customHeight="false" outlineLevel="0" collapsed="false">
      <c r="C15" s="119" t="s">
        <v>270</v>
      </c>
      <c r="D15" s="119"/>
      <c r="E15" s="119"/>
    </row>
    <row r="16" customFormat="false" ht="15" hidden="false" customHeight="false" outlineLevel="0" collapsed="false">
      <c r="C16" s="119" t="s">
        <v>271</v>
      </c>
      <c r="D16" s="119"/>
      <c r="E16" s="119"/>
    </row>
    <row r="17" customFormat="false" ht="15" hidden="false" customHeight="false" outlineLevel="0" collapsed="false">
      <c r="C17" s="119" t="s">
        <v>272</v>
      </c>
      <c r="D17" s="119"/>
      <c r="E17" s="119"/>
    </row>
    <row r="18" customFormat="false" ht="15" hidden="false" customHeight="false" outlineLevel="0" collapsed="false">
      <c r="C18" s="119" t="s">
        <v>273</v>
      </c>
      <c r="D18" s="119"/>
      <c r="E18" s="119"/>
    </row>
    <row r="19" customFormat="false" ht="15" hidden="false" customHeight="false" outlineLevel="0" collapsed="false">
      <c r="C19" s="119" t="s">
        <v>274</v>
      </c>
      <c r="D19" s="119"/>
      <c r="E19" s="119"/>
    </row>
    <row r="20" customFormat="false" ht="15" hidden="false" customHeight="false" outlineLevel="0" collapsed="false">
      <c r="C20" s="119" t="s">
        <v>275</v>
      </c>
      <c r="D20" s="119"/>
      <c r="E20" s="119"/>
    </row>
    <row r="22" customFormat="false" ht="18.75" hidden="false" customHeight="true" outlineLevel="0" collapsed="false">
      <c r="B22" s="5" t="s">
        <v>276</v>
      </c>
      <c r="C22" s="5"/>
      <c r="D22" s="5"/>
      <c r="E22" s="5"/>
    </row>
    <row r="23" customFormat="false" ht="15" hidden="false" customHeight="false" outlineLevel="0" collapsed="false">
      <c r="C23" s="119" t="s">
        <v>277</v>
      </c>
      <c r="D23" s="119"/>
      <c r="E23" s="119"/>
    </row>
    <row r="24" customFormat="false" ht="15" hidden="false" customHeight="false" outlineLevel="0" collapsed="false">
      <c r="C24" s="119" t="s">
        <v>278</v>
      </c>
      <c r="D24" s="119"/>
      <c r="E24" s="119"/>
    </row>
    <row r="25" customFormat="false" ht="15" hidden="false" customHeight="false" outlineLevel="0" collapsed="false">
      <c r="C25" s="119" t="s">
        <v>279</v>
      </c>
      <c r="D25" s="119"/>
      <c r="E25" s="119"/>
    </row>
    <row r="26" customFormat="false" ht="15" hidden="false" customHeight="false" outlineLevel="0" collapsed="false">
      <c r="C26" s="119" t="s">
        <v>280</v>
      </c>
      <c r="D26" s="119"/>
      <c r="E26" s="119"/>
    </row>
    <row r="27" customFormat="false" ht="15" hidden="false" customHeight="false" outlineLevel="0" collapsed="false">
      <c r="C27" s="119" t="s">
        <v>281</v>
      </c>
      <c r="D27" s="119"/>
      <c r="E27" s="119"/>
    </row>
    <row r="28" customFormat="false" ht="15" hidden="false" customHeight="false" outlineLevel="0" collapsed="false">
      <c r="C28" s="119" t="s">
        <v>282</v>
      </c>
      <c r="D28" s="119"/>
      <c r="E28" s="119"/>
    </row>
    <row r="29" customFormat="false" ht="15" hidden="false" customHeight="false" outlineLevel="0" collapsed="false">
      <c r="C29" s="119" t="s">
        <v>283</v>
      </c>
      <c r="D29" s="119"/>
      <c r="E29" s="119"/>
    </row>
    <row r="30" customFormat="false" ht="15" hidden="false" customHeight="false" outlineLevel="0" collapsed="false">
      <c r="C30" s="119" t="s">
        <v>284</v>
      </c>
      <c r="D30" s="119"/>
      <c r="E30" s="119"/>
    </row>
    <row r="31" customFormat="false" ht="15" hidden="false" customHeight="false" outlineLevel="0" collapsed="false">
      <c r="C31" s="119" t="s">
        <v>285</v>
      </c>
      <c r="D31" s="119"/>
      <c r="E31" s="119"/>
    </row>
    <row r="32" customFormat="false" ht="15" hidden="false" customHeight="false" outlineLevel="0" collapsed="false">
      <c r="C32" s="119" t="s">
        <v>286</v>
      </c>
      <c r="D32" s="119"/>
      <c r="E32" s="119"/>
    </row>
    <row r="33" customFormat="false" ht="15" hidden="false" customHeight="false" outlineLevel="0" collapsed="false">
      <c r="C33" s="119" t="s">
        <v>287</v>
      </c>
      <c r="D33" s="119"/>
      <c r="E33" s="119"/>
    </row>
    <row r="34" customFormat="false" ht="15" hidden="false" customHeight="false" outlineLevel="0" collapsed="false">
      <c r="C34" s="119" t="s">
        <v>288</v>
      </c>
      <c r="D34" s="119"/>
      <c r="E34" s="119"/>
    </row>
    <row r="35" customFormat="false" ht="15" hidden="false" customHeight="false" outlineLevel="0" collapsed="false">
      <c r="C35" s="119" t="s">
        <v>289</v>
      </c>
      <c r="D35" s="119"/>
      <c r="E35" s="119"/>
    </row>
    <row r="37" customFormat="false" ht="18.75" hidden="false" customHeight="true" outlineLevel="0" collapsed="false">
      <c r="B37" s="5" t="s">
        <v>290</v>
      </c>
      <c r="C37" s="5"/>
      <c r="D37" s="5"/>
      <c r="E37" s="5"/>
    </row>
    <row r="38" customFormat="false" ht="15" hidden="false" customHeight="false" outlineLevel="0" collapsed="false">
      <c r="C38" s="119" t="s">
        <v>291</v>
      </c>
      <c r="D38" s="119"/>
      <c r="E38" s="119"/>
    </row>
    <row r="39" customFormat="false" ht="15" hidden="false" customHeight="false" outlineLevel="0" collapsed="false">
      <c r="C39" s="119" t="s">
        <v>292</v>
      </c>
      <c r="D39" s="119"/>
      <c r="E39" s="119"/>
    </row>
    <row r="40" customFormat="false" ht="15" hidden="false" customHeight="false" outlineLevel="0" collapsed="false">
      <c r="C40" s="119" t="s">
        <v>293</v>
      </c>
      <c r="D40" s="119"/>
      <c r="E40" s="119"/>
    </row>
    <row r="41" customFormat="false" ht="15" hidden="false" customHeight="false" outlineLevel="0" collapsed="false">
      <c r="C41" s="119" t="s">
        <v>294</v>
      </c>
      <c r="D41" s="119"/>
      <c r="E41" s="119"/>
    </row>
    <row r="42" customFormat="false" ht="15" hidden="false" customHeight="false" outlineLevel="0" collapsed="false">
      <c r="C42" s="119" t="s">
        <v>295</v>
      </c>
      <c r="D42" s="119"/>
      <c r="E42" s="119"/>
    </row>
    <row r="44" customFormat="false" ht="18.75" hidden="false" customHeight="true" outlineLevel="0" collapsed="false">
      <c r="B44" s="5" t="s">
        <v>296</v>
      </c>
      <c r="C44" s="5"/>
      <c r="D44" s="5"/>
      <c r="E44" s="5"/>
    </row>
    <row r="45" customFormat="false" ht="15" hidden="false" customHeight="false" outlineLevel="0" collapsed="false">
      <c r="C45" s="119" t="s">
        <v>297</v>
      </c>
      <c r="D45" s="119"/>
      <c r="E45" s="119"/>
    </row>
    <row r="46" customFormat="false" ht="15" hidden="false" customHeight="false" outlineLevel="0" collapsed="false">
      <c r="C46" s="119" t="s">
        <v>298</v>
      </c>
      <c r="D46" s="119"/>
      <c r="E46" s="119"/>
    </row>
    <row r="47" customFormat="false" ht="15" hidden="false" customHeight="false" outlineLevel="0" collapsed="false">
      <c r="C47" s="119" t="s">
        <v>299</v>
      </c>
      <c r="D47" s="119"/>
      <c r="E47" s="119"/>
    </row>
    <row r="48" customFormat="false" ht="15" hidden="false" customHeight="false" outlineLevel="0" collapsed="false">
      <c r="C48" s="119" t="s">
        <v>300</v>
      </c>
      <c r="D48" s="119"/>
      <c r="E48" s="119"/>
    </row>
    <row r="49" customFormat="false" ht="15" hidden="false" customHeight="false" outlineLevel="0" collapsed="false">
      <c r="C49" s="119" t="s">
        <v>301</v>
      </c>
      <c r="D49" s="119"/>
      <c r="E49" s="119"/>
    </row>
    <row r="51" customFormat="false" ht="18.75" hidden="false" customHeight="true" outlineLevel="0" collapsed="false">
      <c r="B51" s="5" t="s">
        <v>302</v>
      </c>
      <c r="C51" s="5"/>
      <c r="D51" s="5"/>
      <c r="E51" s="5"/>
    </row>
    <row r="52" customFormat="false" ht="15" hidden="false" customHeight="false" outlineLevel="0" collapsed="false">
      <c r="C52" s="119" t="s">
        <v>303</v>
      </c>
      <c r="D52" s="119"/>
      <c r="E52" s="119"/>
    </row>
    <row r="53" customFormat="false" ht="15" hidden="false" customHeight="false" outlineLevel="0" collapsed="false">
      <c r="C53" s="119" t="s">
        <v>304</v>
      </c>
      <c r="D53" s="119"/>
      <c r="E53" s="119"/>
    </row>
    <row r="54" customFormat="false" ht="15" hidden="false" customHeight="false" outlineLevel="0" collapsed="false">
      <c r="C54" s="119" t="s">
        <v>305</v>
      </c>
      <c r="D54" s="119"/>
      <c r="E54" s="119"/>
    </row>
    <row r="56" customFormat="false" ht="18.75" hidden="false" customHeight="true" outlineLevel="0" collapsed="false">
      <c r="B56" s="5" t="s">
        <v>306</v>
      </c>
      <c r="C56" s="5"/>
      <c r="D56" s="5"/>
      <c r="E56" s="5"/>
    </row>
    <row r="57" customFormat="false" ht="15" hidden="false" customHeight="false" outlineLevel="0" collapsed="false">
      <c r="C57" s="119" t="s">
        <v>307</v>
      </c>
      <c r="D57" s="119"/>
      <c r="E57" s="119"/>
    </row>
    <row r="58" customFormat="false" ht="15" hidden="false" customHeight="false" outlineLevel="0" collapsed="false">
      <c r="C58" s="119" t="s">
        <v>308</v>
      </c>
      <c r="D58" s="119"/>
      <c r="E58" s="119"/>
    </row>
    <row r="59" customFormat="false" ht="15" hidden="false" customHeight="false" outlineLevel="0" collapsed="false">
      <c r="C59" s="119" t="s">
        <v>309</v>
      </c>
      <c r="D59" s="119"/>
      <c r="E59" s="119"/>
    </row>
    <row r="60" customFormat="false" ht="15" hidden="false" customHeight="false" outlineLevel="0" collapsed="false">
      <c r="C60" s="119" t="s">
        <v>310</v>
      </c>
      <c r="D60" s="119"/>
      <c r="E60" s="119"/>
    </row>
    <row r="62" customFormat="false" ht="18.75" hidden="false" customHeight="true" outlineLevel="0" collapsed="false">
      <c r="B62" s="5" t="s">
        <v>311</v>
      </c>
      <c r="C62" s="5"/>
      <c r="D62" s="5"/>
      <c r="E62" s="5"/>
    </row>
    <row r="63" customFormat="false" ht="15" hidden="false" customHeight="false" outlineLevel="0" collapsed="false">
      <c r="C63" s="119" t="s">
        <v>312</v>
      </c>
      <c r="D63" s="119"/>
      <c r="E63" s="119"/>
    </row>
    <row r="64" customFormat="false" ht="15" hidden="false" customHeight="false" outlineLevel="0" collapsed="false">
      <c r="C64" s="119" t="s">
        <v>313</v>
      </c>
      <c r="D64" s="119"/>
      <c r="E64" s="119"/>
    </row>
    <row r="65" customFormat="false" ht="15" hidden="false" customHeight="false" outlineLevel="0" collapsed="false">
      <c r="C65" s="119" t="s">
        <v>314</v>
      </c>
      <c r="D65" s="119"/>
      <c r="E65" s="119"/>
    </row>
    <row r="66" customFormat="false" ht="15" hidden="false" customHeight="false" outlineLevel="0" collapsed="false">
      <c r="C66" s="119" t="s">
        <v>315</v>
      </c>
      <c r="D66" s="119"/>
      <c r="E66" s="119"/>
    </row>
    <row r="68" customFormat="false" ht="18.75" hidden="false" customHeight="true" outlineLevel="0" collapsed="false">
      <c r="B68" s="5" t="s">
        <v>316</v>
      </c>
      <c r="C68" s="5"/>
      <c r="D68" s="5"/>
      <c r="E68" s="5"/>
    </row>
    <row r="69" customFormat="false" ht="15" hidden="false" customHeight="false" outlineLevel="0" collapsed="false">
      <c r="C69" s="119" t="s">
        <v>317</v>
      </c>
      <c r="D69" s="119"/>
      <c r="E69" s="119"/>
    </row>
    <row r="70" customFormat="false" ht="15" hidden="false" customHeight="false" outlineLevel="0" collapsed="false">
      <c r="C70" s="119" t="s">
        <v>318</v>
      </c>
      <c r="D70" s="119"/>
      <c r="E70" s="119"/>
    </row>
    <row r="71" customFormat="false" ht="15" hidden="false" customHeight="false" outlineLevel="0" collapsed="false">
      <c r="C71" s="119" t="s">
        <v>319</v>
      </c>
      <c r="D71" s="119"/>
      <c r="E71" s="119"/>
    </row>
    <row r="72" customFormat="false" ht="15" hidden="false" customHeight="false" outlineLevel="0" collapsed="false">
      <c r="C72" s="119" t="s">
        <v>320</v>
      </c>
      <c r="D72" s="119"/>
      <c r="E72" s="119"/>
    </row>
    <row r="73" customFormat="false" ht="15" hidden="false" customHeight="false" outlineLevel="0" collapsed="false">
      <c r="C73" s="119" t="s">
        <v>321</v>
      </c>
      <c r="D73" s="119"/>
      <c r="E73" s="119"/>
    </row>
    <row r="74" customFormat="false" ht="15" hidden="false" customHeight="false" outlineLevel="0" collapsed="false">
      <c r="C74" s="119" t="s">
        <v>322</v>
      </c>
      <c r="D74" s="119"/>
      <c r="E74" s="119"/>
    </row>
    <row r="76" customFormat="false" ht="15" hidden="false" customHeight="false" outlineLevel="0" collapsed="false">
      <c r="B76" s="120" t="s">
        <v>323</v>
      </c>
      <c r="C76" s="120"/>
      <c r="D76" s="120"/>
      <c r="E76" s="120"/>
    </row>
    <row r="77" customFormat="false" ht="15" hidden="false" customHeight="false" outlineLevel="0" collapsed="false">
      <c r="B77" s="120" t="s">
        <v>324</v>
      </c>
      <c r="C77" s="120"/>
      <c r="D77" s="120"/>
      <c r="E77" s="120"/>
    </row>
    <row r="78" customFormat="false" ht="15" hidden="false" customHeight="false" outlineLevel="0" collapsed="false">
      <c r="B78" s="120" t="s">
        <v>325</v>
      </c>
      <c r="C78" s="120"/>
      <c r="D78" s="120"/>
      <c r="E78" s="120"/>
    </row>
    <row r="79" customFormat="false" ht="15" hidden="false" customHeight="false" outlineLevel="0" collapsed="false">
      <c r="B79" s="120" t="s">
        <v>326</v>
      </c>
      <c r="C79" s="120"/>
      <c r="D79" s="120"/>
      <c r="E79" s="120"/>
    </row>
    <row r="81" customFormat="false" ht="15" hidden="false" customHeight="false" outlineLevel="0" collapsed="false">
      <c r="B81" s="120" t="s">
        <v>327</v>
      </c>
      <c r="C81" s="120"/>
      <c r="D81" s="120"/>
      <c r="E81" s="120"/>
    </row>
    <row r="82" customFormat="false" ht="15" hidden="false" customHeight="false" outlineLevel="0" collapsed="false">
      <c r="B82" s="120" t="s">
        <v>328</v>
      </c>
      <c r="C82" s="120"/>
      <c r="D82" s="120"/>
      <c r="E82" s="120"/>
    </row>
    <row r="83" customFormat="false" ht="15" hidden="false" customHeight="false" outlineLevel="0" collapsed="false">
      <c r="B83" s="120" t="s">
        <v>329</v>
      </c>
      <c r="C83" s="120"/>
      <c r="D83" s="120"/>
      <c r="E83" s="120"/>
    </row>
    <row r="84" customFormat="false" ht="15" hidden="false" customHeight="false" outlineLevel="0" collapsed="false">
      <c r="B84" s="120" t="s">
        <v>330</v>
      </c>
      <c r="C84" s="120"/>
      <c r="D84" s="120"/>
      <c r="E84" s="120"/>
    </row>
    <row r="85" customFormat="false" ht="15" hidden="false" customHeight="false" outlineLevel="0" collapsed="false">
      <c r="B85" s="120" t="s">
        <v>331</v>
      </c>
      <c r="C85" s="120"/>
      <c r="D85" s="120"/>
      <c r="E85" s="120"/>
    </row>
    <row r="86" customFormat="false" ht="15" hidden="false" customHeight="false" outlineLevel="0" collapsed="false">
      <c r="B86" s="120" t="s">
        <v>332</v>
      </c>
      <c r="C86" s="120"/>
      <c r="D86" s="120"/>
      <c r="E86" s="120"/>
    </row>
    <row r="87" customFormat="false" ht="15" hidden="false" customHeight="false" outlineLevel="0" collapsed="false">
      <c r="B87" s="120" t="s">
        <v>333</v>
      </c>
      <c r="C87" s="120"/>
      <c r="D87" s="120"/>
      <c r="E87" s="120"/>
    </row>
    <row r="88" customFormat="false" ht="15" hidden="false" customHeight="false" outlineLevel="0" collapsed="false">
      <c r="B88" s="120" t="s">
        <v>326</v>
      </c>
      <c r="C88" s="120"/>
      <c r="D88" s="120"/>
      <c r="E88" s="120"/>
    </row>
    <row r="90" customFormat="false" ht="15" hidden="false" customHeight="false" outlineLevel="0" collapsed="false">
      <c r="B90" s="120" t="s">
        <v>334</v>
      </c>
      <c r="C90" s="120"/>
      <c r="D90" s="120"/>
      <c r="E90" s="120"/>
    </row>
    <row r="91" customFormat="false" ht="15" hidden="false" customHeight="false" outlineLevel="0" collapsed="false">
      <c r="B91" s="120" t="s">
        <v>335</v>
      </c>
      <c r="C91" s="120"/>
      <c r="D91" s="120"/>
      <c r="E91" s="120"/>
    </row>
    <row r="92" customFormat="false" ht="15" hidden="false" customHeight="false" outlineLevel="0" collapsed="false">
      <c r="B92" s="120" t="s">
        <v>326</v>
      </c>
      <c r="C92" s="120"/>
      <c r="D92" s="120"/>
      <c r="E92" s="120"/>
    </row>
    <row r="94" customFormat="false" ht="15" hidden="false" customHeight="false" outlineLevel="0" collapsed="false">
      <c r="B94" s="5" t="s">
        <v>336</v>
      </c>
      <c r="C94" s="5"/>
      <c r="D94" s="5"/>
      <c r="E94" s="5"/>
    </row>
    <row r="95" customFormat="false" ht="15" hidden="false" customHeight="false" outlineLevel="0" collapsed="false">
      <c r="C95" s="121" t="s">
        <v>337</v>
      </c>
      <c r="D95" s="122" t="s">
        <v>338</v>
      </c>
      <c r="E95" s="121" t="s">
        <v>339</v>
      </c>
    </row>
    <row r="96" customFormat="false" ht="15" hidden="false" customHeight="false" outlineLevel="0" collapsed="false">
      <c r="C96" s="12" t="s">
        <v>39</v>
      </c>
      <c r="D96" s="123" t="s">
        <v>340</v>
      </c>
      <c r="E96" s="12" t="s">
        <v>341</v>
      </c>
    </row>
    <row r="97" customFormat="false" ht="15" hidden="false" customHeight="false" outlineLevel="0" collapsed="false">
      <c r="C97" s="8" t="s">
        <v>40</v>
      </c>
      <c r="D97" s="124" t="s">
        <v>342</v>
      </c>
      <c r="E97" s="8" t="s">
        <v>343</v>
      </c>
    </row>
    <row r="98" customFormat="false" ht="15" hidden="false" customHeight="false" outlineLevel="0" collapsed="false">
      <c r="C98" s="12" t="s">
        <v>41</v>
      </c>
      <c r="D98" s="123" t="s">
        <v>344</v>
      </c>
      <c r="E98" s="12" t="s">
        <v>345</v>
      </c>
    </row>
    <row r="99" customFormat="false" ht="15" hidden="false" customHeight="false" outlineLevel="0" collapsed="false">
      <c r="C99" s="8" t="s">
        <v>24</v>
      </c>
      <c r="D99" s="124" t="s">
        <v>184</v>
      </c>
      <c r="E99" s="8" t="s">
        <v>346</v>
      </c>
    </row>
    <row r="100" customFormat="false" ht="15" hidden="false" customHeight="false" outlineLevel="0" collapsed="false">
      <c r="C100" s="12" t="s">
        <v>42</v>
      </c>
      <c r="D100" s="123" t="s">
        <v>185</v>
      </c>
      <c r="E100" s="12" t="s">
        <v>347</v>
      </c>
    </row>
    <row r="101" customFormat="false" ht="15" hidden="false" customHeight="false" outlineLevel="0" collapsed="false">
      <c r="C101" s="8" t="s">
        <v>43</v>
      </c>
      <c r="D101" s="124" t="s">
        <v>348</v>
      </c>
      <c r="E101" s="8" t="s">
        <v>349</v>
      </c>
    </row>
    <row r="102" customFormat="false" ht="15" hidden="false" customHeight="false" outlineLevel="0" collapsed="false">
      <c r="C102" s="12" t="s">
        <v>44</v>
      </c>
      <c r="D102" s="123" t="s">
        <v>213</v>
      </c>
      <c r="E102" s="12" t="s">
        <v>346</v>
      </c>
    </row>
    <row r="103" customFormat="false" ht="15" hidden="false" customHeight="false" outlineLevel="0" collapsed="false">
      <c r="C103" s="8" t="s">
        <v>45</v>
      </c>
      <c r="D103" s="124" t="s">
        <v>350</v>
      </c>
      <c r="E103" s="8" t="s">
        <v>351</v>
      </c>
    </row>
    <row r="104" customFormat="false" ht="15" hidden="false" customHeight="false" outlineLevel="0" collapsed="false">
      <c r="C104" s="12" t="s">
        <v>46</v>
      </c>
      <c r="D104" s="123" t="s">
        <v>352</v>
      </c>
      <c r="E104" s="12" t="s">
        <v>353</v>
      </c>
    </row>
    <row r="105" customFormat="false" ht="15" hidden="false" customHeight="false" outlineLevel="0" collapsed="false">
      <c r="C105" s="8" t="s">
        <v>47</v>
      </c>
      <c r="D105" s="124" t="s">
        <v>187</v>
      </c>
      <c r="E105" s="8" t="s">
        <v>346</v>
      </c>
    </row>
    <row r="106" customFormat="false" ht="15" hidden="false" customHeight="false" outlineLevel="0" collapsed="false">
      <c r="C106" s="12" t="s">
        <v>48</v>
      </c>
      <c r="D106" s="123" t="s">
        <v>354</v>
      </c>
      <c r="E106" s="12" t="s">
        <v>355</v>
      </c>
    </row>
    <row r="107" customFormat="false" ht="15" hidden="false" customHeight="false" outlineLevel="0" collapsed="false">
      <c r="C107" s="8" t="s">
        <v>49</v>
      </c>
      <c r="D107" s="124" t="s">
        <v>356</v>
      </c>
      <c r="E107" s="8" t="s">
        <v>357</v>
      </c>
    </row>
    <row r="108" customFormat="false" ht="15" hidden="false" customHeight="false" outlineLevel="0" collapsed="false">
      <c r="C108" s="12" t="s">
        <v>50</v>
      </c>
      <c r="D108" s="123" t="s">
        <v>209</v>
      </c>
      <c r="E108" s="12" t="s">
        <v>358</v>
      </c>
    </row>
    <row r="109" customFormat="false" ht="15" hidden="false" customHeight="false" outlineLevel="0" collapsed="false">
      <c r="C109" s="8" t="s">
        <v>51</v>
      </c>
      <c r="D109" s="124" t="s">
        <v>188</v>
      </c>
      <c r="E109" s="8" t="s">
        <v>359</v>
      </c>
    </row>
    <row r="110" customFormat="false" ht="15" hidden="false" customHeight="false" outlineLevel="0" collapsed="false">
      <c r="C110" s="12" t="s">
        <v>52</v>
      </c>
      <c r="D110" s="123" t="s">
        <v>360</v>
      </c>
      <c r="E110" s="12" t="s">
        <v>361</v>
      </c>
    </row>
    <row r="111" customFormat="false" ht="15" hidden="false" customHeight="false" outlineLevel="0" collapsed="false">
      <c r="C111" s="8" t="s">
        <v>53</v>
      </c>
      <c r="D111" s="124" t="s">
        <v>340</v>
      </c>
      <c r="E111" s="8" t="s">
        <v>362</v>
      </c>
    </row>
    <row r="112" customFormat="false" ht="15" hidden="false" customHeight="false" outlineLevel="0" collapsed="false">
      <c r="C112" s="12" t="s">
        <v>54</v>
      </c>
      <c r="D112" s="123" t="s">
        <v>363</v>
      </c>
      <c r="E112" s="12" t="s">
        <v>364</v>
      </c>
    </row>
    <row r="113" customFormat="false" ht="15" hidden="false" customHeight="false" outlineLevel="0" collapsed="false">
      <c r="C113" s="125" t="s">
        <v>365</v>
      </c>
      <c r="D113" s="125"/>
      <c r="E113" s="125"/>
    </row>
  </sheetData>
  <mergeCells count="81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7:E37"/>
    <mergeCell ref="C38:E38"/>
    <mergeCell ref="C39:E39"/>
    <mergeCell ref="C40:E40"/>
    <mergeCell ref="C41:E41"/>
    <mergeCell ref="C42:E42"/>
    <mergeCell ref="B44:E44"/>
    <mergeCell ref="C45:E45"/>
    <mergeCell ref="C46:E46"/>
    <mergeCell ref="C47:E47"/>
    <mergeCell ref="C48:E48"/>
    <mergeCell ref="C49:E49"/>
    <mergeCell ref="B51:E51"/>
    <mergeCell ref="C52:E52"/>
    <mergeCell ref="C53:E53"/>
    <mergeCell ref="C54:E54"/>
    <mergeCell ref="B56:E56"/>
    <mergeCell ref="C57:E57"/>
    <mergeCell ref="C58:E58"/>
    <mergeCell ref="C59:E59"/>
    <mergeCell ref="C60:E60"/>
    <mergeCell ref="B62:E62"/>
    <mergeCell ref="C63:E63"/>
    <mergeCell ref="C64:E64"/>
    <mergeCell ref="C65:E65"/>
    <mergeCell ref="C66:E66"/>
    <mergeCell ref="B68:E68"/>
    <mergeCell ref="C69:E69"/>
    <mergeCell ref="C70:E70"/>
    <mergeCell ref="C71:E71"/>
    <mergeCell ref="C72:E72"/>
    <mergeCell ref="C73:E73"/>
    <mergeCell ref="C74:E74"/>
    <mergeCell ref="B76:E76"/>
    <mergeCell ref="B77:E77"/>
    <mergeCell ref="B78:E78"/>
    <mergeCell ref="B79:E79"/>
    <mergeCell ref="B81:E81"/>
    <mergeCell ref="B82:E82"/>
    <mergeCell ref="B83:E83"/>
    <mergeCell ref="B84:E84"/>
    <mergeCell ref="B85:E85"/>
    <mergeCell ref="B86:E86"/>
    <mergeCell ref="B87:E87"/>
    <mergeCell ref="B88:E88"/>
    <mergeCell ref="B90:E90"/>
    <mergeCell ref="B91:E91"/>
    <mergeCell ref="B92:E92"/>
    <mergeCell ref="B94:E94"/>
    <mergeCell ref="C113:E113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2026-08-02T01:22:26Z</dcterms:created>
  <dc:creator>Aplikasi Team Pemenangan</dc:creator>
  <dc:description/>
  <dc:language>en-US</dc:language>
  <cp:lastModifiedBy/>
  <dcterms:modified xsi:type="dcterms:W3CDTF">2026-08-02T01:22:33Z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