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8720" windowHeight="8325"/>
  </bookViews>
  <sheets>
    <sheet name="Ketas" sheetId="1" r:id="rId1"/>
    <sheet name="RAM" sheetId="2" r:id="rId2"/>
  </sheets>
  <calcPr calcId="145621"/>
</workbook>
</file>

<file path=xl/calcChain.xml><?xml version="1.0" encoding="utf-8"?>
<calcChain xmlns="http://schemas.openxmlformats.org/spreadsheetml/2006/main">
  <c r="D42" i="2" l="1"/>
  <c r="L28" i="2"/>
  <c r="G28" i="2"/>
  <c r="K27" i="2"/>
  <c r="K26" i="2"/>
  <c r="K25" i="2"/>
  <c r="K24" i="2"/>
  <c r="K23" i="2"/>
  <c r="K22" i="2"/>
  <c r="K21" i="2"/>
  <c r="K20" i="2"/>
  <c r="K15" i="2"/>
  <c r="K14" i="2"/>
  <c r="K13" i="2"/>
  <c r="K12" i="2"/>
  <c r="K11" i="2"/>
  <c r="K10" i="2"/>
  <c r="K7" i="2"/>
  <c r="K5" i="2"/>
  <c r="K4" i="2"/>
  <c r="J21" i="2"/>
  <c r="J20" i="2"/>
  <c r="J27" i="2"/>
  <c r="J26" i="2"/>
  <c r="J25" i="2"/>
  <c r="J24" i="2"/>
  <c r="J23" i="2"/>
  <c r="J22" i="2"/>
  <c r="J15" i="2"/>
  <c r="J14" i="2"/>
  <c r="J13" i="2"/>
  <c r="J12" i="2"/>
  <c r="J11" i="2"/>
  <c r="J10" i="2"/>
  <c r="J7" i="2"/>
  <c r="J5" i="2"/>
  <c r="J4" i="2"/>
  <c r="I28" i="2"/>
  <c r="D19" i="2" l="1"/>
  <c r="E19" i="2" s="1"/>
  <c r="D18" i="2"/>
  <c r="E18" i="2" s="1"/>
  <c r="D17" i="2"/>
  <c r="E17" i="2" s="1"/>
  <c r="D16" i="2"/>
  <c r="E16" i="2" s="1"/>
  <c r="D9" i="2"/>
  <c r="E9" i="2" s="1"/>
  <c r="D8" i="2"/>
  <c r="E8" i="2" s="1"/>
  <c r="D6" i="2"/>
  <c r="E6" i="2" s="1"/>
  <c r="C41" i="1"/>
  <c r="S27" i="1"/>
  <c r="S28" i="1" s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D18" i="1"/>
  <c r="Q18" i="1" s="1"/>
  <c r="D17" i="1"/>
  <c r="Q17" i="1" s="1"/>
  <c r="D16" i="1"/>
  <c r="Q16" i="1" s="1"/>
  <c r="D15" i="1"/>
  <c r="Q15" i="1" s="1"/>
  <c r="D8" i="1"/>
  <c r="Q8" i="1" s="1"/>
  <c r="D7" i="1"/>
  <c r="Q7" i="1" s="1"/>
  <c r="D5" i="1"/>
  <c r="Q5" i="1" s="1"/>
  <c r="Q26" i="1"/>
  <c r="Q25" i="1"/>
  <c r="Q24" i="1"/>
  <c r="Q23" i="1"/>
  <c r="Q22" i="1"/>
  <c r="Q21" i="1"/>
  <c r="Q20" i="1"/>
  <c r="Q19" i="1"/>
  <c r="Q14" i="1"/>
  <c r="Q13" i="1"/>
  <c r="Q12" i="1"/>
  <c r="Q11" i="1"/>
  <c r="Q10" i="1"/>
  <c r="Q9" i="1"/>
  <c r="Q6" i="1"/>
  <c r="Q4" i="1"/>
  <c r="Q3" i="1"/>
  <c r="N27" i="1"/>
  <c r="N28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O10" i="1"/>
  <c r="P10" i="1" s="1"/>
  <c r="O9" i="1"/>
  <c r="P9" i="1" s="1"/>
  <c r="O8" i="1"/>
  <c r="O7" i="1"/>
  <c r="P7" i="1" s="1"/>
  <c r="O6" i="1"/>
  <c r="P6" i="1" s="1"/>
  <c r="O5" i="1"/>
  <c r="P5" i="1" s="1"/>
  <c r="O4" i="1"/>
  <c r="P4" i="1" s="1"/>
  <c r="O3" i="1"/>
  <c r="P8" i="1"/>
  <c r="P3" i="1"/>
  <c r="P11" i="1"/>
  <c r="H27" i="1"/>
  <c r="G27" i="1"/>
  <c r="F27" i="1"/>
  <c r="E27" i="1"/>
  <c r="L27" i="1"/>
  <c r="K27" i="1"/>
  <c r="I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8" i="2" l="1"/>
  <c r="K8" i="2"/>
  <c r="J16" i="2"/>
  <c r="K16" i="2"/>
  <c r="J6" i="2"/>
  <c r="K6" i="2"/>
  <c r="J9" i="2"/>
  <c r="K9" i="2"/>
  <c r="J17" i="2"/>
  <c r="K17" i="2"/>
  <c r="J19" i="2"/>
  <c r="K19" i="2"/>
  <c r="J18" i="2"/>
  <c r="K18" i="2"/>
  <c r="R27" i="1"/>
  <c r="R28" i="1" s="1"/>
  <c r="R29" i="1" s="1"/>
  <c r="S29" i="1"/>
  <c r="C36" i="1" s="1"/>
  <c r="C37" i="1" s="1"/>
  <c r="J27" i="1"/>
  <c r="I28" i="1" s="1"/>
  <c r="E28" i="1"/>
  <c r="Q27" i="1"/>
  <c r="Q29" i="1" s="1"/>
  <c r="E29" i="1"/>
  <c r="P27" i="1"/>
  <c r="P28" i="1" s="1"/>
  <c r="I29" i="1" l="1"/>
  <c r="C34" i="1" s="1"/>
  <c r="J28" i="2"/>
  <c r="K28" i="2"/>
  <c r="C32" i="2" s="1"/>
  <c r="C33" i="1"/>
  <c r="D33" i="1" s="1"/>
  <c r="C33" i="2" l="1"/>
  <c r="D32" i="2" s="1"/>
  <c r="C35" i="1"/>
  <c r="D34" i="1" s="1"/>
</calcChain>
</file>

<file path=xl/sharedStrings.xml><?xml version="1.0" encoding="utf-8"?>
<sst xmlns="http://schemas.openxmlformats.org/spreadsheetml/2006/main" count="165" uniqueCount="113">
  <si>
    <t>RIK</t>
  </si>
  <si>
    <t>JM</t>
  </si>
  <si>
    <t>EKEI</t>
  </si>
  <si>
    <t>Riigi Tugiteenuste Keskus</t>
  </si>
  <si>
    <t>Riigikohus</t>
  </si>
  <si>
    <t>Põhja Ringkonnaprokuratuur</t>
  </si>
  <si>
    <t>Lõuna Ringkonnaprokuratuur</t>
  </si>
  <si>
    <t>Lääne Ringkonnaprokuratuur</t>
  </si>
  <si>
    <t>Viru Ringkonnaprokuratuur</t>
  </si>
  <si>
    <t>Riigiprokuratuur</t>
  </si>
  <si>
    <t>Harju Maakohus</t>
  </si>
  <si>
    <t>Viru Maakohus</t>
  </si>
  <si>
    <t>Tartu Maakohus</t>
  </si>
  <si>
    <t>Pärnu Maakohus</t>
  </si>
  <si>
    <t>Tallinna Halduskohus</t>
  </si>
  <si>
    <t>Tartu Halduskohus</t>
  </si>
  <si>
    <t>Tallinna Ringkonnakohus</t>
  </si>
  <si>
    <t>Tartu Ringkonnakohus</t>
  </si>
  <si>
    <t>ÕKK</t>
  </si>
  <si>
    <t>AKI</t>
  </si>
  <si>
    <t>Tallinna vangla</t>
  </si>
  <si>
    <t>Tartu vangla</t>
  </si>
  <si>
    <t>Viru vangla</t>
  </si>
  <si>
    <t>Harku-Murru vangla</t>
  </si>
  <si>
    <t>dhs01</t>
  </si>
  <si>
    <t>dhs02</t>
  </si>
  <si>
    <t>dhs03</t>
  </si>
  <si>
    <t>dhs04</t>
  </si>
  <si>
    <t>dhs05</t>
  </si>
  <si>
    <t>dhs06</t>
  </si>
  <si>
    <t>dhs07</t>
  </si>
  <si>
    <t>dhs08</t>
  </si>
  <si>
    <t>dhs09</t>
  </si>
  <si>
    <t>dhs10</t>
  </si>
  <si>
    <t>dhs11</t>
  </si>
  <si>
    <t>dhs12</t>
  </si>
  <si>
    <t>dhs13</t>
  </si>
  <si>
    <t>dhs14</t>
  </si>
  <si>
    <t>dhs15</t>
  </si>
  <si>
    <t>dhs16</t>
  </si>
  <si>
    <t>dhs17</t>
  </si>
  <si>
    <t>dhs18</t>
  </si>
  <si>
    <t>dhs19</t>
  </si>
  <si>
    <t>dhs20</t>
  </si>
  <si>
    <t>dhs21</t>
  </si>
  <si>
    <t>dhs22</t>
  </si>
  <si>
    <t>dhs23</t>
  </si>
  <si>
    <t>dhs24</t>
  </si>
  <si>
    <t>Töötajate arv asutuses</t>
  </si>
  <si>
    <t>Unikaalseid kasutajaid tööpäevas logib sisse</t>
  </si>
  <si>
    <t>lucene-indexes</t>
  </si>
  <si>
    <t>backup-lucene-indexes</t>
  </si>
  <si>
    <t>oouser</t>
  </si>
  <si>
    <t>audit.contentstore</t>
  </si>
  <si>
    <t>contentstore.deleted</t>
  </si>
  <si>
    <t>updater</t>
  </si>
  <si>
    <t>contentstore</t>
  </si>
  <si>
    <t>data/local</t>
  </si>
  <si>
    <t>data/shared</t>
  </si>
  <si>
    <r>
      <t xml:space="preserve">lucene-indexes </t>
    </r>
    <r>
      <rPr>
        <u/>
        <sz val="11"/>
        <color theme="1"/>
        <rFont val="Calibri"/>
        <family val="2"/>
        <charset val="186"/>
        <scheme val="minor"/>
      </rPr>
      <t>töövaru</t>
    </r>
  </si>
  <si>
    <t>home</t>
  </si>
  <si>
    <t>home/dhsXY kokku</t>
  </si>
  <si>
    <t>logid</t>
  </si>
  <si>
    <t>mitte-logid</t>
  </si>
  <si>
    <t>logid pakitult (.gz)</t>
  </si>
  <si>
    <t>Järgmise 5 a logid pakitult</t>
  </si>
  <si>
    <t>Praegused andmed kokku (GB)</t>
  </si>
  <si>
    <t>Järgmise 5 a andmed kokku (GB)</t>
  </si>
  <si>
    <t>Jagatud andmed 5 aasta pärast (GB)</t>
  </si>
  <si>
    <t>1. rakendusserver 5 aasta pärast (GB)</t>
  </si>
  <si>
    <t>2. rakendusserver 5 aasta pärast (GB)</t>
  </si>
  <si>
    <t>Vajadus</t>
  </si>
  <si>
    <t>Tarnitud</t>
  </si>
  <si>
    <t>Snapshotid, backup</t>
  </si>
  <si>
    <t>aeglane ketas</t>
  </si>
  <si>
    <t>kiire ketas</t>
  </si>
  <si>
    <t>1. MSO masin 5 aasta pärast (GB)</t>
  </si>
  <si>
    <t>2. MSO masin 5 aasta pärast (GB)</t>
  </si>
  <si>
    <t>1. ADR masin 5 aasta pärast (GB)</t>
  </si>
  <si>
    <t>2. ADR masin 5 aasta pärast (GB)</t>
  </si>
  <si>
    <t>1. koormusjaotur 5 aasta pärast (GB)</t>
  </si>
  <si>
    <t>2. koormusjaotur 5 aasta pärast (GB)</t>
  </si>
  <si>
    <t>DHS andmebaas</t>
  </si>
  <si>
    <t>Master andmebaasiserver 5 aasta pärast (GB)</t>
  </si>
  <si>
    <t>Slave andmebaasiserver 5 aasta pärast (GB)</t>
  </si>
  <si>
    <t>ADR failid jagatud kettal</t>
  </si>
  <si>
    <t>Kasutaja klikitud päringute arv tööpäevas</t>
  </si>
  <si>
    <t>Kordaja</t>
  </si>
  <si>
    <t>Dokumentide arv</t>
  </si>
  <si>
    <t>Juur</t>
  </si>
  <si>
    <t>GC LOGIST Used heap keskmine (MB)</t>
  </si>
  <si>
    <t>GC LOGIST Total heap keskmine (MB)</t>
  </si>
  <si>
    <t>PRAEGUNE Total heap -Xmx (MB)</t>
  </si>
  <si>
    <t>SOOVITAV Total heap -Xmx (MB) ILMA KLASTRITA</t>
  </si>
  <si>
    <t>SOOVITAV Total heap -Xmx (MB) KLASTRIS</t>
  </si>
  <si>
    <t>Java muu + OpenOffice</t>
  </si>
  <si>
    <t>1. rakendusserver klastris (GB)</t>
  </si>
  <si>
    <t>2. rakendusserver klastris (GB)</t>
  </si>
  <si>
    <t>Master andmebaasiserver (GB)</t>
  </si>
  <si>
    <t>Slave andmebaasiserver (GB)</t>
  </si>
  <si>
    <t>1. MSO masin (GB)</t>
  </si>
  <si>
    <t>2. MSO masin (GB)</t>
  </si>
  <si>
    <t>1. ADR masin (GB)</t>
  </si>
  <si>
    <t>2. ADR masin (GB)</t>
  </si>
  <si>
    <t>1. koormusjaotur (GB)</t>
  </si>
  <si>
    <t>2. koormusjaotur (GB)</t>
  </si>
  <si>
    <t>1. CAS masin 5 aasta pärast (GB)</t>
  </si>
  <si>
    <t>2. CAS masin 5 aasta pärast (GB)</t>
  </si>
  <si>
    <t>RIK hindab</t>
  </si>
  <si>
    <t>1. CAS masin (GB)</t>
  </si>
  <si>
    <t>2. CAS masin (GB)</t>
  </si>
  <si>
    <t>RIK lubas omast rahast andmebaasi ressursi hankida.</t>
  </si>
  <si>
    <t>Rak.server alus JVM heap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</si>
</sst>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u/>
      <sz val="11"/>
      <color theme="1"/>
      <name val="Calibri"/>
      <family val="2"/>
      <charset val="186"/>
      <scheme val="minor"/>
    </font>
    <font>
      <sz val="11"/>
      <color theme="0" tint="-0.34998626667073579"/>
      <name val="Calibri"/>
      <family val="2"/>
      <charset val="186"/>
      <scheme val="minor"/>
    </font>
    <font>
      <sz val="11"/>
      <color theme="0" tint="-0.1499984740745262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/>
    <xf numFmtId="1" fontId="0" fillId="0" borderId="1" xfId="0" applyNumberFormat="1" applyFill="1" applyBorder="1" applyAlignment="1">
      <alignment horizontal="right"/>
    </xf>
    <xf numFmtId="0" fontId="0" fillId="0" borderId="2" xfId="0" applyBorder="1" applyAlignment="1"/>
    <xf numFmtId="1" fontId="0" fillId="0" borderId="3" xfId="0" applyNumberFormat="1" applyFill="1" applyBorder="1" applyAlignment="1">
      <alignment horizontal="right"/>
    </xf>
    <xf numFmtId="1" fontId="0" fillId="0" borderId="0" xfId="0" applyNumberFormat="1"/>
    <xf numFmtId="1" fontId="0" fillId="0" borderId="5" xfId="0" applyNumberFormat="1" applyFill="1" applyBorder="1" applyAlignment="1">
      <alignment horizontal="right"/>
    </xf>
    <xf numFmtId="1" fontId="0" fillId="0" borderId="6" xfId="0" applyNumberFormat="1" applyFill="1" applyBorder="1" applyAlignment="1">
      <alignment horizontal="right"/>
    </xf>
    <xf numFmtId="1" fontId="0" fillId="0" borderId="5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6" xfId="0" applyNumberFormat="1" applyBorder="1"/>
    <xf numFmtId="1" fontId="0" fillId="0" borderId="2" xfId="0" applyNumberFormat="1" applyBorder="1"/>
    <xf numFmtId="1" fontId="0" fillId="0" borderId="8" xfId="0" applyNumberFormat="1" applyBorder="1"/>
    <xf numFmtId="0" fontId="0" fillId="0" borderId="2" xfId="0" applyBorder="1"/>
    <xf numFmtId="1" fontId="1" fillId="2" borderId="4" xfId="0" applyNumberFormat="1" applyFont="1" applyFill="1" applyBorder="1" applyAlignment="1">
      <alignment textRotation="90" wrapText="1"/>
    </xf>
    <xf numFmtId="1" fontId="1" fillId="2" borderId="9" xfId="0" applyNumberFormat="1" applyFont="1" applyFill="1" applyBorder="1" applyAlignment="1">
      <alignment textRotation="90" wrapText="1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1" fontId="1" fillId="0" borderId="0" xfId="0" applyNumberFormat="1" applyFont="1"/>
    <xf numFmtId="1" fontId="1" fillId="0" borderId="6" xfId="0" applyNumberFormat="1" applyFont="1" applyBorder="1"/>
    <xf numFmtId="1" fontId="1" fillId="0" borderId="2" xfId="0" applyNumberFormat="1" applyFont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" fontId="1" fillId="0" borderId="11" xfId="0" applyNumberFormat="1" applyFont="1" applyBorder="1"/>
    <xf numFmtId="0" fontId="0" fillId="0" borderId="0" xfId="0" applyFill="1" applyBorder="1" applyAlignment="1">
      <alignment textRotation="90"/>
    </xf>
    <xf numFmtId="1" fontId="0" fillId="0" borderId="0" xfId="0" applyNumberFormat="1" applyAlignment="1">
      <alignment horizontal="right" vertical="center"/>
    </xf>
    <xf numFmtId="1" fontId="0" fillId="0" borderId="4" xfId="0" applyNumberFormat="1" applyBorder="1"/>
    <xf numFmtId="0" fontId="0" fillId="0" borderId="4" xfId="0" applyFill="1" applyBorder="1" applyAlignment="1">
      <alignment textRotation="90"/>
    </xf>
    <xf numFmtId="1" fontId="0" fillId="3" borderId="5" xfId="0" applyNumberFormat="1" applyFill="1" applyBorder="1" applyAlignment="1">
      <alignment horizontal="right"/>
    </xf>
    <xf numFmtId="1" fontId="0" fillId="0" borderId="0" xfId="0" applyNumberFormat="1" applyAlignment="1">
      <alignment horizontal="right" vertical="center"/>
    </xf>
    <xf numFmtId="1" fontId="0" fillId="0" borderId="12" xfId="0" applyNumberFormat="1" applyFill="1" applyBorder="1" applyAlignment="1">
      <alignment horizontal="right"/>
    </xf>
    <xf numFmtId="0" fontId="0" fillId="0" borderId="0" xfId="0" applyBorder="1" applyAlignment="1">
      <alignment textRotation="90"/>
    </xf>
    <xf numFmtId="0" fontId="0" fillId="0" borderId="0" xfId="0" applyBorder="1"/>
    <xf numFmtId="1" fontId="1" fillId="0" borderId="0" xfId="0" applyNumberFormat="1" applyFont="1" applyBorder="1"/>
    <xf numFmtId="1" fontId="0" fillId="0" borderId="0" xfId="0" applyNumberFormat="1" applyFill="1" applyBorder="1"/>
    <xf numFmtId="1" fontId="1" fillId="4" borderId="9" xfId="0" applyNumberFormat="1" applyFont="1" applyFill="1" applyBorder="1" applyAlignment="1">
      <alignment textRotation="90" wrapText="1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left"/>
    </xf>
    <xf numFmtId="1" fontId="0" fillId="0" borderId="0" xfId="0" applyNumberForma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1" fontId="0" fillId="0" borderId="0" xfId="0" applyNumberFormat="1" applyFont="1" applyBorder="1"/>
    <xf numFmtId="1" fontId="0" fillId="0" borderId="0" xfId="0" applyNumberFormat="1" applyAlignment="1">
      <alignment vertical="center"/>
    </xf>
    <xf numFmtId="1" fontId="1" fillId="0" borderId="6" xfId="0" applyNumberFormat="1" applyFont="1" applyFill="1" applyBorder="1" applyAlignment="1">
      <alignment horizontal="right"/>
    </xf>
    <xf numFmtId="0" fontId="4" fillId="0" borderId="0" xfId="0" applyFont="1" applyAlignment="1"/>
    <xf numFmtId="1" fontId="4" fillId="0" borderId="0" xfId="0" applyNumberFormat="1" applyFont="1" applyAlignment="1"/>
    <xf numFmtId="0" fontId="4" fillId="0" borderId="0" xfId="0" applyFont="1"/>
    <xf numFmtId="1" fontId="0" fillId="0" borderId="12" xfId="0" applyNumberFormat="1" applyBorder="1"/>
    <xf numFmtId="1" fontId="0" fillId="0" borderId="1" xfId="0" applyNumberFormat="1" applyBorder="1"/>
    <xf numFmtId="1" fontId="0" fillId="0" borderId="3" xfId="0" applyNumberFormat="1" applyBorder="1"/>
    <xf numFmtId="1" fontId="3" fillId="0" borderId="5" xfId="0" applyNumberFormat="1" applyFont="1" applyBorder="1"/>
    <xf numFmtId="1" fontId="1" fillId="5" borderId="9" xfId="0" applyNumberFormat="1" applyFont="1" applyFill="1" applyBorder="1" applyAlignment="1">
      <alignment textRotation="90" wrapText="1"/>
    </xf>
    <xf numFmtId="1" fontId="0" fillId="0" borderId="13" xfId="0" applyNumberFormat="1" applyBorder="1" applyAlignment="1">
      <alignment wrapText="1"/>
    </xf>
    <xf numFmtId="1" fontId="0" fillId="0" borderId="13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 wrapText="1"/>
    </xf>
    <xf numFmtId="1" fontId="0" fillId="0" borderId="1" xfId="0" applyNumberFormat="1" applyFont="1" applyFill="1" applyBorder="1" applyAlignment="1">
      <alignment horizontal="right" wrapText="1"/>
    </xf>
    <xf numFmtId="1" fontId="0" fillId="0" borderId="3" xfId="0" applyNumberFormat="1" applyFill="1" applyBorder="1" applyAlignment="1">
      <alignment horizontal="right" wrapText="1"/>
    </xf>
    <xf numFmtId="1" fontId="0" fillId="3" borderId="0" xfId="0" applyNumberFormat="1" applyFill="1" applyBorder="1" applyAlignment="1">
      <alignment horizontal="right"/>
    </xf>
    <xf numFmtId="1" fontId="0" fillId="0" borderId="2" xfId="0" applyNumberFormat="1" applyFill="1" applyBorder="1" applyAlignment="1">
      <alignment horizontal="right"/>
    </xf>
    <xf numFmtId="1" fontId="0" fillId="0" borderId="1" xfId="0" applyNumberFormat="1" applyFill="1" applyBorder="1"/>
    <xf numFmtId="1" fontId="0" fillId="3" borderId="1" xfId="0" applyNumberFormat="1" applyFill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1590675</xdr:colOff>
      <xdr:row>1</xdr:row>
      <xdr:rowOff>992505</xdr:rowOff>
    </xdr:to>
    <xdr:pic>
      <xdr:nvPicPr>
        <xdr:cNvPr id="2" name="Picture 1" descr="http://www.struktuurifondid.ee/public/teavitamine/EL_Regionaalareng_horisonta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00250" cy="1183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/>
  </sheetViews>
  <sheetFormatPr defaultRowHeight="15" x14ac:dyDescent="0.25"/>
  <cols>
    <col min="1" max="1" width="6.140625" bestFit="1" customWidth="1"/>
    <col min="2" max="2" width="41.42578125" bestFit="1" customWidth="1"/>
    <col min="3" max="3" width="6.7109375" customWidth="1"/>
    <col min="4" max="4" width="8" bestFit="1" customWidth="1"/>
    <col min="5" max="5" width="8.42578125" bestFit="1" customWidth="1"/>
    <col min="6" max="17" width="6.7109375" customWidth="1"/>
  </cols>
  <sheetData>
    <row r="1" spans="1:19" x14ac:dyDescent="0.25">
      <c r="C1" s="14"/>
      <c r="D1" s="14"/>
      <c r="E1" s="67" t="s">
        <v>58</v>
      </c>
      <c r="F1" s="68"/>
      <c r="G1" s="68"/>
      <c r="H1" s="69"/>
      <c r="I1" s="73" t="s">
        <v>57</v>
      </c>
      <c r="J1" s="73"/>
      <c r="K1" s="73"/>
      <c r="L1" s="73"/>
      <c r="M1" s="67" t="s">
        <v>60</v>
      </c>
      <c r="N1" s="68"/>
      <c r="O1" s="68"/>
      <c r="P1" s="68"/>
      <c r="Q1" s="69"/>
    </row>
    <row r="2" spans="1:19" ht="122.25" x14ac:dyDescent="0.25">
      <c r="C2" s="15" t="s">
        <v>48</v>
      </c>
      <c r="D2" s="16" t="s">
        <v>49</v>
      </c>
      <c r="E2" s="17" t="s">
        <v>56</v>
      </c>
      <c r="F2" s="18" t="s">
        <v>53</v>
      </c>
      <c r="G2" s="18" t="s">
        <v>54</v>
      </c>
      <c r="H2" s="19" t="s">
        <v>55</v>
      </c>
      <c r="I2" s="17" t="s">
        <v>50</v>
      </c>
      <c r="J2" s="18" t="s">
        <v>59</v>
      </c>
      <c r="K2" s="18" t="s">
        <v>51</v>
      </c>
      <c r="L2" s="18" t="s">
        <v>52</v>
      </c>
      <c r="M2" s="17" t="s">
        <v>61</v>
      </c>
      <c r="N2" s="18" t="s">
        <v>63</v>
      </c>
      <c r="O2" s="18" t="s">
        <v>62</v>
      </c>
      <c r="P2" s="18" t="s">
        <v>64</v>
      </c>
      <c r="Q2" s="19" t="s">
        <v>65</v>
      </c>
      <c r="R2" s="34" t="s">
        <v>85</v>
      </c>
      <c r="S2" s="31" t="s">
        <v>82</v>
      </c>
    </row>
    <row r="3" spans="1:19" x14ac:dyDescent="0.25">
      <c r="A3" t="s">
        <v>24</v>
      </c>
      <c r="B3" s="1" t="s">
        <v>0</v>
      </c>
      <c r="C3" s="2">
        <v>197</v>
      </c>
      <c r="D3" s="6">
        <v>61</v>
      </c>
      <c r="E3" s="8">
        <v>52029</v>
      </c>
      <c r="F3" s="9">
        <v>1</v>
      </c>
      <c r="G3" s="9">
        <v>1</v>
      </c>
      <c r="H3" s="10">
        <v>414</v>
      </c>
      <c r="I3" s="8">
        <v>1599</v>
      </c>
      <c r="J3" s="9">
        <f>2*I3</f>
        <v>3198</v>
      </c>
      <c r="K3" s="9">
        <v>1596</v>
      </c>
      <c r="L3" s="9">
        <v>2</v>
      </c>
      <c r="M3" s="8">
        <v>10047</v>
      </c>
      <c r="N3" s="9">
        <v>263</v>
      </c>
      <c r="O3" s="9">
        <f>M3-N3</f>
        <v>9784</v>
      </c>
      <c r="P3" s="9">
        <f>O3/10</f>
        <v>978.4</v>
      </c>
      <c r="Q3" s="10">
        <f>D3*1825/10</f>
        <v>11132.5</v>
      </c>
      <c r="R3" s="10">
        <f>E3/10</f>
        <v>5202.8999999999996</v>
      </c>
      <c r="S3">
        <v>12000</v>
      </c>
    </row>
    <row r="4" spans="1:19" x14ac:dyDescent="0.25">
      <c r="A4" t="s">
        <v>25</v>
      </c>
      <c r="B4" s="1" t="s">
        <v>1</v>
      </c>
      <c r="C4" s="2">
        <v>189</v>
      </c>
      <c r="D4" s="6">
        <v>112</v>
      </c>
      <c r="E4" s="8">
        <v>104959</v>
      </c>
      <c r="F4" s="9">
        <v>1</v>
      </c>
      <c r="G4" s="9">
        <v>1</v>
      </c>
      <c r="H4" s="10">
        <v>99</v>
      </c>
      <c r="I4" s="8">
        <v>3347</v>
      </c>
      <c r="J4" s="9">
        <f t="shared" ref="J4:J26" si="0">2*I4</f>
        <v>6694</v>
      </c>
      <c r="K4" s="9">
        <v>3340</v>
      </c>
      <c r="L4" s="9">
        <v>2</v>
      </c>
      <c r="M4" s="8">
        <v>11213</v>
      </c>
      <c r="N4" s="9">
        <v>263</v>
      </c>
      <c r="O4" s="9">
        <f t="shared" ref="O4:O26" si="1">M4-N4</f>
        <v>10950</v>
      </c>
      <c r="P4" s="9">
        <f t="shared" ref="P4:P26" si="2">O4/10</f>
        <v>1095</v>
      </c>
      <c r="Q4" s="10">
        <f t="shared" ref="Q4:Q26" si="3">D4*1825/10</f>
        <v>20440</v>
      </c>
      <c r="R4" s="10">
        <f t="shared" ref="R4:R26" si="4">E4/10</f>
        <v>10495.9</v>
      </c>
      <c r="S4">
        <v>15000</v>
      </c>
    </row>
    <row r="5" spans="1:19" x14ac:dyDescent="0.25">
      <c r="A5" t="s">
        <v>26</v>
      </c>
      <c r="B5" s="1" t="s">
        <v>18</v>
      </c>
      <c r="C5" s="2">
        <v>46</v>
      </c>
      <c r="D5" s="35">
        <f>C5/4.8</f>
        <v>9.5833333333333339</v>
      </c>
      <c r="E5" s="8">
        <v>52789</v>
      </c>
      <c r="F5" s="9">
        <v>1</v>
      </c>
      <c r="G5" s="9">
        <v>1</v>
      </c>
      <c r="H5" s="10">
        <v>6</v>
      </c>
      <c r="I5" s="8">
        <v>931</v>
      </c>
      <c r="J5" s="9">
        <f t="shared" si="0"/>
        <v>1862</v>
      </c>
      <c r="K5" s="9">
        <v>929</v>
      </c>
      <c r="L5" s="9">
        <v>2</v>
      </c>
      <c r="M5" s="8">
        <v>1128</v>
      </c>
      <c r="N5" s="9">
        <v>263</v>
      </c>
      <c r="O5" s="9">
        <f t="shared" si="1"/>
        <v>865</v>
      </c>
      <c r="P5" s="9">
        <f t="shared" si="2"/>
        <v>86.5</v>
      </c>
      <c r="Q5" s="10">
        <f t="shared" si="3"/>
        <v>1748.9583333333335</v>
      </c>
      <c r="R5" s="10">
        <f t="shared" si="4"/>
        <v>5278.9</v>
      </c>
      <c r="S5">
        <v>4656</v>
      </c>
    </row>
    <row r="6" spans="1:19" x14ac:dyDescent="0.25">
      <c r="A6" t="s">
        <v>27</v>
      </c>
      <c r="B6" s="1" t="s">
        <v>2</v>
      </c>
      <c r="C6" s="2">
        <v>163</v>
      </c>
      <c r="D6" s="6">
        <v>47</v>
      </c>
      <c r="E6" s="8">
        <v>16173</v>
      </c>
      <c r="F6" s="9">
        <v>1</v>
      </c>
      <c r="G6" s="9">
        <v>1</v>
      </c>
      <c r="H6" s="10">
        <v>1</v>
      </c>
      <c r="I6" s="8">
        <v>126</v>
      </c>
      <c r="J6" s="9">
        <f t="shared" si="0"/>
        <v>252</v>
      </c>
      <c r="K6" s="9">
        <v>125</v>
      </c>
      <c r="L6" s="9">
        <v>2</v>
      </c>
      <c r="M6" s="8">
        <v>1266</v>
      </c>
      <c r="N6" s="9">
        <v>263</v>
      </c>
      <c r="O6" s="9">
        <f t="shared" si="1"/>
        <v>1003</v>
      </c>
      <c r="P6" s="9">
        <f t="shared" si="2"/>
        <v>100.3</v>
      </c>
      <c r="Q6" s="10">
        <f t="shared" si="3"/>
        <v>8577.5</v>
      </c>
      <c r="R6" s="10">
        <f t="shared" si="4"/>
        <v>1617.3</v>
      </c>
      <c r="S6">
        <v>597</v>
      </c>
    </row>
    <row r="7" spans="1:19" x14ac:dyDescent="0.25">
      <c r="A7" t="s">
        <v>28</v>
      </c>
      <c r="B7" s="1" t="s">
        <v>19</v>
      </c>
      <c r="C7" s="2">
        <v>19</v>
      </c>
      <c r="D7" s="35">
        <f t="shared" ref="D7:D8" si="5">C7/4.8</f>
        <v>3.9583333333333335</v>
      </c>
      <c r="E7" s="8">
        <v>21990</v>
      </c>
      <c r="F7" s="9">
        <v>1</v>
      </c>
      <c r="G7" s="9">
        <v>1</v>
      </c>
      <c r="H7" s="10">
        <v>24</v>
      </c>
      <c r="I7" s="8">
        <v>674</v>
      </c>
      <c r="J7" s="9">
        <f t="shared" si="0"/>
        <v>1348</v>
      </c>
      <c r="K7" s="9">
        <v>673</v>
      </c>
      <c r="L7" s="9">
        <v>2</v>
      </c>
      <c r="M7" s="8">
        <v>975</v>
      </c>
      <c r="N7" s="9">
        <v>263</v>
      </c>
      <c r="O7" s="9">
        <f t="shared" si="1"/>
        <v>712</v>
      </c>
      <c r="P7" s="9">
        <f t="shared" si="2"/>
        <v>71.2</v>
      </c>
      <c r="Q7" s="10">
        <f t="shared" si="3"/>
        <v>722.39583333333337</v>
      </c>
      <c r="R7" s="10">
        <f t="shared" si="4"/>
        <v>2199</v>
      </c>
      <c r="S7">
        <v>1778</v>
      </c>
    </row>
    <row r="8" spans="1:19" x14ac:dyDescent="0.25">
      <c r="A8" t="s">
        <v>29</v>
      </c>
      <c r="B8" s="1" t="s">
        <v>3</v>
      </c>
      <c r="C8" s="2">
        <v>39</v>
      </c>
      <c r="D8" s="35">
        <f t="shared" si="5"/>
        <v>8.125</v>
      </c>
      <c r="E8" s="8">
        <v>2</v>
      </c>
      <c r="F8" s="9">
        <v>1</v>
      </c>
      <c r="G8" s="9">
        <v>1</v>
      </c>
      <c r="H8" s="10">
        <v>1</v>
      </c>
      <c r="I8" s="8">
        <v>13</v>
      </c>
      <c r="J8" s="9">
        <f t="shared" si="0"/>
        <v>26</v>
      </c>
      <c r="K8" s="9">
        <v>13</v>
      </c>
      <c r="L8" s="9">
        <v>1</v>
      </c>
      <c r="M8" s="8">
        <v>8</v>
      </c>
      <c r="N8" s="9">
        <v>8</v>
      </c>
      <c r="O8" s="9">
        <f t="shared" si="1"/>
        <v>0</v>
      </c>
      <c r="P8" s="9">
        <f t="shared" si="2"/>
        <v>0</v>
      </c>
      <c r="Q8" s="10">
        <f t="shared" si="3"/>
        <v>1482.8125</v>
      </c>
      <c r="R8" s="10">
        <f t="shared" si="4"/>
        <v>0.2</v>
      </c>
      <c r="S8">
        <v>25</v>
      </c>
    </row>
    <row r="9" spans="1:19" x14ac:dyDescent="0.25">
      <c r="A9" t="s">
        <v>30</v>
      </c>
      <c r="B9" s="1" t="s">
        <v>4</v>
      </c>
      <c r="C9" s="2">
        <v>85</v>
      </c>
      <c r="D9" s="6">
        <v>19</v>
      </c>
      <c r="E9" s="8">
        <v>701</v>
      </c>
      <c r="F9" s="9">
        <v>1</v>
      </c>
      <c r="G9" s="9">
        <v>1</v>
      </c>
      <c r="H9" s="10">
        <v>3</v>
      </c>
      <c r="I9" s="8">
        <v>66</v>
      </c>
      <c r="J9" s="9">
        <f t="shared" si="0"/>
        <v>132</v>
      </c>
      <c r="K9" s="9">
        <v>65</v>
      </c>
      <c r="L9" s="9">
        <v>2</v>
      </c>
      <c r="M9" s="8">
        <v>1474</v>
      </c>
      <c r="N9" s="9">
        <v>263</v>
      </c>
      <c r="O9" s="9">
        <f t="shared" si="1"/>
        <v>1211</v>
      </c>
      <c r="P9" s="9">
        <f t="shared" si="2"/>
        <v>121.1</v>
      </c>
      <c r="Q9" s="10">
        <f t="shared" si="3"/>
        <v>3467.5</v>
      </c>
      <c r="R9" s="10">
        <f t="shared" si="4"/>
        <v>70.099999999999994</v>
      </c>
      <c r="S9">
        <v>266</v>
      </c>
    </row>
    <row r="10" spans="1:19" x14ac:dyDescent="0.25">
      <c r="A10" t="s">
        <v>31</v>
      </c>
      <c r="B10" s="1" t="s">
        <v>5</v>
      </c>
      <c r="C10" s="2">
        <v>68</v>
      </c>
      <c r="D10" s="6">
        <v>18</v>
      </c>
      <c r="E10" s="8">
        <v>21080</v>
      </c>
      <c r="F10" s="9">
        <v>1</v>
      </c>
      <c r="G10" s="9">
        <v>1</v>
      </c>
      <c r="H10" s="10">
        <v>2</v>
      </c>
      <c r="I10" s="8">
        <v>1030</v>
      </c>
      <c r="J10" s="9">
        <f t="shared" si="0"/>
        <v>2060</v>
      </c>
      <c r="K10" s="9">
        <v>1028</v>
      </c>
      <c r="L10" s="9">
        <v>2</v>
      </c>
      <c r="M10" s="8">
        <v>1926</v>
      </c>
      <c r="N10" s="9">
        <v>263</v>
      </c>
      <c r="O10" s="9">
        <f t="shared" si="1"/>
        <v>1663</v>
      </c>
      <c r="P10" s="9">
        <f t="shared" si="2"/>
        <v>166.3</v>
      </c>
      <c r="Q10" s="10">
        <f t="shared" si="3"/>
        <v>3285</v>
      </c>
      <c r="R10" s="10">
        <f t="shared" si="4"/>
        <v>2108</v>
      </c>
      <c r="S10">
        <v>3921</v>
      </c>
    </row>
    <row r="11" spans="1:19" x14ac:dyDescent="0.25">
      <c r="A11" t="s">
        <v>32</v>
      </c>
      <c r="B11" s="1" t="s">
        <v>6</v>
      </c>
      <c r="C11" s="2">
        <v>37</v>
      </c>
      <c r="D11" s="6">
        <v>13</v>
      </c>
      <c r="E11" s="8">
        <v>5594</v>
      </c>
      <c r="F11" s="9">
        <v>1</v>
      </c>
      <c r="G11" s="9">
        <v>1</v>
      </c>
      <c r="H11" s="10">
        <v>1</v>
      </c>
      <c r="I11" s="8">
        <v>263</v>
      </c>
      <c r="J11" s="9">
        <f t="shared" si="0"/>
        <v>526</v>
      </c>
      <c r="K11" s="9">
        <v>263</v>
      </c>
      <c r="L11" s="9">
        <v>2</v>
      </c>
      <c r="M11" s="8">
        <v>1163</v>
      </c>
      <c r="N11" s="9">
        <v>263</v>
      </c>
      <c r="O11" s="9">
        <f t="shared" si="1"/>
        <v>900</v>
      </c>
      <c r="P11" s="9">
        <f t="shared" si="2"/>
        <v>90</v>
      </c>
      <c r="Q11" s="10">
        <f t="shared" si="3"/>
        <v>2372.5</v>
      </c>
      <c r="R11" s="10">
        <f t="shared" si="4"/>
        <v>559.4</v>
      </c>
      <c r="S11">
        <v>1028</v>
      </c>
    </row>
    <row r="12" spans="1:19" x14ac:dyDescent="0.25">
      <c r="A12" t="s">
        <v>33</v>
      </c>
      <c r="B12" s="1" t="s">
        <v>7</v>
      </c>
      <c r="C12" s="2">
        <v>20</v>
      </c>
      <c r="D12" s="6">
        <v>11</v>
      </c>
      <c r="E12" s="8">
        <v>5237</v>
      </c>
      <c r="F12" s="9">
        <v>1</v>
      </c>
      <c r="G12" s="9">
        <v>1</v>
      </c>
      <c r="H12" s="10">
        <v>1</v>
      </c>
      <c r="I12" s="8">
        <v>148</v>
      </c>
      <c r="J12" s="9">
        <f t="shared" si="0"/>
        <v>296</v>
      </c>
      <c r="K12" s="9">
        <v>148</v>
      </c>
      <c r="L12" s="9">
        <v>2</v>
      </c>
      <c r="M12" s="8">
        <v>950</v>
      </c>
      <c r="N12" s="9">
        <v>263</v>
      </c>
      <c r="O12" s="9">
        <f t="shared" si="1"/>
        <v>687</v>
      </c>
      <c r="P12" s="9">
        <f t="shared" si="2"/>
        <v>68.7</v>
      </c>
      <c r="Q12" s="10">
        <f t="shared" si="3"/>
        <v>2007.5</v>
      </c>
      <c r="R12" s="10">
        <f t="shared" si="4"/>
        <v>523.70000000000005</v>
      </c>
      <c r="S12">
        <v>560</v>
      </c>
    </row>
    <row r="13" spans="1:19" x14ac:dyDescent="0.25">
      <c r="A13" t="s">
        <v>34</v>
      </c>
      <c r="B13" s="1" t="s">
        <v>8</v>
      </c>
      <c r="C13" s="2">
        <v>26</v>
      </c>
      <c r="D13" s="6">
        <v>13</v>
      </c>
      <c r="E13" s="8">
        <v>4291</v>
      </c>
      <c r="F13" s="9">
        <v>1</v>
      </c>
      <c r="G13" s="9">
        <v>1</v>
      </c>
      <c r="H13" s="10">
        <v>1</v>
      </c>
      <c r="I13" s="8">
        <v>177</v>
      </c>
      <c r="J13" s="9">
        <f t="shared" si="0"/>
        <v>354</v>
      </c>
      <c r="K13" s="9">
        <v>177</v>
      </c>
      <c r="L13" s="9">
        <v>2</v>
      </c>
      <c r="M13" s="8">
        <v>1069</v>
      </c>
      <c r="N13" s="9">
        <v>263</v>
      </c>
      <c r="O13" s="9">
        <f t="shared" si="1"/>
        <v>806</v>
      </c>
      <c r="P13" s="9">
        <f t="shared" si="2"/>
        <v>80.599999999999994</v>
      </c>
      <c r="Q13" s="10">
        <f t="shared" si="3"/>
        <v>2372.5</v>
      </c>
      <c r="R13" s="10">
        <f t="shared" si="4"/>
        <v>429.1</v>
      </c>
      <c r="S13">
        <v>664</v>
      </c>
    </row>
    <row r="14" spans="1:19" x14ac:dyDescent="0.25">
      <c r="A14" t="s">
        <v>35</v>
      </c>
      <c r="B14" s="1" t="s">
        <v>9</v>
      </c>
      <c r="C14" s="2">
        <v>114</v>
      </c>
      <c r="D14" s="6">
        <v>35</v>
      </c>
      <c r="E14" s="8">
        <v>60451</v>
      </c>
      <c r="F14" s="9">
        <v>1</v>
      </c>
      <c r="G14" s="9">
        <v>1</v>
      </c>
      <c r="H14" s="10">
        <v>1</v>
      </c>
      <c r="I14" s="8">
        <v>916</v>
      </c>
      <c r="J14" s="9">
        <f t="shared" si="0"/>
        <v>1832</v>
      </c>
      <c r="K14" s="9">
        <v>913</v>
      </c>
      <c r="L14" s="9">
        <v>2</v>
      </c>
      <c r="M14" s="8">
        <v>2734</v>
      </c>
      <c r="N14" s="9">
        <v>263</v>
      </c>
      <c r="O14" s="9">
        <f t="shared" si="1"/>
        <v>2471</v>
      </c>
      <c r="P14" s="9">
        <f t="shared" si="2"/>
        <v>247.1</v>
      </c>
      <c r="Q14" s="10">
        <f t="shared" si="3"/>
        <v>6387.5</v>
      </c>
      <c r="R14" s="10">
        <f t="shared" si="4"/>
        <v>6045.1</v>
      </c>
      <c r="S14">
        <v>4006</v>
      </c>
    </row>
    <row r="15" spans="1:19" x14ac:dyDescent="0.25">
      <c r="A15" t="s">
        <v>36</v>
      </c>
      <c r="B15" s="1" t="s">
        <v>20</v>
      </c>
      <c r="C15" s="2">
        <v>599</v>
      </c>
      <c r="D15" s="35">
        <f t="shared" ref="D15:D18" si="6">C15/4.8</f>
        <v>124.79166666666667</v>
      </c>
      <c r="E15" s="8">
        <v>11372</v>
      </c>
      <c r="F15" s="9">
        <v>1</v>
      </c>
      <c r="G15" s="9">
        <v>1</v>
      </c>
      <c r="H15" s="10">
        <v>1</v>
      </c>
      <c r="I15" s="8">
        <v>1340</v>
      </c>
      <c r="J15" s="9">
        <f t="shared" si="0"/>
        <v>2680</v>
      </c>
      <c r="K15" s="9">
        <v>1335</v>
      </c>
      <c r="L15" s="9">
        <v>2</v>
      </c>
      <c r="M15" s="8">
        <v>1700</v>
      </c>
      <c r="N15" s="9">
        <v>263</v>
      </c>
      <c r="O15" s="9">
        <f t="shared" si="1"/>
        <v>1437</v>
      </c>
      <c r="P15" s="9">
        <f t="shared" si="2"/>
        <v>143.69999999999999</v>
      </c>
      <c r="Q15" s="10">
        <f t="shared" si="3"/>
        <v>22774.479166666668</v>
      </c>
      <c r="R15" s="10">
        <f t="shared" si="4"/>
        <v>1137.2</v>
      </c>
      <c r="S15">
        <v>9049</v>
      </c>
    </row>
    <row r="16" spans="1:19" x14ac:dyDescent="0.25">
      <c r="A16" t="s">
        <v>37</v>
      </c>
      <c r="B16" s="1" t="s">
        <v>21</v>
      </c>
      <c r="C16" s="2">
        <v>463</v>
      </c>
      <c r="D16" s="35">
        <f t="shared" si="6"/>
        <v>96.458333333333343</v>
      </c>
      <c r="E16" s="8">
        <v>8001</v>
      </c>
      <c r="F16" s="9">
        <v>1</v>
      </c>
      <c r="G16" s="9">
        <v>1</v>
      </c>
      <c r="H16" s="10">
        <v>1</v>
      </c>
      <c r="I16" s="8">
        <v>828</v>
      </c>
      <c r="J16" s="9">
        <f t="shared" si="0"/>
        <v>1656</v>
      </c>
      <c r="K16" s="9">
        <v>828</v>
      </c>
      <c r="L16" s="9">
        <v>2</v>
      </c>
      <c r="M16" s="8">
        <v>1079</v>
      </c>
      <c r="N16" s="9">
        <v>263</v>
      </c>
      <c r="O16" s="9">
        <f t="shared" si="1"/>
        <v>816</v>
      </c>
      <c r="P16" s="9">
        <f t="shared" si="2"/>
        <v>81.599999999999994</v>
      </c>
      <c r="Q16" s="10">
        <f t="shared" si="3"/>
        <v>17603.645833333336</v>
      </c>
      <c r="R16" s="10">
        <f t="shared" si="4"/>
        <v>800.1</v>
      </c>
      <c r="S16">
        <v>5589</v>
      </c>
    </row>
    <row r="17" spans="1:19" x14ac:dyDescent="0.25">
      <c r="A17" t="s">
        <v>38</v>
      </c>
      <c r="B17" s="1" t="s">
        <v>22</v>
      </c>
      <c r="C17" s="2">
        <v>453</v>
      </c>
      <c r="D17" s="35">
        <f t="shared" si="6"/>
        <v>94.375</v>
      </c>
      <c r="E17" s="8">
        <v>7835</v>
      </c>
      <c r="F17" s="9">
        <v>1</v>
      </c>
      <c r="G17" s="9">
        <v>1</v>
      </c>
      <c r="H17" s="10">
        <v>1</v>
      </c>
      <c r="I17" s="8">
        <v>1149</v>
      </c>
      <c r="J17" s="9">
        <f t="shared" si="0"/>
        <v>2298</v>
      </c>
      <c r="K17" s="9">
        <v>1170</v>
      </c>
      <c r="L17" s="9">
        <v>2</v>
      </c>
      <c r="M17" s="8">
        <v>1258</v>
      </c>
      <c r="N17" s="9">
        <v>263</v>
      </c>
      <c r="O17" s="9">
        <f t="shared" si="1"/>
        <v>995</v>
      </c>
      <c r="P17" s="9">
        <f t="shared" si="2"/>
        <v>99.5</v>
      </c>
      <c r="Q17" s="10">
        <f t="shared" si="3"/>
        <v>17223.4375</v>
      </c>
      <c r="R17" s="10">
        <f t="shared" si="4"/>
        <v>783.5</v>
      </c>
      <c r="S17">
        <v>8238</v>
      </c>
    </row>
    <row r="18" spans="1:19" x14ac:dyDescent="0.25">
      <c r="A18" t="s">
        <v>39</v>
      </c>
      <c r="B18" s="1" t="s">
        <v>23</v>
      </c>
      <c r="C18" s="2">
        <v>205</v>
      </c>
      <c r="D18" s="35">
        <f t="shared" si="6"/>
        <v>42.708333333333336</v>
      </c>
      <c r="E18" s="8">
        <v>10580</v>
      </c>
      <c r="F18" s="9">
        <v>1</v>
      </c>
      <c r="G18" s="9">
        <v>1</v>
      </c>
      <c r="H18" s="10">
        <v>1</v>
      </c>
      <c r="I18" s="8">
        <v>339</v>
      </c>
      <c r="J18" s="9">
        <f t="shared" si="0"/>
        <v>678</v>
      </c>
      <c r="K18" s="9">
        <v>338</v>
      </c>
      <c r="L18" s="9">
        <v>2</v>
      </c>
      <c r="M18" s="8">
        <v>814</v>
      </c>
      <c r="N18" s="9">
        <v>263</v>
      </c>
      <c r="O18" s="9">
        <f t="shared" si="1"/>
        <v>551</v>
      </c>
      <c r="P18" s="9">
        <f t="shared" si="2"/>
        <v>55.1</v>
      </c>
      <c r="Q18" s="10">
        <f t="shared" si="3"/>
        <v>7794.2708333333339</v>
      </c>
      <c r="R18" s="10">
        <f t="shared" si="4"/>
        <v>1058</v>
      </c>
      <c r="S18">
        <v>2092</v>
      </c>
    </row>
    <row r="19" spans="1:19" x14ac:dyDescent="0.25">
      <c r="A19" t="s">
        <v>40</v>
      </c>
      <c r="B19" s="1" t="s">
        <v>10</v>
      </c>
      <c r="C19" s="2">
        <v>389</v>
      </c>
      <c r="D19" s="6">
        <v>7</v>
      </c>
      <c r="E19" s="8">
        <v>408</v>
      </c>
      <c r="F19" s="9">
        <v>1</v>
      </c>
      <c r="G19" s="9">
        <v>1</v>
      </c>
      <c r="H19" s="10">
        <v>1</v>
      </c>
      <c r="I19" s="8">
        <v>75</v>
      </c>
      <c r="J19" s="9">
        <f t="shared" si="0"/>
        <v>150</v>
      </c>
      <c r="K19" s="9">
        <v>73</v>
      </c>
      <c r="L19" s="9">
        <v>2</v>
      </c>
      <c r="M19" s="8">
        <v>1075</v>
      </c>
      <c r="N19" s="9">
        <v>263</v>
      </c>
      <c r="O19" s="9">
        <f t="shared" si="1"/>
        <v>812</v>
      </c>
      <c r="P19" s="9">
        <f t="shared" si="2"/>
        <v>81.2</v>
      </c>
      <c r="Q19" s="10">
        <f t="shared" si="3"/>
        <v>1277.5</v>
      </c>
      <c r="R19" s="10">
        <f t="shared" si="4"/>
        <v>40.799999999999997</v>
      </c>
      <c r="S19">
        <v>335</v>
      </c>
    </row>
    <row r="20" spans="1:19" x14ac:dyDescent="0.25">
      <c r="A20" t="s">
        <v>41</v>
      </c>
      <c r="B20" s="1" t="s">
        <v>11</v>
      </c>
      <c r="C20" s="2">
        <v>145</v>
      </c>
      <c r="D20" s="6">
        <v>18</v>
      </c>
      <c r="E20" s="8">
        <v>188</v>
      </c>
      <c r="F20" s="9">
        <v>1</v>
      </c>
      <c r="G20" s="9">
        <v>1</v>
      </c>
      <c r="H20" s="10">
        <v>1</v>
      </c>
      <c r="I20" s="8">
        <v>95</v>
      </c>
      <c r="J20" s="9">
        <f t="shared" si="0"/>
        <v>190</v>
      </c>
      <c r="K20" s="9">
        <v>91</v>
      </c>
      <c r="L20" s="9">
        <v>2</v>
      </c>
      <c r="M20" s="8">
        <v>1273</v>
      </c>
      <c r="N20" s="9">
        <v>263</v>
      </c>
      <c r="O20" s="9">
        <f t="shared" si="1"/>
        <v>1010</v>
      </c>
      <c r="P20" s="9">
        <f t="shared" si="2"/>
        <v>101</v>
      </c>
      <c r="Q20" s="10">
        <f t="shared" si="3"/>
        <v>3285</v>
      </c>
      <c r="R20" s="10">
        <f t="shared" si="4"/>
        <v>18.8</v>
      </c>
      <c r="S20">
        <v>388</v>
      </c>
    </row>
    <row r="21" spans="1:19" x14ac:dyDescent="0.25">
      <c r="A21" t="s">
        <v>42</v>
      </c>
      <c r="B21" s="1" t="s">
        <v>12</v>
      </c>
      <c r="C21" s="2">
        <v>166</v>
      </c>
      <c r="D21" s="6">
        <v>18</v>
      </c>
      <c r="E21" s="8">
        <v>380</v>
      </c>
      <c r="F21" s="9">
        <v>1</v>
      </c>
      <c r="G21" s="9">
        <v>1</v>
      </c>
      <c r="H21" s="10">
        <v>1</v>
      </c>
      <c r="I21" s="8">
        <v>66</v>
      </c>
      <c r="J21" s="9">
        <f t="shared" si="0"/>
        <v>132</v>
      </c>
      <c r="K21" s="9">
        <v>64</v>
      </c>
      <c r="L21" s="9">
        <v>2</v>
      </c>
      <c r="M21" s="8">
        <v>1145</v>
      </c>
      <c r="N21" s="9">
        <v>263</v>
      </c>
      <c r="O21" s="9">
        <f t="shared" si="1"/>
        <v>882</v>
      </c>
      <c r="P21" s="9">
        <f t="shared" si="2"/>
        <v>88.2</v>
      </c>
      <c r="Q21" s="10">
        <f t="shared" si="3"/>
        <v>3285</v>
      </c>
      <c r="R21" s="10">
        <f t="shared" si="4"/>
        <v>38</v>
      </c>
      <c r="S21">
        <v>278</v>
      </c>
    </row>
    <row r="22" spans="1:19" x14ac:dyDescent="0.25">
      <c r="A22" t="s">
        <v>43</v>
      </c>
      <c r="B22" s="1" t="s">
        <v>13</v>
      </c>
      <c r="C22" s="2">
        <v>174</v>
      </c>
      <c r="D22" s="6">
        <v>17</v>
      </c>
      <c r="E22" s="8">
        <v>113</v>
      </c>
      <c r="F22" s="9">
        <v>1</v>
      </c>
      <c r="G22" s="9">
        <v>1</v>
      </c>
      <c r="H22" s="10">
        <v>1</v>
      </c>
      <c r="I22" s="8">
        <v>62</v>
      </c>
      <c r="J22" s="9">
        <f t="shared" si="0"/>
        <v>124</v>
      </c>
      <c r="K22" s="9">
        <v>61</v>
      </c>
      <c r="L22" s="9">
        <v>2</v>
      </c>
      <c r="M22" s="8">
        <v>1034</v>
      </c>
      <c r="N22" s="9">
        <v>263</v>
      </c>
      <c r="O22" s="9">
        <f t="shared" si="1"/>
        <v>771</v>
      </c>
      <c r="P22" s="9">
        <f t="shared" si="2"/>
        <v>77.099999999999994</v>
      </c>
      <c r="Q22" s="10">
        <f t="shared" si="3"/>
        <v>3102.5</v>
      </c>
      <c r="R22" s="10">
        <f t="shared" si="4"/>
        <v>11.3</v>
      </c>
      <c r="S22">
        <v>229</v>
      </c>
    </row>
    <row r="23" spans="1:19" x14ac:dyDescent="0.25">
      <c r="A23" t="s">
        <v>44</v>
      </c>
      <c r="B23" s="1" t="s">
        <v>14</v>
      </c>
      <c r="C23" s="2">
        <v>54</v>
      </c>
      <c r="D23" s="6">
        <v>9</v>
      </c>
      <c r="E23" s="8">
        <v>104</v>
      </c>
      <c r="F23" s="9">
        <v>1</v>
      </c>
      <c r="G23" s="9">
        <v>1</v>
      </c>
      <c r="H23" s="10">
        <v>1</v>
      </c>
      <c r="I23" s="8">
        <v>40</v>
      </c>
      <c r="J23" s="9">
        <f t="shared" si="0"/>
        <v>80</v>
      </c>
      <c r="K23" s="9">
        <v>40</v>
      </c>
      <c r="L23" s="9">
        <v>2</v>
      </c>
      <c r="M23" s="8">
        <v>678</v>
      </c>
      <c r="N23" s="9">
        <v>263</v>
      </c>
      <c r="O23" s="9">
        <f t="shared" si="1"/>
        <v>415</v>
      </c>
      <c r="P23" s="9">
        <f t="shared" si="2"/>
        <v>41.5</v>
      </c>
      <c r="Q23" s="10">
        <f t="shared" si="3"/>
        <v>1642.5</v>
      </c>
      <c r="R23" s="10">
        <f t="shared" si="4"/>
        <v>10.4</v>
      </c>
      <c r="S23">
        <v>82</v>
      </c>
    </row>
    <row r="24" spans="1:19" x14ac:dyDescent="0.25">
      <c r="A24" t="s">
        <v>45</v>
      </c>
      <c r="B24" s="1" t="s">
        <v>15</v>
      </c>
      <c r="C24" s="2">
        <v>33</v>
      </c>
      <c r="D24" s="6">
        <v>7</v>
      </c>
      <c r="E24" s="8">
        <v>78</v>
      </c>
      <c r="F24" s="9">
        <v>1</v>
      </c>
      <c r="G24" s="9">
        <v>1</v>
      </c>
      <c r="H24" s="10">
        <v>1</v>
      </c>
      <c r="I24" s="8">
        <v>40</v>
      </c>
      <c r="J24" s="9">
        <f t="shared" si="0"/>
        <v>80</v>
      </c>
      <c r="K24" s="9">
        <v>40</v>
      </c>
      <c r="L24" s="9">
        <v>3</v>
      </c>
      <c r="M24" s="8">
        <v>718</v>
      </c>
      <c r="N24" s="9">
        <v>263</v>
      </c>
      <c r="O24" s="9">
        <f t="shared" si="1"/>
        <v>455</v>
      </c>
      <c r="P24" s="9">
        <f t="shared" si="2"/>
        <v>45.5</v>
      </c>
      <c r="Q24" s="10">
        <f t="shared" si="3"/>
        <v>1277.5</v>
      </c>
      <c r="R24" s="10">
        <f t="shared" si="4"/>
        <v>7.8</v>
      </c>
      <c r="S24">
        <v>87</v>
      </c>
    </row>
    <row r="25" spans="1:19" x14ac:dyDescent="0.25">
      <c r="A25" t="s">
        <v>46</v>
      </c>
      <c r="B25" s="1" t="s">
        <v>16</v>
      </c>
      <c r="C25" s="2">
        <v>70</v>
      </c>
      <c r="D25" s="6">
        <v>5</v>
      </c>
      <c r="E25" s="8">
        <v>132</v>
      </c>
      <c r="F25" s="9">
        <v>1</v>
      </c>
      <c r="G25" s="9">
        <v>1</v>
      </c>
      <c r="H25" s="10">
        <v>1</v>
      </c>
      <c r="I25" s="8">
        <v>28</v>
      </c>
      <c r="J25" s="9">
        <f t="shared" si="0"/>
        <v>56</v>
      </c>
      <c r="K25" s="9">
        <v>28</v>
      </c>
      <c r="L25" s="9">
        <v>2</v>
      </c>
      <c r="M25" s="8">
        <v>690</v>
      </c>
      <c r="N25" s="9">
        <v>263</v>
      </c>
      <c r="O25" s="9">
        <f t="shared" si="1"/>
        <v>427</v>
      </c>
      <c r="P25" s="9">
        <f t="shared" si="2"/>
        <v>42.7</v>
      </c>
      <c r="Q25" s="10">
        <f t="shared" si="3"/>
        <v>912.5</v>
      </c>
      <c r="R25" s="10">
        <f t="shared" si="4"/>
        <v>13.2</v>
      </c>
      <c r="S25">
        <v>103</v>
      </c>
    </row>
    <row r="26" spans="1:19" x14ac:dyDescent="0.25">
      <c r="A26" t="s">
        <v>47</v>
      </c>
      <c r="B26" s="3" t="s">
        <v>17</v>
      </c>
      <c r="C26" s="4">
        <v>65</v>
      </c>
      <c r="D26" s="7">
        <v>6</v>
      </c>
      <c r="E26" s="11">
        <v>184</v>
      </c>
      <c r="F26" s="12">
        <v>1</v>
      </c>
      <c r="G26" s="12">
        <v>1</v>
      </c>
      <c r="H26" s="13">
        <v>1</v>
      </c>
      <c r="I26" s="11">
        <v>43</v>
      </c>
      <c r="J26" s="12">
        <f t="shared" si="0"/>
        <v>86</v>
      </c>
      <c r="K26" s="12">
        <v>43</v>
      </c>
      <c r="L26" s="12">
        <v>3</v>
      </c>
      <c r="M26" s="11">
        <v>691</v>
      </c>
      <c r="N26" s="12">
        <v>263</v>
      </c>
      <c r="O26" s="12">
        <f t="shared" si="1"/>
        <v>428</v>
      </c>
      <c r="P26" s="12">
        <f t="shared" si="2"/>
        <v>42.8</v>
      </c>
      <c r="Q26" s="13">
        <f t="shared" si="3"/>
        <v>1095</v>
      </c>
      <c r="R26" s="10">
        <f t="shared" si="4"/>
        <v>18.399999999999999</v>
      </c>
      <c r="S26">
        <v>90</v>
      </c>
    </row>
    <row r="27" spans="1:19" x14ac:dyDescent="0.25">
      <c r="C27" s="5"/>
      <c r="D27" s="5"/>
      <c r="E27" s="20">
        <f>SUM(E3:E26)</f>
        <v>384671</v>
      </c>
      <c r="F27" s="21">
        <f>SUM(F3:F26)</f>
        <v>24</v>
      </c>
      <c r="G27" s="21">
        <f>SUM(G3:G26)</f>
        <v>24</v>
      </c>
      <c r="H27" s="22">
        <f>SUM(H3:H26)</f>
        <v>566</v>
      </c>
      <c r="I27" s="21">
        <f>SUM(I3:I26)</f>
        <v>13395</v>
      </c>
      <c r="J27" s="21">
        <f t="shared" ref="J27:L27" si="7">SUM(J3:J26)</f>
        <v>26790</v>
      </c>
      <c r="K27" s="21">
        <f t="shared" si="7"/>
        <v>13381</v>
      </c>
      <c r="L27" s="22">
        <f t="shared" si="7"/>
        <v>49</v>
      </c>
      <c r="M27" s="21"/>
      <c r="N27" s="21">
        <f t="shared" ref="N27" si="8">SUM(N3:N26)</f>
        <v>6057</v>
      </c>
      <c r="O27" s="21"/>
      <c r="P27" s="21">
        <f t="shared" ref="P27:Q27" si="9">SUM(P3:P26)</f>
        <v>4005.099999999999</v>
      </c>
      <c r="Q27" s="22">
        <f t="shared" si="9"/>
        <v>145270</v>
      </c>
      <c r="R27" s="33">
        <f>SUM(R3:R26)</f>
        <v>38467.100000000006</v>
      </c>
      <c r="S27" s="33">
        <f>SUM(S3:S26)</f>
        <v>71061</v>
      </c>
    </row>
    <row r="28" spans="1:19" x14ac:dyDescent="0.25">
      <c r="B28" s="23" t="s">
        <v>66</v>
      </c>
      <c r="C28" s="24"/>
      <c r="D28" s="24"/>
      <c r="E28" s="74">
        <f>SUM(E27:H27)/1024</f>
        <v>376.2548828125</v>
      </c>
      <c r="F28" s="74"/>
      <c r="G28" s="74"/>
      <c r="H28" s="74"/>
      <c r="I28" s="74">
        <f>SUM(I27:L27)/1024</f>
        <v>52.3583984375</v>
      </c>
      <c r="J28" s="74"/>
      <c r="K28" s="74"/>
      <c r="L28" s="74"/>
      <c r="M28" s="28"/>
      <c r="N28" s="29">
        <f>N27/1024</f>
        <v>5.9150390625</v>
      </c>
      <c r="O28" s="29"/>
      <c r="P28" s="29">
        <f>P27/1024</f>
        <v>3.911230468749999</v>
      </c>
      <c r="Q28" s="30"/>
      <c r="R28" s="30">
        <f>R27/1024</f>
        <v>37.565527343750006</v>
      </c>
      <c r="S28" s="30">
        <f>S27/1024</f>
        <v>69.3955078125</v>
      </c>
    </row>
    <row r="29" spans="1:19" x14ac:dyDescent="0.25">
      <c r="B29" s="23" t="s">
        <v>67</v>
      </c>
      <c r="C29" s="24"/>
      <c r="D29" s="24"/>
      <c r="E29" s="74">
        <f>E28*2</f>
        <v>752.509765625</v>
      </c>
      <c r="F29" s="74"/>
      <c r="G29" s="74"/>
      <c r="H29" s="74"/>
      <c r="I29" s="74">
        <f>I28*2</f>
        <v>104.716796875</v>
      </c>
      <c r="J29" s="74"/>
      <c r="K29" s="74"/>
      <c r="L29" s="74"/>
      <c r="M29" s="25"/>
      <c r="N29" s="26"/>
      <c r="O29" s="26"/>
      <c r="P29" s="26"/>
      <c r="Q29" s="27">
        <f>Q27/1024</f>
        <v>141.865234375</v>
      </c>
      <c r="R29" s="30">
        <f>R28*2</f>
        <v>75.131054687500011</v>
      </c>
      <c r="S29" s="30">
        <f>S28*2</f>
        <v>138.791015625</v>
      </c>
    </row>
    <row r="30" spans="1:19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9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9" x14ac:dyDescent="0.25">
      <c r="D32" s="5" t="s">
        <v>71</v>
      </c>
      <c r="E32" s="5" t="s">
        <v>72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 x14ac:dyDescent="0.25">
      <c r="B33" t="s">
        <v>68</v>
      </c>
      <c r="C33" s="5">
        <f>E28+E29+R28+R29</f>
        <v>1241.46123046875</v>
      </c>
      <c r="D33" s="5">
        <f>C33</f>
        <v>1241.46123046875</v>
      </c>
      <c r="E33" s="5">
        <v>4000</v>
      </c>
      <c r="F33" s="71" t="s">
        <v>74</v>
      </c>
      <c r="G33" s="71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 x14ac:dyDescent="0.25">
      <c r="B34" t="s">
        <v>69</v>
      </c>
      <c r="C34" s="5">
        <f>30+I28+I29+N28+((P28+Q29)/2)</f>
        <v>265.87846679687499</v>
      </c>
      <c r="D34" s="70">
        <f>SUM(C34:C45)</f>
        <v>1188.1299804687501</v>
      </c>
      <c r="E34" s="70">
        <v>2400</v>
      </c>
      <c r="F34" s="72" t="s">
        <v>75</v>
      </c>
      <c r="G34" s="72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 x14ac:dyDescent="0.25">
      <c r="B35" t="s">
        <v>70</v>
      </c>
      <c r="C35" s="5">
        <f>C34</f>
        <v>265.87846679687499</v>
      </c>
      <c r="D35" s="70"/>
      <c r="E35" s="70"/>
      <c r="F35" s="72"/>
      <c r="G35" s="72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2:17" x14ac:dyDescent="0.25">
      <c r="B36" t="s">
        <v>83</v>
      </c>
      <c r="C36" s="5">
        <f>30+S28+S29</f>
        <v>238.1865234375</v>
      </c>
      <c r="D36" s="70"/>
      <c r="E36" s="70"/>
      <c r="F36" s="72"/>
      <c r="G36" s="72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2:17" x14ac:dyDescent="0.25">
      <c r="B37" t="s">
        <v>84</v>
      </c>
      <c r="C37" s="5">
        <f>C36</f>
        <v>238.1865234375</v>
      </c>
      <c r="D37" s="70"/>
      <c r="E37" s="70"/>
      <c r="F37" s="72"/>
      <c r="G37" s="72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2:17" x14ac:dyDescent="0.25">
      <c r="B38" t="s">
        <v>106</v>
      </c>
      <c r="C38" s="5">
        <v>20</v>
      </c>
      <c r="D38" s="70"/>
      <c r="E38" s="70"/>
      <c r="F38" s="72"/>
      <c r="G38" s="72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7" x14ac:dyDescent="0.25">
      <c r="B39" t="s">
        <v>107</v>
      </c>
      <c r="C39" s="5">
        <v>20</v>
      </c>
      <c r="D39" s="70"/>
      <c r="E39" s="70"/>
      <c r="F39" s="72"/>
      <c r="G39" s="72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 x14ac:dyDescent="0.25">
      <c r="B40" t="s">
        <v>76</v>
      </c>
      <c r="C40" s="5">
        <v>30</v>
      </c>
      <c r="D40" s="70"/>
      <c r="E40" s="70"/>
      <c r="F40" s="72"/>
      <c r="G40" s="72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 x14ac:dyDescent="0.25">
      <c r="B41" t="s">
        <v>77</v>
      </c>
      <c r="C41" s="5">
        <f>C40</f>
        <v>30</v>
      </c>
      <c r="D41" s="70"/>
      <c r="E41" s="70"/>
      <c r="F41" s="72"/>
      <c r="G41" s="72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 x14ac:dyDescent="0.25">
      <c r="B42" t="s">
        <v>78</v>
      </c>
      <c r="C42" s="5">
        <v>20</v>
      </c>
      <c r="D42" s="70"/>
      <c r="E42" s="70"/>
      <c r="F42" s="72"/>
      <c r="G42" s="72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 x14ac:dyDescent="0.25">
      <c r="B43" t="s">
        <v>79</v>
      </c>
      <c r="C43" s="5">
        <v>20</v>
      </c>
      <c r="D43" s="70"/>
      <c r="E43" s="70"/>
      <c r="F43" s="72"/>
      <c r="G43" s="72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 x14ac:dyDescent="0.25">
      <c r="B44" t="s">
        <v>80</v>
      </c>
      <c r="C44" s="5">
        <v>20</v>
      </c>
      <c r="D44" s="70"/>
      <c r="E44" s="70"/>
      <c r="F44" s="72"/>
      <c r="G44" s="72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 x14ac:dyDescent="0.25">
      <c r="B45" t="s">
        <v>81</v>
      </c>
      <c r="C45" s="5">
        <v>20</v>
      </c>
      <c r="D45" s="70"/>
      <c r="E45" s="70"/>
      <c r="F45" s="72"/>
      <c r="G45" s="72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 x14ac:dyDescent="0.25">
      <c r="B46" t="s">
        <v>73</v>
      </c>
      <c r="C46" s="44" t="s">
        <v>108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mergeCells count="11">
    <mergeCell ref="M1:Q1"/>
    <mergeCell ref="D34:D45"/>
    <mergeCell ref="E34:E45"/>
    <mergeCell ref="F33:G33"/>
    <mergeCell ref="F34:G45"/>
    <mergeCell ref="I1:L1"/>
    <mergeCell ref="E1:H1"/>
    <mergeCell ref="E28:H28"/>
    <mergeCell ref="I28:L28"/>
    <mergeCell ref="E29:H29"/>
    <mergeCell ref="I29:L29"/>
  </mergeCells>
  <pageMargins left="0.7" right="0.7" top="0.75" bottom="0.75" header="0.3" footer="0.3"/>
  <pageSetup paperSize="9" orientation="portrait" r:id="rId1"/>
  <ignoredErrors>
    <ignoredError sqref="C3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RowHeight="15" x14ac:dyDescent="0.25"/>
  <cols>
    <col min="1" max="1" width="6.140625" bestFit="1" customWidth="1"/>
    <col min="2" max="2" width="41.42578125" bestFit="1" customWidth="1"/>
    <col min="3" max="21" width="6.7109375" customWidth="1"/>
  </cols>
  <sheetData>
    <row r="1" spans="1:21" x14ac:dyDescent="0.25">
      <c r="B1" s="50" t="s">
        <v>112</v>
      </c>
      <c r="C1" s="50">
        <v>400</v>
      </c>
      <c r="D1" s="51"/>
      <c r="E1" s="52"/>
      <c r="F1" s="52"/>
      <c r="G1" s="52"/>
      <c r="H1" s="52"/>
      <c r="I1" s="52" t="s">
        <v>89</v>
      </c>
      <c r="J1" s="52">
        <v>50</v>
      </c>
    </row>
    <row r="2" spans="1:21" x14ac:dyDescent="0.25">
      <c r="B2" s="50"/>
      <c r="C2" s="50"/>
      <c r="D2" s="51"/>
      <c r="E2" s="52"/>
      <c r="F2" s="52"/>
      <c r="G2" s="52"/>
      <c r="H2" s="52"/>
      <c r="I2" s="52" t="s">
        <v>87</v>
      </c>
      <c r="J2" s="52">
        <v>0.185</v>
      </c>
    </row>
    <row r="3" spans="1:21" ht="136.5" x14ac:dyDescent="0.25">
      <c r="C3" s="15" t="s">
        <v>48</v>
      </c>
      <c r="D3" s="16" t="s">
        <v>49</v>
      </c>
      <c r="E3" s="16" t="s">
        <v>86</v>
      </c>
      <c r="F3" s="16" t="s">
        <v>88</v>
      </c>
      <c r="G3" s="16" t="s">
        <v>92</v>
      </c>
      <c r="H3" s="57" t="s">
        <v>90</v>
      </c>
      <c r="I3" s="57" t="s">
        <v>91</v>
      </c>
      <c r="J3" s="42" t="s">
        <v>93</v>
      </c>
      <c r="K3" s="42" t="s">
        <v>94</v>
      </c>
      <c r="L3" s="57" t="s">
        <v>95</v>
      </c>
      <c r="M3" s="38"/>
      <c r="N3" s="38"/>
      <c r="O3" s="38"/>
      <c r="P3" s="38"/>
      <c r="Q3" s="38"/>
      <c r="R3" s="38"/>
      <c r="S3" s="38"/>
      <c r="T3" s="31"/>
      <c r="U3" s="31"/>
    </row>
    <row r="4" spans="1:21" x14ac:dyDescent="0.25">
      <c r="A4" t="s">
        <v>24</v>
      </c>
      <c r="B4" s="1" t="s">
        <v>0</v>
      </c>
      <c r="C4" s="2">
        <v>197</v>
      </c>
      <c r="D4" s="6">
        <v>61</v>
      </c>
      <c r="E4" s="59">
        <v>7132.5</v>
      </c>
      <c r="F4" s="37">
        <v>87907</v>
      </c>
      <c r="G4" s="58">
        <v>4096</v>
      </c>
      <c r="H4" s="37">
        <v>2200</v>
      </c>
      <c r="I4" s="45">
        <v>2500</v>
      </c>
      <c r="J4" s="46">
        <f>($C$1+E4*(F4^(1/$J$1))*$J$2)*(1+(F4/E4/50))</f>
        <v>2563.9086887930184</v>
      </c>
      <c r="K4" s="46">
        <f>($C$1+(E4/2)*(F4^(1/$J$1))*$J$2)*(1+(F4/(E4/2)/50))</f>
        <v>1834.0619226847543</v>
      </c>
      <c r="L4" s="53">
        <v>400</v>
      </c>
      <c r="M4" s="9"/>
      <c r="N4" s="9"/>
      <c r="O4" s="9"/>
      <c r="P4" s="9"/>
      <c r="Q4" s="9"/>
      <c r="R4" s="9"/>
      <c r="S4" s="9"/>
      <c r="T4" s="9"/>
      <c r="U4" s="39"/>
    </row>
    <row r="5" spans="1:21" x14ac:dyDescent="0.25">
      <c r="A5" t="s">
        <v>25</v>
      </c>
      <c r="B5" s="1" t="s">
        <v>1</v>
      </c>
      <c r="C5" s="2">
        <v>189</v>
      </c>
      <c r="D5" s="6">
        <v>112</v>
      </c>
      <c r="E5" s="6">
        <v>15799.95</v>
      </c>
      <c r="F5" s="60">
        <v>380606</v>
      </c>
      <c r="G5" s="8">
        <v>7168</v>
      </c>
      <c r="H5" s="65">
        <v>4300</v>
      </c>
      <c r="I5" s="41">
        <v>5200</v>
      </c>
      <c r="J5" s="46">
        <f t="shared" ref="J5:J27" si="0">($C$1+E5*(F5^(1/$J$1))*$J$2)*(1+(F5/E5/50))</f>
        <v>6193.1384029040992</v>
      </c>
      <c r="K5" s="46">
        <f t="shared" ref="K5:K27" si="1">($C$1+(E5/2)*(F5^(1/$J$1))*$J$2)*(1+(F5/(E5/2)/50))</f>
        <v>4496.0895809229278</v>
      </c>
      <c r="L5" s="54">
        <v>400</v>
      </c>
      <c r="M5" s="9"/>
      <c r="N5" s="9"/>
      <c r="O5" s="9"/>
      <c r="P5" s="9"/>
      <c r="Q5" s="9"/>
      <c r="R5" s="9"/>
      <c r="S5" s="9"/>
      <c r="T5" s="9"/>
      <c r="U5" s="39"/>
    </row>
    <row r="6" spans="1:21" x14ac:dyDescent="0.25">
      <c r="A6" t="s">
        <v>26</v>
      </c>
      <c r="B6" s="1" t="s">
        <v>18</v>
      </c>
      <c r="C6" s="2">
        <v>46</v>
      </c>
      <c r="D6" s="35">
        <f>C6/4.8</f>
        <v>9.5833333333333339</v>
      </c>
      <c r="E6" s="35">
        <f>D6*140</f>
        <v>1341.6666666666667</v>
      </c>
      <c r="F6" s="60">
        <v>79930</v>
      </c>
      <c r="G6" s="56">
        <v>4096</v>
      </c>
      <c r="H6" s="66"/>
      <c r="I6" s="63"/>
      <c r="J6" s="46">
        <f t="shared" si="0"/>
        <v>1558.3316177653787</v>
      </c>
      <c r="K6" s="46">
        <f t="shared" si="1"/>
        <v>1879.3934099795433</v>
      </c>
      <c r="L6" s="54">
        <v>400</v>
      </c>
      <c r="M6" s="9"/>
      <c r="N6" s="9"/>
      <c r="O6" s="9"/>
      <c r="P6" s="9"/>
      <c r="Q6" s="9"/>
      <c r="R6" s="9"/>
      <c r="S6" s="9"/>
      <c r="T6" s="9"/>
      <c r="U6" s="39"/>
    </row>
    <row r="7" spans="1:21" x14ac:dyDescent="0.25">
      <c r="A7" t="s">
        <v>27</v>
      </c>
      <c r="B7" s="1" t="s">
        <v>2</v>
      </c>
      <c r="C7" s="2">
        <v>163</v>
      </c>
      <c r="D7" s="6">
        <v>47</v>
      </c>
      <c r="E7" s="6">
        <v>1589.4</v>
      </c>
      <c r="F7" s="60">
        <v>17130</v>
      </c>
      <c r="G7" s="8">
        <v>2048</v>
      </c>
      <c r="H7" s="2">
        <v>620</v>
      </c>
      <c r="I7" s="45">
        <v>800</v>
      </c>
      <c r="J7" s="46">
        <f t="shared" si="0"/>
        <v>920.58538948875855</v>
      </c>
      <c r="K7" s="46">
        <f t="shared" si="1"/>
        <v>828.13724219153028</v>
      </c>
      <c r="L7" s="54">
        <v>400</v>
      </c>
      <c r="M7" s="9"/>
      <c r="N7" s="9"/>
      <c r="O7" s="9"/>
      <c r="P7" s="9"/>
      <c r="Q7" s="9"/>
      <c r="R7" s="9"/>
      <c r="S7" s="9"/>
      <c r="T7" s="9"/>
      <c r="U7" s="39"/>
    </row>
    <row r="8" spans="1:21" x14ac:dyDescent="0.25">
      <c r="A8" t="s">
        <v>28</v>
      </c>
      <c r="B8" s="1" t="s">
        <v>19</v>
      </c>
      <c r="C8" s="2">
        <v>19</v>
      </c>
      <c r="D8" s="35">
        <f t="shared" ref="D8:D9" si="2">C8/4.8</f>
        <v>3.9583333333333335</v>
      </c>
      <c r="E8" s="35">
        <f t="shared" ref="E8:E9" si="3">D8*140</f>
        <v>554.16666666666674</v>
      </c>
      <c r="F8" s="61">
        <v>73075</v>
      </c>
      <c r="G8" s="56">
        <v>4096</v>
      </c>
      <c r="H8" s="66"/>
      <c r="I8" s="63"/>
      <c r="J8" s="46">
        <f t="shared" si="0"/>
        <v>1921.4325150095078</v>
      </c>
      <c r="K8" s="46">
        <f t="shared" si="1"/>
        <v>2912.2203592428132</v>
      </c>
      <c r="L8" s="54">
        <v>400</v>
      </c>
      <c r="M8" s="9"/>
      <c r="N8" s="9"/>
      <c r="O8" s="9"/>
      <c r="P8" s="9"/>
      <c r="Q8" s="9"/>
      <c r="R8" s="9"/>
      <c r="S8" s="9"/>
      <c r="T8" s="9"/>
      <c r="U8" s="39"/>
    </row>
    <row r="9" spans="1:21" x14ac:dyDescent="0.25">
      <c r="A9" t="s">
        <v>29</v>
      </c>
      <c r="B9" s="1" t="s">
        <v>3</v>
      </c>
      <c r="C9" s="2">
        <v>39</v>
      </c>
      <c r="D9" s="35">
        <f t="shared" si="2"/>
        <v>8.125</v>
      </c>
      <c r="E9" s="35">
        <f t="shared" si="3"/>
        <v>1137.5</v>
      </c>
      <c r="F9" s="60">
        <v>1</v>
      </c>
      <c r="G9" s="8">
        <v>2048</v>
      </c>
      <c r="H9" s="66"/>
      <c r="I9" s="63"/>
      <c r="J9" s="46">
        <f t="shared" si="0"/>
        <v>610.44823296703294</v>
      </c>
      <c r="K9" s="46">
        <f t="shared" si="1"/>
        <v>505.23651593406595</v>
      </c>
      <c r="L9" s="54">
        <v>400</v>
      </c>
      <c r="M9" s="9"/>
      <c r="N9" s="9"/>
      <c r="O9" s="9"/>
      <c r="P9" s="9"/>
      <c r="Q9" s="9"/>
      <c r="R9" s="9"/>
      <c r="S9" s="9"/>
      <c r="T9" s="9"/>
      <c r="U9" s="39"/>
    </row>
    <row r="10" spans="1:21" x14ac:dyDescent="0.25">
      <c r="A10" t="s">
        <v>30</v>
      </c>
      <c r="B10" s="1" t="s">
        <v>4</v>
      </c>
      <c r="C10" s="2">
        <v>85</v>
      </c>
      <c r="D10" s="6">
        <v>19</v>
      </c>
      <c r="E10" s="6">
        <v>1117.5</v>
      </c>
      <c r="F10" s="60">
        <v>1256</v>
      </c>
      <c r="G10" s="8">
        <v>2048</v>
      </c>
      <c r="H10" s="2">
        <v>430</v>
      </c>
      <c r="I10" s="45">
        <v>510</v>
      </c>
      <c r="J10" s="46">
        <f t="shared" si="0"/>
        <v>652.80252524544949</v>
      </c>
      <c r="K10" s="46">
        <f t="shared" si="1"/>
        <v>542.56855023276512</v>
      </c>
      <c r="L10" s="54">
        <v>400</v>
      </c>
      <c r="M10" s="9"/>
      <c r="N10" s="9"/>
      <c r="O10" s="9"/>
      <c r="P10" s="9"/>
      <c r="Q10" s="9"/>
      <c r="R10" s="9"/>
      <c r="S10" s="9"/>
      <c r="T10" s="9"/>
      <c r="U10" s="39"/>
    </row>
    <row r="11" spans="1:21" x14ac:dyDescent="0.25">
      <c r="A11" t="s">
        <v>31</v>
      </c>
      <c r="B11" s="1" t="s">
        <v>5</v>
      </c>
      <c r="C11" s="2">
        <v>68</v>
      </c>
      <c r="D11" s="6">
        <v>18</v>
      </c>
      <c r="E11" s="6">
        <v>2034.1</v>
      </c>
      <c r="F11" s="60">
        <v>127769</v>
      </c>
      <c r="G11" s="8">
        <v>2048</v>
      </c>
      <c r="H11" s="2">
        <v>1000</v>
      </c>
      <c r="I11" s="45">
        <v>1500</v>
      </c>
      <c r="J11" s="46">
        <f t="shared" si="0"/>
        <v>1976.6552348807957</v>
      </c>
      <c r="K11" s="46">
        <f t="shared" si="1"/>
        <v>2241.1275249652522</v>
      </c>
      <c r="L11" s="54">
        <v>400</v>
      </c>
      <c r="M11" s="9"/>
      <c r="N11" s="9"/>
      <c r="O11" s="9"/>
      <c r="P11" s="9"/>
      <c r="Q11" s="9"/>
      <c r="R11" s="9"/>
      <c r="S11" s="9"/>
      <c r="T11" s="9"/>
      <c r="U11" s="39"/>
    </row>
    <row r="12" spans="1:21" x14ac:dyDescent="0.25">
      <c r="A12" t="s">
        <v>32</v>
      </c>
      <c r="B12" s="1" t="s">
        <v>6</v>
      </c>
      <c r="C12" s="2">
        <v>37</v>
      </c>
      <c r="D12" s="6">
        <v>13</v>
      </c>
      <c r="E12" s="6">
        <v>613.45000000000005</v>
      </c>
      <c r="F12" s="60">
        <v>31557</v>
      </c>
      <c r="G12" s="8">
        <v>2048</v>
      </c>
      <c r="H12" s="2">
        <v>700</v>
      </c>
      <c r="I12" s="45">
        <v>1000</v>
      </c>
      <c r="J12" s="46">
        <f t="shared" si="0"/>
        <v>1094.7913049506442</v>
      </c>
      <c r="K12" s="46">
        <f t="shared" si="1"/>
        <v>1436.5184495814337</v>
      </c>
      <c r="L12" s="54">
        <v>400</v>
      </c>
      <c r="M12" s="9"/>
      <c r="N12" s="9"/>
      <c r="O12" s="9"/>
      <c r="P12" s="9"/>
      <c r="Q12" s="9"/>
      <c r="R12" s="9"/>
      <c r="S12" s="9"/>
      <c r="T12" s="9"/>
      <c r="U12" s="39"/>
    </row>
    <row r="13" spans="1:21" x14ac:dyDescent="0.25">
      <c r="A13" t="s">
        <v>33</v>
      </c>
      <c r="B13" s="1" t="s">
        <v>7</v>
      </c>
      <c r="C13" s="2">
        <v>20</v>
      </c>
      <c r="D13" s="6">
        <v>11</v>
      </c>
      <c r="E13" s="6">
        <v>371.05</v>
      </c>
      <c r="F13" s="60">
        <v>17836</v>
      </c>
      <c r="G13" s="8">
        <v>2048</v>
      </c>
      <c r="H13" s="2">
        <v>620</v>
      </c>
      <c r="I13" s="45">
        <v>750</v>
      </c>
      <c r="J13" s="46">
        <f t="shared" si="0"/>
        <v>948.30591310402906</v>
      </c>
      <c r="K13" s="46">
        <f t="shared" si="1"/>
        <v>1291.1132781621238</v>
      </c>
      <c r="L13" s="54">
        <v>400</v>
      </c>
      <c r="M13" s="9"/>
      <c r="N13" s="9"/>
      <c r="O13" s="9"/>
      <c r="P13" s="9"/>
      <c r="Q13" s="9"/>
      <c r="R13" s="9"/>
      <c r="S13" s="9"/>
      <c r="T13" s="9"/>
      <c r="U13" s="39"/>
    </row>
    <row r="14" spans="1:21" x14ac:dyDescent="0.25">
      <c r="A14" t="s">
        <v>34</v>
      </c>
      <c r="B14" s="1" t="s">
        <v>8</v>
      </c>
      <c r="C14" s="2">
        <v>26</v>
      </c>
      <c r="D14" s="6">
        <v>13</v>
      </c>
      <c r="E14" s="6">
        <v>648.95000000000005</v>
      </c>
      <c r="F14" s="60">
        <v>21645</v>
      </c>
      <c r="G14" s="8">
        <v>2048</v>
      </c>
      <c r="H14" s="2">
        <v>650</v>
      </c>
      <c r="I14" s="45">
        <v>950</v>
      </c>
      <c r="J14" s="46">
        <f t="shared" si="0"/>
        <v>911.19993233795878</v>
      </c>
      <c r="K14" s="46">
        <f t="shared" si="1"/>
        <v>1104.73836825536</v>
      </c>
      <c r="L14" s="54">
        <v>400</v>
      </c>
      <c r="M14" s="9"/>
      <c r="N14" s="9"/>
      <c r="O14" s="9"/>
      <c r="P14" s="9"/>
      <c r="Q14" s="9"/>
      <c r="R14" s="9"/>
      <c r="S14" s="9"/>
      <c r="T14" s="9"/>
      <c r="U14" s="39"/>
    </row>
    <row r="15" spans="1:21" x14ac:dyDescent="0.25">
      <c r="A15" t="s">
        <v>35</v>
      </c>
      <c r="B15" s="1" t="s">
        <v>9</v>
      </c>
      <c r="C15" s="2">
        <v>114</v>
      </c>
      <c r="D15" s="6">
        <v>35</v>
      </c>
      <c r="E15" s="6">
        <v>4100.8500000000004</v>
      </c>
      <c r="F15" s="60">
        <v>121249</v>
      </c>
      <c r="G15" s="8">
        <v>3072</v>
      </c>
      <c r="H15" s="2">
        <v>1400</v>
      </c>
      <c r="I15" s="45">
        <v>1700</v>
      </c>
      <c r="J15" s="46">
        <f t="shared" si="0"/>
        <v>2162.2761884400647</v>
      </c>
      <c r="K15" s="46">
        <f t="shared" si="1"/>
        <v>1919.4203340739966</v>
      </c>
      <c r="L15" s="54">
        <v>400</v>
      </c>
      <c r="M15" s="9"/>
      <c r="N15" s="9"/>
      <c r="O15" s="9"/>
      <c r="P15" s="9"/>
      <c r="Q15" s="9"/>
      <c r="R15" s="9"/>
      <c r="S15" s="9"/>
      <c r="T15" s="9"/>
      <c r="U15" s="39"/>
    </row>
    <row r="16" spans="1:21" x14ac:dyDescent="0.25">
      <c r="A16" t="s">
        <v>36</v>
      </c>
      <c r="B16" s="1" t="s">
        <v>20</v>
      </c>
      <c r="C16" s="2">
        <v>599</v>
      </c>
      <c r="D16" s="35">
        <f t="shared" ref="D16:D19" si="4">C16/4.8</f>
        <v>124.79166666666667</v>
      </c>
      <c r="E16" s="35">
        <f t="shared" ref="E16:E19" si="5">D16*140</f>
        <v>17470.833333333336</v>
      </c>
      <c r="F16" s="60">
        <v>430515</v>
      </c>
      <c r="G16" s="56">
        <v>7168</v>
      </c>
      <c r="H16" s="66"/>
      <c r="I16" s="63"/>
      <c r="J16" s="46">
        <f t="shared" si="0"/>
        <v>6851.4245334929847</v>
      </c>
      <c r="K16" s="46">
        <f t="shared" si="1"/>
        <v>4953.7958650134724</v>
      </c>
      <c r="L16" s="54">
        <v>400</v>
      </c>
      <c r="M16" s="9"/>
      <c r="N16" s="9"/>
      <c r="O16" s="9"/>
      <c r="P16" s="9"/>
      <c r="Q16" s="9"/>
      <c r="R16" s="9"/>
      <c r="S16" s="9"/>
      <c r="T16" s="9"/>
      <c r="U16" s="39"/>
    </row>
    <row r="17" spans="1:21" x14ac:dyDescent="0.25">
      <c r="A17" t="s">
        <v>37</v>
      </c>
      <c r="B17" s="1" t="s">
        <v>21</v>
      </c>
      <c r="C17" s="2">
        <v>463</v>
      </c>
      <c r="D17" s="35">
        <f t="shared" si="4"/>
        <v>96.458333333333343</v>
      </c>
      <c r="E17" s="35">
        <f t="shared" si="5"/>
        <v>13504.166666666668</v>
      </c>
      <c r="F17" s="60">
        <v>264474</v>
      </c>
      <c r="G17" s="56">
        <v>7168</v>
      </c>
      <c r="H17" s="66"/>
      <c r="I17" s="63"/>
      <c r="J17" s="46">
        <f t="shared" si="0"/>
        <v>5019.713548187714</v>
      </c>
      <c r="K17" s="46">
        <f t="shared" si="1"/>
        <v>3572.9340272432005</v>
      </c>
      <c r="L17" s="54">
        <v>400</v>
      </c>
      <c r="M17" s="9"/>
      <c r="N17" s="9"/>
      <c r="O17" s="9"/>
      <c r="P17" s="9"/>
      <c r="Q17" s="9"/>
      <c r="R17" s="9"/>
      <c r="S17" s="9"/>
      <c r="T17" s="9"/>
      <c r="U17" s="39"/>
    </row>
    <row r="18" spans="1:21" x14ac:dyDescent="0.25">
      <c r="A18" t="s">
        <v>38</v>
      </c>
      <c r="B18" s="1" t="s">
        <v>22</v>
      </c>
      <c r="C18" s="2">
        <v>453</v>
      </c>
      <c r="D18" s="35">
        <f t="shared" si="4"/>
        <v>94.375</v>
      </c>
      <c r="E18" s="35">
        <f t="shared" si="5"/>
        <v>13212.5</v>
      </c>
      <c r="F18" s="60">
        <v>388752</v>
      </c>
      <c r="G18" s="56">
        <v>7168</v>
      </c>
      <c r="H18" s="66"/>
      <c r="I18" s="63"/>
      <c r="J18" s="46">
        <f t="shared" si="0"/>
        <v>5657.9626944992342</v>
      </c>
      <c r="K18" s="46">
        <f t="shared" si="1"/>
        <v>4312.3895996192714</v>
      </c>
      <c r="L18" s="54">
        <v>400</v>
      </c>
      <c r="M18" s="9"/>
      <c r="N18" s="9"/>
      <c r="O18" s="9"/>
      <c r="P18" s="9"/>
      <c r="Q18" s="9"/>
      <c r="R18" s="9"/>
      <c r="S18" s="9"/>
      <c r="T18" s="9"/>
      <c r="U18" s="39"/>
    </row>
    <row r="19" spans="1:21" x14ac:dyDescent="0.25">
      <c r="A19" t="s">
        <v>39</v>
      </c>
      <c r="B19" s="1" t="s">
        <v>23</v>
      </c>
      <c r="C19" s="2">
        <v>205</v>
      </c>
      <c r="D19" s="35">
        <f t="shared" si="4"/>
        <v>42.708333333333336</v>
      </c>
      <c r="E19" s="35">
        <f t="shared" si="5"/>
        <v>5979.166666666667</v>
      </c>
      <c r="F19" s="60">
        <v>93157</v>
      </c>
      <c r="G19" s="56">
        <v>7168</v>
      </c>
      <c r="H19" s="66"/>
      <c r="I19" s="63"/>
      <c r="J19" s="46">
        <f t="shared" si="0"/>
        <v>2348.5372298753409</v>
      </c>
      <c r="K19" s="46">
        <f t="shared" si="1"/>
        <v>1777.8881975904856</v>
      </c>
      <c r="L19" s="54">
        <v>400</v>
      </c>
      <c r="M19" s="9"/>
      <c r="N19" s="9"/>
      <c r="O19" s="9"/>
      <c r="P19" s="9"/>
      <c r="Q19" s="9"/>
      <c r="R19" s="9"/>
      <c r="S19" s="9"/>
      <c r="T19" s="9"/>
      <c r="U19" s="39"/>
    </row>
    <row r="20" spans="1:21" x14ac:dyDescent="0.25">
      <c r="A20" t="s">
        <v>40</v>
      </c>
      <c r="B20" s="1" t="s">
        <v>10</v>
      </c>
      <c r="C20" s="2">
        <v>389</v>
      </c>
      <c r="D20" s="6">
        <v>7</v>
      </c>
      <c r="E20" s="6">
        <v>2587.4499999999998</v>
      </c>
      <c r="F20" s="60">
        <v>10230</v>
      </c>
      <c r="G20" s="8">
        <v>2048</v>
      </c>
      <c r="H20" s="2">
        <v>1300</v>
      </c>
      <c r="I20" s="45">
        <v>1500</v>
      </c>
      <c r="J20" s="46">
        <f>($C$1+E20*(F20^(1/$J$1))*$J$2)*(1+(F20/E20/50))+500</f>
        <v>1552.9168342408009</v>
      </c>
      <c r="K20" s="46">
        <f t="shared" si="1"/>
        <v>796.66661813009716</v>
      </c>
      <c r="L20" s="54">
        <v>400</v>
      </c>
      <c r="M20" s="9"/>
      <c r="N20" s="9"/>
      <c r="O20" s="9"/>
      <c r="P20" s="9"/>
      <c r="Q20" s="9"/>
      <c r="R20" s="9"/>
      <c r="S20" s="9"/>
      <c r="T20" s="9"/>
      <c r="U20" s="39"/>
    </row>
    <row r="21" spans="1:21" x14ac:dyDescent="0.25">
      <c r="A21" t="s">
        <v>41</v>
      </c>
      <c r="B21" s="1" t="s">
        <v>11</v>
      </c>
      <c r="C21" s="2">
        <v>145</v>
      </c>
      <c r="D21" s="6">
        <v>18</v>
      </c>
      <c r="E21" s="6">
        <v>1992.25</v>
      </c>
      <c r="F21" s="60">
        <v>14141</v>
      </c>
      <c r="G21" s="8">
        <v>2048</v>
      </c>
      <c r="H21" s="2">
        <v>1400</v>
      </c>
      <c r="I21" s="45">
        <v>1400</v>
      </c>
      <c r="J21" s="46">
        <f>($C$1+E21*(F21^(1/$J$1))*$J$2)*(1+(F21/E21/50))+500</f>
        <v>1466.321470827894</v>
      </c>
      <c r="K21" s="46">
        <f t="shared" si="1"/>
        <v>800.00776906950034</v>
      </c>
      <c r="L21" s="54">
        <v>400</v>
      </c>
      <c r="M21" s="9"/>
      <c r="N21" s="9"/>
      <c r="O21" s="9"/>
      <c r="P21" s="9"/>
      <c r="Q21" s="9"/>
      <c r="R21" s="9"/>
      <c r="S21" s="9"/>
      <c r="T21" s="9"/>
      <c r="U21" s="39"/>
    </row>
    <row r="22" spans="1:21" x14ac:dyDescent="0.25">
      <c r="A22" t="s">
        <v>42</v>
      </c>
      <c r="B22" s="1" t="s">
        <v>12</v>
      </c>
      <c r="C22" s="2">
        <v>166</v>
      </c>
      <c r="D22" s="6">
        <v>18</v>
      </c>
      <c r="E22" s="6">
        <v>2600.25</v>
      </c>
      <c r="F22" s="60">
        <v>7822</v>
      </c>
      <c r="G22" s="8">
        <v>2048</v>
      </c>
      <c r="H22" s="2">
        <v>800</v>
      </c>
      <c r="I22" s="45">
        <v>850</v>
      </c>
      <c r="J22" s="46">
        <f t="shared" si="0"/>
        <v>1034.2004861326755</v>
      </c>
      <c r="K22" s="46">
        <f t="shared" si="1"/>
        <v>770.51065548524866</v>
      </c>
      <c r="L22" s="54">
        <v>400</v>
      </c>
      <c r="M22" s="9"/>
      <c r="N22" s="9"/>
      <c r="O22" s="9"/>
      <c r="P22" s="9"/>
      <c r="Q22" s="9"/>
      <c r="R22" s="9"/>
      <c r="S22" s="9"/>
      <c r="T22" s="9"/>
      <c r="U22" s="39"/>
    </row>
    <row r="23" spans="1:21" x14ac:dyDescent="0.25">
      <c r="A23" t="s">
        <v>43</v>
      </c>
      <c r="B23" s="1" t="s">
        <v>13</v>
      </c>
      <c r="C23" s="2">
        <v>174</v>
      </c>
      <c r="D23" s="6">
        <v>17</v>
      </c>
      <c r="E23" s="6">
        <v>1228</v>
      </c>
      <c r="F23" s="60">
        <v>8177</v>
      </c>
      <c r="G23" s="8">
        <v>2048</v>
      </c>
      <c r="H23" s="2">
        <v>560</v>
      </c>
      <c r="I23" s="45">
        <v>640</v>
      </c>
      <c r="J23" s="46">
        <f t="shared" si="0"/>
        <v>761.53186945319987</v>
      </c>
      <c r="K23" s="46">
        <f t="shared" si="1"/>
        <v>678.78560743639071</v>
      </c>
      <c r="L23" s="54">
        <v>400</v>
      </c>
      <c r="M23" s="9"/>
      <c r="N23" s="9"/>
      <c r="O23" s="9"/>
      <c r="P23" s="9"/>
      <c r="Q23" s="9"/>
      <c r="R23" s="9"/>
      <c r="S23" s="9"/>
      <c r="T23" s="9"/>
      <c r="U23" s="39"/>
    </row>
    <row r="24" spans="1:21" x14ac:dyDescent="0.25">
      <c r="A24" t="s">
        <v>44</v>
      </c>
      <c r="B24" s="1" t="s">
        <v>14</v>
      </c>
      <c r="C24" s="2">
        <v>54</v>
      </c>
      <c r="D24" s="6">
        <v>9</v>
      </c>
      <c r="E24" s="6">
        <v>432.85</v>
      </c>
      <c r="F24" s="60">
        <v>610</v>
      </c>
      <c r="G24" s="8">
        <v>2048</v>
      </c>
      <c r="H24" s="2">
        <v>340</v>
      </c>
      <c r="I24" s="45">
        <v>460</v>
      </c>
      <c r="J24" s="46">
        <f t="shared" si="0"/>
        <v>504.87654492805956</v>
      </c>
      <c r="K24" s="46">
        <f t="shared" si="1"/>
        <v>470.63238797455352</v>
      </c>
      <c r="L24" s="54">
        <v>400</v>
      </c>
      <c r="M24" s="9"/>
      <c r="N24" s="9"/>
      <c r="O24" s="9"/>
      <c r="P24" s="9"/>
      <c r="Q24" s="9"/>
      <c r="R24" s="9"/>
      <c r="S24" s="9"/>
      <c r="T24" s="9"/>
      <c r="U24" s="39"/>
    </row>
    <row r="25" spans="1:21" x14ac:dyDescent="0.25">
      <c r="A25" t="s">
        <v>45</v>
      </c>
      <c r="B25" s="1" t="s">
        <v>15</v>
      </c>
      <c r="C25" s="2">
        <v>33</v>
      </c>
      <c r="D25" s="6">
        <v>7</v>
      </c>
      <c r="E25" s="6">
        <v>447.45</v>
      </c>
      <c r="F25" s="60">
        <v>892</v>
      </c>
      <c r="G25" s="8">
        <v>2048</v>
      </c>
      <c r="H25" s="2">
        <v>280</v>
      </c>
      <c r="I25" s="45">
        <v>460</v>
      </c>
      <c r="J25" s="46">
        <f t="shared" si="0"/>
        <v>514.5540149665951</v>
      </c>
      <c r="K25" s="46">
        <f t="shared" si="1"/>
        <v>483.08959064813115</v>
      </c>
      <c r="L25" s="54">
        <v>400</v>
      </c>
      <c r="M25" s="9"/>
      <c r="N25" s="9"/>
      <c r="O25" s="9"/>
      <c r="P25" s="9"/>
      <c r="Q25" s="9"/>
      <c r="R25" s="9"/>
      <c r="S25" s="9"/>
      <c r="T25" s="9"/>
      <c r="U25" s="39"/>
    </row>
    <row r="26" spans="1:21" x14ac:dyDescent="0.25">
      <c r="A26" t="s">
        <v>46</v>
      </c>
      <c r="B26" s="1" t="s">
        <v>16</v>
      </c>
      <c r="C26" s="2">
        <v>70</v>
      </c>
      <c r="D26" s="6">
        <v>5</v>
      </c>
      <c r="E26" s="6">
        <v>587.04999999999995</v>
      </c>
      <c r="F26" s="60">
        <v>1333</v>
      </c>
      <c r="G26" s="8">
        <v>2048</v>
      </c>
      <c r="H26" s="2">
        <v>350</v>
      </c>
      <c r="I26" s="45">
        <v>500</v>
      </c>
      <c r="J26" s="46">
        <f t="shared" si="0"/>
        <v>549.27410935070122</v>
      </c>
      <c r="K26" s="46">
        <f t="shared" si="1"/>
        <v>504.73288744537706</v>
      </c>
      <c r="L26" s="54">
        <v>400</v>
      </c>
      <c r="M26" s="9"/>
      <c r="N26" s="9"/>
      <c r="O26" s="9"/>
      <c r="P26" s="9"/>
      <c r="Q26" s="9"/>
      <c r="R26" s="9"/>
      <c r="S26" s="9"/>
      <c r="T26" s="9"/>
      <c r="U26" s="39"/>
    </row>
    <row r="27" spans="1:21" x14ac:dyDescent="0.25">
      <c r="A27" t="s">
        <v>47</v>
      </c>
      <c r="B27" s="3" t="s">
        <v>17</v>
      </c>
      <c r="C27" s="4">
        <v>65</v>
      </c>
      <c r="D27" s="7">
        <v>6</v>
      </c>
      <c r="E27" s="7">
        <v>355.26315789473699</v>
      </c>
      <c r="F27" s="62">
        <v>202</v>
      </c>
      <c r="G27" s="11">
        <v>2048</v>
      </c>
      <c r="H27" s="4">
        <v>270</v>
      </c>
      <c r="I27" s="64">
        <v>450</v>
      </c>
      <c r="J27" s="49">
        <f t="shared" si="0"/>
        <v>478.46496765060391</v>
      </c>
      <c r="K27" s="49">
        <f t="shared" si="1"/>
        <v>446.47115147989797</v>
      </c>
      <c r="L27" s="55">
        <v>400</v>
      </c>
      <c r="M27" s="9"/>
      <c r="N27" s="9"/>
      <c r="O27" s="9"/>
      <c r="P27" s="9"/>
      <c r="Q27" s="9"/>
      <c r="R27" s="9"/>
      <c r="S27" s="9"/>
      <c r="T27" s="9"/>
      <c r="U27" s="39"/>
    </row>
    <row r="28" spans="1:21" x14ac:dyDescent="0.25">
      <c r="C28" s="5"/>
      <c r="D28" s="5"/>
      <c r="E28" s="9"/>
      <c r="F28" s="9"/>
      <c r="G28" s="47">
        <f>SUM(G4:G27)</f>
        <v>81920</v>
      </c>
      <c r="H28" s="9"/>
      <c r="I28" s="47">
        <f>SUM(I4:I27)</f>
        <v>21170</v>
      </c>
      <c r="J28" s="40">
        <f>SUM(J4:J27)</f>
        <v>48253.65424949256</v>
      </c>
      <c r="K28" s="40">
        <f>SUM(K4:K27)</f>
        <v>40558.529893362189</v>
      </c>
      <c r="L28" s="40">
        <f>SUM(L4:L27)</f>
        <v>9600</v>
      </c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2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21" x14ac:dyDescent="0.25">
      <c r="D31" s="5" t="s">
        <v>71</v>
      </c>
      <c r="E31" s="5" t="s">
        <v>72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21" x14ac:dyDescent="0.25">
      <c r="B32" t="s">
        <v>96</v>
      </c>
      <c r="C32" s="5">
        <f>4+(K28+L28)/1024</f>
        <v>52.982939348986513</v>
      </c>
      <c r="D32" s="75">
        <f>SUM(C32:C41)</f>
        <v>123.96587869797303</v>
      </c>
      <c r="E32" s="75">
        <v>144</v>
      </c>
      <c r="F32" s="36"/>
      <c r="G32" s="32"/>
      <c r="H32" s="32"/>
      <c r="I32" s="32"/>
      <c r="J32" s="32"/>
      <c r="K32" s="48"/>
      <c r="L32" s="48"/>
      <c r="M32" s="5"/>
      <c r="N32" s="5"/>
      <c r="O32" s="5"/>
      <c r="P32" s="5"/>
      <c r="Q32" s="5"/>
      <c r="R32" s="5"/>
      <c r="S32" s="5"/>
    </row>
    <row r="33" spans="2:19" x14ac:dyDescent="0.25">
      <c r="B33" t="s">
        <v>97</v>
      </c>
      <c r="C33" s="5">
        <f>C32</f>
        <v>52.982939348986513</v>
      </c>
      <c r="D33" s="75"/>
      <c r="E33" s="75"/>
      <c r="F33" s="36"/>
      <c r="G33" s="32"/>
      <c r="H33" s="32"/>
      <c r="I33" s="32"/>
      <c r="J33" s="32"/>
      <c r="K33" s="48"/>
      <c r="L33" s="48"/>
      <c r="M33" s="5"/>
      <c r="N33" s="5"/>
      <c r="O33" s="5"/>
      <c r="P33" s="5"/>
      <c r="Q33" s="5"/>
      <c r="R33" s="5"/>
      <c r="S33" s="5"/>
    </row>
    <row r="34" spans="2:19" x14ac:dyDescent="0.25">
      <c r="B34" t="s">
        <v>109</v>
      </c>
      <c r="C34" s="5">
        <v>2</v>
      </c>
      <c r="D34" s="75"/>
      <c r="E34" s="75"/>
      <c r="F34" s="36"/>
      <c r="G34" s="32"/>
      <c r="H34" s="32"/>
      <c r="I34" s="32"/>
      <c r="J34" s="32"/>
      <c r="K34" s="48"/>
      <c r="L34" s="48"/>
      <c r="M34" s="5"/>
      <c r="N34" s="5"/>
      <c r="O34" s="5"/>
      <c r="P34" s="5"/>
      <c r="Q34" s="5"/>
      <c r="R34" s="5"/>
      <c r="S34" s="5"/>
    </row>
    <row r="35" spans="2:19" x14ac:dyDescent="0.25">
      <c r="B35" t="s">
        <v>110</v>
      </c>
      <c r="C35" s="5">
        <v>2</v>
      </c>
      <c r="D35" s="75"/>
      <c r="E35" s="75"/>
      <c r="F35" s="36"/>
      <c r="G35" s="32"/>
      <c r="H35" s="32"/>
      <c r="I35" s="32"/>
      <c r="J35" s="32"/>
      <c r="K35" s="48"/>
      <c r="L35" s="48"/>
      <c r="M35" s="5"/>
      <c r="N35" s="5"/>
      <c r="O35" s="5"/>
      <c r="P35" s="5"/>
      <c r="Q35" s="5"/>
      <c r="R35" s="5"/>
      <c r="S35" s="5"/>
    </row>
    <row r="36" spans="2:19" x14ac:dyDescent="0.25">
      <c r="B36" t="s">
        <v>100</v>
      </c>
      <c r="C36" s="5">
        <v>3</v>
      </c>
      <c r="D36" s="75"/>
      <c r="E36" s="75"/>
      <c r="F36" s="43"/>
      <c r="G36" s="43"/>
      <c r="H36" s="43"/>
      <c r="I36" s="43"/>
      <c r="J36" s="43"/>
      <c r="K36" s="48"/>
      <c r="L36" s="48"/>
      <c r="M36" s="5"/>
      <c r="N36" s="5"/>
      <c r="O36" s="5"/>
      <c r="P36" s="5"/>
      <c r="Q36" s="5"/>
      <c r="R36" s="5"/>
      <c r="S36" s="5"/>
    </row>
    <row r="37" spans="2:19" x14ac:dyDescent="0.25">
      <c r="B37" t="s">
        <v>101</v>
      </c>
      <c r="C37" s="5">
        <v>3</v>
      </c>
      <c r="D37" s="75"/>
      <c r="E37" s="75"/>
      <c r="F37" s="43"/>
      <c r="G37" s="43"/>
      <c r="H37" s="43"/>
      <c r="I37" s="43"/>
      <c r="J37" s="43"/>
      <c r="K37" s="48"/>
      <c r="L37" s="48"/>
      <c r="M37" s="5"/>
      <c r="N37" s="5"/>
      <c r="O37" s="5"/>
      <c r="P37" s="5"/>
      <c r="Q37" s="5"/>
      <c r="R37" s="5"/>
      <c r="S37" s="5"/>
    </row>
    <row r="38" spans="2:19" x14ac:dyDescent="0.25">
      <c r="B38" t="s">
        <v>102</v>
      </c>
      <c r="C38" s="5">
        <v>2</v>
      </c>
      <c r="D38" s="75"/>
      <c r="E38" s="75"/>
      <c r="F38" s="36"/>
      <c r="G38" s="32"/>
      <c r="H38" s="32"/>
      <c r="I38" s="32"/>
      <c r="J38" s="32"/>
      <c r="K38" s="48"/>
      <c r="L38" s="48"/>
      <c r="M38" s="5"/>
      <c r="N38" s="5"/>
      <c r="O38" s="5"/>
      <c r="P38" s="5"/>
      <c r="Q38" s="5"/>
      <c r="R38" s="5"/>
      <c r="S38" s="5"/>
    </row>
    <row r="39" spans="2:19" x14ac:dyDescent="0.25">
      <c r="B39" t="s">
        <v>103</v>
      </c>
      <c r="C39" s="5">
        <v>2</v>
      </c>
      <c r="D39" s="75"/>
      <c r="E39" s="75"/>
      <c r="F39" s="36"/>
      <c r="G39" s="32"/>
      <c r="H39" s="32"/>
      <c r="I39" s="32"/>
      <c r="J39" s="32"/>
      <c r="K39" s="48"/>
      <c r="L39" s="48"/>
      <c r="M39" s="5"/>
      <c r="N39" s="5"/>
      <c r="O39" s="5"/>
      <c r="P39" s="5"/>
      <c r="Q39" s="5"/>
      <c r="R39" s="5"/>
      <c r="S39" s="5"/>
    </row>
    <row r="40" spans="2:19" x14ac:dyDescent="0.25">
      <c r="B40" t="s">
        <v>104</v>
      </c>
      <c r="C40" s="5">
        <v>2</v>
      </c>
      <c r="D40" s="75"/>
      <c r="E40" s="75"/>
      <c r="F40" s="36"/>
      <c r="G40" s="32"/>
      <c r="H40" s="32"/>
      <c r="I40" s="32"/>
      <c r="J40" s="32"/>
      <c r="K40" s="48"/>
      <c r="L40" s="48"/>
      <c r="M40" s="5"/>
      <c r="N40" s="5"/>
      <c r="O40" s="5"/>
      <c r="P40" s="5"/>
      <c r="Q40" s="5"/>
      <c r="R40" s="5"/>
      <c r="S40" s="5"/>
    </row>
    <row r="41" spans="2:19" x14ac:dyDescent="0.25">
      <c r="B41" t="s">
        <v>105</v>
      </c>
      <c r="C41" s="5">
        <v>2</v>
      </c>
      <c r="D41" s="75"/>
      <c r="E41" s="75"/>
      <c r="F41" s="36"/>
      <c r="G41" s="32"/>
      <c r="H41" s="32"/>
      <c r="I41" s="32"/>
      <c r="J41" s="32"/>
      <c r="K41" s="48"/>
      <c r="L41" s="48"/>
      <c r="M41" s="5"/>
      <c r="N41" s="5"/>
      <c r="O41" s="5"/>
      <c r="P41" s="5"/>
      <c r="Q41" s="5"/>
      <c r="R41" s="5"/>
      <c r="S41" s="5"/>
    </row>
    <row r="42" spans="2:19" x14ac:dyDescent="0.25">
      <c r="B42" t="s">
        <v>98</v>
      </c>
      <c r="C42" s="5">
        <v>20</v>
      </c>
      <c r="D42" s="75">
        <f>SUM(C42:C43)</f>
        <v>40</v>
      </c>
      <c r="E42" s="75" t="s">
        <v>111</v>
      </c>
      <c r="F42" s="75"/>
      <c r="G42" s="75"/>
      <c r="H42" s="75"/>
      <c r="I42" s="75"/>
      <c r="J42" s="75"/>
      <c r="K42" s="75"/>
      <c r="L42" s="48"/>
      <c r="M42" s="48"/>
      <c r="N42" s="5"/>
      <c r="O42" s="5"/>
      <c r="P42" s="5"/>
      <c r="Q42" s="5"/>
      <c r="R42" s="5"/>
      <c r="S42" s="5"/>
    </row>
    <row r="43" spans="2:19" x14ac:dyDescent="0.25">
      <c r="B43" t="s">
        <v>99</v>
      </c>
      <c r="C43" s="5">
        <v>20</v>
      </c>
      <c r="D43" s="75"/>
      <c r="E43" s="75"/>
      <c r="F43" s="75"/>
      <c r="G43" s="75"/>
      <c r="H43" s="75"/>
      <c r="I43" s="75"/>
      <c r="J43" s="75"/>
      <c r="K43" s="75"/>
      <c r="L43" s="48"/>
      <c r="M43" s="48"/>
      <c r="N43" s="5"/>
      <c r="O43" s="5"/>
      <c r="P43" s="5"/>
      <c r="Q43" s="5"/>
      <c r="R43" s="5"/>
      <c r="S43" s="5"/>
    </row>
    <row r="44" spans="2:19" x14ac:dyDescent="0.25">
      <c r="D44" s="48"/>
      <c r="E44" s="48"/>
    </row>
  </sheetData>
  <mergeCells count="4">
    <mergeCell ref="D32:D41"/>
    <mergeCell ref="E32:E41"/>
    <mergeCell ref="D42:D43"/>
    <mergeCell ref="E42:K43"/>
  </mergeCells>
  <pageMargins left="0.7" right="0.7" top="0.75" bottom="0.75" header="0.3" footer="0.3"/>
  <pageSetup paperSize="9" orientation="portrait" r:id="rId1"/>
  <ignoredErrors>
    <ignoredError sqref="D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Ketas</vt:lpstr>
      <vt:lpstr>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2014-03-12T13:21:43Z</dcterms:created>
  <dcterms:modified xsi:type="dcterms:W3CDTF">2014-03-12T13:21:46Z</dcterms:modified>
</cp:coreProperties>
</file>