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aracter Info" sheetId="1" r:id="rId3"/>
    <sheet state="visible" name="Party Info" sheetId="2" r:id="rId4"/>
    <sheet state="visible" name="Party Inventory" sheetId="3" r:id="rId5"/>
    <sheet state="visible" name="Character 1's Inventory" sheetId="4" r:id="rId6"/>
    <sheet state="visible" name="Character 2's Inventory" sheetId="5" r:id="rId7"/>
    <sheet state="visible" name="Character 3's Inventory" sheetId="6" r:id="rId8"/>
    <sheet state="visible" name="Character 4's Inventory" sheetId="7" r:id="rId9"/>
    <sheet state="visible" name="Character 5's Inventory" sheetId="8" r:id="rId10"/>
    <sheet state="visible" name="Character 6's Inventory" sheetId="9" r:id="rId11"/>
    <sheet state="visible" name="Character 7's Inventory" sheetId="10" r:id="rId12"/>
    <sheet state="visible" name="Character 8's Inventory" sheetId="11" r:id="rId13"/>
    <sheet state="visible" name="Character 9's Inventory" sheetId="12" r:id="rId14"/>
    <sheet state="visible" name="Reference" sheetId="13" r:id="rId15"/>
    <sheet state="visible" name="Changelog" sheetId="14" r:id="rId16"/>
  </sheets>
  <definedNames>
    <definedName name="Ch5_In_Inventory1">'Character 5''s Inventory'!$B$27:$D$208</definedName>
    <definedName name="Ch8_MountSizeMult">'Character 8''s Inventory'!$N$2</definedName>
    <definedName name="Ch1_Weight">'Character Info'!$F$5</definedName>
    <definedName name="Ch4_In_Inventory2">'Character 4''s Inventory'!$F$27:$M$208</definedName>
    <definedName name="Ch9_PartyEquip">'Character 9''s Inventory'!$A$27:$A$208</definedName>
    <definedName name="Ch6_SizeMultiplier">'Character 6''s Inventory'!$A$2</definedName>
    <definedName name="Ch5_MountStr">'Character Info'!$I$9</definedName>
    <definedName name="Ch6_Storage">'Character Info'!$Z$19:$AB$29</definedName>
    <definedName name="Ch3_Level">'Character 3''s Inventory'!$H$5</definedName>
    <definedName name="Ch2_Storage">Reference!$B$99:$B$145</definedName>
    <definedName name="Ch5_StorageEquipStatus">'Character Info'!$U$19:$U$28</definedName>
    <definedName name="Ch4_XP">'Character 4''s Inventory'!$H$3</definedName>
    <definedName name="Draft3SizeMult">'Party Inventory'!$O$27</definedName>
    <definedName name="Ch3_Storage">Reference!$C$99:$C$144</definedName>
    <definedName name="Ch7_In_Inventory2">'Character 7''s Inventory'!$F$27:$M$208</definedName>
    <definedName name="PartyStorage">Reference!$A$3:$B$29</definedName>
    <definedName name="Ch7_EquipStatus">'Character 7''s Inventory'!$N$27:$N$208</definedName>
    <definedName name="Draft4Str">'Party Info'!$F$7</definedName>
    <definedName name="DraftAnimal8">'Party Info'!$C$11</definedName>
    <definedName name="Ch5_Size">'Character Info'!$D$9</definedName>
    <definedName name="Ch7_Str">'Character Info'!$E$11</definedName>
    <definedName name="Ch2_MountName">'Character Info'!$G$6</definedName>
    <definedName name="Ch7_XP">'Character 7''s Inventory'!$H$3</definedName>
    <definedName name="Ch1_MountStr">'Character Info'!$I$5</definedName>
    <definedName name="Vehicle2Weight">'Party Info'!$D$20</definedName>
    <definedName name="Ch9_Str">'Character Info'!$E$13</definedName>
    <definedName name="Ch8_Weight">'Character Info'!$F$12</definedName>
    <definedName name="Ch1_PartyEquip">'Character 1''s Inventory'!$A$27:$A$208</definedName>
    <definedName name="Draft10Str">'Party Info'!$D$13</definedName>
    <definedName name="Draft11Str">'Party Info'!$D$14</definedName>
    <definedName name="Ch4_Weight">'Character Info'!$F$8</definedName>
    <definedName name="Party_Gems">'Party Inventory'!$B$12:$B$17</definedName>
    <definedName name="Ch2_Name">'Character Info'!$C$6</definedName>
    <definedName name="Ch7_InventoryWeights">'Character 7''s Inventory'!$E$27:$E$208</definedName>
    <definedName name="DraftAnimal5">'Party Info'!$C$8</definedName>
    <definedName name="DraftAnimal11">'Party Info'!$C$14</definedName>
    <definedName name="Ch3_Money">'Character 3''s Inventory'!$B$11:$B$15</definedName>
    <definedName name="Ch3_In_Inventory1">'Character 3''s Inventory'!$B$27:$D$208</definedName>
    <definedName name="Ch6_In_Inventory2">'Character 6''s Inventory'!$F$27:$M$208</definedName>
    <definedName name="Ch1_Storage">Reference!$A$99:$A$145</definedName>
    <definedName name="Ch1_Gems">'Character 1''s Inventory'!$B$19:$B$24</definedName>
    <definedName name="Ch9_MountSizeMult">'Character 9''s Inventory'!$N$2</definedName>
    <definedName name="Draft9Str">'Party Info'!$F$12</definedName>
    <definedName name="Ch2_In_Inventory1">'Character 2''s Inventory'!$B$27:$D$208</definedName>
    <definedName name="Draft3Str">'Party Info'!$F$6</definedName>
    <definedName name="Ch4_Size">'Character Info'!$D$8</definedName>
    <definedName name="Ch7_Storage">'Character Info'!$L$32:$N$42</definedName>
    <definedName name="Ch6_Gems">'Character 6''s Inventory'!$B$19:$B$24</definedName>
    <definedName name="Ch2_Str">'Character Info'!$E$6</definedName>
    <definedName name="Ch1_InventoryWeights">'Character 1''s Inventory'!$E$27:$E$208</definedName>
    <definedName name="Ch5_InventoryWeights">'Character 5''s Inventory'!$E$27:$E$208</definedName>
    <definedName name="Ch3_Name">'Character Info'!$C$7</definedName>
    <definedName name="Draft1SizeMult">'Party Inventory'!$O$13</definedName>
    <definedName name="Draft4SizeMult">'Party Inventory'!$O$34</definedName>
    <definedName name="Draft3Size">'Party Info'!$E$6</definedName>
    <definedName name="Ch9_Size">'Character Info'!$D$13</definedName>
    <definedName name="Ch1_StorageEquipStatus">'Character Info'!$M$6:$M$15</definedName>
    <definedName name="Ch1_MountSizeMult">'Character 1''s Inventory'!$N$2</definedName>
    <definedName name="Ch6_InventoryWeights">'Character 6''s Inventory'!$E$27:$E$208</definedName>
    <definedName name="Draft8Size">'Party Info'!$E$11</definedName>
    <definedName name="Ch3_XP">'Character 3''s Inventory'!$H$3</definedName>
    <definedName name="Ch4_MountStr">'Character Info'!$I$8</definedName>
    <definedName name="Ch9_Money">'Character 9''s Inventory'!$B$11:$B$15</definedName>
    <definedName name="Ch3_MountStr">'Character Info'!$I$7</definedName>
    <definedName name="Draft6Size">'Party Info'!$E$9</definedName>
    <definedName name="Ch4_In_Gems">'Character 4''s Inventory'!$B$19:$B$24</definedName>
    <definedName name="Ch9_Gems">'Character 9''s Inventory'!$B$19:$B$24</definedName>
    <definedName name="Ch3_MountSize">'Character Info'!$H$7</definedName>
    <definedName name="Vehicle1">'Party Info'!$C$19</definedName>
    <definedName name="Vehicle3AdjustedCapacity">'Party Info'!$E$21</definedName>
    <definedName name="Vehicle3Weight">'Party Info'!$D$21</definedName>
    <definedName name="Ch2_InventoryWeights">'Character 2''s Inventory'!$E$27:$E$208</definedName>
    <definedName name="Ch6_Weight">'Character Info'!$F$10</definedName>
    <definedName name="DraftAnimal2">'Party Info'!$C$5</definedName>
    <definedName name="Party_InventoryWeights">'Party Inventory'!$M$20:$M$201</definedName>
    <definedName name="Ch4_Storage">Reference!$D$99:$D$144</definedName>
    <definedName name="Draft5Str">'Party Info'!$F$8</definedName>
    <definedName name="Ch8_Size">'Character Info'!$D$12</definedName>
    <definedName name="PartyStorageOptions">Reference!$C$3:$C$6</definedName>
    <definedName name="Ch7_MountName">'Character Info'!$G$11</definedName>
    <definedName name="Draft12Str">'Party Info'!$F$15</definedName>
    <definedName name="Ch7_Name">'Character Info'!$C$11</definedName>
    <definedName name="PartyEquipStatus">'Party Inventory'!$N$20:$N$201</definedName>
    <definedName name="Ch1_Money">'Character 1''s Inventory'!$B$11:$B$15</definedName>
    <definedName name="Ch9_EquipStatus">'Character 9''s Inventory'!$N$27:$N$208</definedName>
    <definedName name="Ch4_StorageEquipStatus">'Character Info'!$N$19:$N$28</definedName>
    <definedName name="Ch5_EquipStatus">'Character 5''s Inventory'!$N$27:$N$208</definedName>
    <definedName name="Draft1Str">'Party Info'!$F$4</definedName>
    <definedName name="Ch5_MountSize">'Character Info'!$H$9</definedName>
    <definedName name="Ch2_Money">'Character 2''s Inventory'!$B$11:$B$15</definedName>
    <definedName name="Ch6_In_XP">'Character 6''s Inventory'!$H$3</definedName>
    <definedName name="Draft2Str">'Party Info'!$F$5</definedName>
    <definedName name="Ch6_Level">'Character 6''s Inventory'!$H$5</definedName>
    <definedName name="Ch5_MountName">'Character Info'!$G$9</definedName>
    <definedName name="Ch4_InventoryWeights">'Character 4''s Inventory'!$E$27:$E$208</definedName>
    <definedName name="Ch1_MountName">'Character Info'!$G$5</definedName>
    <definedName name="Draft4Size">'Party Info'!$E$7</definedName>
    <definedName name="Ch8_Storage">'Character Info'!$S$32:$U$42</definedName>
    <definedName name="Ch3_EquipStatus">'Character 3''s Inventory'!$N$27:$N$208</definedName>
    <definedName name="Draft8Str">'Party Info'!$F$11</definedName>
    <definedName name="Ch3_In_Inventory2">'Character 3''s Inventory'!$F$27:$M$208</definedName>
    <definedName name="Ch5_Storage">'Character Info'!$S$19:$U$29</definedName>
    <definedName name="Ch6_MountName">'Character Info'!$G$10</definedName>
    <definedName name="Ch9_MountStr">'Character Info'!$I$13</definedName>
    <definedName name="Draft2Size">'Party Info'!$E$5</definedName>
    <definedName name="XPTable_v">Reference!$B$32:$C$51</definedName>
    <definedName name="Ch8_Str">'Character Info'!$E$12</definedName>
    <definedName name="Ch5_In_XP">'Character 5''s Inventory'!$H$3</definedName>
    <definedName name="Draft10Size">'Party Info'!$E$13</definedName>
    <definedName name="Draft5Size">'Party Info'!$E$8</definedName>
    <definedName name="Ch5_Weight">'Character Info'!$F$9</definedName>
    <definedName name="Ch2_StorageEquipStatus">'Character Info'!$U$6:$U$15</definedName>
    <definedName name="Draft9Size">'Party Info'!$E$12</definedName>
    <definedName name="Ch6_StorageEquipStatus">'Character Info'!$AB$19:$AB$28</definedName>
    <definedName name="Draft12SizeMult">'Party Inventory'!$O$90</definedName>
    <definedName name="Ch4_In_XP">'Character 4''s Inventory'!$H$3</definedName>
    <definedName name="Ch3_MountName">'Character Info'!$G$7</definedName>
    <definedName name="Ch6_PartyEquip">'Character 6''s Inventory'!$A$27:$A$208</definedName>
    <definedName name="Ch2_XP">'Character 2''s Inventory'!$H$3</definedName>
    <definedName name="Ch7_Gems">'Character 7''s Inventory'!$B$19:$B$24</definedName>
    <definedName name="Ch9_MountName">'Character Info'!$G$13</definedName>
    <definedName name="Ch5_In_Gems">'Character 5''s Inventory'!$B$19:$B$24</definedName>
    <definedName name="Ch6_Size">'Character Info'!$D$10</definedName>
    <definedName name="Ch7_Size">'Character Info'!$D$11</definedName>
    <definedName name="Ch2_SizeMultiplier">'Character 2''s Inventory'!$A$2</definedName>
    <definedName name="Ch3_In_Gems">'Character 3''s Inventory'!$B$19:$B$24</definedName>
    <definedName name="Ch8_Name">'Character Info'!$C$12</definedName>
    <definedName name="Draft6SizeMult">'Party Inventory'!$O$48</definedName>
    <definedName name="DraftAnimal3">'Party Info'!$C$6</definedName>
    <definedName name="Ch9_SizeMultiplier">'Character 9''s Inventory'!$A$2</definedName>
    <definedName name="Ch5_Money">'Character 5''s Inventory'!$B$11:$B$15</definedName>
    <definedName name="Ch7_StorageEquipStatus">'Character Info'!$N$32:$N$41</definedName>
    <definedName name="Ch4_SizeMultiplier">'Character 4''s Inventory'!$A$2</definedName>
    <definedName name="Ch3_Weight">'Character Info'!$F$7</definedName>
    <definedName name="Ch6_Str">'Character Info'!$E$10</definedName>
    <definedName name="Ch5_In_Inventory2">'Character 5''s Inventory'!$F$27:$M$208</definedName>
    <definedName name="Ch4_MountName">'Character Info'!$G$8</definedName>
    <definedName name="Ch8_Gems">'Character 8''s Inventory'!$B$19:$B$24</definedName>
    <definedName name="Party_Money">'Party Inventory'!$B$4:$B$8</definedName>
    <definedName name="Ch6_MountSizeMult">'Character 6''s Inventory'!$N$2</definedName>
    <definedName name="Ch4_In_Inventory1">'Character 4''s Inventory'!$B$27:$D$208</definedName>
    <definedName name="Ch1_XP">'Character 1''s Inventory'!$H$3</definedName>
    <definedName name="Ch4_Name">'Character Info'!$C$8</definedName>
    <definedName name="Vehicle1Weight">'Party Info'!$D$19</definedName>
    <definedName name="Ch4_MountSize">'Character Info'!$H$8</definedName>
    <definedName name="Ch3_PartyEquip">'Character 3''s Inventory'!$A$27:$A$208</definedName>
    <definedName name="Ch3_Str">'Character Info'!$E$7</definedName>
    <definedName name="Ch7_MountSize">'Character Info'!$H$11</definedName>
    <definedName name="Ch5_XP">'Character 5''s Inventory'!$H$3</definedName>
    <definedName name="Vehicle1AdjustedCapacity">'Party Info'!$E$19</definedName>
    <definedName name="Ch2_MountSize">'Character Info'!$H$6</definedName>
    <definedName name="Ch8_StorageEquipStatus">'Character Info'!$U$32:$U$41</definedName>
    <definedName name="DraftAnimal4">'Party Info'!$C$7</definedName>
    <definedName name="Vehicle2">'Party Info'!$C$20</definedName>
    <definedName name="Ch7_Level">'Character 7''s Inventory'!$H$5</definedName>
    <definedName name="Ch9_Storage">'Character Info'!$Z$32:$AB$42</definedName>
    <definedName name="Ch8_MountName">'Character Info'!$G$12</definedName>
    <definedName name="Ch8_PartyEquip">'Character 8''s Inventory'!$A$27:$A$208</definedName>
    <definedName name="Ch6_XP">'Character 6''s Inventory'!$H$3</definedName>
    <definedName name="Ch3_In_XP">'Character 3''s Inventory'!$H$3</definedName>
    <definedName name="Ch6_EquipStatus">'Character 6''s Inventory'!$N$27:$N$208</definedName>
    <definedName name="Ch3_In_Money">'Character 3''s Inventory'!$B$11:$B$15</definedName>
    <definedName name="Ch2_PartyEquip">'Character 2''s Inventory'!$A$27:$A$208</definedName>
    <definedName name="Ch3_StorageEquipStatus">'Character Info'!$AB$6:$AB$15</definedName>
    <definedName name="Ch1_Name">'Character Info'!$C$5</definedName>
    <definedName name="Ch2_Size">'Character Info'!$D$6</definedName>
    <definedName name="Ch4_EquipStatus">'Character 4''s Inventory'!$N$27:$N$208</definedName>
    <definedName name="Ch8_Money">'Character 8''s Inventory'!$B$11:$B$15</definedName>
    <definedName name="Ch1_MountSize">'Character Info'!$H$5</definedName>
    <definedName name="Draft12Size">'Party Info'!$E$15</definedName>
    <definedName name="Ch8_MountStr">'Character Info'!$I$12</definedName>
    <definedName name="Draft10SizeMult">'Party Inventory'!$O$76</definedName>
    <definedName name="Ch6_In_Money">'Character 6''s Inventory'!$B$11:$B$15</definedName>
    <definedName name="Ch9_InventoryWeights">'Character 9''s Inventory'!$E$27:$E$208</definedName>
    <definedName name="Ch9_Weight">'Character Info'!$F$13</definedName>
    <definedName name="Ch4_Gems">'Character 4''s Inventory'!$B$19:$B$24</definedName>
    <definedName name="Draft11Size">'Party Info'!$E$14</definedName>
    <definedName name="Ch3_MountSizeMult">'Character 3''s Inventory'!$N$2</definedName>
    <definedName name="Ch6_In_Inventory1">'Character 6''s Inventory'!$B$27:$D$208</definedName>
    <definedName name="XPTable_m">Reference!$A$32:$A$51</definedName>
    <definedName name="Ch5_PartyEquip">'Character 5''s Inventory'!$A$27:$A$208</definedName>
    <definedName name="Ch5_Gems">'Character 5''s Inventory'!$B$19:$B$24</definedName>
    <definedName name="Ch6_Money">'Character 6''s Inventory'!$B$11:$B$15</definedName>
    <definedName name="Ch5_MountSizeMult">'Character 5''s Inventory'!$N$2</definedName>
    <definedName name="Ch7_SizeMultiplier">'Character 7''s Inventory'!$A$2</definedName>
    <definedName name="Ch2_Weight">'Character Info'!$F$6</definedName>
    <definedName name="DraftAnimal1">'Party Info'!$C$4</definedName>
    <definedName name="Draft7Str">'Party Info'!$F$10</definedName>
    <definedName name="Ch7_MountSizeMult">'Character 7''s Inventory'!$N$2</definedName>
    <definedName name="Ch3_SizeMultiplier">'Character 3''s Inventory'!$A$2</definedName>
    <definedName name="Ch8_InventoryWeights">'Character 8''s Inventory'!$E$27:$E$208</definedName>
    <definedName name="Ch4_MountSizeMult">'Character 4''s Inventory'!$N$2</definedName>
    <definedName name="DraftAnimal10">'Party Info'!$C$13</definedName>
    <definedName name="Ch4_Money">'Character 4''s Inventory'!$B$11:$B$15</definedName>
    <definedName name="Ch4_PartyEquip">'Character 4''s Inventory'!$A$27:$A$208</definedName>
    <definedName name="Ch7_Weight">'Character Info'!$F$11</definedName>
    <definedName name="Ch2_MountSizeMult">'Character 2''s Inventory'!$N$2</definedName>
    <definedName name="DraftAnimal9">'Party Info'!$C$12</definedName>
    <definedName name="Ch1_Level">'Character 1''s Inventory'!$H$5</definedName>
    <definedName name="Ch5_Name">'Character Info'!$C$9</definedName>
    <definedName name="Ch3_Size">'Character Info'!$D$7</definedName>
    <definedName name="Ch1_EquipStatus">'Character 1''s Inventory'!$N$27:$N$208</definedName>
    <definedName name="Ch4_Level">'Character 4''s Inventory'!$H$5</definedName>
    <definedName name="PartyInventoryWeights">'Party Inventory'!$M$20:$M$201</definedName>
    <definedName name="Ch6_MountSize">'Character Info'!$H$10</definedName>
    <definedName name="Ch5_Str">'Character Info'!$E$9</definedName>
    <definedName name="Ch8_Level">'Character 8''s Inventory'!$H$5</definedName>
    <definedName name="Ch1_Str">'Character Info'!$E$5</definedName>
    <definedName name="Ch7_In_Inventory1">'Character 7''s Inventory'!$B$26:$D$208</definedName>
    <definedName name="Ch7_MountStr">'Character Info'!$I$11</definedName>
    <definedName name="Ch8_XP">'Character 8''s Inventory'!$H$3</definedName>
    <definedName name="Ch5_In_Money">'Character 5''s Inventory'!$B$11:$B$15</definedName>
    <definedName name="Ch7_Money">'Character 7''s Inventory'!$B$11:$B$15</definedName>
    <definedName name="Draft6Str">'Party Info'!$F$9</definedName>
    <definedName name="Ch4_Str">'Character Info'!$E$8</definedName>
    <definedName name="Ch8_MountSize">'Character Info'!$H$12</definedName>
    <definedName name="Ch2_Gems">'Character 2''s Inventory'!$B$19:$B$24</definedName>
    <definedName name="Ch9_XP">'Character 9''s Inventory'!$H$3</definedName>
    <definedName name="SizeMultipliers">Reference!$A$54:$B$56</definedName>
    <definedName name="DraftAnimal12">'Party Info'!$C$15</definedName>
    <definedName name="Draft8SizeMult">'Party Inventory'!$O$62</definedName>
    <definedName name="Ch1_SizeMultiplier">'Character 1''s Inventory'!$A$2</definedName>
    <definedName name="Ch9_MountSize">'Character Info'!$H$13</definedName>
    <definedName name="Ch7_PartyEquip">'Character 7''s Inventory'!$A$27:$A$208</definedName>
    <definedName name="Ch2_EquipStatus">'Character 2''s Inventory'!$N$27:$N$208</definedName>
    <definedName name="Draft7Size">'Party Info'!$E$10</definedName>
    <definedName name="Ch6_Name">'Character Info'!$C$10</definedName>
    <definedName name="Ch5_SizeMultiplier">'Character 5''s Inventory'!$A$2</definedName>
    <definedName name="Draft11SizeMult">'Party Inventory'!$O$83</definedName>
    <definedName name="Ch5_Level">'Character 5''s Inventory'!$H$5</definedName>
    <definedName name="Ch1_Size">'Character Info'!$D$5</definedName>
    <definedName name="Ch8_SizeMultiplier">'Character 8''s Inventory'!$A$2</definedName>
    <definedName name="Ch3_Gems">'Character 3''s Inventory'!$B$19:$B$24</definedName>
    <definedName name="Ch9_StorageEquipStatus">'Character Info'!$AB$32:$AB$41</definedName>
    <definedName name="Ch4_In_Money">'Character 4''s Inventory'!$B$11:$B$15</definedName>
    <definedName name="PartyStorageLocations">'Party Info'!$I$4:$K$15</definedName>
    <definedName name="Ch9_Name">'Character Info'!$C$13</definedName>
    <definedName name="Ch2_Level">'Character 2''s Inventory'!$H$5</definedName>
    <definedName localSheetId="11" name="Ch7_Money">'Character 9''s Inventory'!$B$11:$B$15</definedName>
    <definedName name="Ch3_InventoryWeights">'Character 3''s Inventory'!$E$27:$E$208</definedName>
    <definedName name="Ch6_In_Gems">'Character 6''s Inventory'!$B$19:$B$24</definedName>
    <definedName name="Ch9_Level">'Character 9''s Inventory'!$H$5</definedName>
    <definedName name="Vehicle2AdjustedCapacity">'Party Info'!$E$20</definedName>
    <definedName name="DraftAnimals">'Party Info'!$C$4:$E$15</definedName>
    <definedName name="Draft1Size">'Party Info'!$E$4</definedName>
    <definedName name="Draft9SizeMult">'Party Inventory'!$O$69</definedName>
    <definedName name="Draft5SizeMult">'Party Inventory'!$O$41</definedName>
    <definedName name="Ch6_MountStr">'Character Info'!$I$10</definedName>
    <definedName name="DraftAnimal6">'Party Info'!$C$9</definedName>
    <definedName name="Ch2_MountStr">'Character Info'!$I$6</definedName>
    <definedName name="Draft2SizeMult">'Party Inventory'!$O$20</definedName>
    <definedName name="Ch2_In_Inventory2">'Character 2''s Inventory'!$F$27:$M$208</definedName>
    <definedName name="Draft7SizeMult">'Party Inventory'!$O$55</definedName>
    <definedName name="Ch8_EquipStatus">'Character 8''s Inventory'!$N$27:$N$208</definedName>
    <definedName name="Vehicle3">'Party Info'!$C$21</definedName>
    <definedName name="DraftAnimal7">'Party Info'!$C$10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DO NOT EDIT THIS CELL</t>
      </text>
    </comment>
    <comment authorId="0" ref="B2">
      <text>
        <t xml:space="preserve">This is where you can put the names of all the characters in your party, as well as their information.  You  don't have to use all the spaces, and you don't have to use them in order, so players can pick their colors.
When you change a character name, it will change the tab name for you.
Leave blank any spaces you don't need. This will hide the associated tabs for you. If you want them back, just type in that name space again. 
When you're done with this page and the Party Info page, you can hide them manually by  right clicking on the tab and selecting "hide sheet". To make the tabs reappear, select the menu icon to the left of the tabs, and select these pages from the menu.</t>
      </text>
    </comment>
    <comment authorId="0" ref="E2">
      <text>
        <t xml:space="preserve">PLEASE ACCEPT PERMISSIONS FOR THE SCRIPTS BEFORE YOU DO ANYTHING ELSE, OR ELSE THE SHEET WONT WORK.
YOU ONLY NEED TO DO THIS ONCE. 
HOW TO DO IT:
1. Go to Tools &gt; Script Editor.
2. In the new tab that opens, select the file called "Update Tab Names" from list of files on the left.
3. Go to Run &gt; onOpen
4. Accept any permissions that it requires.
5. Go back to the Script Editor. Select the file called "Dynamic Dropdowns" from the list of files on the left.
6. Go to Run &gt; onEdit
7. Accept any permissions that it requires.
8. Exit the Script Editor tab. If it asks you to save changes, don't save them.
9. Yay! You're done!</t>
      </text>
    </comment>
    <comment authorId="0" ref="D4">
      <text>
        <t xml:space="preserve">If your character has Powerful Build, you should choose the size above their actual size. If your character is small, choose medium (small and medium creatures have the same rules for encumbrance.)</t>
      </text>
    </comment>
    <comment authorId="0" ref="G4">
      <text>
        <t xml:space="preserve">If a character does not have a mount, leave all mount spaces blank.</t>
      </text>
    </comment>
    <comment authorId="0" ref="L5">
      <text>
        <t xml:space="preserve">Here you can put where your character stores things, such as "backpack," "bag of holding," "shirtsleeves," etc. You don't have to use all the rows, but for every storage item you MUST fill out all the columns.</t>
      </text>
    </comment>
    <comment authorId="0" ref="S5">
      <text>
        <t xml:space="preserve">Here you can put where your character stores things, such as "backpack," "bag of holding," "shirtsleeves," etc. You don't have to use all the spaces</t>
      </text>
    </comment>
    <comment authorId="0" ref="Z5">
      <text>
        <t xml:space="preserve">Here you can put where your character stores things, such as "backpack," "bag of holding," "shirtsleeves," etc. You don't have to use all the spaces</t>
      </text>
    </comment>
    <comment authorId="0" ref="B15">
      <text>
        <t xml:space="preserve">You can put your own party's picture here by pasting an image link in cell B37.</t>
      </text>
    </comment>
    <comment authorId="0" ref="L18">
      <text>
        <t xml:space="preserve">Here you can put where your character stores things, such as "backpack," "bag of holding," "shirtsleeves," etc. You don't have to use all the spaces</t>
      </text>
    </comment>
    <comment authorId="0" ref="S18">
      <text>
        <t xml:space="preserve">Here you can put where your character stores things, such as "backpack," "bag of holding," "shirtsleeves," etc. You don't have to use all the spaces</t>
      </text>
    </comment>
    <comment authorId="0" ref="Z18">
      <text>
        <t xml:space="preserve">Here you can put where your character stores things, such as "backpack," "bag of holding," "shirtsleeves," etc. You don't have to use all the spaces</t>
      </text>
    </comment>
    <comment authorId="0" ref="L31">
      <text>
        <t xml:space="preserve">Here you can put where your character stores things, such as "backpack," "bag of holding," "shirtsleeves," etc. You don't have to use all the spaces</t>
      </text>
    </comment>
    <comment authorId="0" ref="S31">
      <text>
        <t xml:space="preserve">Here you can put where your character stores things, such as "backpack," "bag of holding," "shirtsleeves," etc. You don't have to use all the spaces</t>
      </text>
    </comment>
    <comment authorId="0" ref="Z31">
      <text>
        <t xml:space="preserve">Here you can put where your character stores things, such as "backpack," "bag of holding," "shirtsleeves," etc. You don't have to use all the spaces</t>
      </text>
    </comment>
  </commentList>
</comments>
</file>

<file path=xl/comments2.xml><?xml version="1.0" encoding="utf-8"?>
<comments xmlns:r="http://schemas.openxmlformats.org/officeDocument/2006/relationships" xmlns="http://schemas.openxmlformats.org/spreadsheetml/2006/main">
  <authors>
    <author/>
  </authors>
  <commentList>
    <comment authorId="0" ref="C2">
      <text>
        <t xml:space="preserve">These can be pack animals that simply carry the party's equipment and are not ridden by any  character, or animals that pull one of the party vehicles. Leave blank any spaces you don't need.</t>
      </text>
    </comment>
    <comment authorId="0" ref="J2">
      <text>
        <t xml:space="preserve">This is where you can list the party's specific storage locations.  
Choose "Permanent" if the location is a residence or permanent location, such as a cave, castle, etc. 
Choose "Vehicle" if the location is on one of the vehicles, such  as a chest, sack, or barrel.  
Choose "Draft Animal" if the location is on one of the draft animals, such as saddlebags. 
Choose "Extradimensional" if the location is extradimensional, like a bag of holding or portable hole. Note that if a particular character is carrying the extradimensional storage option and it has it's own weight (such as a bag of holding, which itself weighs about 15 lbs) that it will need to be added to their inventory, though nothing put inside it will add weight.
After choosing a location type, choose the specific location from the drop down that appears to the right. Some location types create various options, some do not.</t>
      </text>
    </comment>
    <comment authorId="0" ref="D3">
      <text>
        <t xml:space="preserve">This is listed on p. 157 of the PHB.  If your animal is not usually a draft animal or mount and therefore is not listed there, you can use the animal's "Push, Drag, Lift" weight, which will appear automatically calculated on the Party Inventory page once you input the animal's size and strength.</t>
      </text>
    </comment>
    <comment authorId="0" ref="C17">
      <text>
        <t xml:space="preserve">Be sure to have all your Draft Animals filled out below before entering Vehicles.  Leave blank all spaces you don't need.
If you need a character's weight to be added to the weight carried by a vehicle, you  will need to add that character to the party inventory :P</t>
      </text>
    </comment>
    <comment authorId="0" ref="E18">
      <text>
        <t xml:space="preserve">Calculated according to the animals pulling it, minus the weight of the vehicle itself.
</t>
      </text>
    </comment>
    <comment authorId="0" ref="F18">
      <text>
        <t xml:space="preserve">Choose draft animals to pull this vehicle.</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DO NOT EDIT THIS CELL</t>
      </text>
    </comment>
    <comment authorId="0" ref="O2">
      <text>
        <t xml:space="preserve">The vehicles and draft animals that you leave blank on the "Party Info" page will appear washed out here.
</t>
      </text>
    </comment>
    <comment authorId="0" ref="P4">
      <text>
        <t xml:space="preserve">This, and the total weight carried of all other vehicles and draft animals, is calculated by adding together all items in the party inventory which have the corresponding vehicle, draft animal, or location (which may  have a linked vehicle or draft animal) chosen, as well as any items from character inventories which have a party storage location selected instead of a PC storage location.
If you need a character's weight to be added to the weight carried by a vehicle, you  will need to add that character to the party inventory :P</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DO NOT EDIT THIS CELL</t>
      </text>
    </comment>
    <comment authorId="0" ref="K2">
      <text>
        <t xml:space="preserve">If you do not have a mount, this section will appear washed out.</t>
      </text>
    </comment>
    <comment authorId="0" ref="H3">
      <text>
        <t xml:space="preserve">Put your XP here, and the level and XP to the next level will be automaticly calculated.</t>
      </text>
    </comment>
    <comment authorId="0" ref="K7">
      <text>
        <t xml:space="preserve">The total weight carried includes the weight of the character, and any items with a storage location that is associated with the mount.</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DO NOT EDIT THIS CELL</t>
      </text>
    </commen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DO NOT EDIT THIS CELL</t>
      </text>
    </commen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DO NOT EDIT THIS CELL</t>
      </text>
    </commen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DO NOT EDIT THIS CELL</t>
      </text>
    </commen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DO NOT EDIT THIS CELL</t>
      </text>
    </commen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List>
</comments>
</file>

<file path=xl/comments10.xml><?xml version="1.0" encoding="utf-8"?>
<comments xmlns:r="http://schemas.openxmlformats.org/officeDocument/2006/relationships" xmlns="http://schemas.openxmlformats.org/spreadsheetml/2006/main">
  <authors>
    <author/>
  </authors>
  <commentList>
    <comment authorId="0" ref="A1">
      <text>
        <t xml:space="preserve">DO NOT EDIT THIS CELL</t>
      </text>
    </commen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List>
</comments>
</file>

<file path=xl/comments11.xml><?xml version="1.0" encoding="utf-8"?>
<comments xmlns:r="http://schemas.openxmlformats.org/officeDocument/2006/relationships" xmlns="http://schemas.openxmlformats.org/spreadsheetml/2006/main">
  <authors>
    <author/>
  </authors>
  <commentList>
    <comment authorId="0" ref="A1">
      <text>
        <t xml:space="preserve">DO NOT EDIT THIS CELL</t>
      </text>
    </commen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List>
</comments>
</file>

<file path=xl/comments12.xml><?xml version="1.0" encoding="utf-8"?>
<comments xmlns:r="http://schemas.openxmlformats.org/officeDocument/2006/relationships" xmlns="http://schemas.openxmlformats.org/spreadsheetml/2006/main">
  <authors>
    <author/>
  </authors>
  <commentList>
    <comment authorId="0" ref="A1">
      <text>
        <t xml:space="preserve">DO NOT EDIT THIS CELL</t>
      </text>
    </commen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 authorId="0" ref="G26">
      <text>
        <t xml:space="preserve">The locations in the drop downs below are the storage options that you chose on the Character Info page, and will contribute (or not contribute) to weight carried accordingly.</t>
      </text>
    </comment>
    <comment authorId="0" ref="H26">
      <text>
        <t xml:space="preserve">The locations in the drop downs below are the party draft animals, vehicles, and storage locations. You may choose from this column instead of the Location column if you wish to store an item from your inventory in a party storage location without adding it to the party inventory. Any item with a storage choice from this column will contribute weight to the appropriate vehicle or draft animal.</t>
      </text>
    </comment>
  </commentList>
</comments>
</file>

<file path=xl/comments13.xml><?xml version="1.0" encoding="utf-8"?>
<comments xmlns:r="http://schemas.openxmlformats.org/officeDocument/2006/relationships" xmlns="http://schemas.openxmlformats.org/spreadsheetml/2006/main">
  <authors>
    <author/>
  </authors>
  <commentList>
    <comment authorId="0" ref="B81">
      <text>
        <t xml:space="preserve">The internet gave me this ballpark figure. I didn't look too far into it because I figure it will probably never be an issue</t>
      </text>
    </comment>
  </commentList>
</comments>
</file>

<file path=xl/sharedStrings.xml><?xml version="1.0" encoding="utf-8"?>
<sst xmlns="http://schemas.openxmlformats.org/spreadsheetml/2006/main" count="940" uniqueCount="193">
  <si>
    <t>http://i.imgur.com/Nwx2LDC.jpg?1</t>
  </si>
  <si>
    <t>Character Info</t>
  </si>
  <si>
    <t>Draft Animals</t>
  </si>
  <si>
    <t>Character Information</t>
  </si>
  <si>
    <t>Storage Options</t>
  </si>
  <si>
    <t>Party Storage Locations</t>
  </si>
  <si>
    <t>Name</t>
  </si>
  <si>
    <t>Carrying Capacity</t>
  </si>
  <si>
    <t>Size</t>
  </si>
  <si>
    <t>Strength</t>
  </si>
  <si>
    <t>Type</t>
  </si>
  <si>
    <t>Location</t>
  </si>
  <si>
    <t>Weight</t>
  </si>
  <si>
    <t>Mount Name</t>
  </si>
  <si>
    <t>Mount Size</t>
  </si>
  <si>
    <t>Mount Str</t>
  </si>
  <si>
    <t>Money</t>
  </si>
  <si>
    <t>Conversions</t>
  </si>
  <si>
    <t>Character 1</t>
  </si>
  <si>
    <t>Medium</t>
  </si>
  <si>
    <t>Storage Name</t>
  </si>
  <si>
    <t>Container Type</t>
  </si>
  <si>
    <t>Weight Limit</t>
  </si>
  <si>
    <t>Qty</t>
  </si>
  <si>
    <t>CP</t>
  </si>
  <si>
    <t>SP</t>
  </si>
  <si>
    <t>EP</t>
  </si>
  <si>
    <t>GP</t>
  </si>
  <si>
    <t>PP / 10GP Gem</t>
  </si>
  <si>
    <t>50 GP Gems</t>
  </si>
  <si>
    <t>100 GP Gems</t>
  </si>
  <si>
    <t>500 GP Gems</t>
  </si>
  <si>
    <t>1000 GP Gems</t>
  </si>
  <si>
    <t>5000 GP Gems</t>
  </si>
  <si>
    <t>Character 2</t>
  </si>
  <si>
    <t>Vehicles</t>
  </si>
  <si>
    <t>Copper</t>
  </si>
  <si>
    <t>Vehicle</t>
  </si>
  <si>
    <t>Hitched Animal 1</t>
  </si>
  <si>
    <t>Hitched Animal 2</t>
  </si>
  <si>
    <t>Hitched Animal 3</t>
  </si>
  <si>
    <t>Hitched Animal 4</t>
  </si>
  <si>
    <t>Hitched Animal 5</t>
  </si>
  <si>
    <t>Hitched Animal 6</t>
  </si>
  <si>
    <t>Test</t>
  </si>
  <si>
    <t>Total Weight Carried</t>
  </si>
  <si>
    <t>Character 3</t>
  </si>
  <si>
    <t>test2</t>
  </si>
  <si>
    <t>Character 4</t>
  </si>
  <si>
    <t>thing</t>
  </si>
  <si>
    <t>Silver</t>
  </si>
  <si>
    <t>Character 5</t>
  </si>
  <si>
    <t>http://i.imgur.com/iwsp4gW.jpg?1</t>
  </si>
  <si>
    <t>http://i.imgur.com/gX3P7pu.png?1</t>
  </si>
  <si>
    <t>Electrum</t>
  </si>
  <si>
    <t>Character 6</t>
  </si>
  <si>
    <t>Encumbrance</t>
  </si>
  <si>
    <t>Experience</t>
  </si>
  <si>
    <t>Character 7</t>
  </si>
  <si>
    <t>Gold</t>
  </si>
  <si>
    <t>Encumbered</t>
  </si>
  <si>
    <t>XP</t>
  </si>
  <si>
    <t>Character 8</t>
  </si>
  <si>
    <t>Platinum</t>
  </si>
  <si>
    <t>Heavily Encumbered</t>
  </si>
  <si>
    <t>XP to Next Level</t>
  </si>
  <si>
    <t>Character 9</t>
  </si>
  <si>
    <t>Current Level</t>
  </si>
  <si>
    <t>Push, Drag, Lift</t>
  </si>
  <si>
    <t>Gemstones</t>
  </si>
  <si>
    <t>10 GP Gemstones</t>
  </si>
  <si>
    <t>50 GP Gemstones</t>
  </si>
  <si>
    <t>100 GP Gemstones</t>
  </si>
  <si>
    <t>500 GP Gemstones</t>
  </si>
  <si>
    <t>1000 GP Gemstones</t>
  </si>
  <si>
    <t>5000 GP Gemstones</t>
  </si>
  <si>
    <t>Item</t>
  </si>
  <si>
    <t>Item Weight</t>
  </si>
  <si>
    <t>Worth</t>
  </si>
  <si>
    <t>Magic</t>
  </si>
  <si>
    <t>Description</t>
  </si>
  <si>
    <t>Total Weight</t>
  </si>
  <si>
    <t>http://i.imgur.com/gFnzKMz.jpg</t>
  </si>
  <si>
    <t>http://i.imgur.com/qtTdMV2.jpg</t>
  </si>
  <si>
    <t>http://i.imgur.com/JociBVH.jpg?1</t>
  </si>
  <si>
    <t>http://i.imgur.com/iMpzlq2.jpg</t>
  </si>
  <si>
    <t>http://i.imgur.com/LtPNTWZ.jpg?1</t>
  </si>
  <si>
    <t>http://i.imgur.com/0pNfodn.jpg?1</t>
  </si>
  <si>
    <t>http://i.imgur.com/iLsCkPi.jpg?1</t>
  </si>
  <si>
    <t>http://i.imgur.com/pTw6bV5.jpg</t>
  </si>
  <si>
    <t>Party Location</t>
  </si>
  <si>
    <t>Reference</t>
  </si>
  <si>
    <t xml:space="preserve">KEEP THIS PAGE HIDDEN, IT IS USED ONLY FOR FORMULAS
</t>
  </si>
  <si>
    <t>Permanent</t>
  </si>
  <si>
    <t>Draft Animal</t>
  </si>
  <si>
    <t>Extradimensional</t>
  </si>
  <si>
    <t>Party Storage</t>
  </si>
  <si>
    <t>Party Storage Options</t>
  </si>
  <si>
    <t>Level</t>
  </si>
  <si>
    <t>Multiplier</t>
  </si>
  <si>
    <t>Large</t>
  </si>
  <si>
    <t>Huge</t>
  </si>
  <si>
    <t>Container</t>
  </si>
  <si>
    <t>Backpack</t>
  </si>
  <si>
    <t>Backpack, strapped on</t>
  </si>
  <si>
    <t>Bandoleer</t>
  </si>
  <si>
    <t>6 distinct objects, each  no longer than 10 inches and weighing no more than 1 pound</t>
  </si>
  <si>
    <t>Bag of Holding</t>
  </si>
  <si>
    <t>Barrel</t>
  </si>
  <si>
    <t>40 gallons of liquid</t>
  </si>
  <si>
    <t>Basket</t>
  </si>
  <si>
    <t>Bottle</t>
  </si>
  <si>
    <t>1.5 pints of liquid</t>
  </si>
  <si>
    <t>Box</t>
  </si>
  <si>
    <t>Box, map or scroll</t>
  </si>
  <si>
    <t>30 sheets of paper, 15 parchment sheets, 15 spell scrolls</t>
  </si>
  <si>
    <t>Bucket</t>
  </si>
  <si>
    <t>3 gallons liquid</t>
  </si>
  <si>
    <t>Case, crossbow bolt</t>
  </si>
  <si>
    <t>20 crossbow bolts</t>
  </si>
  <si>
    <t>Case, map or scroll</t>
  </si>
  <si>
    <t>10 sheets of paper, 5 sheets of parchment, 5 spell scrolls</t>
  </si>
  <si>
    <t>Cask or keg</t>
  </si>
  <si>
    <t>8 gallons liquid</t>
  </si>
  <si>
    <t>Chest</t>
  </si>
  <si>
    <t>Crate</t>
  </si>
  <si>
    <t>Flask</t>
  </si>
  <si>
    <t>1 pint of liquid</t>
  </si>
  <si>
    <t>Haversack</t>
  </si>
  <si>
    <t>Haversack, strapped on</t>
  </si>
  <si>
    <t>Handy Haversack</t>
  </si>
  <si>
    <t>Handy Haversack, strapped on</t>
  </si>
  <si>
    <t>Jug or pitcher</t>
  </si>
  <si>
    <t>1 gallon of liquid</t>
  </si>
  <si>
    <t>Ketch</t>
  </si>
  <si>
    <t>5 javelins or light spears</t>
  </si>
  <si>
    <t>Portable Hole</t>
  </si>
  <si>
    <t>Pot, iron</t>
  </si>
  <si>
    <t>Pouch</t>
  </si>
  <si>
    <t>20 sling bullets or firearm loads / 30 crossbow disks / 50 blowgun needles</t>
  </si>
  <si>
    <t>Powder horn</t>
  </si>
  <si>
    <t>30 charges of gunpowder</t>
  </si>
  <si>
    <t>Quiver</t>
  </si>
  <si>
    <t>20 arrows / 5 grappling arrows</t>
  </si>
  <si>
    <t>Rucksack</t>
  </si>
  <si>
    <t>Rucksack, strapped on</t>
  </si>
  <si>
    <t>Sack</t>
  </si>
  <si>
    <t>Sack, large</t>
  </si>
  <si>
    <t>Saddlebags</t>
  </si>
  <si>
    <t>Saddlebags, strapped on</t>
  </si>
  <si>
    <t>Satchel</t>
  </si>
  <si>
    <t>Tankard</t>
  </si>
  <si>
    <t>Vial</t>
  </si>
  <si>
    <t>4 oz liquid</t>
  </si>
  <si>
    <t>Waterskin</t>
  </si>
  <si>
    <t>4 pints of liquid</t>
  </si>
  <si>
    <t>Custom</t>
  </si>
  <si>
    <t>Char 1 Storage</t>
  </si>
  <si>
    <t>Char 2 Storage</t>
  </si>
  <si>
    <t>Char 3 Storage</t>
  </si>
  <si>
    <t>Char 4 Storage</t>
  </si>
  <si>
    <t>Char 5 Storage</t>
  </si>
  <si>
    <t>Char 6 Storage</t>
  </si>
  <si>
    <t>Char 7 Storage</t>
  </si>
  <si>
    <t>Char 8 Storage</t>
  </si>
  <si>
    <t>Char 9 Storage</t>
  </si>
  <si>
    <t>Changelog</t>
  </si>
  <si>
    <t>Date</t>
  </si>
  <si>
    <t>Change</t>
  </si>
  <si>
    <t>Created copy of 5e Inventory Template</t>
  </si>
  <si>
    <t>"Strength," "Weight," and "Mount Strength" columns in Character Information table to be middle-alligned.</t>
  </si>
  <si>
    <t>"Weight" column in Character Information to "# lb" format</t>
  </si>
  <si>
    <t>All "Item Weight" and "Total Weight" columns to "0.00 lb" format</t>
  </si>
  <si>
    <t>All Encumbrance cells to "# lb" format</t>
  </si>
  <si>
    <t>All Qty columns to "#,##0" format</t>
  </si>
  <si>
    <t>All "XP" and "XP to Next Level" cells to "#,##0" format</t>
  </si>
  <si>
    <t>All Character Storage Option "Has Weight?" column header renamed to "Type"</t>
  </si>
  <si>
    <t>Character Storage Option "Type" dropdown options changed from "yes, no, mount" to "On Character, On Mount, Permanent Location, Extradimensional"</t>
  </si>
  <si>
    <t>Character Storage option "Type" notes changed from 
"Choose "yes" if things put in this storage option contribute to the character's weight carried. Choose "no" if this storage option is extra-dimensional (like a portable hole), or if it is a permanent location not on your character. Choose "mount" if this storage location is on your mount (such as saddlebags.)" 
to 
Choose "On Character" for storage options that contribute to your character's weight carried, such as a backpack or belt.
Choose "On Mount" for storage options that contribute solely to your mount's weight carried, such as saddlebags.
Choose "Permanent Location" for storage options that don't contribute to any weight carried because they are kept in a stationary location, like a home or bank.
Choose "Extradimensional" for storage options that don't contribute to any weight carried because the storage space is extradimensional, like a Bag of Holding or Portable Hole.</t>
  </si>
  <si>
    <t>All encumbrance formulas changed to reflect new "Type" options</t>
  </si>
  <si>
    <t>Conditional formatting for Character Storage options so that unused characters are washed out</t>
  </si>
  <si>
    <t>Fixed Update Tab Script so that it can hide multiple tabs.</t>
  </si>
  <si>
    <t>Added protection for A1 on Party Info, Character Info, Party  Inventory, Changelog, and Reference pages.</t>
  </si>
  <si>
    <t>Used Data Validation on all player inventory  cell A1 to ensure formula is not changed.</t>
  </si>
  <si>
    <t>Fixed bug where data validation used PartyStorage which had two columns, by making PartyStorageSingle which has one column and changing all related data validation to use it instead.</t>
  </si>
  <si>
    <t>Used conditional formatting to make encumbrance levels highlighted when met</t>
  </si>
  <si>
    <t>Made B-C equal in size to K-L on inventories</t>
  </si>
  <si>
    <t>Used conditional formatting to keep draft animals that are pulling vehicles from showing up in party storage or having un-washed out encumbrance tables.</t>
  </si>
  <si>
    <t>TO DO: Add attunement column to character inventories</t>
  </si>
  <si>
    <t>TO DO : Add option to customize images on character inventories</t>
  </si>
  <si>
    <t>TO DO: add ability to keep track  of storage location carrying capacity</t>
  </si>
  <si>
    <t>put total weight at the end of the row</t>
  </si>
  <si>
    <t>make character inventory storage location include party storage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</si>
</sst>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lb"/>
    <numFmt numFmtId="165" formatCode="m/d/yyyy"/>
  </numFmts>
  <fonts count="54">
    <font>
      <sz val="10.0"/>
      <color rgb="FF000000"/>
      <name val="Arial"/>
    </font>
    <font>
      <b/>
      <name val="Helvetica Neue"/>
    </font>
    <font>
      <b/>
      <sz val="12.0"/>
      <name val="Marcellus SC"/>
    </font>
    <font>
      <name val="Helvetica Neue"/>
    </font>
    <font>
      <u/>
      <sz val="6.0"/>
      <color rgb="FFFFFFFF"/>
    </font>
    <font>
      <sz val="6.0"/>
      <color rgb="FFFFFFFF"/>
      <name val="Helvetica Neue"/>
    </font>
    <font>
      <b/>
      <sz val="12.0"/>
      <color rgb="FFFFFFFF"/>
      <name val="Marcellus SC"/>
    </font>
    <font>
      <color rgb="FFFFFFFF"/>
      <name val="Helvetica Neue"/>
    </font>
    <font/>
    <font>
      <b/>
      <color rgb="FFFFFFFF"/>
      <name val="Helvetica Neue"/>
    </font>
    <font>
      <color rgb="FFFFFFFF"/>
    </font>
    <font>
      <sz val="11.0"/>
      <name val="Marcellus SC"/>
    </font>
    <font>
      <b/>
      <sz val="11.0"/>
      <name val="Philosopher"/>
    </font>
    <font>
      <b/>
      <sz val="11.0"/>
      <color rgb="FF000000"/>
      <name val="Philosopher"/>
    </font>
    <font>
      <b/>
      <sz val="11.0"/>
      <color rgb="FF000000"/>
      <name val="Marcellus SC"/>
    </font>
    <font>
      <sz val="6.0"/>
      <color rgb="FFFFFFFF"/>
      <name val="Lato"/>
    </font>
    <font>
      <sz val="6.0"/>
      <color rgb="FF000000"/>
      <name val="Helvetica Neue"/>
    </font>
    <font>
      <sz val="6.0"/>
    </font>
    <font>
      <sz val="6.0"/>
      <color rgb="FFFFFFFF"/>
    </font>
    <font>
      <name val="Lato"/>
    </font>
    <font>
      <sz val="10.0"/>
      <color rgb="FFFFFFFF"/>
      <name val="Helvetica Neue"/>
    </font>
    <font>
      <b/>
      <name val="Lato"/>
    </font>
    <font>
      <sz val="11.0"/>
      <name val="Helvetica Neue"/>
    </font>
    <font>
      <sz val="10.0"/>
      <color rgb="FF000000"/>
      <name val="Lato"/>
    </font>
    <font>
      <sz val="11.0"/>
      <color rgb="FF000000"/>
      <name val="Marcellus SC"/>
    </font>
    <font>
      <sz val="6.0"/>
      <color rgb="FFFFFFFF"/>
      <name val="Inconsolata"/>
    </font>
    <font>
      <u/>
      <sz val="6.0"/>
      <color rgb="FFFFFFFF"/>
      <name val="Inconsolata"/>
    </font>
    <font>
      <b/>
      <color rgb="FF000000"/>
      <name val="Helvetica Neue"/>
    </font>
    <font>
      <sz val="10.0"/>
      <color rgb="FF000000"/>
      <name val="Helvetica Neue"/>
    </font>
    <font>
      <color rgb="FF000000"/>
      <name val="Lato"/>
    </font>
    <font>
      <b/>
      <color rgb="FF000000"/>
      <name val="Lato"/>
    </font>
    <font>
      <b/>
      <sz val="10.0"/>
      <color rgb="FF000000"/>
      <name val="Lato"/>
    </font>
    <font>
      <b/>
      <sz val="10.0"/>
      <color rgb="FF000000"/>
      <name val="Helvetica Neue"/>
    </font>
    <font>
      <sz val="12.0"/>
      <color rgb="FFFFFFFF"/>
      <name val="Marcellus SC"/>
    </font>
    <font>
      <color rgb="FF000000"/>
      <name val="Helvetica Neue"/>
    </font>
    <font>
      <color rgb="FF000000"/>
    </font>
    <font>
      <b/>
      <sz val="10.0"/>
      <color rgb="FFFFFFFF"/>
      <name val="Helvetica Neue"/>
    </font>
    <font>
      <sz val="12.0"/>
      <name val="Marcellus SC"/>
    </font>
    <font>
      <sz val="11.0"/>
      <name val="Philosopher"/>
    </font>
    <font>
      <b/>
      <sz val="11.0"/>
      <color rgb="FFFFFFFF"/>
      <name val="Marcellus SC"/>
    </font>
    <font>
      <u/>
      <color rgb="FFEFEFEF"/>
    </font>
    <font>
      <sz val="11.0"/>
      <color rgb="FFFFFFFF"/>
      <name val="Inconsolata"/>
    </font>
    <font>
      <sz val="12.0"/>
      <color rgb="FFFFFFFF"/>
      <name val="Helvetica Neue"/>
    </font>
    <font>
      <b/>
      <u/>
      <sz val="6.0"/>
      <color rgb="FFFFFFFF"/>
      <name val="Lato"/>
    </font>
    <font>
      <b/>
      <color rgb="FFFFFFFF"/>
      <name val="Lato"/>
    </font>
    <font>
      <u/>
      <color rgb="FFFFFFFF"/>
    </font>
    <font>
      <sz val="11.0"/>
      <color rgb="FFFFFFFF"/>
      <name val="Marcellus SC"/>
    </font>
    <font>
      <b/>
      <sz val="14.0"/>
    </font>
    <font>
      <b/>
      <i/>
    </font>
    <font>
      <b/>
    </font>
    <font>
      <sz val="11.0"/>
      <color rgb="FF000000"/>
      <name val="Inconsolata"/>
    </font>
    <font>
      <sz val="11.0"/>
    </font>
    <font>
      <b/>
      <sz val="18.0"/>
      <name val="Lato"/>
    </font>
    <font>
      <strike/>
      <name val="Lato"/>
    </font>
  </fonts>
  <fills count="24">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990000"/>
        <bgColor rgb="FF990000"/>
      </patternFill>
    </fill>
    <fill>
      <patternFill patternType="solid">
        <fgColor rgb="FFB45F06"/>
        <bgColor rgb="FFB45F06"/>
      </patternFill>
    </fill>
    <fill>
      <patternFill patternType="solid">
        <fgColor rgb="FFBF9000"/>
        <bgColor rgb="FFBF9000"/>
      </patternFill>
    </fill>
    <fill>
      <patternFill patternType="solid">
        <fgColor rgb="FFF4CCCC"/>
        <bgColor rgb="FFF4CCCC"/>
      </patternFill>
    </fill>
    <fill>
      <patternFill patternType="solid">
        <fgColor rgb="FFFCE5CD"/>
        <bgColor rgb="FFFCE5CD"/>
      </patternFill>
    </fill>
    <fill>
      <patternFill patternType="solid">
        <fgColor rgb="FFEFEFEF"/>
        <bgColor rgb="FFEFEFEF"/>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FE2F3"/>
        <bgColor rgb="FFCFE2F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38761D"/>
        <bgColor rgb="FF38761D"/>
      </patternFill>
    </fill>
    <fill>
      <patternFill patternType="solid">
        <fgColor rgb="FF45818E"/>
        <bgColor rgb="FF45818E"/>
      </patternFill>
    </fill>
    <fill>
      <patternFill patternType="solid">
        <fgColor rgb="FF3D85C6"/>
        <bgColor rgb="FF3D85C6"/>
      </patternFill>
    </fill>
    <fill>
      <patternFill patternType="solid">
        <fgColor rgb="FF0B5394"/>
        <bgColor rgb="FF0B5394"/>
      </patternFill>
    </fill>
    <fill>
      <patternFill patternType="solid">
        <fgColor rgb="FF1155CC"/>
        <bgColor rgb="FF1155CC"/>
      </patternFill>
    </fill>
    <fill>
      <patternFill patternType="solid">
        <fgColor rgb="FF674EA7"/>
        <bgColor rgb="FF674EA7"/>
      </patternFill>
    </fill>
    <fill>
      <patternFill patternType="solid">
        <fgColor rgb="FFA64D79"/>
        <bgColor rgb="FFA64D79"/>
      </patternFill>
    </fill>
  </fills>
  <borders count="24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dotted">
        <color rgb="FF434343"/>
      </right>
      <bottom style="dotted">
        <color rgb="FF434343"/>
      </bottom>
    </border>
    <border>
      <left style="dotted">
        <color rgb="FF434343"/>
      </left>
      <right style="dotted">
        <color rgb="FF434343"/>
      </right>
      <bottom style="dotted">
        <color rgb="FF434343"/>
      </bottom>
    </border>
    <border>
      <left style="dotted">
        <color rgb="FF434343"/>
      </left>
      <right style="thin">
        <color rgb="FF000000"/>
      </right>
      <bottom style="dotted">
        <color rgb="FF434343"/>
      </bottom>
    </border>
    <border>
      <left style="thin">
        <color rgb="FF000000"/>
      </left>
      <right style="dotted">
        <color rgb="FF434343"/>
      </right>
    </border>
    <border>
      <left style="dotted">
        <color rgb="FF434343"/>
      </left>
      <right style="dotted">
        <color rgb="FF434343"/>
      </right>
    </border>
    <border>
      <right style="dotted">
        <color rgb="FF434343"/>
      </right>
      <top style="thin">
        <color rgb="FF000000"/>
      </top>
    </border>
    <border>
      <left style="dotted">
        <color rgb="FF434343"/>
      </left>
      <right style="thin">
        <color rgb="FF000000"/>
      </right>
    </border>
    <border>
      <left style="dotted">
        <color rgb="FF434343"/>
      </left>
      <right style="dotted">
        <color rgb="FF434343"/>
      </right>
      <top style="thin">
        <color rgb="FF000000"/>
      </top>
    </border>
    <border>
      <left style="thin">
        <color rgb="FF000000"/>
      </left>
      <right style="dotted">
        <color rgb="FF990000"/>
      </right>
      <bottom style="dotted">
        <color rgb="FF990000"/>
      </bottom>
    </border>
    <border>
      <left style="dotted">
        <color rgb="FF990000"/>
      </left>
      <right style="dotted">
        <color rgb="FF990000"/>
      </right>
      <bottom style="dotted">
        <color rgb="FF990000"/>
      </bottom>
    </border>
    <border>
      <left style="dotted">
        <color rgb="FF434343"/>
      </left>
      <right style="thin">
        <color rgb="FF000000"/>
      </right>
      <top style="thin">
        <color rgb="FF000000"/>
      </top>
    </border>
    <border>
      <left style="dotted">
        <color rgb="FF990000"/>
      </left>
      <bottom style="dotted">
        <color rgb="FF990000"/>
      </bottom>
    </border>
    <border>
      <left style="dotted">
        <color rgb="FF990000"/>
      </left>
      <right style="thin">
        <color rgb="FF000000"/>
      </right>
    </border>
    <border>
      <left style="thin">
        <color rgb="FF000000"/>
      </left>
      <right style="dotted">
        <color rgb="FFB45F06"/>
      </right>
      <bottom style="dotted">
        <color rgb="FFB45F06"/>
      </bottom>
    </border>
    <border>
      <left style="dotted">
        <color rgb="FFB45F06"/>
      </left>
      <right style="dotted">
        <color rgb="FFB45F06"/>
      </right>
      <bottom style="dotted">
        <color rgb="FFB45F06"/>
      </bottom>
    </border>
    <border>
      <left style="dotted">
        <color rgb="FFB45F06"/>
      </left>
      <bottom style="dotted">
        <color rgb="FFB45F06"/>
      </bottom>
    </border>
    <border>
      <left style="dotted">
        <color rgb="FFB45F06"/>
      </left>
      <right style="thin">
        <color rgb="FF000000"/>
      </right>
      <bottom style="dotted">
        <color rgb="FFB45F06"/>
      </bottom>
    </border>
    <border>
      <left style="thin">
        <color rgb="FF000000"/>
      </left>
      <right style="dotted">
        <color rgb="FF434343"/>
      </right>
      <bottom style="thin">
        <color rgb="FF000000"/>
      </bottom>
    </border>
    <border>
      <left style="dotted">
        <color rgb="FF434343"/>
      </left>
      <right style="dotted">
        <color rgb="FF434343"/>
      </right>
      <bottom style="thin">
        <color rgb="FF000000"/>
      </bottom>
    </border>
    <border>
      <left style="thin">
        <color rgb="FF000000"/>
      </left>
      <right style="dotted">
        <color rgb="FFBF9000"/>
      </right>
      <bottom style="dotted">
        <color rgb="FFBF9000"/>
      </bottom>
    </border>
    <border>
      <left style="dotted">
        <color rgb="FFBF9000"/>
      </left>
      <right style="dotted">
        <color rgb="FFBF9000"/>
      </right>
      <bottom style="dotted">
        <color rgb="FFBF9000"/>
      </bottom>
    </border>
    <border>
      <left style="dotted">
        <color rgb="FF434343"/>
      </left>
      <right style="thin">
        <color rgb="FF000000"/>
      </right>
      <bottom style="thin">
        <color rgb="FF000000"/>
      </bottom>
    </border>
    <border>
      <left style="dotted">
        <color rgb="FFBF9000"/>
      </left>
      <bottom style="dotted">
        <color rgb="FFBF9000"/>
      </bottom>
    </border>
    <border>
      <left style="dotted">
        <color rgb="FFBF9000"/>
      </left>
      <right style="thin">
        <color rgb="FF000000"/>
      </right>
      <bottom style="dotted">
        <color rgb="FFBF9000"/>
      </bottom>
    </border>
    <border>
      <right style="dotted">
        <color rgb="FF434343"/>
      </right>
    </border>
    <border>
      <left style="thin">
        <color rgb="FF000000"/>
      </left>
      <right style="dotted">
        <color rgb="FF434343"/>
      </right>
      <top style="dotted">
        <color rgb="FF434343"/>
      </top>
      <bottom style="dotted">
        <color rgb="FF434343"/>
      </bottom>
    </border>
    <border>
      <left style="dotted">
        <color rgb="FF434343"/>
      </left>
      <right style="dotted">
        <color rgb="FF434343"/>
      </right>
      <top style="dotted">
        <color rgb="FF434343"/>
      </top>
      <bottom style="dotted">
        <color rgb="FF434343"/>
      </bottom>
    </border>
    <border>
      <right style="thin">
        <color rgb="FF000000"/>
      </right>
    </border>
    <border>
      <left style="dotted">
        <color rgb="FF434343"/>
      </left>
      <top style="thin">
        <color rgb="FF000000"/>
      </top>
    </border>
    <border>
      <left style="dotted">
        <color rgb="FF434343"/>
      </left>
      <right style="thin">
        <color rgb="FF000000"/>
      </right>
      <top style="dotted">
        <color rgb="FF434343"/>
      </top>
      <bottom style="dotted">
        <color rgb="FF434343"/>
      </bottom>
    </border>
    <border>
      <left style="thin">
        <color rgb="FF000000"/>
      </left>
      <right style="dotted">
        <color rgb="FF990000"/>
      </right>
    </border>
    <border>
      <left style="dotted">
        <color rgb="FF990000"/>
      </left>
      <right style="dotted">
        <color rgb="FF990000"/>
      </right>
    </border>
    <border>
      <left style="dotted">
        <color rgb="FF990000"/>
      </left>
    </border>
    <border>
      <left style="dotted">
        <color rgb="FF990000"/>
      </left>
      <right style="thin">
        <color rgb="FF000000"/>
      </right>
      <top style="dotted">
        <color rgb="FF990000"/>
      </top>
    </border>
    <border>
      <left style="thin">
        <color rgb="FF000000"/>
      </left>
      <right style="dotted">
        <color rgb="FFB45F06"/>
      </right>
    </border>
    <border>
      <right style="dotted">
        <color rgb="FFB45F06"/>
      </right>
    </border>
    <border>
      <left style="dotted">
        <color rgb="FFB45F06"/>
      </left>
      <right style="thin">
        <color rgb="FF000000"/>
      </right>
    </border>
    <border>
      <left style="thin">
        <color rgb="FF000000"/>
      </left>
      <right style="dotted">
        <color rgb="FFBF9000"/>
      </right>
    </border>
    <border>
      <right style="dotted">
        <color rgb="FFBF9000"/>
      </right>
    </border>
    <border>
      <bottom style="thin">
        <color rgb="FF000000"/>
      </bottom>
    </border>
    <border>
      <left style="thin">
        <color rgb="FF000000"/>
      </left>
      <bottom style="thin">
        <color rgb="FF000000"/>
      </bottom>
    </border>
    <border>
      <left style="dotted">
        <color rgb="FFBF9000"/>
      </left>
      <right style="thin">
        <color rgb="FF000000"/>
      </right>
    </border>
    <border>
      <right style="dotted">
        <color rgb="FF434343"/>
      </right>
      <bottom style="thin">
        <color rgb="FF000000"/>
      </bottom>
    </border>
    <border>
      <left style="dotted">
        <color rgb="FFB45F06"/>
      </left>
      <right style="dotted">
        <color rgb="FFB45F06"/>
      </right>
    </border>
    <border>
      <left style="dotted">
        <color rgb="FFB45F06"/>
      </left>
    </border>
    <border>
      <left style="dotted">
        <color rgb="FFBF9000"/>
      </left>
      <right style="dotted">
        <color rgb="FFBF9000"/>
      </right>
    </border>
    <border>
      <left style="dotted">
        <color rgb="FFBF9000"/>
      </left>
    </border>
    <border>
      <right style="thin">
        <color rgb="FF000000"/>
      </right>
      <bottom style="thin">
        <color rgb="FF000000"/>
      </bottom>
    </border>
    <border>
      <left style="thin">
        <color rgb="FF000000"/>
      </left>
      <right style="dotted">
        <color rgb="FF990000"/>
      </right>
      <top style="thin">
        <color rgb="FF000000"/>
      </top>
    </border>
    <border>
      <left style="dotted">
        <color rgb="FF990000"/>
      </left>
      <right style="thin">
        <color rgb="FF000000"/>
      </right>
      <top style="thin">
        <color rgb="FF000000"/>
      </top>
    </border>
    <border>
      <right style="dotted">
        <color rgb="FF990000"/>
      </right>
    </border>
    <border>
      <left style="thin">
        <color rgb="FF000000"/>
      </left>
      <right style="dotted">
        <color rgb="FF434343"/>
      </right>
      <top style="dotted">
        <color rgb="FF434343"/>
      </top>
      <bottom style="thin">
        <color rgb="FF000000"/>
      </bottom>
    </border>
    <border>
      <left style="dotted">
        <color rgb="FF434343"/>
      </left>
      <right style="dotted">
        <color rgb="FF434343"/>
      </right>
      <top style="dotted">
        <color rgb="FF434343"/>
      </top>
      <bottom style="thin">
        <color rgb="FF000000"/>
      </bottom>
    </border>
    <border>
      <left style="thin">
        <color rgb="FF000000"/>
      </left>
      <right style="dotted">
        <color rgb="FF990000"/>
      </right>
      <bottom style="thin">
        <color rgb="FF000000"/>
      </bottom>
    </border>
    <border>
      <left style="dotted">
        <color rgb="FF434343"/>
      </left>
      <right style="thin">
        <color rgb="FF000000"/>
      </right>
      <top style="dotted">
        <color rgb="FF434343"/>
      </top>
      <bottom style="thin">
        <color rgb="FF000000"/>
      </bottom>
    </border>
    <border>
      <left style="dotted">
        <color rgb="FF990000"/>
      </left>
      <right style="thin">
        <color rgb="FF000000"/>
      </right>
      <bottom style="thin">
        <color rgb="FF000000"/>
      </bottom>
    </border>
    <border>
      <right style="dotted">
        <color rgb="FF990000"/>
      </right>
      <bottom style="thin">
        <color rgb="FF000000"/>
      </bottom>
    </border>
    <border>
      <left style="dotted">
        <color rgb="FF990000"/>
      </left>
      <right style="dotted">
        <color rgb="FF990000"/>
      </right>
      <bottom style="thin">
        <color rgb="FF000000"/>
      </bottom>
    </border>
    <border>
      <left style="dotted">
        <color rgb="FF990000"/>
      </left>
      <bottom style="thin">
        <color rgb="FF000000"/>
      </bottom>
    </border>
    <border>
      <left style="thin">
        <color rgb="FF000000"/>
      </left>
      <right style="dotted">
        <color rgb="FFB45F06"/>
      </right>
      <bottom style="thin">
        <color rgb="FF000000"/>
      </bottom>
    </border>
    <border>
      <left style="dotted">
        <color rgb="FFB45F06"/>
      </left>
      <right style="dotted">
        <color rgb="FFB45F06"/>
      </right>
      <bottom style="thin">
        <color rgb="FF000000"/>
      </bottom>
    </border>
    <border>
      <left style="dotted">
        <color rgb="FFB45F06"/>
      </left>
      <bottom style="thin">
        <color rgb="FF000000"/>
      </bottom>
    </border>
    <border>
      <left style="dotted">
        <color rgb="FFB45F06"/>
      </left>
      <right style="thin">
        <color rgb="FF000000"/>
      </right>
      <bottom style="thin">
        <color rgb="FF000000"/>
      </bottom>
    </border>
    <border>
      <left style="thin">
        <color rgb="FF000000"/>
      </left>
      <right style="dotted">
        <color rgb="FFBF9000"/>
      </right>
      <bottom style="thin">
        <color rgb="FF000000"/>
      </bottom>
    </border>
    <border>
      <left style="dotted">
        <color rgb="FFBF9000"/>
      </left>
      <right style="dotted">
        <color rgb="FFBF9000"/>
      </right>
      <bottom style="thin">
        <color rgb="FF000000"/>
      </bottom>
    </border>
    <border>
      <left style="dotted">
        <color rgb="FFBF9000"/>
      </left>
      <bottom style="thin">
        <color rgb="FF000000"/>
      </bottom>
    </border>
    <border>
      <left style="dotted">
        <color rgb="FFBF9000"/>
      </left>
      <right style="thin">
        <color rgb="FF000000"/>
      </right>
      <bottom style="thin">
        <color rgb="FF000000"/>
      </bottom>
    </border>
    <border>
      <right style="dotted">
        <color rgb="FF990000"/>
      </right>
      <top style="thin">
        <color rgb="FF000000"/>
      </top>
    </border>
    <border>
      <left style="dotted">
        <color rgb="FF990000"/>
      </left>
      <right style="dotted">
        <color rgb="FF990000"/>
      </right>
      <top style="thin">
        <color rgb="FF000000"/>
      </top>
    </border>
    <border>
      <left style="dotted">
        <color rgb="FF990000"/>
      </left>
      <right style="thin">
        <color rgb="FF000000"/>
      </right>
      <bottom style="dotted">
        <color rgb="FF990000"/>
      </bottom>
    </border>
    <border>
      <left style="thin">
        <color rgb="FF000000"/>
      </left>
      <right style="dotted">
        <color rgb="FF38761D"/>
      </right>
      <bottom style="dotted">
        <color rgb="FF38761D"/>
      </bottom>
    </border>
    <border>
      <left style="dotted">
        <color rgb="FF38761D"/>
      </left>
      <right style="dotted">
        <color rgb="FF38761D"/>
      </right>
      <bottom style="dotted">
        <color rgb="FF38761D"/>
      </bottom>
    </border>
    <border>
      <left style="dotted">
        <color rgb="FF38761D"/>
      </left>
      <bottom style="dotted">
        <color rgb="FF38761D"/>
      </bottom>
    </border>
    <border>
      <left style="dotted">
        <color rgb="FF38761D"/>
      </left>
      <right style="thin">
        <color rgb="FF000000"/>
      </right>
      <bottom style="dotted">
        <color rgb="FF38761D"/>
      </bottom>
    </border>
    <border>
      <left style="thin">
        <color rgb="FF000000"/>
      </left>
      <right style="dotted">
        <color rgb="FF45818E"/>
      </right>
      <bottom style="dotted">
        <color rgb="FF134F5C"/>
      </bottom>
    </border>
    <border>
      <bottom style="dotted">
        <color rgb="FF134F5C"/>
      </bottom>
    </border>
    <border>
      <left style="dotted">
        <color rgb="FF45818E"/>
      </left>
      <bottom style="dotted">
        <color rgb="FF134F5C"/>
      </bottom>
    </border>
    <border>
      <left style="dotted">
        <color rgb="FF45818E"/>
      </left>
      <right style="dotted">
        <color rgb="FF45818E"/>
      </right>
      <bottom style="dotted">
        <color rgb="FF134F5C"/>
      </bottom>
    </border>
    <border>
      <left style="dotted">
        <color rgb="FF45818E"/>
      </left>
      <bottom style="dotted">
        <color rgb="FF45818E"/>
      </bottom>
    </border>
    <border>
      <left style="dotted">
        <color rgb="FF45818E"/>
      </left>
      <right style="thin">
        <color rgb="FF000000"/>
      </right>
      <bottom style="dotted">
        <color rgb="FF45818E"/>
      </bottom>
    </border>
    <border>
      <left style="thin">
        <color rgb="FF000000"/>
      </left>
      <right style="dotted">
        <color rgb="FF5B95F9"/>
      </right>
      <bottom style="dotted">
        <color rgb="FF5B95F9"/>
      </bottom>
    </border>
    <border>
      <bottom style="dotted">
        <color rgb="FF5B95F9"/>
      </bottom>
    </border>
    <border>
      <left style="dotted">
        <color rgb="FF3D85C6"/>
      </left>
      <bottom style="dotted">
        <color rgb="FF5B95F9"/>
      </bottom>
    </border>
    <border>
      <left style="dotted">
        <color rgb="FF5B95F9"/>
      </left>
      <right style="dotted">
        <color rgb="FF3C78D8"/>
      </right>
      <bottom style="dotted">
        <color rgb="FF5B95F9"/>
      </bottom>
    </border>
    <border>
      <bottom style="dotted">
        <color rgb="FF3D85C6"/>
      </bottom>
    </border>
    <border>
      <left style="dotted">
        <color rgb="FF3C78D8"/>
      </left>
      <right style="thin">
        <color rgb="FF000000"/>
      </right>
      <bottom style="dotted">
        <color rgb="FF3C78D8"/>
      </bottom>
    </border>
    <border>
      <left style="thin">
        <color rgb="FF000000"/>
      </left>
      <right style="dotted">
        <color rgb="FF38761D"/>
      </right>
    </border>
    <border>
      <right style="dotted">
        <color rgb="FF38761D"/>
      </right>
    </border>
    <border>
      <left style="dotted">
        <color rgb="FF38761D"/>
      </left>
      <right style="thin">
        <color rgb="FF000000"/>
      </right>
    </border>
    <border>
      <left style="thin">
        <color rgb="FF000000"/>
      </left>
      <right style="dotted">
        <color rgb="FF45818E"/>
      </right>
    </border>
    <border>
      <left style="dotted">
        <color rgb="FF45818E"/>
      </left>
    </border>
    <border>
      <left style="dotted">
        <color rgb="FF45818E"/>
      </left>
      <right style="dotted">
        <color rgb="FF45818E"/>
      </right>
    </border>
    <border>
      <left style="dotted">
        <color rgb="FF45818E"/>
      </left>
      <right style="thin">
        <color rgb="FF000000"/>
      </right>
    </border>
    <border>
      <left style="thin">
        <color rgb="FF000000"/>
      </left>
      <right style="dotted">
        <color rgb="FF5B95F9"/>
      </right>
    </border>
    <border>
      <left style="dotted">
        <color rgb="FF3D85C6"/>
      </left>
      <right style="dotted">
        <color rgb="FF3C78D8"/>
      </right>
    </border>
    <border>
      <left style="dotted">
        <color rgb="FF3C78D8"/>
      </left>
      <right style="dotted">
        <color rgb="FF3C78D8"/>
      </right>
    </border>
    <border>
      <left style="dotted">
        <color rgb="FF3C78D8"/>
      </left>
    </border>
    <border>
      <left style="dotted">
        <color rgb="FF3C78D8"/>
      </left>
      <right style="thin">
        <color rgb="FF000000"/>
      </right>
    </border>
    <border>
      <left style="dotted">
        <color rgb="FF38761D"/>
      </left>
      <right style="dotted">
        <color rgb="FF38761D"/>
      </right>
    </border>
    <border>
      <left style="dotted">
        <color rgb="FF38761D"/>
      </left>
    </border>
    <border>
      <left style="dotted">
        <color rgb="FF3D85C6"/>
      </left>
    </border>
    <border>
      <left style="dotted">
        <color rgb="FF5B95F9"/>
      </left>
      <right style="dotted">
        <color rgb="FF3C78D8"/>
      </right>
    </border>
    <border>
      <left style="thin">
        <color rgb="FF000000"/>
      </left>
      <right style="dotted">
        <color rgb="FF38761D"/>
      </right>
      <bottom style="thin">
        <color rgb="FF000000"/>
      </bottom>
    </border>
    <border>
      <left style="dotted">
        <color rgb="FF38761D"/>
      </left>
      <right style="dotted">
        <color rgb="FF38761D"/>
      </right>
      <bottom style="thin">
        <color rgb="FF000000"/>
      </bottom>
    </border>
    <border>
      <left style="dotted">
        <color rgb="FF38761D"/>
      </left>
      <bottom style="thin">
        <color rgb="FF000000"/>
      </bottom>
    </border>
    <border>
      <left style="dotted">
        <color rgb="FF38761D"/>
      </left>
      <right style="thin">
        <color rgb="FF000000"/>
      </right>
      <bottom style="thin">
        <color rgb="FF000000"/>
      </bottom>
    </border>
    <border>
      <left style="thin">
        <color rgb="FF000000"/>
      </left>
      <right style="dotted">
        <color rgb="FF45818E"/>
      </right>
      <bottom style="thin">
        <color rgb="FF000000"/>
      </bottom>
    </border>
    <border>
      <left style="dotted">
        <color rgb="FF45818E"/>
      </left>
      <bottom style="thin">
        <color rgb="FF000000"/>
      </bottom>
    </border>
    <border>
      <left style="dotted">
        <color rgb="FF45818E"/>
      </left>
      <right style="dotted">
        <color rgb="FF45818E"/>
      </right>
      <bottom style="thin">
        <color rgb="FF000000"/>
      </bottom>
    </border>
    <border>
      <left style="dotted">
        <color rgb="FF45818E"/>
      </left>
      <right style="thin">
        <color rgb="FF000000"/>
      </right>
      <bottom style="thin">
        <color rgb="FF000000"/>
      </bottom>
    </border>
    <border>
      <left style="thin">
        <color rgb="FF000000"/>
      </left>
      <right style="dotted">
        <color rgb="FF5B95F9"/>
      </right>
      <bottom style="thin">
        <color rgb="FF000000"/>
      </bottom>
    </border>
    <border>
      <left style="dotted">
        <color rgb="FF3D85C6"/>
      </left>
      <bottom style="thin">
        <color rgb="FF000000"/>
      </bottom>
    </border>
    <border>
      <left style="dotted">
        <color rgb="FF5B95F9"/>
      </left>
      <right style="dotted">
        <color rgb="FF3C78D8"/>
      </right>
      <bottom style="thin">
        <color rgb="FF000000"/>
      </bottom>
    </border>
    <border>
      <left style="dotted">
        <color rgb="FF3C78D8"/>
      </left>
      <right style="thin">
        <color rgb="FF000000"/>
      </right>
      <bottom style="thin">
        <color rgb="FF000000"/>
      </bottom>
    </border>
    <border>
      <left style="thin">
        <color rgb="FF000000"/>
      </left>
      <right style="dotted">
        <color rgb="FF1155CC"/>
      </right>
      <bottom style="dotted">
        <color rgb="FF1155CC"/>
      </bottom>
    </border>
    <border>
      <left style="dotted">
        <color rgb="FF1155CC"/>
      </left>
      <right style="dotted">
        <color rgb="FF1155CC"/>
      </right>
      <bottom style="dotted">
        <color rgb="FF1155CC"/>
      </bottom>
    </border>
    <border>
      <left style="dotted">
        <color rgb="FF1155CC"/>
      </left>
      <bottom style="dotted">
        <color rgb="FF1155CC"/>
      </bottom>
    </border>
    <border>
      <left style="dotted">
        <color rgb="FF1155CC"/>
      </left>
      <right style="thin">
        <color rgb="FF000000"/>
      </right>
      <bottom style="dotted">
        <color rgb="FF1155CC"/>
      </bottom>
    </border>
    <border>
      <left style="thin">
        <color rgb="FF000000"/>
      </left>
      <right style="dotted">
        <color rgb="FF674EA7"/>
      </right>
      <bottom style="dotted">
        <color rgb="FF674EA7"/>
      </bottom>
    </border>
    <border>
      <left style="dotted">
        <color rgb="FF674EA7"/>
      </left>
      <right style="dotted">
        <color rgb="FF674EA7"/>
      </right>
      <bottom style="dotted">
        <color rgb="FF674EA7"/>
      </bottom>
    </border>
    <border>
      <left style="dotted">
        <color rgb="FF674EA7"/>
      </left>
      <bottom style="dotted">
        <color rgb="FF674EA7"/>
      </bottom>
    </border>
    <border>
      <left style="dotted">
        <color rgb="FF674EA7"/>
      </left>
      <right style="thin">
        <color rgb="FF000000"/>
      </right>
      <bottom style="dotted">
        <color rgb="FF674EA7"/>
      </bottom>
    </border>
    <border>
      <left style="thin">
        <color rgb="FF000000"/>
      </left>
      <right style="dotted">
        <color rgb="FFA64D79"/>
      </right>
      <bottom style="dotted">
        <color rgb="FFA64D79"/>
      </bottom>
    </border>
    <border>
      <left style="thin">
        <color rgb="FF000000"/>
      </left>
      <right style="dotted">
        <color rgb="FF434343"/>
      </right>
      <top style="thin">
        <color rgb="FF000000"/>
      </top>
    </border>
    <border>
      <left style="dotted">
        <color rgb="FFA64D79"/>
      </left>
      <right style="dotted">
        <color rgb="FFA64D79"/>
      </right>
      <bottom style="dotted">
        <color rgb="FFA64D79"/>
      </bottom>
    </border>
    <border>
      <left style="dotted">
        <color rgb="FFA64D79"/>
      </left>
      <bottom style="dotted">
        <color rgb="FFA64D79"/>
      </bottom>
    </border>
    <border>
      <left style="dotted">
        <color rgb="FFA64D79"/>
      </left>
      <right style="thin">
        <color rgb="FF000000"/>
      </right>
      <bottom style="dotted">
        <color rgb="FFA64D79"/>
      </bottom>
    </border>
    <border>
      <left style="thin">
        <color rgb="FF000000"/>
      </left>
      <right style="dotted">
        <color rgb="FF1155CC"/>
      </right>
    </border>
    <border>
      <left style="dotted">
        <color rgb="FF434343"/>
      </left>
      <right style="dotted">
        <color rgb="FF990000"/>
      </right>
      <top style="thin">
        <color rgb="FF000000"/>
      </top>
    </border>
    <border>
      <left style="dotted">
        <color rgb="FF990000"/>
      </left>
      <right style="dotted">
        <color rgb="FF1155CC"/>
      </right>
    </border>
    <border>
      <left style="dotted">
        <color rgb="FF990000"/>
      </left>
      <top style="thin">
        <color rgb="FF000000"/>
      </top>
    </border>
    <border>
      <right style="dotted">
        <color rgb="FF1155CC"/>
      </right>
    </border>
    <border>
      <left style="dotted">
        <color rgb="FF1155CC"/>
      </left>
      <right style="thin">
        <color rgb="FF000000"/>
      </right>
    </border>
    <border>
      <left style="thin">
        <color rgb="FF000000"/>
      </left>
      <right style="dotted">
        <color rgb="FF674EA7"/>
      </right>
    </border>
    <border>
      <left style="dotted">
        <color rgb="FF990000"/>
      </left>
      <right style="dotted">
        <color rgb="FF674EA7"/>
      </right>
    </border>
    <border>
      <right style="dotted">
        <color rgb="FF674EA7"/>
      </right>
    </border>
    <border>
      <left style="dotted">
        <color rgb="FF674EA7"/>
      </left>
      <right style="thin">
        <color rgb="FF000000"/>
      </right>
    </border>
    <border>
      <left style="thin">
        <color rgb="FF000000"/>
      </left>
      <right style="dotted">
        <color rgb="FFA64D79"/>
      </right>
    </border>
    <border>
      <right style="dotted">
        <color rgb="FFA64D79"/>
      </right>
    </border>
    <border>
      <left style="dotted">
        <color rgb="FFA64D79"/>
      </left>
      <right style="thin">
        <color rgb="FF000000"/>
      </right>
    </border>
    <border>
      <left style="dotted">
        <color rgb="FF1155CC"/>
      </left>
      <right style="dotted">
        <color rgb="FF1155CC"/>
      </right>
    </border>
    <border>
      <left style="dotted">
        <color rgb="FF1155CC"/>
      </left>
    </border>
    <border>
      <left style="dotted">
        <color rgb="FF674EA7"/>
      </left>
      <right style="dotted">
        <color rgb="FF674EA7"/>
      </right>
    </border>
    <border>
      <left style="dotted">
        <color rgb="FF674EA7"/>
      </left>
    </border>
    <border>
      <left style="dotted">
        <color rgb="FFA64D79"/>
      </left>
      <right style="dotted">
        <color rgb="FFA64D79"/>
      </right>
    </border>
    <border>
      <left style="dotted">
        <color rgb="FFA64D79"/>
      </left>
    </border>
    <border>
      <left style="dotted">
        <color rgb="FF434343"/>
      </left>
      <right style="dotted">
        <color rgb="FF990000"/>
      </right>
    </border>
    <border>
      <left style="dotted">
        <color rgb="FF434343"/>
      </left>
    </border>
    <border>
      <left style="thin">
        <color rgb="FF000000"/>
      </left>
      <right style="dotted">
        <color rgb="FF1155CC"/>
      </right>
      <bottom style="thin">
        <color rgb="FF000000"/>
      </bottom>
    </border>
    <border>
      <left style="dotted">
        <color rgb="FF1155CC"/>
      </left>
      <right style="dotted">
        <color rgb="FF1155CC"/>
      </right>
      <bottom style="thin">
        <color rgb="FF000000"/>
      </bottom>
    </border>
    <border>
      <left style="dotted">
        <color rgb="FF1155CC"/>
      </left>
      <bottom style="thin">
        <color rgb="FF000000"/>
      </bottom>
    </border>
    <border>
      <left style="dotted">
        <color rgb="FF1155CC"/>
      </left>
      <right style="thin">
        <color rgb="FF000000"/>
      </right>
      <bottom style="thin">
        <color rgb="FF000000"/>
      </bottom>
    </border>
    <border>
      <left style="thin">
        <color rgb="FF000000"/>
      </left>
      <right style="dotted">
        <color rgb="FF674EA7"/>
      </right>
      <bottom style="thin">
        <color rgb="FF000000"/>
      </bottom>
    </border>
    <border>
      <left style="dotted">
        <color rgb="FF674EA7"/>
      </left>
      <right style="dotted">
        <color rgb="FF674EA7"/>
      </right>
      <bottom style="thin">
        <color rgb="FF000000"/>
      </bottom>
    </border>
    <border>
      <left style="dotted">
        <color rgb="FF674EA7"/>
      </left>
      <bottom style="thin">
        <color rgb="FF000000"/>
      </bottom>
    </border>
    <border>
      <left style="dotted">
        <color rgb="FF674EA7"/>
      </left>
      <right style="thin">
        <color rgb="FF000000"/>
      </right>
      <bottom style="thin">
        <color rgb="FF000000"/>
      </bottom>
    </border>
    <border>
      <left style="thin">
        <color rgb="FF000000"/>
      </left>
      <right style="dotted">
        <color rgb="FFA64D79"/>
      </right>
      <bottom style="thin">
        <color rgb="FF000000"/>
      </bottom>
    </border>
    <border>
      <left style="dotted">
        <color rgb="FFA64D79"/>
      </left>
      <right style="dotted">
        <color rgb="FFA64D79"/>
      </right>
      <bottom style="thin">
        <color rgb="FF000000"/>
      </bottom>
    </border>
    <border>
      <left style="dotted">
        <color rgb="FFA64D79"/>
      </left>
      <bottom style="thin">
        <color rgb="FF000000"/>
      </bottom>
    </border>
    <border>
      <left style="dotted">
        <color rgb="FFA64D79"/>
      </left>
      <right style="thin">
        <color rgb="FF000000"/>
      </right>
      <bottom style="thin">
        <color rgb="FF000000"/>
      </bottom>
    </border>
    <border>
      <right style="dotted">
        <color rgb="FFB45F06"/>
      </right>
      <top style="thin">
        <color rgb="FF000000"/>
      </top>
    </border>
    <border>
      <left style="dotted">
        <color rgb="FFB45F06"/>
      </left>
      <right style="thin">
        <color rgb="FF000000"/>
      </right>
      <top style="thin">
        <color rgb="FF000000"/>
      </top>
    </border>
    <border>
      <left style="thin">
        <color rgb="FF000000"/>
      </left>
      <right style="dotted">
        <color rgb="FFB45F06"/>
      </right>
      <top style="thin">
        <color rgb="FF000000"/>
      </top>
    </border>
    <border>
      <right style="dotted">
        <color rgb="FFB45F06"/>
      </right>
      <bottom style="thin">
        <color rgb="FF000000"/>
      </bottom>
    </border>
    <border>
      <left style="dotted">
        <color rgb="FFB45F06"/>
      </left>
      <right style="dotted">
        <color rgb="FFB45F06"/>
      </right>
      <top style="thin">
        <color rgb="FF000000"/>
      </top>
    </border>
    <border>
      <left style="dotted">
        <color rgb="FFB45F06"/>
      </left>
      <top style="thin">
        <color rgb="FF000000"/>
      </top>
    </border>
    <border>
      <left style="dotted">
        <color rgb="FF434343"/>
      </left>
      <right style="dotted">
        <color rgb="FF990000"/>
      </right>
      <bottom style="thin">
        <color rgb="FF000000"/>
      </bottom>
    </border>
    <border>
      <right style="dotted">
        <color rgb="FFBF9000"/>
      </right>
      <top style="thin">
        <color rgb="FF000000"/>
      </top>
    </border>
    <border>
      <left style="dotted">
        <color rgb="FFBF9000"/>
      </left>
      <right style="thin">
        <color rgb="FF000000"/>
      </right>
      <top style="thin">
        <color rgb="FF000000"/>
      </top>
    </border>
    <border>
      <left style="thin">
        <color rgb="FF000000"/>
      </left>
      <right style="dotted">
        <color rgb="FFBF9000"/>
      </right>
      <top style="thin">
        <color rgb="FF000000"/>
      </top>
    </border>
    <border>
      <right style="dotted">
        <color rgb="FFBF9000"/>
      </right>
      <bottom style="thin">
        <color rgb="FF000000"/>
      </bottom>
    </border>
    <border>
      <left style="dotted">
        <color rgb="FFBF9000"/>
      </left>
      <right style="dotted">
        <color rgb="FFBF9000"/>
      </right>
      <top style="thin">
        <color rgb="FF000000"/>
      </top>
    </border>
    <border>
      <left style="dotted">
        <color rgb="FF434343"/>
      </left>
      <bottom style="thin">
        <color rgb="FF000000"/>
      </bottom>
    </border>
    <border>
      <right style="dotted">
        <color rgb="FF38761D"/>
      </right>
      <top style="thin">
        <color rgb="FF000000"/>
      </top>
    </border>
    <border>
      <left style="dotted">
        <color rgb="FF38761D"/>
      </left>
      <right style="thin">
        <color rgb="FF000000"/>
      </right>
      <top style="thin">
        <color rgb="FF000000"/>
      </top>
    </border>
    <border>
      <left style="thin">
        <color rgb="FF000000"/>
      </left>
      <right style="dotted">
        <color rgb="FF38761D"/>
      </right>
      <top style="thin">
        <color rgb="FF000000"/>
      </top>
    </border>
    <border>
      <right style="dotted">
        <color rgb="FF38761D"/>
      </right>
      <bottom style="thin">
        <color rgb="FF000000"/>
      </bottom>
    </border>
    <border>
      <left style="dotted">
        <color rgb="FF38761D"/>
      </left>
      <right style="dotted">
        <color rgb="FF38761D"/>
      </right>
      <top style="thin">
        <color rgb="FF000000"/>
      </top>
    </border>
    <border>
      <left style="dotted">
        <color rgb="FFBF9000"/>
      </left>
      <top style="thin">
        <color rgb="FF000000"/>
      </top>
    </border>
    <border>
      <left style="dotted">
        <color rgb="FFBF9000"/>
      </left>
      <right style="dotted">
        <color rgb="FF38761D"/>
      </right>
      <top style="thin">
        <color rgb="FF000000"/>
      </top>
    </border>
    <border>
      <left style="dotted">
        <color rgb="FF38761D"/>
      </left>
      <top style="thin">
        <color rgb="FF000000"/>
      </top>
    </border>
    <border>
      <left style="dotted">
        <color rgb="FFBF9000"/>
      </left>
      <right style="dotted">
        <color rgb="FF38761D"/>
      </right>
    </border>
    <border>
      <right style="dotted">
        <color rgb="FF45818E"/>
      </right>
      <top style="thin">
        <color rgb="FF000000"/>
      </top>
    </border>
    <border>
      <left style="dotted">
        <color rgb="FF45818E"/>
      </left>
      <right style="thin">
        <color rgb="FF000000"/>
      </right>
      <top style="thin">
        <color rgb="FF000000"/>
      </top>
    </border>
    <border>
      <left style="thin">
        <color rgb="FF000000"/>
      </left>
      <right style="dotted">
        <color rgb="FF45818E"/>
      </right>
      <top style="thin">
        <color rgb="FF000000"/>
      </top>
    </border>
    <border>
      <right style="dotted">
        <color rgb="FF45818E"/>
      </right>
    </border>
    <border>
      <right style="dotted">
        <color rgb="FF45818E"/>
      </right>
      <bottom style="thin">
        <color rgb="FF000000"/>
      </bottom>
    </border>
    <border>
      <left style="dotted">
        <color rgb="FF45818E"/>
      </left>
      <right style="dotted">
        <color rgb="FF45818E"/>
      </right>
      <top style="thin">
        <color rgb="FF000000"/>
      </top>
    </border>
    <border>
      <left style="thin">
        <color rgb="FF000000"/>
      </left>
      <right style="dotted">
        <color rgb="FF45818E"/>
      </right>
      <bottom style="dotted">
        <color rgb="FF45818E"/>
      </bottom>
    </border>
    <border>
      <left style="dotted">
        <color rgb="FF45818E"/>
      </left>
      <right style="dotted">
        <color rgb="FF45818E"/>
      </right>
      <bottom style="dotted">
        <color rgb="FF45818E"/>
      </bottom>
    </border>
    <border>
      <left style="dotted">
        <color rgb="FFBF9000"/>
      </left>
      <right style="dotted">
        <color rgb="FF45818E"/>
      </right>
      <top style="thin">
        <color rgb="FF000000"/>
      </top>
    </border>
    <border>
      <left style="dotted">
        <color rgb="FF45818E"/>
      </left>
      <top style="thin">
        <color rgb="FF000000"/>
      </top>
    </border>
    <border>
      <left style="dotted">
        <color rgb="FFBF9000"/>
      </left>
      <right style="dotted">
        <color rgb="FF45818E"/>
      </right>
    </border>
    <border>
      <left style="dotted">
        <color rgb="FFBF9000"/>
      </left>
      <right style="dotted">
        <color rgb="FF38761D"/>
      </right>
      <bottom style="thin">
        <color rgb="FF000000"/>
      </bottom>
    </border>
    <border>
      <right style="dotted">
        <color rgb="FF3D85C6"/>
      </right>
      <top style="thin">
        <color rgb="FF000000"/>
      </top>
    </border>
    <border>
      <left style="dotted">
        <color rgb="FF3D85C6"/>
      </left>
      <right style="thin">
        <color rgb="FF000000"/>
      </right>
      <top style="thin">
        <color rgb="FF000000"/>
      </top>
    </border>
    <border>
      <left style="thin">
        <color rgb="FF000000"/>
      </left>
      <right style="dotted">
        <color rgb="FF3D85C6"/>
      </right>
      <top style="thin">
        <color rgb="FF000000"/>
      </top>
    </border>
    <border>
      <right style="dotted">
        <color rgb="FF3D85C6"/>
      </right>
    </border>
    <border>
      <left style="dotted">
        <color rgb="FF3D85C6"/>
      </left>
      <right style="thin">
        <color rgb="FF000000"/>
      </right>
    </border>
    <border>
      <left style="thin">
        <color rgb="FF000000"/>
      </left>
      <right style="dotted">
        <color rgb="FF3D85C6"/>
      </right>
    </border>
    <border>
      <left style="thin">
        <color rgb="FF000000"/>
      </left>
      <right style="dotted">
        <color rgb="FF3D85C6"/>
      </right>
      <bottom style="thin">
        <color rgb="FF000000"/>
      </bottom>
    </border>
    <border>
      <left style="dotted">
        <color rgb="FF3D85C6"/>
      </left>
      <right style="thin">
        <color rgb="FF000000"/>
      </right>
      <bottom style="thin">
        <color rgb="FF000000"/>
      </bottom>
    </border>
    <border>
      <right style="dotted">
        <color rgb="FF3D85C6"/>
      </right>
      <bottom style="thin">
        <color rgb="FF000000"/>
      </bottom>
    </border>
    <border>
      <left style="dotted">
        <color rgb="FF3D85C6"/>
      </left>
      <right style="dotted">
        <color rgb="FF3D85C6"/>
      </right>
      <top style="thin">
        <color rgb="FF000000"/>
      </top>
    </border>
    <border>
      <left style="thin">
        <color rgb="FF000000"/>
      </left>
      <right style="dotted">
        <color rgb="FF3D85C6"/>
      </right>
      <bottom style="dotted">
        <color rgb="FF3D85C6"/>
      </bottom>
    </border>
    <border>
      <left style="dotted">
        <color rgb="FF3D85C6"/>
      </left>
      <right style="dotted">
        <color rgb="FF3D85C6"/>
      </right>
      <bottom style="dotted">
        <color rgb="FF3D85C6"/>
      </bottom>
    </border>
    <border>
      <left style="dotted">
        <color rgb="FF3D85C6"/>
      </left>
      <right style="thin">
        <color rgb="FF000000"/>
      </right>
      <bottom style="dotted">
        <color rgb="FF3D85C6"/>
      </bottom>
    </border>
    <border>
      <left style="dotted">
        <color rgb="FF3D85C6"/>
      </left>
      <right style="dotted">
        <color rgb="FF3D85C6"/>
      </right>
    </border>
    <border>
      <left style="dotted">
        <color rgb="FF3D85C6"/>
      </left>
      <right style="dotted">
        <color rgb="FF3D85C6"/>
      </right>
      <bottom style="thin">
        <color rgb="FF000000"/>
      </bottom>
    </border>
    <border>
      <left style="dotted">
        <color rgb="FF3D85C6"/>
      </left>
      <top style="thin">
        <color rgb="FF000000"/>
      </top>
    </border>
    <border>
      <right style="dotted">
        <color rgb="FF1155CC"/>
      </right>
      <top style="thin">
        <color rgb="FF000000"/>
      </top>
    </border>
    <border>
      <left style="dotted">
        <color rgb="FF1155CC"/>
      </left>
      <right style="thin">
        <color rgb="FF000000"/>
      </right>
      <top style="thin">
        <color rgb="FF000000"/>
      </top>
    </border>
    <border>
      <left style="thin">
        <color rgb="FF000000"/>
      </left>
      <right style="dotted">
        <color rgb="FF1155CC"/>
      </right>
      <top style="thin">
        <color rgb="FF000000"/>
      </top>
    </border>
    <border>
      <right style="dotted">
        <color rgb="FF1155CC"/>
      </right>
      <bottom style="thin">
        <color rgb="FF000000"/>
      </bottom>
    </border>
    <border>
      <left style="dotted">
        <color rgb="FF1155CC"/>
      </left>
      <right style="dotted">
        <color rgb="FF1155CC"/>
      </right>
      <top style="thin">
        <color rgb="FF000000"/>
      </top>
    </border>
    <border>
      <left style="dotted">
        <color rgb="FF1155CC"/>
      </left>
      <top style="thin">
        <color rgb="FF000000"/>
      </top>
    </border>
    <border>
      <left style="dotted">
        <color rgb="FFBF9000"/>
      </left>
      <right style="dotted">
        <color rgb="FF45818E"/>
      </right>
      <bottom style="thin">
        <color rgb="FF000000"/>
      </bottom>
    </border>
    <border>
      <right style="dotted">
        <color rgb="FF674EA7"/>
      </right>
      <top style="thin">
        <color rgb="FF000000"/>
      </top>
    </border>
    <border>
      <left style="dotted">
        <color rgb="FF674EA7"/>
      </left>
      <right style="thin">
        <color rgb="FF000000"/>
      </right>
      <top style="thin">
        <color rgb="FF000000"/>
      </top>
    </border>
    <border>
      <left style="thin">
        <color rgb="FF000000"/>
      </left>
      <right style="dotted">
        <color rgb="FF674EA7"/>
      </right>
      <top style="thin">
        <color rgb="FF000000"/>
      </top>
    </border>
    <border>
      <right style="dotted">
        <color rgb="FF674EA7"/>
      </right>
      <bottom style="thin">
        <color rgb="FF000000"/>
      </bottom>
    </border>
    <border>
      <left style="dotted">
        <color rgb="FF674EA7"/>
      </left>
      <right style="dotted">
        <color rgb="FF674EA7"/>
      </right>
      <top style="thin">
        <color rgb="FF000000"/>
      </top>
    </border>
    <border>
      <left style="dotted">
        <color rgb="FF674EA7"/>
      </left>
      <top style="thin">
        <color rgb="FF000000"/>
      </top>
    </border>
    <border>
      <right style="dotted">
        <color rgb="FFA64D79"/>
      </right>
      <top style="thin">
        <color rgb="FF000000"/>
      </top>
    </border>
    <border>
      <left style="dotted">
        <color rgb="FFA64D79"/>
      </left>
      <right style="thin">
        <color rgb="FF000000"/>
      </right>
      <top style="thin">
        <color rgb="FF000000"/>
      </top>
    </border>
    <border>
      <left style="thin">
        <color rgb="FF000000"/>
      </left>
      <right style="dotted">
        <color rgb="FFA64D79"/>
      </right>
      <top style="thin">
        <color rgb="FF000000"/>
      </top>
    </border>
    <border>
      <right style="dotted">
        <color rgb="FFA64D79"/>
      </right>
      <bottom style="thin">
        <color rgb="FF000000"/>
      </bottom>
    </border>
    <border>
      <left style="dotted">
        <color rgb="FFA64D79"/>
      </left>
      <right style="dotted">
        <color rgb="FFA64D79"/>
      </right>
      <top style="thin">
        <color rgb="FF000000"/>
      </top>
    </border>
    <border>
      <left style="dotted">
        <color rgb="FFA64D79"/>
      </left>
      <top style="thin">
        <color rgb="FF000000"/>
      </top>
    </border>
    <border>
      <left style="thin">
        <color rgb="FF000000"/>
      </left>
      <right style="dotted">
        <color rgb="FFBDBDBD"/>
      </right>
      <top style="thin">
        <color rgb="FF000000"/>
      </top>
    </border>
    <border>
      <left style="dotted">
        <color rgb="FFBDBDBD"/>
      </left>
      <top style="thin">
        <color rgb="FF000000"/>
      </top>
    </border>
    <border>
      <left style="thin">
        <color rgb="FF000000"/>
      </left>
      <right style="dotted">
        <color rgb="FFBDBDBD"/>
      </right>
    </border>
    <border>
      <left style="dotted">
        <color rgb="FFBDBDBD"/>
      </left>
    </border>
    <border>
      <left style="thin">
        <color rgb="FF000000"/>
      </left>
      <right style="dotted">
        <color rgb="FFBDBDBD"/>
      </right>
      <bottom style="thin">
        <color rgb="FF000000"/>
      </bottom>
    </border>
    <border>
      <left style="dotted">
        <color rgb="FFBDBDBD"/>
      </left>
      <bottom style="thin">
        <color rgb="FF000000"/>
      </bottom>
    </border>
  </borders>
  <cellStyleXfs count="1">
    <xf borderId="0" fillId="0" fontId="0" numFmtId="0" applyAlignment="1" applyFont="1"/>
  </cellStyleXfs>
  <cellXfs count="120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1" fillId="0" fontId="6" numFmtId="0" xfId="0" applyAlignment="1" applyBorder="1" applyFont="1">
      <alignment readingOrder="0"/>
    </xf>
    <xf borderId="1" fillId="2" fontId="6" numFmtId="0" xfId="0" applyAlignment="1" applyBorder="1" applyFill="1" applyFont="1">
      <alignment horizontal="left" readingOrder="0" vertical="center"/>
    </xf>
    <xf borderId="2" fillId="0" fontId="7" numFmtId="0" xfId="0" applyBorder="1" applyFont="1"/>
    <xf borderId="2" fillId="0" fontId="8" numFmtId="0" xfId="0" applyBorder="1" applyFont="1"/>
    <xf borderId="2" fillId="0" fontId="3" numFmtId="0" xfId="0" applyBorder="1" applyFont="1"/>
    <xf borderId="2" fillId="2" fontId="9" numFmtId="0" xfId="0" applyAlignment="1" applyBorder="1" applyFont="1">
      <alignment horizontal="left" readingOrder="0"/>
    </xf>
    <xf borderId="3" fillId="0" fontId="3" numFmtId="0" xfId="0" applyBorder="1" applyFont="1"/>
    <xf borderId="4" fillId="2" fontId="6" numFmtId="0" xfId="0" applyAlignment="1" applyBorder="1" applyFont="1">
      <alignment readingOrder="0"/>
    </xf>
    <xf borderId="5" fillId="2" fontId="10" numFmtId="0" xfId="0" applyBorder="1" applyFont="1"/>
    <xf borderId="6" fillId="2" fontId="10" numFmtId="0" xfId="0" applyBorder="1" applyFont="1"/>
    <xf borderId="7" fillId="0" fontId="8" numFmtId="0" xfId="0" applyBorder="1" applyFont="1"/>
    <xf borderId="0" fillId="0" fontId="3" numFmtId="0" xfId="0" applyAlignment="1" applyFont="1">
      <alignment horizontal="center" vertical="center"/>
    </xf>
    <xf borderId="0" fillId="0" fontId="3" numFmtId="0" xfId="0" applyAlignment="1" applyFont="1">
      <alignment readingOrder="0" shrinkToFit="0" wrapText="1"/>
    </xf>
    <xf borderId="8" fillId="0" fontId="11" numFmtId="0" xfId="0" applyAlignment="1" applyBorder="1" applyFont="1">
      <alignment readingOrder="0" shrinkToFit="0" wrapText="1"/>
    </xf>
    <xf borderId="9" fillId="0" fontId="12" numFmtId="0" xfId="0" applyAlignment="1" applyBorder="1" applyFont="1">
      <alignment readingOrder="0" shrinkToFit="0" wrapText="1"/>
    </xf>
    <xf borderId="10" fillId="0" fontId="12" numFmtId="0" xfId="0" applyAlignment="1" applyBorder="1" applyFont="1">
      <alignment readingOrder="0" shrinkToFit="0" wrapText="1"/>
    </xf>
    <xf borderId="8" fillId="0" fontId="13" numFmtId="0" xfId="0" applyAlignment="1" applyBorder="1" applyFont="1">
      <alignment readingOrder="0" shrinkToFit="0" wrapText="1"/>
    </xf>
    <xf borderId="9" fillId="0" fontId="13" numFmtId="0" xfId="0" applyAlignment="1" applyBorder="1" applyFont="1">
      <alignment readingOrder="0" shrinkToFit="0" wrapText="1"/>
    </xf>
    <xf borderId="10" fillId="0" fontId="13" numFmtId="0" xfId="0" applyAlignment="1" applyBorder="1" applyFont="1">
      <alignment readingOrder="0" shrinkToFit="0" wrapText="1"/>
    </xf>
    <xf borderId="8" fillId="3" fontId="14" numFmtId="0" xfId="0" applyAlignment="1" applyBorder="1" applyFill="1" applyFont="1">
      <alignment horizontal="left" readingOrder="0" shrinkToFit="0" wrapText="1"/>
    </xf>
    <xf borderId="9" fillId="3" fontId="13" numFmtId="0" xfId="0" applyAlignment="1" applyBorder="1" applyFont="1">
      <alignment horizontal="left" readingOrder="0" shrinkToFit="0" wrapText="1"/>
    </xf>
    <xf borderId="10" fillId="3" fontId="13" numFmtId="0" xfId="0" applyAlignment="1" applyBorder="1" applyFont="1">
      <alignment horizontal="left" readingOrder="0" shrinkToFit="0" wrapText="1"/>
    </xf>
    <xf borderId="0" fillId="0" fontId="8" numFmtId="0" xfId="0" applyAlignment="1" applyFont="1">
      <alignment shrinkToFit="0" wrapText="1"/>
    </xf>
    <xf borderId="1" fillId="4" fontId="6" numFmtId="0" xfId="0" applyBorder="1" applyFill="1" applyFont="1"/>
    <xf borderId="2" fillId="4" fontId="8" numFmtId="0" xfId="0" applyBorder="1" applyFont="1"/>
    <xf borderId="2" fillId="4" fontId="6" numFmtId="0" xfId="0" applyBorder="1" applyFont="1"/>
    <xf borderId="3" fillId="4" fontId="6" numFmtId="0" xfId="0" applyBorder="1" applyFont="1"/>
    <xf borderId="1" fillId="5" fontId="6" numFmtId="0" xfId="0" applyBorder="1" applyFill="1" applyFont="1"/>
    <xf borderId="0" fillId="3" fontId="15" numFmtId="0" xfId="0" applyAlignment="1" applyFont="1">
      <alignment shrinkToFit="0" wrapText="0"/>
    </xf>
    <xf borderId="2" fillId="5" fontId="8" numFmtId="0" xfId="0" applyBorder="1" applyFont="1"/>
    <xf borderId="0" fillId="3" fontId="16" numFmtId="0" xfId="0" applyAlignment="1" applyFont="1">
      <alignment readingOrder="0"/>
    </xf>
    <xf borderId="2" fillId="5" fontId="6" numFmtId="0" xfId="0" applyBorder="1" applyFont="1"/>
    <xf borderId="0" fillId="0" fontId="17" numFmtId="0" xfId="0" applyAlignment="1" applyFont="1">
      <alignment readingOrder="0"/>
    </xf>
    <xf borderId="3" fillId="5" fontId="6" numFmtId="0" xfId="0" applyBorder="1" applyFont="1"/>
    <xf borderId="0" fillId="0" fontId="17" numFmtId="0" xfId="0" applyFont="1"/>
    <xf borderId="0" fillId="0" fontId="3" numFmtId="0" xfId="0" applyAlignment="1" applyFont="1">
      <alignment shrinkToFit="0" wrapText="1"/>
    </xf>
    <xf borderId="0" fillId="0" fontId="18" numFmtId="0" xfId="0" applyAlignment="1" applyFont="1">
      <alignment shrinkToFit="0" wrapText="0"/>
    </xf>
    <xf borderId="1" fillId="6" fontId="6" numFmtId="0" xfId="0" applyBorder="1" applyFill="1" applyFont="1"/>
    <xf borderId="0" fillId="3" fontId="18" numFmtId="0" xfId="0" applyAlignment="1" applyFont="1">
      <alignment shrinkToFit="0" wrapText="0"/>
    </xf>
    <xf borderId="2" fillId="6" fontId="8" numFmtId="0" xfId="0" applyBorder="1" applyFont="1"/>
    <xf borderId="11" fillId="0" fontId="19" numFmtId="0" xfId="0" applyAlignment="1" applyBorder="1" applyFont="1">
      <alignment readingOrder="0"/>
    </xf>
    <xf borderId="0" fillId="3" fontId="20" numFmtId="0" xfId="0" applyAlignment="1" applyFont="1">
      <alignment readingOrder="0" shrinkToFit="0" wrapText="1"/>
    </xf>
    <xf borderId="12" fillId="0" fontId="19" numFmtId="0" xfId="0" applyAlignment="1" applyBorder="1" applyFont="1">
      <alignment readingOrder="0"/>
    </xf>
    <xf borderId="2" fillId="6" fontId="6" numFmtId="0" xfId="0" applyBorder="1" applyFont="1"/>
    <xf borderId="1" fillId="2" fontId="6" numFmtId="0" xfId="0" applyAlignment="1" applyBorder="1" applyFont="1">
      <alignment readingOrder="0" shrinkToFit="0" wrapText="1"/>
    </xf>
    <xf borderId="12" fillId="0" fontId="19" numFmtId="164" xfId="0" applyAlignment="1" applyBorder="1" applyFont="1" applyNumberFormat="1">
      <alignment readingOrder="0"/>
    </xf>
    <xf borderId="13" fillId="2" fontId="8" numFmtId="0" xfId="0" applyBorder="1" applyFont="1"/>
    <xf borderId="3" fillId="6" fontId="6" numFmtId="0" xfId="0" applyBorder="1" applyFont="1"/>
    <xf borderId="14" fillId="0" fontId="19" numFmtId="0" xfId="0" applyAlignment="1" applyBorder="1" applyFont="1">
      <alignment readingOrder="0"/>
    </xf>
    <xf borderId="15" fillId="2" fontId="6" numFmtId="0" xfId="0" applyAlignment="1" applyBorder="1" applyFont="1">
      <alignment readingOrder="0" shrinkToFit="0" wrapText="0"/>
    </xf>
    <xf borderId="8" fillId="7" fontId="19" numFmtId="0" xfId="0" applyAlignment="1" applyBorder="1" applyFill="1" applyFont="1">
      <alignment readingOrder="0"/>
    </xf>
    <xf borderId="12" fillId="0" fontId="19" numFmtId="164" xfId="0" applyBorder="1" applyFont="1" applyNumberFormat="1"/>
    <xf borderId="9" fillId="7" fontId="21" numFmtId="0" xfId="0" applyAlignment="1" applyBorder="1" applyFont="1">
      <alignment readingOrder="0" shrinkToFit="0" wrapText="0"/>
    </xf>
    <xf borderId="12" fillId="0" fontId="19" numFmtId="0" xfId="0" applyBorder="1" applyFont="1"/>
    <xf borderId="9" fillId="7" fontId="19" numFmtId="0" xfId="0" applyAlignment="1" applyBorder="1" applyFont="1">
      <alignment readingOrder="0"/>
    </xf>
    <xf borderId="15" fillId="2" fontId="3" numFmtId="0" xfId="0" applyAlignment="1" applyBorder="1" applyFont="1">
      <alignment readingOrder="0" shrinkToFit="0" wrapText="1"/>
    </xf>
    <xf borderId="14" fillId="0" fontId="19" numFmtId="0" xfId="0" applyBorder="1" applyFont="1"/>
    <xf borderId="10" fillId="7" fontId="19" numFmtId="0" xfId="0" applyAlignment="1" applyBorder="1" applyFont="1">
      <alignment readingOrder="0"/>
    </xf>
    <xf borderId="15" fillId="2" fontId="8" numFmtId="0" xfId="0" applyAlignment="1" applyBorder="1" applyFont="1">
      <alignment shrinkToFit="0" wrapText="1"/>
    </xf>
    <xf borderId="16" fillId="3" fontId="22" numFmtId="0" xfId="0" applyAlignment="1" applyBorder="1" applyFont="1">
      <alignment horizontal="left" readingOrder="0"/>
    </xf>
    <xf borderId="15" fillId="2" fontId="3" numFmtId="0" xfId="0" applyAlignment="1" applyBorder="1" applyFont="1">
      <alignment shrinkToFit="0" wrapText="1"/>
    </xf>
    <xf borderId="17" fillId="3" fontId="12" numFmtId="0" xfId="0" applyAlignment="1" applyBorder="1" applyFont="1">
      <alignment horizontal="left" readingOrder="0"/>
    </xf>
    <xf borderId="18" fillId="2" fontId="3" numFmtId="0" xfId="0" applyAlignment="1" applyBorder="1" applyFont="1">
      <alignment shrinkToFit="0" wrapText="1"/>
    </xf>
    <xf borderId="19" fillId="3" fontId="12" numFmtId="0" xfId="0" applyAlignment="1" applyBorder="1" applyFont="1">
      <alignment horizontal="center" readingOrder="0"/>
    </xf>
    <xf borderId="0" fillId="0" fontId="10" numFmtId="0" xfId="0" applyFont="1"/>
    <xf borderId="20" fillId="3" fontId="12" numFmtId="0" xfId="0" applyAlignment="1" applyBorder="1" applyFont="1">
      <alignment horizontal="center" readingOrder="0"/>
    </xf>
    <xf borderId="21" fillId="3" fontId="22" numFmtId="0" xfId="0" applyAlignment="1" applyBorder="1" applyFont="1">
      <alignment horizontal="left" readingOrder="0"/>
    </xf>
    <xf borderId="22" fillId="3" fontId="12" numFmtId="0" xfId="0" applyAlignment="1" applyBorder="1" applyFont="1">
      <alignment horizontal="left" readingOrder="0"/>
    </xf>
    <xf borderId="1" fillId="2" fontId="6" numFmtId="0" xfId="0" applyAlignment="1" applyBorder="1" applyFont="1">
      <alignment vertical="bottom"/>
    </xf>
    <xf borderId="22" fillId="3" fontId="12" numFmtId="0" xfId="0" applyAlignment="1" applyBorder="1" applyFont="1">
      <alignment horizontal="center" readingOrder="0"/>
    </xf>
    <xf borderId="2" fillId="2" fontId="8" numFmtId="0" xfId="0" applyBorder="1" applyFont="1"/>
    <xf borderId="23" fillId="3" fontId="12" numFmtId="0" xfId="0" applyAlignment="1" applyBorder="1" applyFont="1">
      <alignment horizontal="center" readingOrder="0"/>
    </xf>
    <xf borderId="3" fillId="2" fontId="8" numFmtId="0" xfId="0" applyBorder="1" applyFont="1"/>
    <xf borderId="24" fillId="3" fontId="12" numFmtId="0" xfId="0" applyAlignment="1" applyBorder="1" applyFont="1">
      <alignment horizontal="center" readingOrder="0"/>
    </xf>
    <xf borderId="0" fillId="3" fontId="6" numFmtId="0" xfId="0" applyAlignment="1" applyFont="1">
      <alignment shrinkToFit="0" vertical="bottom" wrapText="0"/>
    </xf>
    <xf borderId="25" fillId="0" fontId="19" numFmtId="0" xfId="0" applyAlignment="1" applyBorder="1" applyFont="1">
      <alignment readingOrder="0"/>
    </xf>
    <xf borderId="8" fillId="3" fontId="13" numFmtId="0" xfId="0" applyAlignment="1" applyBorder="1" applyFont="1">
      <alignment readingOrder="0" shrinkToFit="0" wrapText="1"/>
    </xf>
    <xf borderId="26" fillId="0" fontId="19" numFmtId="0" xfId="0" applyAlignment="1" applyBorder="1" applyFont="1">
      <alignment readingOrder="0"/>
    </xf>
    <xf borderId="9" fillId="3" fontId="12" numFmtId="0" xfId="0" applyAlignment="1" applyBorder="1" applyFont="1">
      <alignment readingOrder="0" shrinkToFit="0" wrapText="1"/>
    </xf>
    <xf borderId="26" fillId="0" fontId="19" numFmtId="164" xfId="0" applyBorder="1" applyFont="1" applyNumberFormat="1"/>
    <xf borderId="27" fillId="3" fontId="22" numFmtId="0" xfId="0" applyAlignment="1" applyBorder="1" applyFont="1">
      <alignment horizontal="left" readingOrder="0"/>
    </xf>
    <xf borderId="26" fillId="0" fontId="19" numFmtId="0" xfId="0" applyBorder="1" applyFont="1"/>
    <xf borderId="28" fillId="3" fontId="12" numFmtId="0" xfId="0" applyAlignment="1" applyBorder="1" applyFont="1">
      <alignment horizontal="left" readingOrder="0"/>
    </xf>
    <xf borderId="10" fillId="3" fontId="12" numFmtId="0" xfId="0" applyAlignment="1" applyBorder="1" applyFont="1">
      <alignment readingOrder="0" shrinkToFit="0" wrapText="1"/>
    </xf>
    <xf borderId="28" fillId="3" fontId="12" numFmtId="0" xfId="0" applyAlignment="1" applyBorder="1" applyFont="1">
      <alignment horizontal="center" readingOrder="0"/>
    </xf>
    <xf borderId="0" fillId="0" fontId="9" numFmtId="0" xfId="0" applyAlignment="1" applyFont="1">
      <alignment readingOrder="0" shrinkToFit="0" wrapText="1"/>
    </xf>
    <xf borderId="29" fillId="0" fontId="19" numFmtId="0" xfId="0" applyBorder="1" applyFont="1"/>
    <xf borderId="7" fillId="3" fontId="19" numFmtId="0" xfId="0" applyAlignment="1" applyBorder="1" applyFont="1">
      <alignment readingOrder="0"/>
    </xf>
    <xf borderId="30" fillId="3" fontId="12" numFmtId="0" xfId="0" applyAlignment="1" applyBorder="1" applyFont="1">
      <alignment horizontal="center" readingOrder="0"/>
    </xf>
    <xf borderId="0" fillId="0" fontId="19" numFmtId="0" xfId="0" applyAlignment="1" applyFont="1">
      <alignment readingOrder="0"/>
    </xf>
    <xf borderId="31" fillId="3" fontId="12" numFmtId="0" xfId="0" applyAlignment="1" applyBorder="1" applyFont="1">
      <alignment horizontal="center" readingOrder="0"/>
    </xf>
    <xf borderId="32" fillId="3" fontId="19" numFmtId="0" xfId="0" applyAlignment="1" applyBorder="1" applyFont="1">
      <alignment vertical="bottom"/>
    </xf>
    <xf borderId="33" fillId="8" fontId="19" numFmtId="0" xfId="0" applyAlignment="1" applyBorder="1" applyFill="1" applyFont="1">
      <alignment readingOrder="0"/>
    </xf>
    <xf borderId="0" fillId="0" fontId="19" numFmtId="164" xfId="0" applyFont="1" applyNumberFormat="1"/>
    <xf borderId="34" fillId="8" fontId="21" numFmtId="0" xfId="0" applyAlignment="1" applyBorder="1" applyFont="1">
      <alignment readingOrder="0" shrinkToFit="0" wrapText="0"/>
    </xf>
    <xf borderId="0" fillId="0" fontId="19" numFmtId="0" xfId="0" applyFont="1"/>
    <xf borderId="34" fillId="8" fontId="19" numFmtId="0" xfId="0" applyAlignment="1" applyBorder="1" applyFont="1">
      <alignment readingOrder="0"/>
    </xf>
    <xf borderId="35" fillId="3" fontId="19" numFmtId="164" xfId="0" applyAlignment="1" applyBorder="1" applyFont="1" applyNumberFormat="1">
      <alignment vertical="bottom"/>
    </xf>
    <xf borderId="34" fillId="8" fontId="19" numFmtId="0" xfId="0" applyBorder="1" applyFont="1"/>
    <xf borderId="0" fillId="3" fontId="7" numFmtId="0" xfId="0" applyAlignment="1" applyFont="1">
      <alignment shrinkToFit="0" vertical="bottom" wrapText="0"/>
    </xf>
    <xf borderId="36" fillId="0" fontId="6" numFmtId="0" xfId="0" applyAlignment="1" applyBorder="1" applyFont="1">
      <alignment readingOrder="0"/>
    </xf>
    <xf borderId="11" fillId="9" fontId="23" numFmtId="0" xfId="0" applyAlignment="1" applyBorder="1" applyFill="1" applyFont="1">
      <alignment readingOrder="0" shrinkToFit="0" wrapText="1"/>
    </xf>
    <xf borderId="13" fillId="0" fontId="7" numFmtId="0" xfId="0" applyBorder="1" applyFont="1"/>
    <xf borderId="12" fillId="9" fontId="21" numFmtId="0" xfId="0" applyAlignment="1" applyBorder="1" applyFont="1">
      <alignment readingOrder="0" shrinkToFit="0" wrapText="1"/>
    </xf>
    <xf borderId="8" fillId="0" fontId="24" numFmtId="0" xfId="0" applyAlignment="1" applyBorder="1" applyFont="1">
      <alignment shrinkToFit="0" wrapText="1"/>
    </xf>
    <xf borderId="37" fillId="8" fontId="19" numFmtId="0" xfId="0" applyBorder="1" applyFont="1"/>
    <xf borderId="12" fillId="9" fontId="19" numFmtId="0" xfId="0" applyAlignment="1" applyBorder="1" applyFont="1">
      <alignment readingOrder="0" shrinkToFit="0" wrapText="1"/>
    </xf>
    <xf borderId="38" fillId="7" fontId="19" numFmtId="0" xfId="0" applyAlignment="1" applyBorder="1" applyFont="1">
      <alignment readingOrder="0"/>
    </xf>
    <xf borderId="39" fillId="7" fontId="19" numFmtId="0" xfId="0" applyAlignment="1" applyBorder="1" applyFont="1">
      <alignment readingOrder="0"/>
    </xf>
    <xf borderId="40" fillId="7" fontId="19" numFmtId="0" xfId="0" applyAlignment="1" applyBorder="1" applyFont="1">
      <alignment readingOrder="0"/>
    </xf>
    <xf borderId="41" fillId="7" fontId="19" numFmtId="0" xfId="0" applyAlignment="1" applyBorder="1" applyFont="1">
      <alignment readingOrder="0"/>
    </xf>
    <xf borderId="42" fillId="8" fontId="19" numFmtId="0" xfId="0" applyAlignment="1" applyBorder="1" applyFont="1">
      <alignment readingOrder="0"/>
    </xf>
    <xf borderId="12" fillId="9" fontId="23" numFmtId="0" xfId="0" applyAlignment="1" applyBorder="1" applyFont="1">
      <alignment shrinkToFit="0" wrapText="1"/>
    </xf>
    <xf borderId="39" fillId="8" fontId="19" numFmtId="0" xfId="0" applyAlignment="1" applyBorder="1" applyFont="1">
      <alignment vertical="bottom"/>
    </xf>
    <xf borderId="43" fillId="8" fontId="19" numFmtId="0" xfId="0" applyAlignment="1" applyBorder="1" applyFont="1">
      <alignment vertical="bottom"/>
    </xf>
    <xf borderId="12" fillId="9" fontId="19" numFmtId="0" xfId="0" applyAlignment="1" applyBorder="1" applyFont="1">
      <alignment shrinkToFit="0" wrapText="1"/>
    </xf>
    <xf borderId="0" fillId="8" fontId="19" numFmtId="0" xfId="0" applyAlignment="1" applyFont="1">
      <alignment vertical="bottom"/>
    </xf>
    <xf borderId="44" fillId="8" fontId="19" numFmtId="0" xfId="0" applyAlignment="1" applyBorder="1" applyFont="1">
      <alignment vertical="bottom"/>
    </xf>
    <xf borderId="45" fillId="10" fontId="19" numFmtId="0" xfId="0" applyAlignment="1" applyBorder="1" applyFill="1" applyFont="1">
      <alignment readingOrder="0"/>
    </xf>
    <xf borderId="39" fillId="10" fontId="19" numFmtId="0" xfId="0" applyAlignment="1" applyBorder="1" applyFont="1">
      <alignment vertical="bottom"/>
    </xf>
    <xf borderId="14" fillId="9" fontId="19" numFmtId="0" xfId="0" applyAlignment="1" applyBorder="1" applyFont="1">
      <alignment shrinkToFit="0" wrapText="1"/>
    </xf>
    <xf borderId="46" fillId="10" fontId="19" numFmtId="0" xfId="0" applyAlignment="1" applyBorder="1" applyFont="1">
      <alignment vertical="bottom"/>
    </xf>
    <xf borderId="0" fillId="0" fontId="7" numFmtId="0" xfId="0" applyAlignment="1" applyFont="1">
      <alignment shrinkToFit="0" wrapText="1"/>
    </xf>
    <xf borderId="0" fillId="10" fontId="19" numFmtId="0" xfId="0" applyAlignment="1" applyFont="1">
      <alignment vertical="bottom"/>
    </xf>
    <xf borderId="47" fillId="0" fontId="19" numFmtId="164" xfId="0" applyBorder="1" applyFont="1" applyNumberFormat="1"/>
    <xf borderId="48" fillId="9" fontId="21" numFmtId="0" xfId="0" applyAlignment="1" applyBorder="1" applyFont="1">
      <alignment readingOrder="0"/>
    </xf>
    <xf borderId="49" fillId="10" fontId="19" numFmtId="0" xfId="0" applyAlignment="1" applyBorder="1" applyFont="1">
      <alignment vertical="bottom"/>
    </xf>
    <xf borderId="50" fillId="9" fontId="19" numFmtId="0" xfId="0" applyAlignment="1" applyBorder="1" applyFont="1">
      <alignment vertical="bottom"/>
    </xf>
    <xf borderId="33" fillId="10" fontId="19" numFmtId="0" xfId="0" applyAlignment="1" applyBorder="1" applyFont="1">
      <alignment readingOrder="0"/>
    </xf>
    <xf borderId="34" fillId="10" fontId="21" numFmtId="0" xfId="0" applyAlignment="1" applyBorder="1" applyFont="1">
      <alignment readingOrder="0" shrinkToFit="0" wrapText="0"/>
    </xf>
    <xf borderId="34" fillId="10" fontId="19" numFmtId="0" xfId="0" applyAlignment="1" applyBorder="1" applyFont="1">
      <alignment readingOrder="0"/>
    </xf>
    <xf borderId="34" fillId="10" fontId="19" numFmtId="0" xfId="0" applyBorder="1" applyFont="1"/>
    <xf borderId="37" fillId="10" fontId="19" numFmtId="0" xfId="0" applyBorder="1" applyFont="1"/>
    <xf borderId="38" fillId="3" fontId="19" numFmtId="0" xfId="0" applyAlignment="1" applyBorder="1" applyFont="1">
      <alignment readingOrder="0"/>
    </xf>
    <xf borderId="39" fillId="3" fontId="19" numFmtId="0" xfId="0" applyAlignment="1" applyBorder="1" applyFont="1">
      <alignment readingOrder="0"/>
    </xf>
    <xf borderId="40" fillId="3" fontId="19" numFmtId="0" xfId="0" applyAlignment="1" applyBorder="1" applyFont="1">
      <alignment readingOrder="0"/>
    </xf>
    <xf borderId="20" fillId="3" fontId="19" numFmtId="0" xfId="0" applyAlignment="1" applyBorder="1" applyFont="1">
      <alignment readingOrder="0"/>
    </xf>
    <xf borderId="42" fillId="3" fontId="19" numFmtId="0" xfId="0" applyAlignment="1" applyBorder="1" applyFont="1">
      <alignment readingOrder="0"/>
    </xf>
    <xf borderId="51" fillId="3" fontId="19" numFmtId="0" xfId="0" applyBorder="1" applyFont="1"/>
    <xf borderId="52" fillId="3" fontId="19" numFmtId="0" xfId="0" applyBorder="1" applyFont="1"/>
    <xf borderId="44" fillId="3" fontId="19" numFmtId="0" xfId="0" applyBorder="1" applyFont="1"/>
    <xf borderId="45" fillId="3" fontId="19" numFmtId="0" xfId="0" applyAlignment="1" applyBorder="1" applyFont="1">
      <alignment readingOrder="0"/>
    </xf>
    <xf borderId="53" fillId="3" fontId="19" numFmtId="0" xfId="0" applyBorder="1" applyFont="1"/>
    <xf borderId="54" fillId="3" fontId="19" numFmtId="0" xfId="0" applyBorder="1" applyFont="1"/>
    <xf borderId="49" fillId="3" fontId="19" numFmtId="0" xfId="0" applyBorder="1" applyFont="1"/>
    <xf borderId="33" fillId="11" fontId="19" numFmtId="0" xfId="0" applyAlignment="1" applyBorder="1" applyFill="1" applyFont="1">
      <alignment readingOrder="0"/>
    </xf>
    <xf borderId="34" fillId="11" fontId="21" numFmtId="0" xfId="0" applyAlignment="1" applyBorder="1" applyFont="1">
      <alignment readingOrder="0" shrinkToFit="0" wrapText="0"/>
    </xf>
    <xf borderId="34" fillId="11" fontId="19" numFmtId="0" xfId="0" applyAlignment="1" applyBorder="1" applyFont="1">
      <alignment readingOrder="0"/>
    </xf>
    <xf borderId="34" fillId="11" fontId="19" numFmtId="0" xfId="0" applyBorder="1" applyFont="1"/>
    <xf borderId="37" fillId="11" fontId="19" numFmtId="0" xfId="0" applyBorder="1" applyFont="1"/>
    <xf borderId="20" fillId="7" fontId="19" numFmtId="0" xfId="0" applyAlignment="1" applyBorder="1" applyFont="1">
      <alignment readingOrder="0"/>
    </xf>
    <xf borderId="51" fillId="8" fontId="19" numFmtId="0" xfId="0" applyBorder="1" applyFont="1"/>
    <xf borderId="52" fillId="8" fontId="19" numFmtId="0" xfId="0" applyBorder="1" applyFont="1"/>
    <xf borderId="55" fillId="9" fontId="21" numFmtId="164" xfId="0" applyAlignment="1" applyBorder="1" applyFont="1" applyNumberFormat="1">
      <alignment vertical="bottom"/>
    </xf>
    <xf borderId="44" fillId="8" fontId="19" numFmtId="0" xfId="0" applyBorder="1" applyFont="1"/>
    <xf borderId="0" fillId="3" fontId="9" numFmtId="0" xfId="0" applyAlignment="1" applyFont="1">
      <alignment shrinkToFit="0" vertical="bottom" wrapText="0"/>
    </xf>
    <xf borderId="53" fillId="10" fontId="19" numFmtId="0" xfId="0" applyBorder="1" applyFont="1"/>
    <xf borderId="11" fillId="3" fontId="23" numFmtId="0" xfId="0" applyAlignment="1" applyBorder="1" applyFont="1">
      <alignment readingOrder="0" shrinkToFit="0" wrapText="1"/>
    </xf>
    <xf borderId="54" fillId="10" fontId="19" numFmtId="0" xfId="0" applyBorder="1" applyFont="1"/>
    <xf borderId="12" fillId="3" fontId="21" numFmtId="0" xfId="0" applyAlignment="1" applyBorder="1" applyFont="1">
      <alignment readingOrder="0" shrinkToFit="0" wrapText="1"/>
    </xf>
    <xf borderId="49" fillId="10" fontId="19" numFmtId="0" xfId="0" applyBorder="1" applyFont="1"/>
    <xf borderId="33" fillId="12" fontId="19" numFmtId="0" xfId="0" applyAlignment="1" applyBorder="1" applyFill="1" applyFont="1">
      <alignment readingOrder="0"/>
    </xf>
    <xf borderId="12" fillId="3" fontId="19" numFmtId="0" xfId="0" applyAlignment="1" applyBorder="1" applyFont="1">
      <alignment readingOrder="0" shrinkToFit="0" wrapText="1"/>
    </xf>
    <xf borderId="0" fillId="3" fontId="25" numFmtId="0" xfId="0" applyAlignment="1" applyFont="1">
      <alignment shrinkToFit="0" wrapText="0"/>
    </xf>
    <xf borderId="34" fillId="12" fontId="21" numFmtId="0" xfId="0" applyAlignment="1" applyBorder="1" applyFont="1">
      <alignment readingOrder="0" shrinkToFit="0" wrapText="0"/>
    </xf>
    <xf borderId="0" fillId="3" fontId="5" numFmtId="0" xfId="0" applyAlignment="1" applyFont="1">
      <alignment readingOrder="0"/>
    </xf>
    <xf borderId="34" fillId="12" fontId="19" numFmtId="0" xfId="0" applyAlignment="1" applyBorder="1" applyFont="1">
      <alignment readingOrder="0"/>
    </xf>
    <xf borderId="0" fillId="0" fontId="18" numFmtId="0" xfId="0" applyAlignment="1" applyFont="1">
      <alignment readingOrder="0"/>
    </xf>
    <xf borderId="34" fillId="12" fontId="19" numFmtId="0" xfId="0" applyBorder="1" applyFont="1"/>
    <xf borderId="0" fillId="0" fontId="18" numFmtId="0" xfId="0" applyFont="1"/>
    <xf borderId="37" fillId="12" fontId="19" numFmtId="0" xfId="0" applyBorder="1" applyFont="1"/>
    <xf borderId="14" fillId="3" fontId="19" numFmtId="0" xfId="0" applyAlignment="1" applyBorder="1" applyFont="1">
      <alignment readingOrder="0" shrinkToFit="0" wrapText="1"/>
    </xf>
    <xf borderId="0" fillId="3" fontId="26" numFmtId="0" xfId="0" applyAlignment="1" applyFont="1">
      <alignment readingOrder="0"/>
    </xf>
    <xf borderId="0" fillId="0" fontId="7" numFmtId="0" xfId="0" applyAlignment="1" applyFont="1">
      <alignment readingOrder="0" shrinkToFit="0" wrapText="1"/>
    </xf>
    <xf borderId="0" fillId="0" fontId="18" numFmtId="0" xfId="0" applyAlignment="1" applyFont="1">
      <alignment readingOrder="0"/>
    </xf>
    <xf borderId="0" fillId="3" fontId="10" numFmtId="0" xfId="0" applyAlignment="1" applyFont="1">
      <alignment shrinkToFit="0" wrapText="0"/>
    </xf>
    <xf borderId="33" fillId="13" fontId="19" numFmtId="0" xfId="0" applyAlignment="1" applyBorder="1" applyFill="1" applyFont="1">
      <alignment readingOrder="0"/>
    </xf>
    <xf borderId="34" fillId="13" fontId="21" numFmtId="0" xfId="0" applyAlignment="1" applyBorder="1" applyFont="1">
      <alignment readingOrder="0" shrinkToFit="0" wrapText="0"/>
    </xf>
    <xf borderId="34" fillId="13" fontId="19" numFmtId="0" xfId="0" applyAlignment="1" applyBorder="1" applyFont="1">
      <alignment readingOrder="0"/>
    </xf>
    <xf borderId="1" fillId="4" fontId="6" numFmtId="0" xfId="0" applyAlignment="1" applyBorder="1" applyFont="1">
      <alignment readingOrder="0" shrinkToFit="0" wrapText="1"/>
    </xf>
    <xf borderId="34" fillId="13" fontId="19" numFmtId="0" xfId="0" applyBorder="1" applyFont="1"/>
    <xf borderId="3" fillId="4" fontId="8" numFmtId="0" xfId="0" applyBorder="1" applyFont="1"/>
    <xf borderId="37" fillId="13" fontId="19" numFmtId="0" xfId="0" applyBorder="1" applyFont="1"/>
    <xf borderId="0" fillId="0" fontId="6" numFmtId="0" xfId="0" applyAlignment="1" applyFont="1">
      <alignment horizontal="center" readingOrder="0" shrinkToFit="0" vertical="center" wrapText="1"/>
    </xf>
    <xf borderId="56" fillId="0" fontId="6" numFmtId="0" xfId="0" applyAlignment="1" applyBorder="1" applyFont="1">
      <alignment readingOrder="0" shrinkToFit="0" wrapText="1"/>
    </xf>
    <xf borderId="57" fillId="0" fontId="27" numFmtId="0" xfId="0" applyAlignment="1" applyBorder="1" applyFont="1">
      <alignment readingOrder="0" shrinkToFit="0" wrapText="1"/>
    </xf>
    <xf borderId="33" fillId="14" fontId="19" numFmtId="0" xfId="0" applyAlignment="1" applyBorder="1" applyFill="1" applyFont="1">
      <alignment readingOrder="0"/>
    </xf>
    <xf borderId="0" fillId="0" fontId="27" numFmtId="0" xfId="0" applyAlignment="1" applyFont="1">
      <alignment horizontal="center" readingOrder="0" shrinkToFit="0" wrapText="1"/>
    </xf>
    <xf borderId="34" fillId="14" fontId="21" numFmtId="0" xfId="0" applyAlignment="1" applyBorder="1" applyFont="1">
      <alignment readingOrder="0" shrinkToFit="0" wrapText="0"/>
    </xf>
    <xf borderId="34" fillId="14" fontId="19" numFmtId="0" xfId="0" applyAlignment="1" applyBorder="1" applyFont="1">
      <alignment readingOrder="0"/>
    </xf>
    <xf borderId="34" fillId="14" fontId="19" numFmtId="0" xfId="0" applyBorder="1" applyFont="1"/>
    <xf borderId="0" fillId="0" fontId="10" numFmtId="0" xfId="0" applyAlignment="1" applyFont="1">
      <alignment shrinkToFit="0" wrapText="0"/>
    </xf>
    <xf borderId="0" fillId="3" fontId="28" numFmtId="0" xfId="0" applyAlignment="1" applyFont="1">
      <alignment readingOrder="0" shrinkToFit="0" wrapText="1"/>
    </xf>
    <xf borderId="37" fillId="14" fontId="19" numFmtId="0" xfId="0" applyBorder="1" applyFont="1"/>
    <xf borderId="7" fillId="3" fontId="23" numFmtId="0" xfId="0" applyAlignment="1" applyBorder="1" applyFont="1">
      <alignment readingOrder="0" shrinkToFit="0" wrapText="1"/>
    </xf>
    <xf borderId="12" fillId="3" fontId="19" numFmtId="0" xfId="0" applyAlignment="1" applyBorder="1" applyFont="1">
      <alignment shrinkToFit="0" wrapText="1"/>
    </xf>
    <xf borderId="58" fillId="3" fontId="8" numFmtId="0" xfId="0" applyBorder="1" applyFont="1"/>
    <xf borderId="20" fillId="3" fontId="29" numFmtId="164" xfId="0" applyAlignment="1" applyBorder="1" applyFont="1" applyNumberFormat="1">
      <alignment readingOrder="0" shrinkToFit="0" wrapText="1"/>
    </xf>
    <xf borderId="14" fillId="3" fontId="19" numFmtId="0" xfId="0" applyAlignment="1" applyBorder="1" applyFont="1">
      <alignment shrinkToFit="0" wrapText="1"/>
    </xf>
    <xf borderId="38" fillId="0" fontId="29" numFmtId="0" xfId="0" applyAlignment="1" applyBorder="1" applyFont="1">
      <alignment readingOrder="0" shrinkToFit="0" wrapText="1"/>
    </xf>
    <xf borderId="33" fillId="15" fontId="19" numFmtId="0" xfId="0" applyAlignment="1" applyBorder="1" applyFill="1" applyFont="1">
      <alignment readingOrder="0"/>
    </xf>
    <xf borderId="20" fillId="0" fontId="29" numFmtId="0" xfId="0" applyAlignment="1" applyBorder="1" applyFont="1">
      <alignment readingOrder="0" shrinkToFit="0" wrapText="1"/>
    </xf>
    <xf borderId="25" fillId="9" fontId="23" numFmtId="0" xfId="0" applyAlignment="1" applyBorder="1" applyFont="1">
      <alignment readingOrder="0" shrinkToFit="0" wrapText="1"/>
    </xf>
    <xf borderId="7" fillId="3" fontId="29" numFmtId="0" xfId="0" applyAlignment="1" applyBorder="1" applyFont="1">
      <alignment readingOrder="0" shrinkToFit="0" wrapText="1"/>
    </xf>
    <xf borderId="26" fillId="9" fontId="21" numFmtId="0" xfId="0" applyAlignment="1" applyBorder="1" applyFont="1">
      <alignment readingOrder="0" shrinkToFit="0" wrapText="1"/>
    </xf>
    <xf borderId="34" fillId="15" fontId="21" numFmtId="0" xfId="0" applyAlignment="1" applyBorder="1" applyFont="1">
      <alignment readingOrder="0" shrinkToFit="0" wrapText="0"/>
    </xf>
    <xf borderId="26" fillId="9" fontId="19" numFmtId="0" xfId="0" applyAlignment="1" applyBorder="1" applyFont="1">
      <alignment readingOrder="0" shrinkToFit="0" wrapText="1"/>
    </xf>
    <xf borderId="0" fillId="0" fontId="7" numFmtId="0" xfId="0" applyAlignment="1" applyFont="1">
      <alignment shrinkToFit="0" wrapText="0"/>
    </xf>
    <xf borderId="34" fillId="15" fontId="19" numFmtId="0" xfId="0" applyAlignment="1" applyBorder="1" applyFont="1">
      <alignment readingOrder="0"/>
    </xf>
    <xf borderId="7" fillId="7" fontId="23" numFmtId="0" xfId="0" applyAlignment="1" applyBorder="1" applyFont="1">
      <alignment readingOrder="0" shrinkToFit="0" wrapText="1"/>
    </xf>
    <xf borderId="58" fillId="7" fontId="8" numFmtId="0" xfId="0" applyBorder="1" applyFont="1"/>
    <xf borderId="37" fillId="15" fontId="19" numFmtId="0" xfId="0" applyAlignment="1" applyBorder="1" applyFont="1">
      <alignment readingOrder="0"/>
    </xf>
    <xf borderId="20" fillId="7" fontId="29" numFmtId="164" xfId="0" applyAlignment="1" applyBorder="1" applyFont="1" applyNumberFormat="1">
      <alignment readingOrder="0" shrinkToFit="0" wrapText="1"/>
    </xf>
    <xf borderId="38" fillId="0" fontId="29" numFmtId="0" xfId="0" applyAlignment="1" applyBorder="1" applyFont="1">
      <alignment readingOrder="0" shrinkToFit="0" wrapText="0"/>
    </xf>
    <xf borderId="26" fillId="9" fontId="19" numFmtId="0" xfId="0" applyAlignment="1" applyBorder="1" applyFont="1">
      <alignment shrinkToFit="0" wrapText="1"/>
    </xf>
    <xf borderId="59" fillId="16" fontId="19" numFmtId="0" xfId="0" applyAlignment="1" applyBorder="1" applyFill="1" applyFont="1">
      <alignment readingOrder="0"/>
    </xf>
    <xf borderId="60" fillId="16" fontId="21" numFmtId="0" xfId="0" applyAlignment="1" applyBorder="1" applyFont="1">
      <alignment readingOrder="0" shrinkToFit="0" wrapText="0"/>
    </xf>
    <xf borderId="7" fillId="7" fontId="29" numFmtId="0" xfId="0" applyAlignment="1" applyBorder="1" applyFont="1">
      <alignment readingOrder="0" shrinkToFit="0" wrapText="1"/>
    </xf>
    <xf borderId="29" fillId="9" fontId="19" numFmtId="0" xfId="0" applyAlignment="1" applyBorder="1" applyFont="1">
      <alignment shrinkToFit="0" wrapText="1"/>
    </xf>
    <xf borderId="60" fillId="16" fontId="19" numFmtId="0" xfId="0" applyAlignment="1" applyBorder="1" applyFont="1">
      <alignment readingOrder="0"/>
    </xf>
    <xf borderId="60" fillId="16" fontId="19" numFmtId="0" xfId="0" applyBorder="1" applyFont="1"/>
    <xf borderId="61" fillId="0" fontId="30" numFmtId="0" xfId="0" applyAlignment="1" applyBorder="1" applyFont="1">
      <alignment readingOrder="0" shrinkToFit="0" wrapText="1"/>
    </xf>
    <xf borderId="62" fillId="16" fontId="19" numFmtId="0" xfId="0" applyBorder="1" applyFont="1"/>
    <xf borderId="63" fillId="0" fontId="30" numFmtId="0" xfId="0" applyAlignment="1" applyBorder="1" applyFont="1">
      <alignment readingOrder="0" shrinkToFit="0" wrapText="1"/>
    </xf>
    <xf borderId="0" fillId="3" fontId="3" numFmtId="0" xfId="0" applyAlignment="1" applyFont="1">
      <alignment readingOrder="0"/>
    </xf>
    <xf borderId="0" fillId="3" fontId="7" numFmtId="0" xfId="0" applyAlignment="1" applyFont="1">
      <alignment readingOrder="0"/>
    </xf>
    <xf borderId="0" fillId="3" fontId="8" numFmtId="0" xfId="0" applyFont="1"/>
    <xf borderId="48" fillId="3" fontId="31" numFmtId="0" xfId="0" applyAlignment="1" applyBorder="1" applyFont="1">
      <alignment readingOrder="0" shrinkToFit="0" wrapText="1"/>
    </xf>
    <xf borderId="64" fillId="3" fontId="8" numFmtId="0" xfId="0" applyBorder="1" applyFont="1"/>
    <xf borderId="61" fillId="3" fontId="19" numFmtId="0" xfId="0" applyAlignment="1" applyBorder="1" applyFont="1">
      <alignment readingOrder="0"/>
    </xf>
    <xf borderId="65" fillId="3" fontId="19" numFmtId="0" xfId="0" applyAlignment="1" applyBorder="1" applyFont="1">
      <alignment readingOrder="0"/>
    </xf>
    <xf borderId="63" fillId="3" fontId="30" numFmtId="164" xfId="0" applyAlignment="1" applyBorder="1" applyFont="1" applyNumberFormat="1">
      <alignment readingOrder="0" shrinkToFit="0" wrapText="1"/>
    </xf>
    <xf borderId="66" fillId="3" fontId="19" numFmtId="0" xfId="0" applyAlignment="1" applyBorder="1" applyFont="1">
      <alignment readingOrder="0"/>
    </xf>
    <xf borderId="48" fillId="3" fontId="30" numFmtId="0" xfId="0" applyAlignment="1" applyBorder="1" applyFont="1">
      <alignment readingOrder="0" shrinkToFit="0" wrapText="1"/>
    </xf>
    <xf borderId="63" fillId="3" fontId="19" numFmtId="0" xfId="0" applyAlignment="1" applyBorder="1" applyFont="1">
      <alignment readingOrder="0"/>
    </xf>
    <xf borderId="67" fillId="3" fontId="19" numFmtId="0" xfId="0" applyAlignment="1" applyBorder="1" applyFont="1">
      <alignment readingOrder="0"/>
    </xf>
    <xf borderId="68" fillId="3" fontId="19" numFmtId="0" xfId="0" applyBorder="1" applyFont="1"/>
    <xf borderId="69" fillId="3" fontId="19" numFmtId="0" xfId="0" applyBorder="1" applyFont="1"/>
    <xf borderId="70" fillId="3" fontId="19" numFmtId="0" xfId="0" applyBorder="1" applyFont="1"/>
    <xf borderId="71" fillId="3" fontId="19" numFmtId="0" xfId="0" applyAlignment="1" applyBorder="1" applyFont="1">
      <alignment readingOrder="0"/>
    </xf>
    <xf borderId="72" fillId="3" fontId="19" numFmtId="0" xfId="0" applyBorder="1" applyFont="1"/>
    <xf borderId="73" fillId="3" fontId="19" numFmtId="0" xfId="0" applyBorder="1" applyFont="1"/>
    <xf borderId="74" fillId="3" fontId="19" numFmtId="0" xfId="0" applyBorder="1" applyFont="1"/>
    <xf borderId="0" fillId="3" fontId="18" numFmtId="0" xfId="0" applyAlignment="1" applyFont="1">
      <alignment readingOrder="0"/>
    </xf>
    <xf borderId="0" fillId="3" fontId="18" numFmtId="0" xfId="0" applyFont="1"/>
    <xf borderId="0" fillId="3" fontId="5" numFmtId="0" xfId="0" applyAlignment="1" applyFont="1">
      <alignment readingOrder="0"/>
    </xf>
    <xf borderId="63" fillId="3" fontId="30" numFmtId="164" xfId="0" applyAlignment="1" applyBorder="1" applyFont="1" applyNumberFormat="1">
      <alignment readingOrder="0" shrinkToFit="0" wrapText="1"/>
    </xf>
    <xf borderId="0" fillId="3" fontId="5" numFmtId="0" xfId="0" applyFont="1"/>
    <xf borderId="0" fillId="0" fontId="32" numFmtId="0" xfId="0" applyAlignment="1" applyFont="1">
      <alignment readingOrder="0" shrinkToFit="0" wrapText="1"/>
    </xf>
    <xf borderId="0" fillId="3" fontId="33" numFmtId="0" xfId="0" applyAlignment="1" applyFont="1">
      <alignment readingOrder="0"/>
    </xf>
    <xf borderId="0" fillId="0" fontId="34" numFmtId="0" xfId="0" applyAlignment="1" applyFont="1">
      <alignment readingOrder="0" shrinkToFit="0" wrapText="1"/>
    </xf>
    <xf borderId="0" fillId="0" fontId="27" numFmtId="0" xfId="0" applyAlignment="1" applyFont="1">
      <alignment readingOrder="0" shrinkToFit="0" wrapText="1"/>
    </xf>
    <xf borderId="0" fillId="0" fontId="35" numFmtId="0" xfId="0" applyAlignment="1" applyFont="1">
      <alignment shrinkToFit="0" wrapText="1"/>
    </xf>
    <xf borderId="0" fillId="0" fontId="8" numFmtId="0" xfId="0" applyAlignment="1" applyFont="1">
      <alignment readingOrder="0"/>
    </xf>
    <xf borderId="0" fillId="0" fontId="34" numFmtId="0" xfId="0" applyAlignment="1" applyFont="1">
      <alignment shrinkToFit="0" wrapText="1"/>
    </xf>
    <xf borderId="1" fillId="17" fontId="6" numFmtId="0" xfId="0" applyBorder="1" applyFill="1" applyFont="1"/>
    <xf borderId="75" fillId="4" fontId="8" numFmtId="0" xfId="0" applyBorder="1" applyFont="1"/>
    <xf borderId="2" fillId="17" fontId="8" numFmtId="0" xfId="0" applyBorder="1" applyFont="1"/>
    <xf borderId="0" fillId="3" fontId="36" numFmtId="0" xfId="0" applyAlignment="1" applyFont="1">
      <alignment readingOrder="0" shrinkToFit="0" wrapText="1"/>
    </xf>
    <xf borderId="76" fillId="4" fontId="6" numFmtId="0" xfId="0" applyAlignment="1" applyBorder="1" applyFont="1">
      <alignment readingOrder="0" shrinkToFit="0" wrapText="1"/>
    </xf>
    <xf borderId="0" fillId="3" fontId="3" numFmtId="0" xfId="0" applyAlignment="1" applyFont="1">
      <alignment readingOrder="0" shrinkToFit="0" wrapText="1"/>
    </xf>
    <xf borderId="76" fillId="4" fontId="3" numFmtId="0" xfId="0" applyAlignment="1" applyBorder="1" applyFont="1">
      <alignment readingOrder="0" shrinkToFit="0" wrapText="1"/>
    </xf>
    <xf borderId="0" fillId="3" fontId="3" numFmtId="0" xfId="0" applyAlignment="1" applyFont="1">
      <alignment shrinkToFit="0" wrapText="1"/>
    </xf>
    <xf borderId="2" fillId="17" fontId="6" numFmtId="0" xfId="0" applyBorder="1" applyFont="1"/>
    <xf borderId="76" fillId="4" fontId="8" numFmtId="0" xfId="0" applyAlignment="1" applyBorder="1" applyFont="1">
      <alignment shrinkToFit="0" wrapText="1"/>
    </xf>
    <xf borderId="0" fillId="3" fontId="7" numFmtId="0" xfId="0" applyAlignment="1" applyFont="1">
      <alignment shrinkToFit="0" wrapText="0"/>
    </xf>
    <xf borderId="76" fillId="4" fontId="3" numFmtId="0" xfId="0" applyAlignment="1" applyBorder="1" applyFont="1">
      <alignment shrinkToFit="0" wrapText="1"/>
    </xf>
    <xf borderId="0" fillId="3" fontId="9" numFmtId="0" xfId="0" applyAlignment="1" applyFont="1">
      <alignment readingOrder="0"/>
    </xf>
    <xf borderId="57" fillId="4" fontId="3" numFmtId="0" xfId="0" applyAlignment="1" applyBorder="1" applyFont="1">
      <alignment shrinkToFit="0" wrapText="1"/>
    </xf>
    <xf borderId="0" fillId="3" fontId="7" numFmtId="0" xfId="0" applyAlignment="1" applyFont="1">
      <alignment vertical="bottom"/>
    </xf>
    <xf borderId="16" fillId="3" fontId="13" numFmtId="0" xfId="0" applyAlignment="1" applyBorder="1" applyFont="1">
      <alignment readingOrder="0" shrinkToFit="0" wrapText="1"/>
    </xf>
    <xf borderId="0" fillId="3" fontId="9" numFmtId="0" xfId="0" applyAlignment="1" applyFont="1">
      <alignment vertical="bottom"/>
    </xf>
    <xf borderId="17" fillId="3" fontId="12" numFmtId="0" xfId="0" applyAlignment="1" applyBorder="1" applyFont="1">
      <alignment readingOrder="0" shrinkToFit="0" wrapText="1"/>
    </xf>
    <xf borderId="3" fillId="17" fontId="6" numFmtId="0" xfId="0" applyBorder="1" applyFont="1"/>
    <xf borderId="1" fillId="18" fontId="6" numFmtId="0" xfId="0" applyBorder="1" applyFill="1" applyFont="1"/>
    <xf borderId="77" fillId="3" fontId="12" numFmtId="0" xfId="0" applyAlignment="1" applyBorder="1" applyFont="1">
      <alignment readingOrder="0" shrinkToFit="0" wrapText="1"/>
    </xf>
    <xf borderId="2" fillId="18" fontId="8" numFmtId="0" xfId="0" applyBorder="1" applyFont="1"/>
    <xf borderId="42" fillId="7" fontId="23" numFmtId="0" xfId="0" applyAlignment="1" applyBorder="1" applyFont="1">
      <alignment readingOrder="0" shrinkToFit="0" wrapText="1"/>
    </xf>
    <xf borderId="2" fillId="18" fontId="6" numFmtId="0" xfId="0" applyBorder="1" applyFont="1"/>
    <xf borderId="3" fillId="18" fontId="6" numFmtId="0" xfId="0" applyBorder="1" applyFont="1"/>
    <xf borderId="39" fillId="7" fontId="21" numFmtId="0" xfId="0" applyAlignment="1" applyBorder="1" applyFont="1">
      <alignment readingOrder="0" shrinkToFit="0" wrapText="1"/>
    </xf>
    <xf borderId="1" fillId="19" fontId="6" numFmtId="0" xfId="0" applyBorder="1" applyFill="1" applyFont="1"/>
    <xf borderId="2" fillId="20" fontId="8" numFmtId="0" xfId="0" applyBorder="1" applyFill="1" applyFont="1"/>
    <xf borderId="39" fillId="7" fontId="19" numFmtId="0" xfId="0" applyAlignment="1" applyBorder="1" applyFont="1">
      <alignment readingOrder="0" shrinkToFit="0" wrapText="1"/>
    </xf>
    <xf borderId="2" fillId="19" fontId="6" numFmtId="0" xfId="0" applyBorder="1" applyFont="1"/>
    <xf borderId="3" fillId="19" fontId="6" numFmtId="0" xfId="0" applyBorder="1" applyFont="1"/>
    <xf borderId="78" fillId="3" fontId="22" numFmtId="0" xfId="0" applyAlignment="1" applyBorder="1" applyFont="1">
      <alignment horizontal="left" readingOrder="0"/>
    </xf>
    <xf borderId="79" fillId="3" fontId="12" numFmtId="0" xfId="0" applyAlignment="1" applyBorder="1" applyFont="1">
      <alignment horizontal="left" readingOrder="0"/>
    </xf>
    <xf borderId="79" fillId="3" fontId="12" numFmtId="0" xfId="0" applyAlignment="1" applyBorder="1" applyFont="1">
      <alignment horizontal="center" readingOrder="0"/>
    </xf>
    <xf borderId="39" fillId="7" fontId="23" numFmtId="0" xfId="0" applyAlignment="1" applyBorder="1" applyFont="1">
      <alignment shrinkToFit="0" wrapText="1"/>
    </xf>
    <xf borderId="80" fillId="3" fontId="12" numFmtId="0" xfId="0" applyAlignment="1" applyBorder="1" applyFont="1">
      <alignment horizontal="center" readingOrder="0"/>
    </xf>
    <xf borderId="81" fillId="3" fontId="12" numFmtId="0" xfId="0" applyAlignment="1" applyBorder="1" applyFont="1">
      <alignment horizontal="center" readingOrder="0"/>
    </xf>
    <xf borderId="39" fillId="7" fontId="19" numFmtId="0" xfId="0" applyAlignment="1" applyBorder="1" applyFont="1">
      <alignment shrinkToFit="0" wrapText="1"/>
    </xf>
    <xf borderId="82" fillId="3" fontId="22" numFmtId="0" xfId="0" applyAlignment="1" applyBorder="1" applyFont="1">
      <alignment horizontal="left" readingOrder="0"/>
    </xf>
    <xf borderId="83" fillId="3" fontId="12" numFmtId="0" xfId="0" applyAlignment="1" applyBorder="1" applyFont="1">
      <alignment horizontal="left" readingOrder="0"/>
    </xf>
    <xf borderId="84" fillId="3" fontId="12" numFmtId="0" xfId="0" applyAlignment="1" applyBorder="1" applyFont="1">
      <alignment horizontal="center" readingOrder="0"/>
    </xf>
    <xf borderId="85" fillId="3" fontId="12" numFmtId="0" xfId="0" applyAlignment="1" applyBorder="1" applyFont="1">
      <alignment horizontal="center" readingOrder="0"/>
    </xf>
    <xf borderId="20" fillId="7" fontId="19" numFmtId="0" xfId="0" applyAlignment="1" applyBorder="1" applyFont="1">
      <alignment shrinkToFit="0" wrapText="1"/>
    </xf>
    <xf borderId="86" fillId="3" fontId="12" numFmtId="0" xfId="0" applyAlignment="1" applyBorder="1" applyFont="1">
      <alignment horizontal="center" readingOrder="0"/>
    </xf>
    <xf borderId="42" fillId="3" fontId="23" numFmtId="0" xfId="0" applyAlignment="1" applyBorder="1" applyFont="1">
      <alignment readingOrder="0" shrinkToFit="0" wrapText="1"/>
    </xf>
    <xf borderId="87" fillId="3" fontId="12" numFmtId="0" xfId="0" applyAlignment="1" applyBorder="1" applyFont="1">
      <alignment horizontal="center" readingOrder="0"/>
    </xf>
    <xf borderId="39" fillId="3" fontId="21" numFmtId="0" xfId="0" applyAlignment="1" applyBorder="1" applyFont="1">
      <alignment readingOrder="0" shrinkToFit="0" wrapText="1"/>
    </xf>
    <xf borderId="88" fillId="3" fontId="22" numFmtId="0" xfId="0" applyAlignment="1" applyBorder="1" applyFont="1">
      <alignment horizontal="left" readingOrder="0"/>
    </xf>
    <xf borderId="39" fillId="3" fontId="19" numFmtId="0" xfId="0" applyAlignment="1" applyBorder="1" applyFont="1">
      <alignment readingOrder="0" shrinkToFit="0" wrapText="1"/>
    </xf>
    <xf borderId="89" fillId="3" fontId="12" numFmtId="0" xfId="0" applyAlignment="1" applyBorder="1" applyFont="1">
      <alignment horizontal="left" readingOrder="0"/>
    </xf>
    <xf borderId="90" fillId="3" fontId="12" numFmtId="0" xfId="0" applyAlignment="1" applyBorder="1" applyFont="1">
      <alignment horizontal="center" readingOrder="0"/>
    </xf>
    <xf borderId="91" fillId="3" fontId="12" numFmtId="0" xfId="0" applyAlignment="1" applyBorder="1" applyFont="1">
      <alignment horizontal="center" readingOrder="0"/>
    </xf>
    <xf borderId="92" fillId="3" fontId="12" numFmtId="0" xfId="0" applyAlignment="1" applyBorder="1" applyFont="1">
      <alignment horizontal="center" readingOrder="0"/>
    </xf>
    <xf borderId="93" fillId="3" fontId="12" numFmtId="0" xfId="0" applyAlignment="1" applyBorder="1" applyFont="1">
      <alignment horizontal="center" readingOrder="0"/>
    </xf>
    <xf borderId="94" fillId="11" fontId="19" numFmtId="0" xfId="0" applyAlignment="1" applyBorder="1" applyFont="1">
      <alignment readingOrder="0"/>
    </xf>
    <xf borderId="39" fillId="11" fontId="19" numFmtId="0" xfId="0" applyAlignment="1" applyBorder="1" applyFont="1">
      <alignment vertical="bottom"/>
    </xf>
    <xf borderId="95" fillId="11" fontId="19" numFmtId="0" xfId="0" applyAlignment="1" applyBorder="1" applyFont="1">
      <alignment vertical="bottom"/>
    </xf>
    <xf borderId="0" fillId="11" fontId="19" numFmtId="0" xfId="0" applyAlignment="1" applyFont="1">
      <alignment vertical="bottom"/>
    </xf>
    <xf borderId="96" fillId="11" fontId="19" numFmtId="0" xfId="0" applyAlignment="1" applyBorder="1" applyFont="1">
      <alignment vertical="bottom"/>
    </xf>
    <xf borderId="20" fillId="3" fontId="19" numFmtId="0" xfId="0" applyAlignment="1" applyBorder="1" applyFont="1">
      <alignment readingOrder="0" shrinkToFit="0" wrapText="1"/>
    </xf>
    <xf borderId="97" fillId="12" fontId="19" numFmtId="0" xfId="0" applyAlignment="1" applyBorder="1" applyFont="1">
      <alignment readingOrder="0"/>
    </xf>
    <xf borderId="0" fillId="12" fontId="19" numFmtId="0" xfId="0" applyAlignment="1" applyFont="1">
      <alignment readingOrder="0" vertical="bottom"/>
    </xf>
    <xf borderId="98" fillId="12" fontId="19" numFmtId="0" xfId="0" applyAlignment="1" applyBorder="1" applyFont="1">
      <alignment readingOrder="0" vertical="bottom"/>
    </xf>
    <xf borderId="99" fillId="12" fontId="19" numFmtId="0" xfId="0" applyAlignment="1" applyBorder="1" applyFont="1">
      <alignment readingOrder="0" vertical="bottom"/>
    </xf>
    <xf borderId="100" fillId="12" fontId="19" numFmtId="0" xfId="0" applyAlignment="1" applyBorder="1" applyFont="1">
      <alignment readingOrder="0" vertical="bottom"/>
    </xf>
    <xf borderId="101" fillId="13" fontId="19" numFmtId="0" xfId="0" applyAlignment="1" applyBorder="1" applyFont="1">
      <alignment readingOrder="0"/>
    </xf>
    <xf borderId="40" fillId="13" fontId="19" numFmtId="0" xfId="0" applyAlignment="1" applyBorder="1" applyFont="1">
      <alignment vertical="bottom"/>
    </xf>
    <xf borderId="102" fillId="13" fontId="19" numFmtId="0" xfId="0" applyAlignment="1" applyBorder="1" applyFont="1">
      <alignment vertical="bottom"/>
    </xf>
    <xf borderId="103" fillId="13" fontId="19" numFmtId="0" xfId="0" applyAlignment="1" applyBorder="1" applyFont="1">
      <alignment vertical="bottom"/>
    </xf>
    <xf borderId="104" fillId="13" fontId="19" numFmtId="0" xfId="0" applyAlignment="1" applyBorder="1" applyFont="1">
      <alignment vertical="bottom"/>
    </xf>
    <xf borderId="105" fillId="13" fontId="19" numFmtId="0" xfId="0" applyAlignment="1" applyBorder="1" applyFont="1">
      <alignment vertical="bottom"/>
    </xf>
    <xf borderId="94" fillId="3" fontId="19" numFmtId="0" xfId="0" applyAlignment="1" applyBorder="1" applyFont="1">
      <alignment readingOrder="0"/>
    </xf>
    <xf borderId="106" fillId="3" fontId="19" numFmtId="0" xfId="0" applyBorder="1" applyFont="1"/>
    <xf borderId="107" fillId="3" fontId="19" numFmtId="0" xfId="0" applyBorder="1" applyFont="1"/>
    <xf borderId="96" fillId="3" fontId="19" numFmtId="0" xfId="0" applyBorder="1" applyFont="1"/>
    <xf borderId="97" fillId="3" fontId="19" numFmtId="0" xfId="0" applyAlignment="1" applyBorder="1" applyFont="1">
      <alignment readingOrder="0"/>
    </xf>
    <xf borderId="0" fillId="3" fontId="19" numFmtId="0" xfId="0" applyAlignment="1" applyFont="1">
      <alignment readingOrder="0"/>
    </xf>
    <xf borderId="98" fillId="3" fontId="19" numFmtId="0" xfId="0" applyAlignment="1" applyBorder="1" applyFont="1">
      <alignment readingOrder="0"/>
    </xf>
    <xf borderId="39" fillId="3" fontId="19" numFmtId="0" xfId="0" applyAlignment="1" applyBorder="1" applyFont="1">
      <alignment shrinkToFit="0" wrapText="1"/>
    </xf>
    <xf borderId="99" fillId="3" fontId="19" numFmtId="0" xfId="0" applyAlignment="1" applyBorder="1" applyFont="1">
      <alignment readingOrder="0"/>
    </xf>
    <xf borderId="100" fillId="3" fontId="19" numFmtId="0" xfId="0" applyAlignment="1" applyBorder="1" applyFont="1">
      <alignment readingOrder="0"/>
    </xf>
    <xf borderId="101" fillId="3" fontId="19" numFmtId="0" xfId="0" applyAlignment="1" applyBorder="1" applyFont="1">
      <alignment readingOrder="0"/>
    </xf>
    <xf borderId="20" fillId="3" fontId="19" numFmtId="0" xfId="0" applyAlignment="1" applyBorder="1" applyFont="1">
      <alignment shrinkToFit="0" wrapText="1"/>
    </xf>
    <xf borderId="0" fillId="3" fontId="19" numFmtId="0" xfId="0" applyFont="1"/>
    <xf borderId="67" fillId="7" fontId="23" numFmtId="0" xfId="0" applyAlignment="1" applyBorder="1" applyFont="1">
      <alignment readingOrder="0" shrinkToFit="0" wrapText="1"/>
    </xf>
    <xf borderId="108" fillId="3" fontId="19" numFmtId="0" xfId="0" applyBorder="1" applyFont="1"/>
    <xf borderId="65" fillId="7" fontId="21" numFmtId="0" xfId="0" applyAlignment="1" applyBorder="1" applyFont="1">
      <alignment readingOrder="0" shrinkToFit="0" wrapText="1"/>
    </xf>
    <xf borderId="109" fillId="3" fontId="19" numFmtId="0" xfId="0" applyBorder="1" applyFont="1"/>
    <xf borderId="105" fillId="3" fontId="19" numFmtId="0" xfId="0" applyBorder="1" applyFont="1"/>
    <xf borderId="65" fillId="7" fontId="19" numFmtId="0" xfId="0" applyAlignment="1" applyBorder="1" applyFont="1">
      <alignment readingOrder="0" shrinkToFit="0" wrapText="1"/>
    </xf>
    <xf borderId="106" fillId="11" fontId="19" numFmtId="0" xfId="0" applyBorder="1" applyFont="1"/>
    <xf borderId="107" fillId="11" fontId="19" numFmtId="0" xfId="0" applyBorder="1" applyFont="1"/>
    <xf borderId="96" fillId="11" fontId="19" numFmtId="0" xfId="0" applyBorder="1" applyFont="1"/>
    <xf borderId="0" fillId="12" fontId="19" numFmtId="0" xfId="0" applyAlignment="1" applyFont="1">
      <alignment readingOrder="0"/>
    </xf>
    <xf borderId="98" fillId="12" fontId="19" numFmtId="0" xfId="0" applyAlignment="1" applyBorder="1" applyFont="1">
      <alignment readingOrder="0"/>
    </xf>
    <xf borderId="99" fillId="12" fontId="19" numFmtId="0" xfId="0" applyAlignment="1" applyBorder="1" applyFont="1">
      <alignment readingOrder="0"/>
    </xf>
    <xf borderId="65" fillId="7" fontId="19" numFmtId="0" xfId="0" applyAlignment="1" applyBorder="1" applyFont="1">
      <alignment shrinkToFit="0" wrapText="1"/>
    </xf>
    <xf borderId="100" fillId="12" fontId="19" numFmtId="0" xfId="0" applyAlignment="1" applyBorder="1" applyFont="1">
      <alignment readingOrder="0"/>
    </xf>
    <xf borderId="0" fillId="13" fontId="19" numFmtId="0" xfId="0" applyFont="1"/>
    <xf borderId="108" fillId="13" fontId="19" numFmtId="0" xfId="0" applyBorder="1" applyFont="1"/>
    <xf borderId="109" fillId="13" fontId="19" numFmtId="0" xfId="0" applyBorder="1" applyFont="1"/>
    <xf borderId="63" fillId="7" fontId="19" numFmtId="0" xfId="0" applyAlignment="1" applyBorder="1" applyFont="1">
      <alignment shrinkToFit="0" wrapText="1"/>
    </xf>
    <xf borderId="105" fillId="13" fontId="19" numFmtId="0" xfId="0" applyBorder="1" applyFont="1"/>
    <xf borderId="98" fillId="3" fontId="19" numFmtId="0" xfId="0" applyBorder="1" applyFont="1"/>
    <xf borderId="76" fillId="4" fontId="37" numFmtId="0" xfId="0" applyAlignment="1" applyBorder="1" applyFont="1">
      <alignment readingOrder="0" shrinkToFit="0" wrapText="1"/>
    </xf>
    <xf borderId="99" fillId="3" fontId="19" numFmtId="0" xfId="0" applyBorder="1" applyFont="1"/>
    <xf borderId="76" fillId="4" fontId="38" numFmtId="0" xfId="0" applyAlignment="1" applyBorder="1" applyFont="1">
      <alignment readingOrder="0" shrinkToFit="0" wrapText="1"/>
    </xf>
    <xf borderId="100" fillId="3" fontId="19" numFmtId="0" xfId="0" applyBorder="1" applyFont="1"/>
    <xf borderId="76" fillId="4" fontId="38" numFmtId="0" xfId="0" applyAlignment="1" applyBorder="1" applyFont="1">
      <alignment shrinkToFit="0" wrapText="1"/>
    </xf>
    <xf borderId="0" fillId="12" fontId="19" numFmtId="0" xfId="0" applyFont="1"/>
    <xf borderId="57" fillId="4" fontId="38" numFmtId="0" xfId="0" applyAlignment="1" applyBorder="1" applyFont="1">
      <alignment shrinkToFit="0" wrapText="1"/>
    </xf>
    <xf borderId="98" fillId="12" fontId="19" numFmtId="0" xfId="0" applyBorder="1" applyFont="1"/>
    <xf borderId="99" fillId="12" fontId="19" numFmtId="0" xfId="0" applyBorder="1" applyFont="1"/>
    <xf borderId="100" fillId="12" fontId="19" numFmtId="0" xfId="0" applyBorder="1" applyFont="1"/>
    <xf borderId="0" fillId="3" fontId="6" numFmtId="0" xfId="0" applyAlignment="1" applyFont="1">
      <alignment readingOrder="0" shrinkToFit="0" wrapText="0"/>
    </xf>
    <xf borderId="110" fillId="3" fontId="19" numFmtId="0" xfId="0" applyAlignment="1" applyBorder="1" applyFont="1">
      <alignment readingOrder="0"/>
    </xf>
    <xf borderId="111" fillId="3" fontId="19" numFmtId="0" xfId="0" applyBorder="1" applyFont="1"/>
    <xf borderId="112" fillId="3" fontId="19" numFmtId="0" xfId="0" applyBorder="1" applyFont="1"/>
    <xf borderId="113" fillId="3" fontId="19" numFmtId="0" xfId="0" applyBorder="1" applyFont="1"/>
    <xf borderId="32" fillId="3" fontId="8" numFmtId="0" xfId="0" applyBorder="1" applyFont="1"/>
    <xf borderId="114" fillId="3" fontId="19" numFmtId="0" xfId="0" applyAlignment="1" applyBorder="1" applyFont="1">
      <alignment readingOrder="0"/>
    </xf>
    <xf borderId="47" fillId="3" fontId="19" numFmtId="0" xfId="0" applyBorder="1" applyFont="1"/>
    <xf borderId="14" fillId="3" fontId="29" numFmtId="164" xfId="0" applyAlignment="1" applyBorder="1" applyFont="1" applyNumberFormat="1">
      <alignment readingOrder="0" shrinkToFit="0" wrapText="1"/>
    </xf>
    <xf borderId="115" fillId="3" fontId="19" numFmtId="0" xfId="0" applyBorder="1" applyFont="1"/>
    <xf borderId="0" fillId="3" fontId="7" numFmtId="0" xfId="0" applyAlignment="1" applyFont="1">
      <alignment readingOrder="0" shrinkToFit="0" wrapText="0"/>
    </xf>
    <xf borderId="116" fillId="3" fontId="19" numFmtId="0" xfId="0" applyBorder="1" applyFont="1"/>
    <xf borderId="117" fillId="3" fontId="19" numFmtId="0" xfId="0" applyBorder="1" applyFont="1"/>
    <xf borderId="118" fillId="3" fontId="19" numFmtId="0" xfId="0" applyAlignment="1" applyBorder="1" applyFont="1">
      <alignment readingOrder="0"/>
    </xf>
    <xf borderId="119" fillId="3" fontId="19" numFmtId="0" xfId="0" applyBorder="1" applyFont="1"/>
    <xf borderId="120" fillId="3" fontId="19" numFmtId="0" xfId="0" applyBorder="1" applyFont="1"/>
    <xf borderId="121" fillId="3" fontId="19" numFmtId="0" xfId="0" applyBorder="1" applyFont="1"/>
    <xf borderId="1" fillId="21" fontId="6" numFmtId="0" xfId="0" applyBorder="1" applyFill="1" applyFont="1"/>
    <xf borderId="7" fillId="9" fontId="29" numFmtId="0" xfId="0" applyAlignment="1" applyBorder="1" applyFont="1">
      <alignment readingOrder="0" shrinkToFit="0" wrapText="1"/>
    </xf>
    <xf borderId="2" fillId="21" fontId="8" numFmtId="0" xfId="0" applyBorder="1" applyFont="1"/>
    <xf borderId="32" fillId="9" fontId="8" numFmtId="0" xfId="0" applyBorder="1" applyFont="1"/>
    <xf borderId="2" fillId="21" fontId="6" numFmtId="0" xfId="0" applyBorder="1" applyFont="1"/>
    <xf borderId="3" fillId="21" fontId="6" numFmtId="0" xfId="0" applyBorder="1" applyFont="1"/>
    <xf borderId="14" fillId="9" fontId="29" numFmtId="164" xfId="0" applyAlignment="1" applyBorder="1" applyFont="1" applyNumberFormat="1">
      <alignment readingOrder="0" shrinkToFit="0" wrapText="1"/>
    </xf>
    <xf borderId="1" fillId="22" fontId="6" numFmtId="0" xfId="0" applyBorder="1" applyFill="1" applyFont="1"/>
    <xf borderId="25" fillId="3" fontId="23" numFmtId="0" xfId="0" applyAlignment="1" applyBorder="1" applyFont="1">
      <alignment readingOrder="0" shrinkToFit="0" wrapText="1"/>
    </xf>
    <xf borderId="2" fillId="22" fontId="8" numFmtId="0" xfId="0" applyBorder="1" applyFont="1"/>
    <xf borderId="26" fillId="3" fontId="21" numFmtId="0" xfId="0" applyAlignment="1" applyBorder="1" applyFont="1">
      <alignment readingOrder="0" shrinkToFit="0" wrapText="1"/>
    </xf>
    <xf borderId="2" fillId="22" fontId="6" numFmtId="0" xfId="0" applyBorder="1" applyFont="1"/>
    <xf borderId="3" fillId="22" fontId="6" numFmtId="0" xfId="0" applyBorder="1" applyFont="1"/>
    <xf borderId="26" fillId="3" fontId="19" numFmtId="0" xfId="0" applyAlignment="1" applyBorder="1" applyFont="1">
      <alignment readingOrder="0" shrinkToFit="0" wrapText="1"/>
    </xf>
    <xf borderId="1" fillId="23" fontId="6" numFmtId="0" xfId="0" applyBorder="1" applyFill="1" applyFont="1"/>
    <xf borderId="2" fillId="23" fontId="8" numFmtId="0" xfId="0" applyBorder="1" applyFont="1"/>
    <xf borderId="2" fillId="23" fontId="6" numFmtId="0" xfId="0" applyBorder="1" applyFont="1"/>
    <xf borderId="3" fillId="23" fontId="6" numFmtId="0" xfId="0" applyBorder="1" applyFont="1"/>
    <xf borderId="122" fillId="3" fontId="22" numFmtId="0" xfId="0" applyAlignment="1" applyBorder="1" applyFont="1">
      <alignment horizontal="left" readingOrder="0"/>
    </xf>
    <xf borderId="123" fillId="3" fontId="12" numFmtId="0" xfId="0" applyAlignment="1" applyBorder="1" applyFont="1">
      <alignment horizontal="left" readingOrder="0"/>
    </xf>
    <xf borderId="61" fillId="3" fontId="23" numFmtId="0" xfId="0" applyAlignment="1" applyBorder="1" applyFont="1">
      <alignment readingOrder="0" shrinkToFit="0" wrapText="1"/>
    </xf>
    <xf borderId="26" fillId="3" fontId="19" numFmtId="0" xfId="0" applyAlignment="1" applyBorder="1" applyFont="1">
      <alignment shrinkToFit="0" wrapText="1"/>
    </xf>
    <xf borderId="123" fillId="3" fontId="12" numFmtId="0" xfId="0" applyAlignment="1" applyBorder="1" applyFont="1">
      <alignment horizontal="center" readingOrder="0"/>
    </xf>
    <xf borderId="65" fillId="3" fontId="21" numFmtId="0" xfId="0" applyAlignment="1" applyBorder="1" applyFont="1">
      <alignment readingOrder="0" shrinkToFit="0" wrapText="1"/>
    </xf>
    <xf borderId="124" fillId="3" fontId="12" numFmtId="0" xfId="0" applyAlignment="1" applyBorder="1" applyFont="1">
      <alignment horizontal="center" readingOrder="0"/>
    </xf>
    <xf borderId="125" fillId="3" fontId="12" numFmtId="0" xfId="0" applyAlignment="1" applyBorder="1" applyFont="1">
      <alignment horizontal="center" readingOrder="0"/>
    </xf>
    <xf borderId="29" fillId="3" fontId="19" numFmtId="0" xfId="0" applyAlignment="1" applyBorder="1" applyFont="1">
      <alignment shrinkToFit="0" wrapText="1"/>
    </xf>
    <xf borderId="126" fillId="3" fontId="22" numFmtId="0" xfId="0" applyAlignment="1" applyBorder="1" applyFont="1">
      <alignment horizontal="left" readingOrder="0"/>
    </xf>
    <xf borderId="65" fillId="3" fontId="19" numFmtId="0" xfId="0" applyAlignment="1" applyBorder="1" applyFont="1">
      <alignment readingOrder="0" shrinkToFit="0" wrapText="1"/>
    </xf>
    <xf borderId="127" fillId="3" fontId="12" numFmtId="0" xfId="0" applyAlignment="1" applyBorder="1" applyFont="1">
      <alignment horizontal="left" readingOrder="0"/>
    </xf>
    <xf borderId="127" fillId="3" fontId="12" numFmtId="0" xfId="0" applyAlignment="1" applyBorder="1" applyFont="1">
      <alignment horizontal="center" readingOrder="0"/>
    </xf>
    <xf borderId="128" fillId="3" fontId="12" numFmtId="0" xfId="0" applyAlignment="1" applyBorder="1" applyFont="1">
      <alignment horizontal="center" readingOrder="0"/>
    </xf>
    <xf borderId="129" fillId="3" fontId="12" numFmtId="0" xfId="0" applyAlignment="1" applyBorder="1" applyFont="1">
      <alignment horizontal="center" readingOrder="0"/>
    </xf>
    <xf borderId="130" fillId="3" fontId="22" numFmtId="0" xfId="0" applyAlignment="1" applyBorder="1" applyFont="1">
      <alignment horizontal="left" readingOrder="0"/>
    </xf>
    <xf borderId="131" fillId="2" fontId="39" numFmtId="0" xfId="0" applyAlignment="1" applyBorder="1" applyFont="1">
      <alignment readingOrder="0" shrinkToFit="0" wrapText="1"/>
    </xf>
    <xf borderId="65" fillId="3" fontId="19" numFmtId="0" xfId="0" applyAlignment="1" applyBorder="1" applyFont="1">
      <alignment shrinkToFit="0" wrapText="1"/>
    </xf>
    <xf borderId="132" fillId="3" fontId="12" numFmtId="0" xfId="0" applyAlignment="1" applyBorder="1" applyFont="1">
      <alignment horizontal="left" readingOrder="0"/>
    </xf>
    <xf borderId="15" fillId="2" fontId="39" numFmtId="0" xfId="0" applyAlignment="1" applyBorder="1" applyFont="1">
      <alignment readingOrder="0" shrinkToFit="0" wrapText="1"/>
    </xf>
    <xf borderId="132" fillId="3" fontId="12" numFmtId="0" xfId="0" applyAlignment="1" applyBorder="1" applyFont="1">
      <alignment horizontal="center" readingOrder="0"/>
    </xf>
    <xf borderId="63" fillId="3" fontId="19" numFmtId="0" xfId="0" applyAlignment="1" applyBorder="1" applyFont="1">
      <alignment shrinkToFit="0" wrapText="1"/>
    </xf>
    <xf borderId="133" fillId="3" fontId="12" numFmtId="0" xfId="0" applyAlignment="1" applyBorder="1" applyFont="1">
      <alignment horizontal="center" readingOrder="0"/>
    </xf>
    <xf borderId="2" fillId="2" fontId="39" numFmtId="0" xfId="0" applyAlignment="1" applyBorder="1" applyFont="1">
      <alignment readingOrder="0"/>
    </xf>
    <xf borderId="56" fillId="4" fontId="39" numFmtId="0" xfId="0" applyAlignment="1" applyBorder="1" applyFont="1">
      <alignment readingOrder="0" shrinkToFit="0" wrapText="1"/>
    </xf>
    <xf borderId="36" fillId="2" fontId="39" numFmtId="0" xfId="0" applyAlignment="1" applyBorder="1" applyFont="1">
      <alignment readingOrder="0" shrinkToFit="0" wrapText="1"/>
    </xf>
    <xf borderId="134" fillId="3" fontId="12" numFmtId="0" xfId="0" applyAlignment="1" applyBorder="1" applyFont="1">
      <alignment horizontal="center" readingOrder="0"/>
    </xf>
    <xf borderId="76" fillId="4" fontId="39" numFmtId="0" xfId="0" applyAlignment="1" applyBorder="1" applyFont="1">
      <alignment readingOrder="0" shrinkToFit="0" wrapText="1"/>
    </xf>
    <xf borderId="135" fillId="14" fontId="19" numFmtId="0" xfId="0" applyAlignment="1" applyBorder="1" applyFont="1">
      <alignment readingOrder="0"/>
    </xf>
    <xf borderId="136" fillId="4" fontId="39" numFmtId="0" xfId="0" applyAlignment="1" applyBorder="1" applyFont="1">
      <alignment readingOrder="0" shrinkToFit="0" wrapText="1"/>
    </xf>
    <xf borderId="18" fillId="2" fontId="39" numFmtId="0" xfId="0" applyAlignment="1" applyBorder="1" applyFont="1">
      <alignment readingOrder="0" shrinkToFit="0" wrapText="1"/>
    </xf>
    <xf borderId="76" fillId="4" fontId="39" numFmtId="0" xfId="0" applyAlignment="1" applyBorder="1" applyFont="1">
      <alignment readingOrder="0"/>
    </xf>
    <xf borderId="137" fillId="14" fontId="19" numFmtId="0" xfId="0" applyAlignment="1" applyBorder="1" applyFont="1">
      <alignment vertical="bottom"/>
    </xf>
    <xf borderId="138" fillId="4" fontId="39" numFmtId="0" xfId="0" applyAlignment="1" applyBorder="1" applyFont="1">
      <alignment readingOrder="0" shrinkToFit="0" wrapText="1"/>
    </xf>
    <xf borderId="0" fillId="0" fontId="9" numFmtId="0" xfId="0" applyAlignment="1" applyFont="1">
      <alignment readingOrder="0" shrinkToFit="0" wrapText="0"/>
    </xf>
    <xf borderId="2" fillId="4" fontId="39" numFmtId="0" xfId="0" applyAlignment="1" applyBorder="1" applyFont="1">
      <alignment readingOrder="0" shrinkToFit="0" wrapText="1"/>
    </xf>
    <xf borderId="47" fillId="3" fontId="8" numFmtId="0" xfId="0" applyBorder="1" applyFont="1"/>
    <xf borderId="139" fillId="14" fontId="19" numFmtId="0" xfId="0" applyAlignment="1" applyBorder="1" applyFont="1">
      <alignment vertical="bottom"/>
    </xf>
    <xf borderId="75" fillId="4" fontId="39" numFmtId="0" xfId="0" applyAlignment="1" applyBorder="1" applyFont="1">
      <alignment readingOrder="0" shrinkToFit="0" wrapText="1"/>
    </xf>
    <xf borderId="0" fillId="14" fontId="19" numFmtId="0" xfId="0" applyAlignment="1" applyFont="1">
      <alignment vertical="bottom"/>
    </xf>
    <xf borderId="57" fillId="4" fontId="39" numFmtId="0" xfId="0" applyAlignment="1" applyBorder="1" applyFont="1">
      <alignment readingOrder="0" shrinkToFit="0" wrapText="1"/>
    </xf>
    <xf borderId="140" fillId="14" fontId="19" numFmtId="0" xfId="0" applyAlignment="1" applyBorder="1" applyFont="1">
      <alignment vertical="bottom"/>
    </xf>
    <xf borderId="141" fillId="15" fontId="19" numFmtId="0" xfId="0" applyAlignment="1" applyBorder="1" applyFont="1">
      <alignment readingOrder="0"/>
    </xf>
    <xf borderId="0" fillId="0" fontId="7" numFmtId="0" xfId="0" applyAlignment="1" applyFont="1">
      <alignment readingOrder="0" shrinkToFit="0" wrapText="0"/>
    </xf>
    <xf borderId="142" fillId="15" fontId="19" numFmtId="0" xfId="0" applyAlignment="1" applyBorder="1" applyFont="1">
      <alignment vertical="bottom"/>
    </xf>
    <xf borderId="143" fillId="15" fontId="19" numFmtId="0" xfId="0" applyAlignment="1" applyBorder="1" applyFont="1">
      <alignment readingOrder="0" vertical="bottom"/>
    </xf>
    <xf borderId="38" fillId="3" fontId="19" numFmtId="0" xfId="0" applyAlignment="1" applyBorder="1" applyFont="1">
      <alignment readingOrder="0" shrinkToFit="0" wrapText="1"/>
    </xf>
    <xf borderId="143" fillId="15" fontId="19" numFmtId="0" xfId="0" applyAlignment="1" applyBorder="1" applyFont="1">
      <alignment vertical="bottom"/>
    </xf>
    <xf borderId="0" fillId="15" fontId="19" numFmtId="0" xfId="0" applyAlignment="1" applyFont="1">
      <alignment vertical="bottom"/>
    </xf>
    <xf borderId="144" fillId="15" fontId="19" numFmtId="0" xfId="0" applyAlignment="1" applyBorder="1" applyFont="1">
      <alignment vertical="bottom"/>
    </xf>
    <xf borderId="39" fillId="3" fontId="19" numFmtId="0" xfId="0" applyAlignment="1" applyBorder="1" applyFont="1">
      <alignment readingOrder="0" shrinkToFit="0" wrapText="0"/>
    </xf>
    <xf borderId="145" fillId="16" fontId="19" numFmtId="0" xfId="0" applyAlignment="1" applyBorder="1" applyFont="1">
      <alignment readingOrder="0"/>
    </xf>
    <xf borderId="39" fillId="3" fontId="8" numFmtId="0" xfId="0" applyBorder="1" applyFont="1"/>
    <xf borderId="39" fillId="16" fontId="19" numFmtId="0" xfId="0" applyAlignment="1" applyBorder="1" applyFont="1">
      <alignment vertical="bottom"/>
    </xf>
    <xf borderId="40" fillId="3" fontId="19" numFmtId="0" xfId="0" applyAlignment="1" applyBorder="1" applyFont="1">
      <alignment shrinkToFit="0" wrapText="1"/>
    </xf>
    <xf borderId="146" fillId="16" fontId="19" numFmtId="0" xfId="0" applyAlignment="1" applyBorder="1" applyFont="1">
      <alignment vertical="bottom"/>
    </xf>
    <xf borderId="0" fillId="16" fontId="19" numFmtId="0" xfId="0" applyAlignment="1" applyFont="1">
      <alignment vertical="bottom"/>
    </xf>
    <xf borderId="20" fillId="3" fontId="19" numFmtId="164" xfId="0" applyAlignment="1" applyBorder="1" applyFont="1" applyNumberFormat="1">
      <alignment readingOrder="0" shrinkToFit="0" wrapText="1"/>
    </xf>
    <xf borderId="147" fillId="16" fontId="19" numFmtId="0" xfId="0" applyAlignment="1" applyBorder="1" applyFont="1">
      <alignment vertical="bottom"/>
    </xf>
    <xf borderId="135" fillId="3" fontId="19" numFmtId="0" xfId="0" applyAlignment="1" applyBorder="1" applyFont="1">
      <alignment readingOrder="0"/>
    </xf>
    <xf borderId="148" fillId="3" fontId="19" numFmtId="0" xfId="0" applyBorder="1" applyFont="1"/>
    <xf borderId="149" fillId="3" fontId="19" numFmtId="0" xfId="0" applyBorder="1" applyFont="1"/>
    <xf borderId="38" fillId="7" fontId="19" numFmtId="0" xfId="0" applyAlignment="1" applyBorder="1" applyFont="1">
      <alignment readingOrder="0" shrinkToFit="0" wrapText="1"/>
    </xf>
    <xf borderId="140" fillId="3" fontId="19" numFmtId="0" xfId="0" applyBorder="1" applyFont="1"/>
    <xf borderId="141" fillId="3" fontId="19" numFmtId="0" xfId="0" applyAlignment="1" applyBorder="1" applyFont="1">
      <alignment readingOrder="0"/>
    </xf>
    <xf borderId="39" fillId="7" fontId="19" numFmtId="0" xfId="0" applyAlignment="1" applyBorder="1" applyFont="1">
      <alignment readingOrder="0" shrinkToFit="0" wrapText="0"/>
    </xf>
    <xf borderId="150" fillId="3" fontId="19" numFmtId="0" xfId="0" applyBorder="1" applyFont="1"/>
    <xf borderId="39" fillId="7" fontId="8" numFmtId="0" xfId="0" applyBorder="1" applyFont="1"/>
    <xf borderId="151" fillId="3" fontId="19" numFmtId="0" xfId="0" applyBorder="1" applyFont="1"/>
    <xf borderId="40" fillId="7" fontId="19" numFmtId="0" xfId="0" applyAlignment="1" applyBorder="1" applyFont="1">
      <alignment shrinkToFit="0" wrapText="1"/>
    </xf>
    <xf borderId="144" fillId="3" fontId="19" numFmtId="0" xfId="0" applyBorder="1" applyFont="1"/>
    <xf borderId="0" fillId="7" fontId="19" numFmtId="0" xfId="0" applyAlignment="1" applyFont="1">
      <alignment shrinkToFit="0" wrapText="1"/>
    </xf>
    <xf borderId="145" fillId="3" fontId="19" numFmtId="0" xfId="0" applyAlignment="1" applyBorder="1" applyFont="1">
      <alignment readingOrder="0"/>
    </xf>
    <xf borderId="152" fillId="3" fontId="19" numFmtId="0" xfId="0" applyBorder="1" applyFont="1"/>
    <xf borderId="58" fillId="7" fontId="19" numFmtId="0" xfId="0" applyAlignment="1" applyBorder="1" applyFont="1">
      <alignment shrinkToFit="0" wrapText="1"/>
    </xf>
    <xf borderId="153" fillId="3" fontId="19" numFmtId="0" xfId="0" applyBorder="1" applyFont="1"/>
    <xf borderId="20" fillId="7" fontId="19" numFmtId="164" xfId="0" applyAlignment="1" applyBorder="1" applyFont="1" applyNumberFormat="1">
      <alignment readingOrder="0" shrinkToFit="0" wrapText="1"/>
    </xf>
    <xf borderId="147" fillId="3" fontId="19" numFmtId="0" xfId="0" applyBorder="1" applyFont="1"/>
    <xf borderId="148" fillId="14" fontId="19" numFmtId="0" xfId="0" applyBorder="1" applyFont="1"/>
    <xf borderId="149" fillId="14" fontId="19" numFmtId="0" xfId="0" applyBorder="1" applyFont="1"/>
    <xf borderId="140" fillId="14" fontId="19" numFmtId="0" xfId="0" applyBorder="1" applyFont="1"/>
    <xf borderId="154" fillId="3" fontId="19" numFmtId="0" xfId="0" applyAlignment="1" applyBorder="1" applyFont="1">
      <alignment shrinkToFit="0" wrapText="1"/>
    </xf>
    <xf borderId="150" fillId="15" fontId="19" numFmtId="0" xfId="0" applyBorder="1" applyFont="1"/>
    <xf borderId="151" fillId="15" fontId="19" numFmtId="0" xfId="0" applyBorder="1" applyFont="1"/>
    <xf borderId="144" fillId="15" fontId="19" numFmtId="0" xfId="0" applyBorder="1" applyFont="1"/>
    <xf borderId="152" fillId="16" fontId="19" numFmtId="0" xfId="0" applyBorder="1" applyFont="1"/>
    <xf borderId="153" fillId="16" fontId="19" numFmtId="0" xfId="0" applyBorder="1" applyFont="1"/>
    <xf borderId="147" fillId="16" fontId="19" numFmtId="0" xfId="0" applyBorder="1" applyFont="1"/>
    <xf borderId="38" fillId="7" fontId="19" numFmtId="0" xfId="0" applyAlignment="1" applyBorder="1" applyFont="1">
      <alignment shrinkToFit="0" wrapText="1"/>
    </xf>
    <xf borderId="154" fillId="7" fontId="19" numFmtId="0" xfId="0" applyAlignment="1" applyBorder="1" applyFont="1">
      <alignment shrinkToFit="0" wrapText="1"/>
    </xf>
    <xf borderId="29" fillId="3" fontId="30" numFmtId="164" xfId="0" applyAlignment="1" applyBorder="1" applyFont="1" applyNumberFormat="1">
      <alignment readingOrder="0" shrinkToFit="0" wrapText="1"/>
    </xf>
    <xf borderId="39" fillId="7" fontId="19" numFmtId="0" xfId="0" applyAlignment="1" applyBorder="1" applyFont="1">
      <alignment shrinkToFit="0" wrapText="0"/>
    </xf>
    <xf borderId="0" fillId="3" fontId="9" numFmtId="0" xfId="0" applyAlignment="1" applyFont="1">
      <alignment readingOrder="0" shrinkToFit="0" wrapText="0"/>
    </xf>
    <xf borderId="0" fillId="0" fontId="7" numFmtId="0" xfId="0" applyAlignment="1" applyFont="1">
      <alignment readingOrder="0" shrinkToFit="0" wrapText="1"/>
    </xf>
    <xf borderId="11" fillId="3" fontId="19" numFmtId="0" xfId="0" applyAlignment="1" applyBorder="1" applyFont="1">
      <alignment readingOrder="0" shrinkToFit="0" wrapText="1"/>
    </xf>
    <xf borderId="0" fillId="0" fontId="40" numFmtId="0" xfId="0" applyAlignment="1" applyFont="1">
      <alignment readingOrder="0"/>
    </xf>
    <xf borderId="12" fillId="3" fontId="19" numFmtId="0" xfId="0" applyAlignment="1" applyBorder="1" applyFont="1">
      <alignment readingOrder="0" shrinkToFit="0" wrapText="0"/>
    </xf>
    <xf borderId="155" fillId="3" fontId="19" numFmtId="0" xfId="0" applyAlignment="1" applyBorder="1" applyFont="1">
      <alignment shrinkToFit="0" wrapText="1"/>
    </xf>
    <xf borderId="39" fillId="3" fontId="19" numFmtId="0" xfId="0" applyAlignment="1" applyBorder="1" applyFont="1">
      <alignment shrinkToFit="0" wrapText="0"/>
    </xf>
    <xf borderId="14" fillId="0" fontId="19" numFmtId="164" xfId="0" applyAlignment="1" applyBorder="1" applyFont="1" applyNumberFormat="1">
      <alignment readingOrder="0" shrinkToFit="0" wrapText="1"/>
    </xf>
    <xf borderId="0" fillId="3" fontId="10" numFmtId="0" xfId="0" applyFont="1"/>
    <xf borderId="156" fillId="3" fontId="19" numFmtId="0" xfId="0" applyAlignment="1" applyBorder="1" applyFont="1">
      <alignment readingOrder="0"/>
    </xf>
    <xf borderId="0" fillId="0" fontId="10" numFmtId="0" xfId="0" applyAlignment="1" applyFont="1">
      <alignment shrinkToFit="0" wrapText="1"/>
    </xf>
    <xf borderId="157" fillId="3" fontId="19" numFmtId="0" xfId="0" applyBorder="1" applyFont="1"/>
    <xf borderId="11" fillId="9" fontId="19" numFmtId="0" xfId="0" applyAlignment="1" applyBorder="1" applyFont="1">
      <alignment readingOrder="0" shrinkToFit="0" wrapText="1"/>
    </xf>
    <xf borderId="38" fillId="3" fontId="19" numFmtId="0" xfId="0" applyAlignment="1" applyBorder="1" applyFont="1">
      <alignment shrinkToFit="0" wrapText="1"/>
    </xf>
    <xf borderId="158" fillId="3" fontId="19" numFmtId="0" xfId="0" applyBorder="1" applyFont="1"/>
    <xf borderId="159" fillId="3" fontId="19" numFmtId="0" xfId="0" applyBorder="1" applyFont="1"/>
    <xf borderId="12" fillId="9" fontId="19" numFmtId="0" xfId="0" applyAlignment="1" applyBorder="1" applyFont="1">
      <alignment shrinkToFit="0" wrapText="0"/>
    </xf>
    <xf borderId="0" fillId="9" fontId="8" numFmtId="0" xfId="0" applyFont="1"/>
    <xf borderId="160" fillId="3" fontId="19" numFmtId="0" xfId="0" applyAlignment="1" applyBorder="1" applyFont="1">
      <alignment readingOrder="0"/>
    </xf>
    <xf borderId="155" fillId="9" fontId="19" numFmtId="0" xfId="0" applyAlignment="1" applyBorder="1" applyFont="1">
      <alignment shrinkToFit="0" wrapText="1"/>
    </xf>
    <xf borderId="161" fillId="3" fontId="19" numFmtId="0" xfId="0" applyBorder="1" applyFont="1"/>
    <xf borderId="162" fillId="3" fontId="19" numFmtId="0" xfId="0" applyBorder="1" applyFont="1"/>
    <xf borderId="163" fillId="3" fontId="19" numFmtId="0" xfId="0" applyBorder="1" applyFont="1"/>
    <xf borderId="164" fillId="3" fontId="19" numFmtId="0" xfId="0" applyAlignment="1" applyBorder="1" applyFont="1">
      <alignment readingOrder="0"/>
    </xf>
    <xf borderId="165" fillId="3" fontId="19" numFmtId="0" xfId="0" applyBorder="1" applyFont="1"/>
    <xf borderId="166" fillId="3" fontId="19" numFmtId="0" xfId="0" applyBorder="1" applyFont="1"/>
    <xf borderId="167" fillId="3" fontId="19" numFmtId="0" xfId="0" applyBorder="1" applyFont="1"/>
    <xf borderId="11" fillId="9" fontId="19" numFmtId="0" xfId="0" applyAlignment="1" applyBorder="1" applyFont="1">
      <alignment shrinkToFit="0" wrapText="1"/>
    </xf>
    <xf borderId="11" fillId="3" fontId="19" numFmtId="0" xfId="0" applyAlignment="1" applyBorder="1" applyFont="1">
      <alignment shrinkToFit="0" wrapText="1"/>
    </xf>
    <xf borderId="12" fillId="3" fontId="19" numFmtId="0" xfId="0" applyAlignment="1" applyBorder="1" applyFont="1">
      <alignment shrinkToFit="0" wrapText="0"/>
    </xf>
    <xf borderId="0" fillId="0" fontId="9" numFmtId="0" xfId="0" applyAlignment="1" applyFont="1">
      <alignment readingOrder="0" shrinkToFit="0" wrapText="1"/>
    </xf>
    <xf borderId="1" fillId="5" fontId="6" numFmtId="0" xfId="0" applyAlignment="1" applyBorder="1" applyFont="1">
      <alignment readingOrder="0" shrinkToFit="0" wrapText="1"/>
    </xf>
    <xf borderId="168" fillId="5" fontId="8" numFmtId="0" xfId="0" applyBorder="1" applyFont="1"/>
    <xf borderId="169" fillId="5" fontId="27" numFmtId="0" xfId="0" applyAlignment="1" applyBorder="1" applyFont="1">
      <alignment readingOrder="0" shrinkToFit="0" wrapText="1"/>
    </xf>
    <xf borderId="0" fillId="0" fontId="6" numFmtId="0" xfId="0" applyAlignment="1" applyFont="1">
      <alignment horizontal="center" readingOrder="0" shrinkToFit="0" wrapText="1"/>
    </xf>
    <xf borderId="170" fillId="0" fontId="6" numFmtId="0" xfId="0" applyAlignment="1" applyBorder="1" applyFont="1">
      <alignment readingOrder="0" shrinkToFit="0" wrapText="1"/>
    </xf>
    <xf borderId="169" fillId="0" fontId="27" numFmtId="0" xfId="0" applyAlignment="1" applyBorder="1" applyFont="1">
      <alignment readingOrder="0" shrinkToFit="0" wrapText="1"/>
    </xf>
    <xf borderId="3" fillId="5" fontId="8" numFmtId="0" xfId="0" applyBorder="1" applyFont="1"/>
    <xf borderId="0" fillId="3" fontId="41" numFmtId="0" xfId="0" applyAlignment="1" applyFont="1">
      <alignment shrinkToFit="0" wrapText="0"/>
    </xf>
    <xf borderId="43" fillId="3" fontId="8" numFmtId="0" xfId="0" applyBorder="1" applyFont="1"/>
    <xf borderId="44" fillId="3" fontId="29" numFmtId="164" xfId="0" applyAlignment="1" applyBorder="1" applyFont="1" applyNumberFormat="1">
      <alignment readingOrder="0" shrinkToFit="0" wrapText="1"/>
    </xf>
    <xf borderId="42" fillId="0" fontId="29" numFmtId="0" xfId="0" applyAlignment="1" applyBorder="1" applyFont="1">
      <alignment readingOrder="0" shrinkToFit="0" wrapText="1"/>
    </xf>
    <xf borderId="44" fillId="0" fontId="29" numFmtId="0" xfId="0" applyAlignment="1" applyBorder="1" applyFont="1">
      <alignment readingOrder="0" shrinkToFit="0" wrapText="1"/>
    </xf>
    <xf borderId="7" fillId="8" fontId="23" numFmtId="0" xfId="0" applyAlignment="1" applyBorder="1" applyFont="1">
      <alignment readingOrder="0" shrinkToFit="0" wrapText="1"/>
    </xf>
    <xf borderId="43" fillId="8" fontId="8" numFmtId="0" xfId="0" applyBorder="1" applyFont="1"/>
    <xf borderId="44" fillId="8" fontId="29" numFmtId="164" xfId="0" applyAlignment="1" applyBorder="1" applyFont="1" applyNumberFormat="1">
      <alignment readingOrder="0" shrinkToFit="0" wrapText="1"/>
    </xf>
    <xf borderId="42" fillId="0" fontId="29" numFmtId="0" xfId="0" applyAlignment="1" applyBorder="1" applyFont="1">
      <alignment readingOrder="0" shrinkToFit="0" wrapText="0"/>
    </xf>
    <xf borderId="7" fillId="8" fontId="29" numFmtId="0" xfId="0" applyAlignment="1" applyBorder="1" applyFont="1">
      <alignment readingOrder="0" shrinkToFit="0" wrapText="1"/>
    </xf>
    <xf borderId="67" fillId="0" fontId="30" numFmtId="0" xfId="0" applyAlignment="1" applyBorder="1" applyFont="1">
      <alignment readingOrder="0" shrinkToFit="0" wrapText="1"/>
    </xf>
    <xf borderId="70" fillId="0" fontId="30" numFmtId="0" xfId="0" applyAlignment="1" applyBorder="1" applyFont="1">
      <alignment readingOrder="0" shrinkToFit="0" wrapText="1"/>
    </xf>
    <xf borderId="171" fillId="3" fontId="8" numFmtId="0" xfId="0" applyBorder="1" applyFont="1"/>
    <xf borderId="70" fillId="3" fontId="30" numFmtId="164" xfId="0" applyAlignment="1" applyBorder="1" applyFont="1" applyNumberFormat="1">
      <alignment readingOrder="0" shrinkToFit="0" wrapText="1"/>
    </xf>
    <xf borderId="70" fillId="3" fontId="30" numFmtId="164" xfId="0" applyAlignment="1" applyBorder="1" applyFont="1" applyNumberFormat="1">
      <alignment readingOrder="0" shrinkToFit="0" wrapText="1"/>
    </xf>
    <xf borderId="170" fillId="0" fontId="6" numFmtId="0" xfId="0" applyAlignment="1" applyBorder="1" applyFont="1">
      <alignment readingOrder="0" shrinkToFit="0" wrapText="0"/>
    </xf>
    <xf borderId="172" fillId="0" fontId="42" numFmtId="0" xfId="0" applyAlignment="1" applyBorder="1" applyFont="1">
      <alignment readingOrder="0" shrinkToFit="0" wrapText="1"/>
    </xf>
    <xf borderId="172" fillId="0" fontId="6" numFmtId="0" xfId="0" applyAlignment="1" applyBorder="1" applyFont="1">
      <alignment readingOrder="0" shrinkToFit="0" wrapText="1"/>
    </xf>
    <xf borderId="172" fillId="0" fontId="3" numFmtId="0" xfId="0" applyAlignment="1" applyBorder="1" applyFont="1">
      <alignment readingOrder="0" shrinkToFit="0" wrapText="1"/>
    </xf>
    <xf borderId="172" fillId="0" fontId="8" numFmtId="0" xfId="0" applyAlignment="1" applyBorder="1" applyFont="1">
      <alignment shrinkToFit="0" wrapText="1"/>
    </xf>
    <xf borderId="172" fillId="0" fontId="3" numFmtId="0" xfId="0" applyAlignment="1" applyBorder="1" applyFont="1">
      <alignment shrinkToFit="0" wrapText="1"/>
    </xf>
    <xf borderId="169" fillId="0" fontId="3" numFmtId="0" xfId="0" applyAlignment="1" applyBorder="1" applyFont="1">
      <alignment shrinkToFit="0" wrapText="1"/>
    </xf>
    <xf borderId="21" fillId="0" fontId="13" numFmtId="0" xfId="0" applyAlignment="1" applyBorder="1" applyFont="1">
      <alignment readingOrder="0" shrinkToFit="0" wrapText="1"/>
    </xf>
    <xf borderId="22" fillId="0" fontId="12" numFmtId="0" xfId="0" applyAlignment="1" applyBorder="1" applyFont="1">
      <alignment readingOrder="0" shrinkToFit="0" wrapText="1"/>
    </xf>
    <xf borderId="24" fillId="0" fontId="12" numFmtId="0" xfId="0" applyAlignment="1" applyBorder="1" applyFont="1">
      <alignment readingOrder="0" shrinkToFit="0" wrapText="1"/>
    </xf>
    <xf borderId="42" fillId="0" fontId="23" numFmtId="0" xfId="0" applyAlignment="1" applyBorder="1" applyFont="1">
      <alignment readingOrder="0" shrinkToFit="0" wrapText="1"/>
    </xf>
    <xf borderId="51" fillId="0" fontId="21" numFmtId="0" xfId="0" applyAlignment="1" applyBorder="1" applyFont="1">
      <alignment readingOrder="0" shrinkToFit="0" wrapText="1"/>
    </xf>
    <xf borderId="51" fillId="0" fontId="19" numFmtId="0" xfId="0" applyAlignment="1" applyBorder="1" applyFont="1">
      <alignment readingOrder="0" shrinkToFit="0" wrapText="1"/>
    </xf>
    <xf borderId="50" fillId="3" fontId="8" numFmtId="0" xfId="0" applyBorder="1" applyFont="1"/>
    <xf borderId="51" fillId="0" fontId="23" numFmtId="0" xfId="0" applyAlignment="1" applyBorder="1" applyFont="1">
      <alignment shrinkToFit="0" wrapText="1"/>
    </xf>
    <xf borderId="51" fillId="0" fontId="19" numFmtId="0" xfId="0" applyAlignment="1" applyBorder="1" applyFont="1">
      <alignment shrinkToFit="0" wrapText="1"/>
    </xf>
    <xf borderId="44" fillId="0" fontId="19" numFmtId="0" xfId="0" applyAlignment="1" applyBorder="1" applyFont="1">
      <alignment shrinkToFit="0" wrapText="1"/>
    </xf>
    <xf borderId="44" fillId="0" fontId="19" numFmtId="0" xfId="0" applyAlignment="1" applyBorder="1" applyFont="1">
      <alignment readingOrder="0" shrinkToFit="0" wrapText="1"/>
    </xf>
    <xf borderId="67" fillId="0" fontId="23" numFmtId="0" xfId="0" applyAlignment="1" applyBorder="1" applyFont="1">
      <alignment readingOrder="0" shrinkToFit="0" wrapText="1"/>
    </xf>
    <xf borderId="68" fillId="0" fontId="21" numFmtId="0" xfId="0" applyAlignment="1" applyBorder="1" applyFont="1">
      <alignment readingOrder="0" shrinkToFit="0" wrapText="1"/>
    </xf>
    <xf borderId="68" fillId="0" fontId="19" numFmtId="0" xfId="0" applyAlignment="1" applyBorder="1" applyFont="1">
      <alignment readingOrder="0" shrinkToFit="0" wrapText="1"/>
    </xf>
    <xf borderId="0" fillId="3" fontId="41" numFmtId="0" xfId="0" applyFont="1"/>
    <xf borderId="68" fillId="0" fontId="19" numFmtId="0" xfId="0" applyAlignment="1" applyBorder="1" applyFont="1">
      <alignment shrinkToFit="0" wrapText="1"/>
    </xf>
    <xf borderId="70" fillId="0" fontId="19" numFmtId="0" xfId="0" applyAlignment="1" applyBorder="1" applyFont="1">
      <alignment shrinkToFit="0" wrapText="1"/>
    </xf>
    <xf borderId="170" fillId="5" fontId="39" numFmtId="0" xfId="0" applyAlignment="1" applyBorder="1" applyFont="1">
      <alignment readingOrder="0" shrinkToFit="0" wrapText="1"/>
    </xf>
    <xf borderId="172" fillId="5" fontId="39" numFmtId="0" xfId="0" applyAlignment="1" applyBorder="1" applyFont="1">
      <alignment readingOrder="0" shrinkToFit="0" wrapText="1"/>
    </xf>
    <xf borderId="172" fillId="5" fontId="39" numFmtId="0" xfId="0" applyAlignment="1" applyBorder="1" applyFont="1">
      <alignment readingOrder="0"/>
    </xf>
    <xf borderId="173" fillId="5" fontId="39" numFmtId="0" xfId="0" applyAlignment="1" applyBorder="1" applyFont="1">
      <alignment readingOrder="0" shrinkToFit="0" wrapText="1"/>
    </xf>
    <xf borderId="169" fillId="5" fontId="39" numFmtId="0" xfId="0" applyAlignment="1" applyBorder="1" applyFont="1">
      <alignment readingOrder="0" shrinkToFit="0" wrapText="1"/>
    </xf>
    <xf borderId="42" fillId="3" fontId="19" numFmtId="0" xfId="0" applyAlignment="1" applyBorder="1" applyFont="1">
      <alignment readingOrder="0" shrinkToFit="0" wrapText="1"/>
    </xf>
    <xf borderId="51" fillId="3" fontId="19" numFmtId="0" xfId="0" applyAlignment="1" applyBorder="1" applyFont="1">
      <alignment readingOrder="0" shrinkToFit="0" wrapText="1"/>
    </xf>
    <xf borderId="51" fillId="3" fontId="19" numFmtId="0" xfId="0" applyAlignment="1" applyBorder="1" applyFont="1">
      <alignment readingOrder="0" shrinkToFit="0" wrapText="0"/>
    </xf>
    <xf borderId="51" fillId="3" fontId="8" numFmtId="0" xfId="0" applyBorder="1" applyFont="1"/>
    <xf borderId="52" fillId="3" fontId="19" numFmtId="0" xfId="0" applyAlignment="1" applyBorder="1" applyFont="1">
      <alignment shrinkToFit="0" wrapText="1"/>
    </xf>
    <xf borderId="44" fillId="3" fontId="19" numFmtId="164" xfId="0" applyAlignment="1" applyBorder="1" applyFont="1" applyNumberFormat="1">
      <alignment readingOrder="0" shrinkToFit="0" wrapText="1"/>
    </xf>
    <xf borderId="42" fillId="8" fontId="19" numFmtId="0" xfId="0" applyAlignment="1" applyBorder="1" applyFont="1">
      <alignment readingOrder="0" shrinkToFit="0" wrapText="1"/>
    </xf>
    <xf borderId="51" fillId="8" fontId="19" numFmtId="0" xfId="0" applyAlignment="1" applyBorder="1" applyFont="1">
      <alignment readingOrder="0" shrinkToFit="0" wrapText="1"/>
    </xf>
    <xf borderId="51" fillId="8" fontId="19" numFmtId="0" xfId="0" applyAlignment="1" applyBorder="1" applyFont="1">
      <alignment shrinkToFit="0" wrapText="1"/>
    </xf>
    <xf borderId="51" fillId="8" fontId="19" numFmtId="0" xfId="0" applyAlignment="1" applyBorder="1" applyFont="1">
      <alignment shrinkToFit="0" wrapText="0"/>
    </xf>
    <xf borderId="51" fillId="8" fontId="8" numFmtId="0" xfId="0" applyBorder="1" applyFont="1"/>
    <xf borderId="52" fillId="8" fontId="19" numFmtId="0" xfId="0" applyAlignment="1" applyBorder="1" applyFont="1">
      <alignment shrinkToFit="0" wrapText="1"/>
    </xf>
    <xf borderId="44" fillId="8" fontId="19" numFmtId="164" xfId="0" applyAlignment="1" applyBorder="1" applyFont="1" applyNumberFormat="1">
      <alignment readingOrder="0" shrinkToFit="0" wrapText="1"/>
    </xf>
    <xf borderId="42" fillId="3" fontId="19" numFmtId="0" xfId="0" applyAlignment="1" applyBorder="1" applyFont="1">
      <alignment shrinkToFit="0" wrapText="1"/>
    </xf>
    <xf borderId="51" fillId="3" fontId="19" numFmtId="0" xfId="0" applyAlignment="1" applyBorder="1" applyFont="1">
      <alignment shrinkToFit="0" wrapText="1"/>
    </xf>
    <xf borderId="42" fillId="8" fontId="19" numFmtId="0" xfId="0" applyAlignment="1" applyBorder="1" applyFont="1">
      <alignment shrinkToFit="0" wrapText="1"/>
    </xf>
    <xf borderId="51" fillId="3" fontId="19" numFmtId="0" xfId="0" applyAlignment="1" applyBorder="1" applyFont="1">
      <alignment shrinkToFit="0" wrapText="0"/>
    </xf>
    <xf borderId="0" fillId="0" fontId="43" numFmtId="0" xfId="0" applyAlignment="1" applyFont="1">
      <alignment readingOrder="0" shrinkToFit="0" wrapText="0"/>
    </xf>
    <xf borderId="0" fillId="0" fontId="44" numFmtId="0" xfId="0" applyAlignment="1" applyFont="1">
      <alignment readingOrder="0" shrinkToFit="0" wrapText="1"/>
    </xf>
    <xf borderId="0" fillId="0" fontId="10" numFmtId="0" xfId="0" applyAlignment="1" applyFont="1">
      <alignment vertical="center"/>
    </xf>
    <xf borderId="0" fillId="0" fontId="45" numFmtId="0" xfId="0" applyAlignment="1" applyFont="1">
      <alignment readingOrder="0"/>
    </xf>
    <xf borderId="61" fillId="7" fontId="19" numFmtId="0" xfId="0" applyAlignment="1" applyBorder="1" applyFont="1">
      <alignment shrinkToFit="0" wrapText="1"/>
    </xf>
    <xf borderId="174" fillId="7" fontId="19" numFmtId="0" xfId="0" applyAlignment="1" applyBorder="1" applyFont="1">
      <alignment shrinkToFit="0" wrapText="1"/>
    </xf>
    <xf borderId="65" fillId="7" fontId="19" numFmtId="0" xfId="0" applyAlignment="1" applyBorder="1" applyFont="1">
      <alignment shrinkToFit="0" wrapText="0"/>
    </xf>
    <xf borderId="65" fillId="7" fontId="8" numFmtId="0" xfId="0" applyBorder="1" applyFont="1"/>
    <xf borderId="66" fillId="7" fontId="19" numFmtId="0" xfId="0" applyAlignment="1" applyBorder="1" applyFont="1">
      <alignment shrinkToFit="0" wrapText="1"/>
    </xf>
    <xf borderId="47" fillId="7" fontId="8" numFmtId="0" xfId="0" applyBorder="1" applyFont="1"/>
    <xf borderId="64" fillId="7" fontId="8" numFmtId="0" xfId="0" applyBorder="1" applyFont="1"/>
    <xf borderId="63" fillId="7" fontId="19" numFmtId="164" xfId="0" applyAlignment="1" applyBorder="1" applyFont="1" applyNumberFormat="1">
      <alignment readingOrder="0" shrinkToFit="0" wrapText="1"/>
    </xf>
    <xf borderId="0" fillId="3" fontId="41" numFmtId="0" xfId="0" applyAlignment="1" applyFont="1">
      <alignment shrinkToFit="0" wrapText="1"/>
    </xf>
    <xf borderId="1" fillId="6" fontId="6" numFmtId="0" xfId="0" applyAlignment="1" applyBorder="1" applyFont="1">
      <alignment readingOrder="0" shrinkToFit="0" wrapText="1"/>
    </xf>
    <xf borderId="175" fillId="6" fontId="8" numFmtId="0" xfId="0" applyBorder="1" applyFont="1"/>
    <xf borderId="176" fillId="6" fontId="27" numFmtId="0" xfId="0" applyAlignment="1" applyBorder="1" applyFont="1">
      <alignment readingOrder="0" shrinkToFit="0" wrapText="1"/>
    </xf>
    <xf borderId="177" fillId="0" fontId="6" numFmtId="0" xfId="0" applyAlignment="1" applyBorder="1" applyFont="1">
      <alignment readingOrder="0" shrinkToFit="0" wrapText="1"/>
    </xf>
    <xf borderId="176" fillId="0" fontId="27" numFmtId="0" xfId="0" applyAlignment="1" applyBorder="1" applyFont="1">
      <alignment readingOrder="0" shrinkToFit="0" wrapText="1"/>
    </xf>
    <xf borderId="3" fillId="6" fontId="8" numFmtId="0" xfId="0" applyBorder="1" applyFont="1"/>
    <xf borderId="46" fillId="3" fontId="8" numFmtId="0" xfId="0" applyBorder="1" applyFont="1"/>
    <xf borderId="49" fillId="3" fontId="29" numFmtId="164" xfId="0" applyAlignment="1" applyBorder="1" applyFont="1" applyNumberFormat="1">
      <alignment readingOrder="0" shrinkToFit="0" wrapText="1"/>
    </xf>
    <xf borderId="45" fillId="0" fontId="29" numFmtId="0" xfId="0" applyAlignment="1" applyBorder="1" applyFont="1">
      <alignment readingOrder="0" shrinkToFit="0" wrapText="0"/>
    </xf>
    <xf borderId="49" fillId="0" fontId="29" numFmtId="0" xfId="0" applyAlignment="1" applyBorder="1" applyFont="1">
      <alignment readingOrder="0" shrinkToFit="0" wrapText="1"/>
    </xf>
    <xf borderId="7" fillId="10" fontId="23" numFmtId="0" xfId="0" applyAlignment="1" applyBorder="1" applyFont="1">
      <alignment readingOrder="0" shrinkToFit="0" wrapText="1"/>
    </xf>
    <xf borderId="46" fillId="10" fontId="8" numFmtId="0" xfId="0" applyBorder="1" applyFont="1"/>
    <xf borderId="49" fillId="10" fontId="29" numFmtId="164" xfId="0" applyAlignment="1" applyBorder="1" applyFont="1" applyNumberFormat="1">
      <alignment readingOrder="0" shrinkToFit="0" wrapText="1"/>
    </xf>
    <xf borderId="7" fillId="10" fontId="29" numFmtId="0" xfId="0" applyAlignment="1" applyBorder="1" applyFont="1">
      <alignment readingOrder="0" shrinkToFit="0" wrapText="1"/>
    </xf>
    <xf borderId="71" fillId="0" fontId="30" numFmtId="0" xfId="0" applyAlignment="1" applyBorder="1" applyFont="1">
      <alignment readingOrder="0" shrinkToFit="0" wrapText="1"/>
    </xf>
    <xf borderId="74" fillId="0" fontId="30" numFmtId="0" xfId="0" applyAlignment="1" applyBorder="1" applyFont="1">
      <alignment readingOrder="0" shrinkToFit="0" wrapText="1"/>
    </xf>
    <xf borderId="178" fillId="3" fontId="8" numFmtId="0" xfId="0" applyBorder="1" applyFont="1"/>
    <xf borderId="74" fillId="3" fontId="30" numFmtId="164" xfId="0" applyAlignment="1" applyBorder="1" applyFont="1" applyNumberFormat="1">
      <alignment readingOrder="0" shrinkToFit="0" wrapText="1"/>
    </xf>
    <xf borderId="74" fillId="3" fontId="30" numFmtId="164" xfId="0" applyAlignment="1" applyBorder="1" applyFont="1" applyNumberFormat="1">
      <alignment readingOrder="0" shrinkToFit="0" wrapText="1"/>
    </xf>
    <xf borderId="1" fillId="6" fontId="6" numFmtId="0" xfId="0" applyAlignment="1" applyBorder="1" applyFont="1">
      <alignment readingOrder="0" shrinkToFit="0" wrapText="0"/>
    </xf>
    <xf borderId="25" fillId="9" fontId="19" numFmtId="0" xfId="0" applyAlignment="1" applyBorder="1" applyFont="1">
      <alignment shrinkToFit="0" wrapText="1"/>
    </xf>
    <xf borderId="179" fillId="6" fontId="6" numFmtId="0" xfId="0" applyAlignment="1" applyBorder="1" applyFont="1">
      <alignment readingOrder="0" shrinkToFit="0" wrapText="1"/>
    </xf>
    <xf borderId="179" fillId="6" fontId="3" numFmtId="0" xfId="0" applyAlignment="1" applyBorder="1" applyFont="1">
      <alignment readingOrder="0" shrinkToFit="0" wrapText="1"/>
    </xf>
    <xf borderId="26" fillId="9" fontId="19" numFmtId="0" xfId="0" applyAlignment="1" applyBorder="1" applyFont="1">
      <alignment shrinkToFit="0" wrapText="0"/>
    </xf>
    <xf borderId="47" fillId="9" fontId="8" numFmtId="0" xfId="0" applyBorder="1" applyFont="1"/>
    <xf borderId="179" fillId="6" fontId="8" numFmtId="0" xfId="0" applyAlignment="1" applyBorder="1" applyFont="1">
      <alignment shrinkToFit="0" wrapText="1"/>
    </xf>
    <xf borderId="180" fillId="9" fontId="19" numFmtId="0" xfId="0" applyAlignment="1" applyBorder="1" applyFont="1">
      <alignment shrinkToFit="0" wrapText="1"/>
    </xf>
    <xf borderId="179" fillId="6" fontId="3" numFmtId="0" xfId="0" applyAlignment="1" applyBorder="1" applyFont="1">
      <alignment shrinkToFit="0" wrapText="1"/>
    </xf>
    <xf borderId="29" fillId="0" fontId="19" numFmtId="164" xfId="0" applyAlignment="1" applyBorder="1" applyFont="1" applyNumberFormat="1">
      <alignment readingOrder="0" shrinkToFit="0" wrapText="1"/>
    </xf>
    <xf borderId="176" fillId="6" fontId="3" numFmtId="0" xfId="0" applyAlignment="1" applyBorder="1" applyFont="1">
      <alignment shrinkToFit="0" wrapText="1"/>
    </xf>
    <xf borderId="27" fillId="3" fontId="13" numFmtId="0" xfId="0" applyAlignment="1" applyBorder="1" applyFont="1">
      <alignment readingOrder="0" shrinkToFit="0" wrapText="1"/>
    </xf>
    <xf borderId="28" fillId="3" fontId="12" numFmtId="0" xfId="0" applyAlignment="1" applyBorder="1" applyFont="1">
      <alignment readingOrder="0" shrinkToFit="0" wrapText="1"/>
    </xf>
    <xf borderId="31" fillId="3" fontId="12" numFmtId="0" xfId="0" applyAlignment="1" applyBorder="1" applyFont="1">
      <alignment readingOrder="0" shrinkToFit="0" wrapText="1"/>
    </xf>
    <xf borderId="42" fillId="10" fontId="23" numFmtId="0" xfId="0" applyAlignment="1" applyBorder="1" applyFont="1">
      <alignment readingOrder="0" shrinkToFit="0" wrapText="1"/>
    </xf>
    <xf borderId="53" fillId="10" fontId="21" numFmtId="0" xfId="0" applyAlignment="1" applyBorder="1" applyFont="1">
      <alignment readingOrder="0" shrinkToFit="0" wrapText="1"/>
    </xf>
    <xf borderId="53" fillId="10" fontId="19" numFmtId="0" xfId="0" applyAlignment="1" applyBorder="1" applyFont="1">
      <alignment readingOrder="0" shrinkToFit="0" wrapText="1"/>
    </xf>
    <xf borderId="53" fillId="10" fontId="23" numFmtId="0" xfId="0" applyAlignment="1" applyBorder="1" applyFont="1">
      <alignment shrinkToFit="0" wrapText="1"/>
    </xf>
    <xf borderId="53" fillId="10" fontId="19" numFmtId="0" xfId="0" applyAlignment="1" applyBorder="1" applyFont="1">
      <alignment shrinkToFit="0" wrapText="1"/>
    </xf>
    <xf borderId="49" fillId="10" fontId="19" numFmtId="0" xfId="0" applyAlignment="1" applyBorder="1" applyFont="1">
      <alignment shrinkToFit="0" wrapText="1"/>
    </xf>
    <xf borderId="53" fillId="3" fontId="21" numFmtId="0" xfId="0" applyAlignment="1" applyBorder="1" applyFont="1">
      <alignment readingOrder="0" shrinkToFit="0" wrapText="1"/>
    </xf>
    <xf borderId="53" fillId="3" fontId="19" numFmtId="0" xfId="0" applyAlignment="1" applyBorder="1" applyFont="1">
      <alignment readingOrder="0" shrinkToFit="0" wrapText="1"/>
    </xf>
    <xf borderId="49" fillId="3" fontId="19" numFmtId="0" xfId="0" applyAlignment="1" applyBorder="1" applyFont="1">
      <alignment readingOrder="0" shrinkToFit="0" wrapText="1"/>
    </xf>
    <xf borderId="1" fillId="17" fontId="6" numFmtId="0" xfId="0" applyAlignment="1" applyBorder="1" applyFont="1">
      <alignment readingOrder="0" shrinkToFit="0" wrapText="1"/>
    </xf>
    <xf borderId="181" fillId="17" fontId="8" numFmtId="0" xfId="0" applyBorder="1" applyFont="1"/>
    <xf borderId="182" fillId="17" fontId="27" numFmtId="0" xfId="0" applyAlignment="1" applyBorder="1" applyFont="1">
      <alignment readingOrder="0" shrinkToFit="0" wrapText="1"/>
    </xf>
    <xf borderId="183" fillId="0" fontId="6" numFmtId="0" xfId="0" applyAlignment="1" applyBorder="1" applyFont="1">
      <alignment readingOrder="0" shrinkToFit="0" wrapText="1"/>
    </xf>
    <xf borderId="182" fillId="0" fontId="27" numFmtId="0" xfId="0" applyAlignment="1" applyBorder="1" applyFont="1">
      <alignment readingOrder="0" shrinkToFit="0" wrapText="1"/>
    </xf>
    <xf borderId="3" fillId="17" fontId="8" numFmtId="0" xfId="0" applyBorder="1" applyFont="1"/>
    <xf borderId="53" fillId="3" fontId="19" numFmtId="0" xfId="0" applyAlignment="1" applyBorder="1" applyFont="1">
      <alignment shrinkToFit="0" wrapText="1"/>
    </xf>
    <xf borderId="95" fillId="3" fontId="8" numFmtId="0" xfId="0" applyBorder="1" applyFont="1"/>
    <xf borderId="96" fillId="3" fontId="29" numFmtId="164" xfId="0" applyAlignment="1" applyBorder="1" applyFont="1" applyNumberFormat="1">
      <alignment readingOrder="0" shrinkToFit="0" wrapText="1"/>
    </xf>
    <xf borderId="94" fillId="0" fontId="29" numFmtId="0" xfId="0" applyAlignment="1" applyBorder="1" applyFont="1">
      <alignment readingOrder="0" shrinkToFit="0" wrapText="1"/>
    </xf>
    <xf borderId="49" fillId="3" fontId="19" numFmtId="0" xfId="0" applyAlignment="1" applyBorder="1" applyFont="1">
      <alignment shrinkToFit="0" wrapText="1"/>
    </xf>
    <xf borderId="96" fillId="0" fontId="29" numFmtId="0" xfId="0" applyAlignment="1" applyBorder="1" applyFont="1">
      <alignment readingOrder="0" shrinkToFit="0" wrapText="1"/>
    </xf>
    <xf borderId="67" fillId="10" fontId="23" numFmtId="0" xfId="0" applyAlignment="1" applyBorder="1" applyFont="1">
      <alignment readingOrder="0" shrinkToFit="0" wrapText="1"/>
    </xf>
    <xf borderId="72" fillId="10" fontId="21" numFmtId="0" xfId="0" applyAlignment="1" applyBorder="1" applyFont="1">
      <alignment readingOrder="0" shrinkToFit="0" wrapText="1"/>
    </xf>
    <xf borderId="72" fillId="10" fontId="19" numFmtId="0" xfId="0" applyAlignment="1" applyBorder="1" applyFont="1">
      <alignment readingOrder="0" shrinkToFit="0" wrapText="1"/>
    </xf>
    <xf borderId="7" fillId="11" fontId="23" numFmtId="0" xfId="0" applyAlignment="1" applyBorder="1" applyFont="1">
      <alignment readingOrder="0" shrinkToFit="0" wrapText="1"/>
    </xf>
    <xf borderId="95" fillId="11" fontId="8" numFmtId="0" xfId="0" applyBorder="1" applyFont="1"/>
    <xf borderId="96" fillId="11" fontId="29" numFmtId="164" xfId="0" applyAlignment="1" applyBorder="1" applyFont="1" applyNumberFormat="1">
      <alignment readingOrder="0" shrinkToFit="0" wrapText="1"/>
    </xf>
    <xf borderId="94" fillId="0" fontId="29" numFmtId="0" xfId="0" applyAlignment="1" applyBorder="1" applyFont="1">
      <alignment readingOrder="0" shrinkToFit="0" wrapText="0"/>
    </xf>
    <xf borderId="72" fillId="10" fontId="19" numFmtId="0" xfId="0" applyAlignment="1" applyBorder="1" applyFont="1">
      <alignment shrinkToFit="0" wrapText="1"/>
    </xf>
    <xf borderId="7" fillId="11" fontId="29" numFmtId="0" xfId="0" applyAlignment="1" applyBorder="1" applyFont="1">
      <alignment readingOrder="0" shrinkToFit="0" wrapText="1"/>
    </xf>
    <xf borderId="74" fillId="10" fontId="19" numFmtId="0" xfId="0" applyAlignment="1" applyBorder="1" applyFont="1">
      <alignment shrinkToFit="0" wrapText="1"/>
    </xf>
    <xf borderId="110" fillId="0" fontId="30" numFmtId="0" xfId="0" applyAlignment="1" applyBorder="1" applyFont="1">
      <alignment readingOrder="0" shrinkToFit="0" wrapText="1"/>
    </xf>
    <xf borderId="113" fillId="0" fontId="30" numFmtId="0" xfId="0" applyAlignment="1" applyBorder="1" applyFont="1">
      <alignment readingOrder="0" shrinkToFit="0" wrapText="1"/>
    </xf>
    <xf borderId="45" fillId="10" fontId="23" numFmtId="0" xfId="0" applyAlignment="1" applyBorder="1" applyFont="1">
      <alignment readingOrder="0" shrinkToFit="0" wrapText="1"/>
    </xf>
    <xf borderId="184" fillId="3" fontId="8" numFmtId="0" xfId="0" applyBorder="1" applyFont="1"/>
    <xf borderId="113" fillId="3" fontId="30" numFmtId="164" xfId="0" applyAlignment="1" applyBorder="1" applyFont="1" applyNumberFormat="1">
      <alignment readingOrder="0" shrinkToFit="0" wrapText="1"/>
    </xf>
    <xf borderId="45" fillId="3" fontId="23" numFmtId="0" xfId="0" applyAlignment="1" applyBorder="1" applyFont="1">
      <alignment readingOrder="0" shrinkToFit="0" wrapText="1"/>
    </xf>
    <xf borderId="113" fillId="3" fontId="30" numFmtId="164" xfId="0" applyAlignment="1" applyBorder="1" applyFont="1" applyNumberFormat="1">
      <alignment readingOrder="0" shrinkToFit="0" wrapText="1"/>
    </xf>
    <xf borderId="183" fillId="0" fontId="6" numFmtId="0" xfId="0" applyAlignment="1" applyBorder="1" applyFont="1">
      <alignment readingOrder="0" shrinkToFit="0" wrapText="0"/>
    </xf>
    <xf borderId="185" fillId="0" fontId="46" numFmtId="0" xfId="0" applyAlignment="1" applyBorder="1" applyFont="1">
      <alignment readingOrder="0" shrinkToFit="0" wrapText="1"/>
    </xf>
    <xf borderId="185" fillId="0" fontId="6" numFmtId="0" xfId="0" applyAlignment="1" applyBorder="1" applyFont="1">
      <alignment readingOrder="0" shrinkToFit="0" wrapText="1"/>
    </xf>
    <xf borderId="185" fillId="0" fontId="3" numFmtId="0" xfId="0" applyAlignment="1" applyBorder="1" applyFont="1">
      <alignment readingOrder="0" shrinkToFit="0" wrapText="1"/>
    </xf>
    <xf borderId="185" fillId="0" fontId="8" numFmtId="0" xfId="0" applyAlignment="1" applyBorder="1" applyFont="1">
      <alignment shrinkToFit="0" wrapText="1"/>
    </xf>
    <xf borderId="185" fillId="0" fontId="3" numFmtId="0" xfId="0" applyAlignment="1" applyBorder="1" applyFont="1">
      <alignment shrinkToFit="0" wrapText="1"/>
    </xf>
    <xf borderId="182" fillId="0" fontId="3" numFmtId="0" xfId="0" applyAlignment="1" applyBorder="1" applyFont="1">
      <alignment shrinkToFit="0" wrapText="1"/>
    </xf>
    <xf borderId="78" fillId="0" fontId="13" numFmtId="0" xfId="0" applyAlignment="1" applyBorder="1" applyFont="1">
      <alignment readingOrder="0" shrinkToFit="0" wrapText="1"/>
    </xf>
    <xf borderId="79" fillId="0" fontId="12" numFmtId="0" xfId="0" applyAlignment="1" applyBorder="1" applyFont="1">
      <alignment readingOrder="0" shrinkToFit="0" wrapText="1"/>
    </xf>
    <xf borderId="81" fillId="0" fontId="12" numFmtId="0" xfId="0" applyAlignment="1" applyBorder="1" applyFont="1">
      <alignment readingOrder="0" shrinkToFit="0" wrapText="1"/>
    </xf>
    <xf borderId="106" fillId="0" fontId="21" numFmtId="0" xfId="0" applyAlignment="1" applyBorder="1" applyFont="1">
      <alignment readingOrder="0" shrinkToFit="0" wrapText="1"/>
    </xf>
    <xf borderId="106" fillId="0" fontId="19" numFmtId="0" xfId="0" applyAlignment="1" applyBorder="1" applyFont="1">
      <alignment readingOrder="0" shrinkToFit="0" wrapText="1"/>
    </xf>
    <xf borderId="106" fillId="0" fontId="23" numFmtId="0" xfId="0" applyAlignment="1" applyBorder="1" applyFont="1">
      <alignment shrinkToFit="0" wrapText="1"/>
    </xf>
    <xf borderId="106" fillId="0" fontId="19" numFmtId="0" xfId="0" applyAlignment="1" applyBorder="1" applyFont="1">
      <alignment shrinkToFit="0" wrapText="1"/>
    </xf>
    <xf borderId="96" fillId="0" fontId="19" numFmtId="0" xfId="0" applyAlignment="1" applyBorder="1" applyFont="1">
      <alignment shrinkToFit="0" wrapText="1"/>
    </xf>
    <xf borderId="71" fillId="3" fontId="23" numFmtId="0" xfId="0" applyAlignment="1" applyBorder="1" applyFont="1">
      <alignment readingOrder="0" shrinkToFit="0" wrapText="1"/>
    </xf>
    <xf borderId="96" fillId="0" fontId="19" numFmtId="0" xfId="0" applyAlignment="1" applyBorder="1" applyFont="1">
      <alignment readingOrder="0" shrinkToFit="0" wrapText="1"/>
    </xf>
    <xf borderId="72" fillId="3" fontId="21" numFmtId="0" xfId="0" applyAlignment="1" applyBorder="1" applyFont="1">
      <alignment readingOrder="0" shrinkToFit="0" wrapText="1"/>
    </xf>
    <xf borderId="72" fillId="3" fontId="19" numFmtId="0" xfId="0" applyAlignment="1" applyBorder="1" applyFont="1">
      <alignment readingOrder="0" shrinkToFit="0" wrapText="1"/>
    </xf>
    <xf borderId="72" fillId="3" fontId="19" numFmtId="0" xfId="0" applyAlignment="1" applyBorder="1" applyFont="1">
      <alignment shrinkToFit="0" wrapText="1"/>
    </xf>
    <xf borderId="74" fillId="3" fontId="19" numFmtId="0" xfId="0" applyAlignment="1" applyBorder="1" applyFont="1">
      <alignment shrinkToFit="0" wrapText="1"/>
    </xf>
    <xf borderId="111" fillId="0" fontId="21" numFmtId="0" xfId="0" applyAlignment="1" applyBorder="1" applyFont="1">
      <alignment readingOrder="0" shrinkToFit="0" wrapText="1"/>
    </xf>
    <xf borderId="177" fillId="6" fontId="39" numFmtId="0" xfId="0" applyAlignment="1" applyBorder="1" applyFont="1">
      <alignment readingOrder="0" shrinkToFit="0" wrapText="1"/>
    </xf>
    <xf borderId="111" fillId="0" fontId="19" numFmtId="0" xfId="0" applyAlignment="1" applyBorder="1" applyFont="1">
      <alignment readingOrder="0" shrinkToFit="0" wrapText="1"/>
    </xf>
    <xf borderId="179" fillId="6" fontId="39" numFmtId="0" xfId="0" applyAlignment="1" applyBorder="1" applyFont="1">
      <alignment readingOrder="0" shrinkToFit="0" wrapText="1"/>
    </xf>
    <xf borderId="179" fillId="6" fontId="39" numFmtId="0" xfId="0" applyAlignment="1" applyBorder="1" applyFont="1">
      <alignment readingOrder="0"/>
    </xf>
    <xf borderId="111" fillId="0" fontId="19" numFmtId="0" xfId="0" applyAlignment="1" applyBorder="1" applyFont="1">
      <alignment shrinkToFit="0" wrapText="1"/>
    </xf>
    <xf borderId="186" fillId="6" fontId="39" numFmtId="0" xfId="0" applyAlignment="1" applyBorder="1" applyFont="1">
      <alignment readingOrder="0" shrinkToFit="0" wrapText="1"/>
    </xf>
    <xf borderId="113" fillId="0" fontId="19" numFmtId="0" xfId="0" applyAlignment="1" applyBorder="1" applyFont="1">
      <alignment shrinkToFit="0" wrapText="1"/>
    </xf>
    <xf borderId="176" fillId="6" fontId="39" numFmtId="0" xfId="0" applyAlignment="1" applyBorder="1" applyFont="1">
      <alignment readingOrder="0" shrinkToFit="0" wrapText="1"/>
    </xf>
    <xf borderId="0" fillId="3" fontId="41" numFmtId="0" xfId="0" applyFont="1"/>
    <xf borderId="45" fillId="3" fontId="19" numFmtId="0" xfId="0" applyAlignment="1" applyBorder="1" applyFont="1">
      <alignment readingOrder="0" shrinkToFit="0" wrapText="1"/>
    </xf>
    <xf borderId="94" fillId="0" fontId="23" numFmtId="0" xfId="0" applyAlignment="1" applyBorder="1" applyFont="1">
      <alignment readingOrder="0" shrinkToFit="0" wrapText="1"/>
    </xf>
    <xf borderId="53" fillId="3" fontId="19" numFmtId="0" xfId="0" applyAlignment="1" applyBorder="1" applyFont="1">
      <alignment readingOrder="0" shrinkToFit="0" wrapText="0"/>
    </xf>
    <xf borderId="53" fillId="3" fontId="8" numFmtId="0" xfId="0" applyAlignment="1" applyBorder="1" applyFont="1">
      <alignment readingOrder="0"/>
    </xf>
    <xf borderId="54" fillId="3" fontId="19" numFmtId="0" xfId="0" applyAlignment="1" applyBorder="1" applyFont="1">
      <alignment shrinkToFit="0" wrapText="1"/>
    </xf>
    <xf borderId="49" fillId="3" fontId="19" numFmtId="164" xfId="0" applyAlignment="1" applyBorder="1" applyFont="1" applyNumberFormat="1">
      <alignment readingOrder="0" shrinkToFit="0" wrapText="1"/>
    </xf>
    <xf borderId="45" fillId="10" fontId="19" numFmtId="0" xfId="0" applyAlignment="1" applyBorder="1" applyFont="1">
      <alignment readingOrder="0" shrinkToFit="0" wrapText="1"/>
    </xf>
    <xf borderId="53" fillId="10" fontId="19" numFmtId="0" xfId="0" applyAlignment="1" applyBorder="1" applyFont="1">
      <alignment shrinkToFit="0" wrapText="0"/>
    </xf>
    <xf borderId="53" fillId="10" fontId="8" numFmtId="0" xfId="0" applyAlignment="1" applyBorder="1" applyFont="1">
      <alignment readingOrder="0"/>
    </xf>
    <xf borderId="54" fillId="10" fontId="19" numFmtId="0" xfId="0" applyAlignment="1" applyBorder="1" applyFont="1">
      <alignment shrinkToFit="0" wrapText="1"/>
    </xf>
    <xf borderId="49" fillId="10" fontId="19" numFmtId="164" xfId="0" applyAlignment="1" applyBorder="1" applyFont="1" applyNumberFormat="1">
      <alignment readingOrder="0" shrinkToFit="0" wrapText="1"/>
    </xf>
    <xf borderId="45" fillId="3" fontId="19" numFmtId="0" xfId="0" applyAlignment="1" applyBorder="1" applyFont="1">
      <alignment shrinkToFit="0" wrapText="1"/>
    </xf>
    <xf borderId="53" fillId="3" fontId="8" numFmtId="0" xfId="0" applyBorder="1" applyFont="1"/>
    <xf borderId="45" fillId="10" fontId="19" numFmtId="0" xfId="0" applyAlignment="1" applyBorder="1" applyFont="1">
      <alignment shrinkToFit="0" wrapText="1"/>
    </xf>
    <xf borderId="53" fillId="10" fontId="8" numFmtId="0" xfId="0" applyBorder="1" applyFont="1"/>
    <xf borderId="110" fillId="0" fontId="23" numFmtId="0" xfId="0" applyAlignment="1" applyBorder="1" applyFont="1">
      <alignment readingOrder="0" shrinkToFit="0" wrapText="1"/>
    </xf>
    <xf borderId="53" fillId="3" fontId="19" numFmtId="0" xfId="0" applyAlignment="1" applyBorder="1" applyFont="1">
      <alignment shrinkToFit="0" wrapText="0"/>
    </xf>
    <xf borderId="183" fillId="17" fontId="39" numFmtId="0" xfId="0" applyAlignment="1" applyBorder="1" applyFont="1">
      <alignment readingOrder="0" shrinkToFit="0" wrapText="1"/>
    </xf>
    <xf borderId="185" fillId="17" fontId="39" numFmtId="0" xfId="0" applyAlignment="1" applyBorder="1" applyFont="1">
      <alignment readingOrder="0" shrinkToFit="0" wrapText="1"/>
    </xf>
    <xf borderId="187" fillId="17" fontId="39" numFmtId="0" xfId="0" applyAlignment="1" applyBorder="1" applyFont="1">
      <alignment readingOrder="0" shrinkToFit="0" wrapText="1"/>
    </xf>
    <xf borderId="185" fillId="17" fontId="39" numFmtId="0" xfId="0" applyAlignment="1" applyBorder="1" applyFont="1">
      <alignment readingOrder="0"/>
    </xf>
    <xf borderId="188" fillId="17" fontId="39" numFmtId="0" xfId="0" applyAlignment="1" applyBorder="1" applyFont="1">
      <alignment readingOrder="0" shrinkToFit="0" wrapText="1"/>
    </xf>
    <xf borderId="3" fillId="17" fontId="39" numFmtId="0" xfId="0" applyAlignment="1" applyBorder="1" applyFont="1">
      <alignment readingOrder="0" shrinkToFit="0" wrapText="1"/>
    </xf>
    <xf borderId="94" fillId="3" fontId="19" numFmtId="0" xfId="0" applyAlignment="1" applyBorder="1" applyFont="1">
      <alignment readingOrder="0" shrinkToFit="0" wrapText="1"/>
    </xf>
    <xf borderId="106" fillId="3" fontId="19" numFmtId="0" xfId="0" applyAlignment="1" applyBorder="1" applyFont="1">
      <alignment readingOrder="0" shrinkToFit="0" wrapText="1"/>
    </xf>
    <xf borderId="106" fillId="3" fontId="19" numFmtId="0" xfId="0" applyAlignment="1" applyBorder="1" applyFont="1">
      <alignment readingOrder="0" shrinkToFit="0" wrapText="0"/>
    </xf>
    <xf borderId="106" fillId="3" fontId="8" numFmtId="0" xfId="0" applyAlignment="1" applyBorder="1" applyFont="1">
      <alignment readingOrder="0"/>
    </xf>
    <xf borderId="107" fillId="3" fontId="19" numFmtId="0" xfId="0" applyAlignment="1" applyBorder="1" applyFont="1">
      <alignment shrinkToFit="0" wrapText="1"/>
    </xf>
    <xf borderId="96" fillId="3" fontId="19" numFmtId="164" xfId="0" applyAlignment="1" applyBorder="1" applyFont="1" applyNumberFormat="1">
      <alignment readingOrder="0" shrinkToFit="0" wrapText="1"/>
    </xf>
    <xf borderId="94" fillId="11" fontId="19" numFmtId="0" xfId="0" applyAlignment="1" applyBorder="1" applyFont="1">
      <alignment readingOrder="0" shrinkToFit="0" wrapText="1"/>
    </xf>
    <xf borderId="106" fillId="11" fontId="19" numFmtId="0" xfId="0" applyAlignment="1" applyBorder="1" applyFont="1">
      <alignment readingOrder="0" shrinkToFit="0" wrapText="1"/>
    </xf>
    <xf borderId="106" fillId="11" fontId="19" numFmtId="0" xfId="0" applyAlignment="1" applyBorder="1" applyFont="1">
      <alignment shrinkToFit="0" wrapText="1"/>
    </xf>
    <xf borderId="106" fillId="11" fontId="19" numFmtId="0" xfId="0" applyAlignment="1" applyBorder="1" applyFont="1">
      <alignment shrinkToFit="0" wrapText="0"/>
    </xf>
    <xf borderId="106" fillId="11" fontId="8" numFmtId="0" xfId="0" applyAlignment="1" applyBorder="1" applyFont="1">
      <alignment readingOrder="0"/>
    </xf>
    <xf borderId="107" fillId="11" fontId="19" numFmtId="0" xfId="0" applyAlignment="1" applyBorder="1" applyFont="1">
      <alignment shrinkToFit="0" wrapText="1"/>
    </xf>
    <xf borderId="96" fillId="11" fontId="19" numFmtId="164" xfId="0" applyAlignment="1" applyBorder="1" applyFont="1" applyNumberFormat="1">
      <alignment readingOrder="0" shrinkToFit="0" wrapText="1"/>
    </xf>
    <xf borderId="94" fillId="3" fontId="19" numFmtId="0" xfId="0" applyAlignment="1" applyBorder="1" applyFont="1">
      <alignment shrinkToFit="0" wrapText="1"/>
    </xf>
    <xf borderId="106" fillId="3" fontId="19" numFmtId="0" xfId="0" applyAlignment="1" applyBorder="1" applyFont="1">
      <alignment shrinkToFit="0" wrapText="1"/>
    </xf>
    <xf borderId="189" fillId="3" fontId="19" numFmtId="0" xfId="0" applyAlignment="1" applyBorder="1" applyFont="1">
      <alignment shrinkToFit="0" wrapText="1"/>
    </xf>
    <xf borderId="106" fillId="3" fontId="8" numFmtId="0" xfId="0" applyBorder="1" applyFont="1"/>
    <xf borderId="94" fillId="11" fontId="19" numFmtId="0" xfId="0" applyAlignment="1" applyBorder="1" applyFont="1">
      <alignment shrinkToFit="0" wrapText="1"/>
    </xf>
    <xf borderId="189" fillId="11" fontId="19" numFmtId="0" xfId="0" applyAlignment="1" applyBorder="1" applyFont="1">
      <alignment shrinkToFit="0" wrapText="1"/>
    </xf>
    <xf borderId="106" fillId="11" fontId="8" numFmtId="0" xfId="0" applyBorder="1" applyFont="1"/>
    <xf borderId="106" fillId="3" fontId="19" numFmtId="0" xfId="0" applyAlignment="1" applyBorder="1" applyFont="1">
      <alignment shrinkToFit="0" wrapText="0"/>
    </xf>
    <xf borderId="67" fillId="8" fontId="19" numFmtId="0" xfId="0" applyAlignment="1" applyBorder="1" applyFont="1">
      <alignment shrinkToFit="0" wrapText="1"/>
    </xf>
    <xf borderId="68" fillId="8" fontId="19" numFmtId="0" xfId="0" applyAlignment="1" applyBorder="1" applyFont="1">
      <alignment shrinkToFit="0" wrapText="1"/>
    </xf>
    <xf borderId="68" fillId="8" fontId="19" numFmtId="0" xfId="0" applyAlignment="1" applyBorder="1" applyFont="1">
      <alignment shrinkToFit="0" wrapText="0"/>
    </xf>
    <xf borderId="68" fillId="8" fontId="8" numFmtId="0" xfId="0" applyBorder="1" applyFont="1"/>
    <xf borderId="69" fillId="8" fontId="19" numFmtId="0" xfId="0" applyAlignment="1" applyBorder="1" applyFont="1">
      <alignment shrinkToFit="0" wrapText="1"/>
    </xf>
    <xf borderId="47" fillId="8" fontId="8" numFmtId="0" xfId="0" applyBorder="1" applyFont="1"/>
    <xf borderId="171" fillId="8" fontId="8" numFmtId="0" xfId="0" applyBorder="1" applyFont="1"/>
    <xf borderId="70" fillId="8" fontId="19" numFmtId="164" xfId="0" applyAlignment="1" applyBorder="1" applyFont="1" applyNumberFormat="1">
      <alignment readingOrder="0" shrinkToFit="0" wrapText="1"/>
    </xf>
    <xf borderId="1" fillId="18" fontId="6" numFmtId="0" xfId="0" applyAlignment="1" applyBorder="1" applyFont="1">
      <alignment readingOrder="0" shrinkToFit="0" wrapText="1"/>
    </xf>
    <xf borderId="190" fillId="18" fontId="8" numFmtId="0" xfId="0" applyBorder="1" applyFont="1"/>
    <xf borderId="191" fillId="18" fontId="27" numFmtId="0" xfId="0" applyAlignment="1" applyBorder="1" applyFont="1">
      <alignment readingOrder="0" shrinkToFit="0" wrapText="1"/>
    </xf>
    <xf borderId="192" fillId="0" fontId="6" numFmtId="0" xfId="0" applyAlignment="1" applyBorder="1" applyFont="1">
      <alignment readingOrder="0" shrinkToFit="0" wrapText="1"/>
    </xf>
    <xf borderId="191" fillId="0" fontId="27" numFmtId="0" xfId="0" applyAlignment="1" applyBorder="1" applyFont="1">
      <alignment readingOrder="0" shrinkToFit="0" wrapText="1"/>
    </xf>
    <xf borderId="3" fillId="18" fontId="8" numFmtId="0" xfId="0" applyBorder="1" applyFont="1"/>
    <xf borderId="193" fillId="3" fontId="8" numFmtId="0" xfId="0" applyBorder="1" applyFont="1"/>
    <xf borderId="100" fillId="3" fontId="29" numFmtId="164" xfId="0" applyAlignment="1" applyBorder="1" applyFont="1" applyNumberFormat="1">
      <alignment readingOrder="0" shrinkToFit="0" wrapText="1"/>
    </xf>
    <xf borderId="97" fillId="0" fontId="29" numFmtId="0" xfId="0" applyAlignment="1" applyBorder="1" applyFont="1">
      <alignment readingOrder="0" shrinkToFit="0" wrapText="1"/>
    </xf>
    <xf borderId="100" fillId="0" fontId="29" numFmtId="0" xfId="0" applyAlignment="1" applyBorder="1" applyFont="1">
      <alignment readingOrder="0" shrinkToFit="0" wrapText="1"/>
    </xf>
    <xf borderId="0" fillId="0" fontId="7" numFmtId="0" xfId="0" applyFont="1"/>
    <xf borderId="7" fillId="12" fontId="23" numFmtId="0" xfId="0" applyAlignment="1" applyBorder="1" applyFont="1">
      <alignment readingOrder="0" shrinkToFit="0" wrapText="1"/>
    </xf>
    <xf borderId="193" fillId="12" fontId="8" numFmtId="0" xfId="0" applyBorder="1" applyFont="1"/>
    <xf borderId="100" fillId="12" fontId="29" numFmtId="164" xfId="0" applyAlignment="1" applyBorder="1" applyFont="1" applyNumberFormat="1">
      <alignment readingOrder="0" shrinkToFit="0" wrapText="1"/>
    </xf>
    <xf borderId="97" fillId="0" fontId="29" numFmtId="0" xfId="0" applyAlignment="1" applyBorder="1" applyFont="1">
      <alignment readingOrder="0" shrinkToFit="0" wrapText="0"/>
    </xf>
    <xf borderId="7" fillId="12" fontId="29" numFmtId="0" xfId="0" applyAlignment="1" applyBorder="1" applyFont="1">
      <alignment readingOrder="0" shrinkToFit="0" wrapText="1"/>
    </xf>
    <xf borderId="114" fillId="0" fontId="30" numFmtId="0" xfId="0" applyAlignment="1" applyBorder="1" applyFont="1">
      <alignment readingOrder="0" shrinkToFit="0" wrapText="1"/>
    </xf>
    <xf borderId="117" fillId="0" fontId="30" numFmtId="0" xfId="0" applyAlignment="1" applyBorder="1" applyFont="1">
      <alignment readingOrder="0" shrinkToFit="0" wrapText="1"/>
    </xf>
    <xf borderId="194" fillId="3" fontId="8" numFmtId="0" xfId="0" applyBorder="1" applyFont="1"/>
    <xf borderId="117" fillId="3" fontId="30" numFmtId="164" xfId="0" applyAlignment="1" applyBorder="1" applyFont="1" applyNumberFormat="1">
      <alignment readingOrder="0" shrinkToFit="0" wrapText="1"/>
    </xf>
    <xf borderId="117" fillId="3" fontId="30" numFmtId="164" xfId="0" applyAlignment="1" applyBorder="1" applyFont="1" applyNumberFormat="1">
      <alignment readingOrder="0" shrinkToFit="0" wrapText="1"/>
    </xf>
    <xf borderId="192" fillId="0" fontId="6" numFmtId="0" xfId="0" applyAlignment="1" applyBorder="1" applyFont="1">
      <alignment readingOrder="0" shrinkToFit="0" wrapText="0"/>
    </xf>
    <xf borderId="195" fillId="0" fontId="46" numFmtId="0" xfId="0" applyAlignment="1" applyBorder="1" applyFont="1">
      <alignment readingOrder="0" shrinkToFit="0" wrapText="1"/>
    </xf>
    <xf borderId="195" fillId="0" fontId="6" numFmtId="0" xfId="0" applyAlignment="1" applyBorder="1" applyFont="1">
      <alignment readingOrder="0" shrinkToFit="0" wrapText="1"/>
    </xf>
    <xf borderId="195" fillId="0" fontId="3" numFmtId="0" xfId="0" applyAlignment="1" applyBorder="1" applyFont="1">
      <alignment readingOrder="0" shrinkToFit="0" wrapText="1"/>
    </xf>
    <xf borderId="195" fillId="0" fontId="8" numFmtId="0" xfId="0" applyAlignment="1" applyBorder="1" applyFont="1">
      <alignment shrinkToFit="0" wrapText="1"/>
    </xf>
    <xf borderId="195" fillId="0" fontId="3" numFmtId="0" xfId="0" applyAlignment="1" applyBorder="1" applyFont="1">
      <alignment shrinkToFit="0" wrapText="1"/>
    </xf>
    <xf borderId="191" fillId="0" fontId="3" numFmtId="0" xfId="0" applyAlignment="1" applyBorder="1" applyFont="1">
      <alignment shrinkToFit="0" wrapText="1"/>
    </xf>
    <xf borderId="196" fillId="0" fontId="13" numFmtId="0" xfId="0" applyAlignment="1" applyBorder="1" applyFont="1">
      <alignment readingOrder="0" shrinkToFit="0" wrapText="1"/>
    </xf>
    <xf borderId="197" fillId="0" fontId="12" numFmtId="0" xfId="0" applyAlignment="1" applyBorder="1" applyFont="1">
      <alignment readingOrder="0" shrinkToFit="0" wrapText="1"/>
    </xf>
    <xf borderId="87" fillId="0" fontId="12" numFmtId="0" xfId="0" applyAlignment="1" applyBorder="1" applyFont="1">
      <alignment readingOrder="0" shrinkToFit="0" wrapText="1"/>
    </xf>
    <xf borderId="97" fillId="0" fontId="23" numFmtId="0" xfId="0" applyAlignment="1" applyBorder="1" applyFont="1">
      <alignment readingOrder="0" shrinkToFit="0" wrapText="1"/>
    </xf>
    <xf borderId="99" fillId="0" fontId="21" numFmtId="0" xfId="0" applyAlignment="1" applyBorder="1" applyFont="1">
      <alignment readingOrder="0" shrinkToFit="0" wrapText="1"/>
    </xf>
    <xf borderId="99" fillId="0" fontId="19" numFmtId="0" xfId="0" applyAlignment="1" applyBorder="1" applyFont="1">
      <alignment readingOrder="0" shrinkToFit="0" wrapText="1"/>
    </xf>
    <xf borderId="99" fillId="0" fontId="23" numFmtId="0" xfId="0" applyAlignment="1" applyBorder="1" applyFont="1">
      <alignment shrinkToFit="0" wrapText="1"/>
    </xf>
    <xf borderId="99" fillId="0" fontId="19" numFmtId="0" xfId="0" applyAlignment="1" applyBorder="1" applyFont="1">
      <alignment shrinkToFit="0" wrapText="1"/>
    </xf>
    <xf borderId="100" fillId="0" fontId="19" numFmtId="0" xfId="0" applyAlignment="1" applyBorder="1" applyFont="1">
      <alignment shrinkToFit="0" wrapText="1"/>
    </xf>
    <xf borderId="100" fillId="0" fontId="19" numFmtId="0" xfId="0" applyAlignment="1" applyBorder="1" applyFont="1">
      <alignment readingOrder="0" shrinkToFit="0" wrapText="1"/>
    </xf>
    <xf borderId="114" fillId="0" fontId="23" numFmtId="0" xfId="0" applyAlignment="1" applyBorder="1" applyFont="1">
      <alignment readingOrder="0" shrinkToFit="0" wrapText="1"/>
    </xf>
    <xf borderId="116" fillId="0" fontId="21" numFmtId="0" xfId="0" applyAlignment="1" applyBorder="1" applyFont="1">
      <alignment readingOrder="0" shrinkToFit="0" wrapText="1"/>
    </xf>
    <xf borderId="116" fillId="0" fontId="19" numFmtId="0" xfId="0" applyAlignment="1" applyBorder="1" applyFont="1">
      <alignment readingOrder="0" shrinkToFit="0" wrapText="1"/>
    </xf>
    <xf borderId="116" fillId="0" fontId="19" numFmtId="0" xfId="0" applyAlignment="1" applyBorder="1" applyFont="1">
      <alignment shrinkToFit="0" wrapText="1"/>
    </xf>
    <xf borderId="117" fillId="0" fontId="19" numFmtId="0" xfId="0" applyAlignment="1" applyBorder="1" applyFont="1">
      <alignment shrinkToFit="0" wrapText="1"/>
    </xf>
    <xf borderId="0" fillId="3" fontId="7" numFmtId="0" xfId="0" applyFont="1"/>
    <xf borderId="192" fillId="18" fontId="39" numFmtId="0" xfId="0" applyAlignment="1" applyBorder="1" applyFont="1">
      <alignment readingOrder="0" shrinkToFit="0" wrapText="1"/>
    </xf>
    <xf borderId="195" fillId="18" fontId="39" numFmtId="0" xfId="0" applyAlignment="1" applyBorder="1" applyFont="1">
      <alignment readingOrder="0" shrinkToFit="0" wrapText="1"/>
    </xf>
    <xf borderId="198" fillId="18" fontId="39" numFmtId="0" xfId="0" applyAlignment="1" applyBorder="1" applyFont="1">
      <alignment readingOrder="0" shrinkToFit="0" wrapText="1"/>
    </xf>
    <xf borderId="195" fillId="18" fontId="39" numFmtId="0" xfId="0" applyAlignment="1" applyBorder="1" applyFont="1">
      <alignment readingOrder="0"/>
    </xf>
    <xf borderId="199" fillId="18" fontId="39" numFmtId="0" xfId="0" applyAlignment="1" applyBorder="1" applyFont="1">
      <alignment readingOrder="0" shrinkToFit="0" wrapText="1"/>
    </xf>
    <xf borderId="191" fillId="18" fontId="39" numFmtId="0" xfId="0" applyAlignment="1" applyBorder="1" applyFont="1">
      <alignment readingOrder="0" shrinkToFit="0" wrapText="1"/>
    </xf>
    <xf borderId="0" fillId="0" fontId="9" numFmtId="0" xfId="0" applyAlignment="1" applyFont="1">
      <alignment readingOrder="0"/>
    </xf>
    <xf borderId="97" fillId="3" fontId="19" numFmtId="0" xfId="0" applyAlignment="1" applyBorder="1" applyFont="1">
      <alignment readingOrder="0" shrinkToFit="0" wrapText="1"/>
    </xf>
    <xf borderId="99" fillId="3" fontId="19" numFmtId="0" xfId="0" applyAlignment="1" applyBorder="1" applyFont="1">
      <alignment readingOrder="0" shrinkToFit="0" wrapText="1"/>
    </xf>
    <xf borderId="99" fillId="3" fontId="19" numFmtId="0" xfId="0" applyAlignment="1" applyBorder="1" applyFont="1">
      <alignment readingOrder="0" shrinkToFit="0" wrapText="0"/>
    </xf>
    <xf borderId="99" fillId="3" fontId="8" numFmtId="0" xfId="0" applyAlignment="1" applyBorder="1" applyFont="1">
      <alignment readingOrder="0"/>
    </xf>
    <xf borderId="98" fillId="3" fontId="19" numFmtId="0" xfId="0" applyAlignment="1" applyBorder="1" applyFont="1">
      <alignment shrinkToFit="0" wrapText="1"/>
    </xf>
    <xf borderId="100" fillId="3" fontId="19" numFmtId="164" xfId="0" applyAlignment="1" applyBorder="1" applyFont="1" applyNumberFormat="1">
      <alignment readingOrder="0" shrinkToFit="0" wrapText="1"/>
    </xf>
    <xf borderId="97" fillId="12" fontId="19" numFmtId="0" xfId="0" applyAlignment="1" applyBorder="1" applyFont="1">
      <alignment readingOrder="0" shrinkToFit="0" wrapText="1"/>
    </xf>
    <xf borderId="99" fillId="12" fontId="19" numFmtId="0" xfId="0" applyAlignment="1" applyBorder="1" applyFont="1">
      <alignment readingOrder="0" shrinkToFit="0" wrapText="1"/>
    </xf>
    <xf borderId="99" fillId="12" fontId="19" numFmtId="0" xfId="0" applyAlignment="1" applyBorder="1" applyFont="1">
      <alignment shrinkToFit="0" wrapText="1"/>
    </xf>
    <xf borderId="99" fillId="12" fontId="19" numFmtId="0" xfId="0" applyAlignment="1" applyBorder="1" applyFont="1">
      <alignment shrinkToFit="0" wrapText="0"/>
    </xf>
    <xf borderId="99" fillId="12" fontId="8" numFmtId="0" xfId="0" applyAlignment="1" applyBorder="1" applyFont="1">
      <alignment readingOrder="0"/>
    </xf>
    <xf borderId="98" fillId="12" fontId="19" numFmtId="0" xfId="0" applyAlignment="1" applyBorder="1" applyFont="1">
      <alignment shrinkToFit="0" wrapText="1"/>
    </xf>
    <xf borderId="100" fillId="12" fontId="19" numFmtId="164" xfId="0" applyAlignment="1" applyBorder="1" applyFont="1" applyNumberFormat="1">
      <alignment readingOrder="0" shrinkToFit="0" wrapText="1"/>
    </xf>
    <xf borderId="200" fillId="3" fontId="19" numFmtId="0" xfId="0" applyAlignment="1" applyBorder="1" applyFont="1">
      <alignment shrinkToFit="0" wrapText="1"/>
    </xf>
    <xf borderId="99" fillId="3" fontId="8" numFmtId="0" xfId="0" applyBorder="1" applyFont="1"/>
    <xf borderId="97" fillId="12" fontId="19" numFmtId="0" xfId="0" applyAlignment="1" applyBorder="1" applyFont="1">
      <alignment shrinkToFit="0" wrapText="1"/>
    </xf>
    <xf borderId="200" fillId="12" fontId="19" numFmtId="0" xfId="0" applyAlignment="1" applyBorder="1" applyFont="1">
      <alignment shrinkToFit="0" wrapText="1"/>
    </xf>
    <xf borderId="99" fillId="12" fontId="8" numFmtId="0" xfId="0" applyBorder="1" applyFont="1"/>
    <xf borderId="97" fillId="3" fontId="19" numFmtId="0" xfId="0" applyAlignment="1" applyBorder="1" applyFont="1">
      <alignment shrinkToFit="0" wrapText="1"/>
    </xf>
    <xf borderId="99" fillId="3" fontId="19" numFmtId="0" xfId="0" applyAlignment="1" applyBorder="1" applyFont="1">
      <alignment shrinkToFit="0" wrapText="1"/>
    </xf>
    <xf borderId="99" fillId="3" fontId="19" numFmtId="0" xfId="0" applyAlignment="1" applyBorder="1" applyFont="1">
      <alignment shrinkToFit="0" wrapText="0"/>
    </xf>
    <xf borderId="110" fillId="11" fontId="19" numFmtId="0" xfId="0" applyAlignment="1" applyBorder="1" applyFont="1">
      <alignment shrinkToFit="0" wrapText="1"/>
    </xf>
    <xf borderId="111" fillId="11" fontId="19" numFmtId="0" xfId="0" applyAlignment="1" applyBorder="1" applyFont="1">
      <alignment shrinkToFit="0" wrapText="1"/>
    </xf>
    <xf borderId="201" fillId="11" fontId="19" numFmtId="0" xfId="0" applyAlignment="1" applyBorder="1" applyFont="1">
      <alignment shrinkToFit="0" wrapText="1"/>
    </xf>
    <xf borderId="111" fillId="11" fontId="19" numFmtId="0" xfId="0" applyAlignment="1" applyBorder="1" applyFont="1">
      <alignment shrinkToFit="0" wrapText="0"/>
    </xf>
    <xf borderId="111" fillId="11" fontId="8" numFmtId="0" xfId="0" applyBorder="1" applyFont="1"/>
    <xf borderId="112" fillId="11" fontId="19" numFmtId="0" xfId="0" applyAlignment="1" applyBorder="1" applyFont="1">
      <alignment shrinkToFit="0" wrapText="1"/>
    </xf>
    <xf borderId="47" fillId="11" fontId="8" numFmtId="0" xfId="0" applyBorder="1" applyFont="1"/>
    <xf borderId="184" fillId="11" fontId="8" numFmtId="0" xfId="0" applyBorder="1" applyFont="1"/>
    <xf borderId="113" fillId="11" fontId="19" numFmtId="164" xfId="0" applyAlignment="1" applyBorder="1" applyFont="1" applyNumberFormat="1">
      <alignment readingOrder="0" shrinkToFit="0" wrapText="1"/>
    </xf>
    <xf borderId="1" fillId="19" fontId="6" numFmtId="0" xfId="0" applyAlignment="1" applyBorder="1" applyFont="1">
      <alignment readingOrder="0" shrinkToFit="0" wrapText="1"/>
    </xf>
    <xf borderId="202" fillId="20" fontId="8" numFmtId="0" xfId="0" applyBorder="1" applyFont="1"/>
    <xf borderId="203" fillId="19" fontId="27" numFmtId="0" xfId="0" applyAlignment="1" applyBorder="1" applyFont="1">
      <alignment readingOrder="0" shrinkToFit="0" wrapText="1"/>
    </xf>
    <xf borderId="204" fillId="19" fontId="6" numFmtId="0" xfId="0" applyAlignment="1" applyBorder="1" applyFont="1">
      <alignment readingOrder="0" shrinkToFit="0" wrapText="1"/>
    </xf>
    <xf borderId="3" fillId="20" fontId="8" numFmtId="0" xfId="0" applyBorder="1" applyFont="1"/>
    <xf borderId="205" fillId="3" fontId="8" numFmtId="0" xfId="0" applyBorder="1" applyFont="1"/>
    <xf borderId="206" fillId="3" fontId="29" numFmtId="164" xfId="0" applyAlignment="1" applyBorder="1" applyFont="1" applyNumberFormat="1">
      <alignment readingOrder="0" shrinkToFit="0" wrapText="1"/>
    </xf>
    <xf borderId="207" fillId="0" fontId="29" numFmtId="0" xfId="0" applyAlignment="1" applyBorder="1" applyFont="1">
      <alignment readingOrder="0" shrinkToFit="0" wrapText="1"/>
    </xf>
    <xf borderId="206" fillId="0" fontId="29" numFmtId="0" xfId="0" applyAlignment="1" applyBorder="1" applyFont="1">
      <alignment readingOrder="0" shrinkToFit="0" wrapText="1"/>
    </xf>
    <xf borderId="7" fillId="13" fontId="23" numFmtId="0" xfId="0" applyAlignment="1" applyBorder="1" applyFont="1">
      <alignment readingOrder="0" shrinkToFit="0" wrapText="1"/>
    </xf>
    <xf borderId="205" fillId="13" fontId="8" numFmtId="0" xfId="0" applyBorder="1" applyFont="1"/>
    <xf borderId="206" fillId="13" fontId="29" numFmtId="164" xfId="0" applyAlignment="1" applyBorder="1" applyFont="1" applyNumberFormat="1">
      <alignment readingOrder="0" shrinkToFit="0" wrapText="1"/>
    </xf>
    <xf borderId="207" fillId="0" fontId="29" numFmtId="0" xfId="0" applyAlignment="1" applyBorder="1" applyFont="1">
      <alignment readingOrder="0" shrinkToFit="0" wrapText="0"/>
    </xf>
    <xf borderId="7" fillId="13" fontId="29" numFmtId="0" xfId="0" applyAlignment="1" applyBorder="1" applyFont="1">
      <alignment readingOrder="0" shrinkToFit="0" wrapText="1"/>
    </xf>
    <xf borderId="208" fillId="0" fontId="30" numFmtId="0" xfId="0" applyAlignment="1" applyBorder="1" applyFont="1">
      <alignment readingOrder="0" shrinkToFit="0" wrapText="1"/>
    </xf>
    <xf borderId="209" fillId="0" fontId="30" numFmtId="0" xfId="0" applyAlignment="1" applyBorder="1" applyFont="1">
      <alignment readingOrder="0" shrinkToFit="0" wrapText="1"/>
    </xf>
    <xf borderId="210" fillId="3" fontId="8" numFmtId="0" xfId="0" applyBorder="1" applyFont="1"/>
    <xf borderId="209" fillId="3" fontId="30" numFmtId="164" xfId="0" applyAlignment="1" applyBorder="1" applyFont="1" applyNumberFormat="1">
      <alignment readingOrder="0" shrinkToFit="0" wrapText="1"/>
    </xf>
    <xf borderId="209" fillId="3" fontId="30" numFmtId="164" xfId="0" applyAlignment="1" applyBorder="1" applyFont="1" applyNumberFormat="1">
      <alignment readingOrder="0" shrinkToFit="0" wrapText="1"/>
    </xf>
    <xf borderId="204" fillId="19" fontId="6" numFmtId="0" xfId="0" applyAlignment="1" applyBorder="1" applyFont="1">
      <alignment readingOrder="0" shrinkToFit="0" wrapText="0"/>
    </xf>
    <xf borderId="211" fillId="19" fontId="46" numFmtId="0" xfId="0" applyAlignment="1" applyBorder="1" applyFont="1">
      <alignment readingOrder="0" shrinkToFit="0" wrapText="1"/>
    </xf>
    <xf borderId="211" fillId="19" fontId="6" numFmtId="0" xfId="0" applyAlignment="1" applyBorder="1" applyFont="1">
      <alignment readingOrder="0" shrinkToFit="0" wrapText="1"/>
    </xf>
    <xf borderId="211" fillId="19" fontId="3" numFmtId="0" xfId="0" applyAlignment="1" applyBorder="1" applyFont="1">
      <alignment readingOrder="0" shrinkToFit="0" wrapText="1"/>
    </xf>
    <xf borderId="211" fillId="19" fontId="8" numFmtId="0" xfId="0" applyAlignment="1" applyBorder="1" applyFont="1">
      <alignment shrinkToFit="0" wrapText="1"/>
    </xf>
    <xf borderId="211" fillId="19" fontId="3" numFmtId="0" xfId="0" applyAlignment="1" applyBorder="1" applyFont="1">
      <alignment shrinkToFit="0" wrapText="1"/>
    </xf>
    <xf borderId="203" fillId="19" fontId="3" numFmtId="0" xfId="0" applyAlignment="1" applyBorder="1" applyFont="1">
      <alignment shrinkToFit="0" wrapText="1"/>
    </xf>
    <xf borderId="212" fillId="0" fontId="13" numFmtId="0" xfId="0" applyAlignment="1" applyBorder="1" applyFont="1">
      <alignment readingOrder="0" shrinkToFit="0" wrapText="1"/>
    </xf>
    <xf borderId="213" fillId="0" fontId="12" numFmtId="0" xfId="0" applyAlignment="1" applyBorder="1" applyFont="1">
      <alignment readingOrder="0" shrinkToFit="0" wrapText="1"/>
    </xf>
    <xf borderId="214" fillId="0" fontId="12" numFmtId="0" xfId="0" applyAlignment="1" applyBorder="1" applyFont="1">
      <alignment readingOrder="0" shrinkToFit="0" wrapText="1"/>
    </xf>
    <xf borderId="215" fillId="0" fontId="21" numFmtId="0" xfId="0" applyAlignment="1" applyBorder="1" applyFont="1">
      <alignment readingOrder="0" shrinkToFit="0" wrapText="1"/>
    </xf>
    <xf borderId="215" fillId="0" fontId="19" numFmtId="0" xfId="0" applyAlignment="1" applyBorder="1" applyFont="1">
      <alignment readingOrder="0" shrinkToFit="0" wrapText="1"/>
    </xf>
    <xf borderId="215" fillId="0" fontId="23" numFmtId="0" xfId="0" applyAlignment="1" applyBorder="1" applyFont="1">
      <alignment shrinkToFit="0" wrapText="1"/>
    </xf>
    <xf borderId="215" fillId="0" fontId="19" numFmtId="0" xfId="0" applyAlignment="1" applyBorder="1" applyFont="1">
      <alignment shrinkToFit="0" wrapText="1"/>
    </xf>
    <xf borderId="206" fillId="0" fontId="19" numFmtId="0" xfId="0" applyAlignment="1" applyBorder="1" applyFont="1">
      <alignment shrinkToFit="0" wrapText="1"/>
    </xf>
    <xf borderId="206" fillId="0" fontId="19" numFmtId="0" xfId="0" applyAlignment="1" applyBorder="1" applyFont="1">
      <alignment readingOrder="0" shrinkToFit="0" wrapText="1"/>
    </xf>
    <xf borderId="216" fillId="0" fontId="21" numFmtId="0" xfId="0" applyAlignment="1" applyBorder="1" applyFont="1">
      <alignment readingOrder="0" shrinkToFit="0" wrapText="1"/>
    </xf>
    <xf borderId="216" fillId="0" fontId="19" numFmtId="0" xfId="0" applyAlignment="1" applyBorder="1" applyFont="1">
      <alignment readingOrder="0" shrinkToFit="0" wrapText="1"/>
    </xf>
    <xf borderId="216" fillId="0" fontId="19" numFmtId="0" xfId="0" applyAlignment="1" applyBorder="1" applyFont="1">
      <alignment shrinkToFit="0" wrapText="1"/>
    </xf>
    <xf borderId="209" fillId="0" fontId="19" numFmtId="0" xfId="0" applyAlignment="1" applyBorder="1" applyFont="1">
      <alignment shrinkToFit="0" wrapText="1"/>
    </xf>
    <xf borderId="207" fillId="0" fontId="23" numFmtId="0" xfId="0" applyAlignment="1" applyBorder="1" applyFont="1">
      <alignment readingOrder="0" shrinkToFit="0" wrapText="1"/>
    </xf>
    <xf borderId="71" fillId="10" fontId="19" numFmtId="0" xfId="0" applyAlignment="1" applyBorder="1" applyFont="1">
      <alignment shrinkToFit="0" wrapText="1"/>
    </xf>
    <xf borderId="208" fillId="0" fontId="23" numFmtId="0" xfId="0" applyAlignment="1" applyBorder="1" applyFont="1">
      <alignment readingOrder="0" shrinkToFit="0" wrapText="1"/>
    </xf>
    <xf borderId="72" fillId="10" fontId="19" numFmtId="0" xfId="0" applyAlignment="1" applyBorder="1" applyFont="1">
      <alignment shrinkToFit="0" wrapText="0"/>
    </xf>
    <xf borderId="72" fillId="10" fontId="8" numFmtId="0" xfId="0" applyBorder="1" applyFont="1"/>
    <xf borderId="73" fillId="10" fontId="19" numFmtId="0" xfId="0" applyAlignment="1" applyBorder="1" applyFont="1">
      <alignment shrinkToFit="0" wrapText="1"/>
    </xf>
    <xf borderId="47" fillId="10" fontId="8" numFmtId="0" xfId="0" applyBorder="1" applyFont="1"/>
    <xf borderId="178" fillId="10" fontId="8" numFmtId="0" xfId="0" applyBorder="1" applyFont="1"/>
    <xf borderId="74" fillId="10" fontId="19" numFmtId="164" xfId="0" applyAlignment="1" applyBorder="1" applyFont="1" applyNumberFormat="1">
      <alignment readingOrder="0" shrinkToFit="0" wrapText="1"/>
    </xf>
    <xf borderId="204" fillId="19" fontId="39" numFmtId="0" xfId="0" applyAlignment="1" applyBorder="1" applyFont="1">
      <alignment readingOrder="0" shrinkToFit="0" wrapText="1"/>
    </xf>
    <xf borderId="211" fillId="19" fontId="39" numFmtId="0" xfId="0" applyAlignment="1" applyBorder="1" applyFont="1">
      <alignment readingOrder="0" shrinkToFit="0" wrapText="1"/>
    </xf>
    <xf borderId="211" fillId="19" fontId="39" numFmtId="0" xfId="0" applyAlignment="1" applyBorder="1" applyFont="1">
      <alignment readingOrder="0"/>
    </xf>
    <xf borderId="217" fillId="19" fontId="39" numFmtId="0" xfId="0" applyAlignment="1" applyBorder="1" applyFont="1">
      <alignment readingOrder="0" shrinkToFit="0" wrapText="1"/>
    </xf>
    <xf borderId="203" fillId="19" fontId="39" numFmtId="0" xfId="0" applyAlignment="1" applyBorder="1" applyFont="1">
      <alignment readingOrder="0" shrinkToFit="0" wrapText="1"/>
    </xf>
    <xf borderId="207" fillId="3" fontId="19" numFmtId="0" xfId="0" applyAlignment="1" applyBorder="1" applyFont="1">
      <alignment readingOrder="0" shrinkToFit="0" wrapText="1"/>
    </xf>
    <xf borderId="215" fillId="3" fontId="19" numFmtId="0" xfId="0" applyAlignment="1" applyBorder="1" applyFont="1">
      <alignment readingOrder="0" shrinkToFit="0" wrapText="1"/>
    </xf>
    <xf borderId="215" fillId="3" fontId="19" numFmtId="0" xfId="0" applyAlignment="1" applyBorder="1" applyFont="1">
      <alignment readingOrder="0" shrinkToFit="0" wrapText="0"/>
    </xf>
    <xf borderId="215" fillId="3" fontId="8" numFmtId="0" xfId="0" applyAlignment="1" applyBorder="1" applyFont="1">
      <alignment readingOrder="0"/>
    </xf>
    <xf borderId="108" fillId="3" fontId="19" numFmtId="0" xfId="0" applyAlignment="1" applyBorder="1" applyFont="1">
      <alignment shrinkToFit="0" wrapText="1"/>
    </xf>
    <xf borderId="206" fillId="3" fontId="19" numFmtId="164" xfId="0" applyAlignment="1" applyBorder="1" applyFont="1" applyNumberFormat="1">
      <alignment readingOrder="0" shrinkToFit="0" wrapText="1"/>
    </xf>
    <xf borderId="207" fillId="13" fontId="19" numFmtId="0" xfId="0" applyAlignment="1" applyBorder="1" applyFont="1">
      <alignment readingOrder="0" shrinkToFit="0" wrapText="1"/>
    </xf>
    <xf borderId="1" fillId="21" fontId="6" numFmtId="0" xfId="0" applyAlignment="1" applyBorder="1" applyFont="1">
      <alignment readingOrder="0" shrinkToFit="0" wrapText="1"/>
    </xf>
    <xf borderId="215" fillId="13" fontId="19" numFmtId="0" xfId="0" applyAlignment="1" applyBorder="1" applyFont="1">
      <alignment readingOrder="0" shrinkToFit="0" wrapText="1"/>
    </xf>
    <xf borderId="218" fillId="21" fontId="8" numFmtId="0" xfId="0" applyBorder="1" applyFont="1"/>
    <xf borderId="219" fillId="21" fontId="27" numFmtId="0" xfId="0" applyAlignment="1" applyBorder="1" applyFont="1">
      <alignment readingOrder="0" shrinkToFit="0" wrapText="1"/>
    </xf>
    <xf borderId="215" fillId="13" fontId="19" numFmtId="0" xfId="0" applyAlignment="1" applyBorder="1" applyFont="1">
      <alignment shrinkToFit="0" wrapText="1"/>
    </xf>
    <xf borderId="220" fillId="0" fontId="6" numFmtId="0" xfId="0" applyAlignment="1" applyBorder="1" applyFont="1">
      <alignment readingOrder="0" shrinkToFit="0" wrapText="1"/>
    </xf>
    <xf borderId="215" fillId="13" fontId="19" numFmtId="0" xfId="0" applyAlignment="1" applyBorder="1" applyFont="1">
      <alignment shrinkToFit="0" wrapText="0"/>
    </xf>
    <xf borderId="219" fillId="0" fontId="27" numFmtId="0" xfId="0" applyAlignment="1" applyBorder="1" applyFont="1">
      <alignment readingOrder="0" shrinkToFit="0" wrapText="1"/>
    </xf>
    <xf borderId="215" fillId="13" fontId="8" numFmtId="0" xfId="0" applyAlignment="1" applyBorder="1" applyFont="1">
      <alignment readingOrder="0"/>
    </xf>
    <xf borderId="108" fillId="13" fontId="19" numFmtId="0" xfId="0" applyAlignment="1" applyBorder="1" applyFont="1">
      <alignment shrinkToFit="0" wrapText="1"/>
    </xf>
    <xf borderId="3" fillId="21" fontId="8" numFmtId="0" xfId="0" applyBorder="1" applyFont="1"/>
    <xf borderId="206" fillId="13" fontId="19" numFmtId="164" xfId="0" applyAlignment="1" applyBorder="1" applyFont="1" applyNumberFormat="1">
      <alignment readingOrder="0" shrinkToFit="0" wrapText="1"/>
    </xf>
    <xf borderId="139" fillId="3" fontId="8" numFmtId="0" xfId="0" applyBorder="1" applyFont="1"/>
    <xf borderId="140" fillId="3" fontId="29" numFmtId="164" xfId="0" applyAlignment="1" applyBorder="1" applyFont="1" applyNumberFormat="1">
      <alignment readingOrder="0" shrinkToFit="0" wrapText="1"/>
    </xf>
    <xf borderId="207" fillId="3" fontId="19" numFmtId="0" xfId="0" applyAlignment="1" applyBorder="1" applyFont="1">
      <alignment shrinkToFit="0" wrapText="1"/>
    </xf>
    <xf borderId="135" fillId="0" fontId="29" numFmtId="0" xfId="0" applyAlignment="1" applyBorder="1" applyFont="1">
      <alignment readingOrder="0" shrinkToFit="0" wrapText="1"/>
    </xf>
    <xf borderId="215" fillId="3" fontId="19" numFmtId="0" xfId="0" applyAlignment="1" applyBorder="1" applyFont="1">
      <alignment shrinkToFit="0" wrapText="1"/>
    </xf>
    <xf borderId="140" fillId="0" fontId="29" numFmtId="0" xfId="0" applyAlignment="1" applyBorder="1" applyFont="1">
      <alignment readingOrder="0" shrinkToFit="0" wrapText="1"/>
    </xf>
    <xf borderId="215" fillId="3" fontId="8" numFmtId="0" xfId="0" applyBorder="1" applyFont="1"/>
    <xf borderId="7" fillId="14" fontId="23" numFmtId="0" xfId="0" applyAlignment="1" applyBorder="1" applyFont="1">
      <alignment readingOrder="0" shrinkToFit="0" wrapText="1"/>
    </xf>
    <xf borderId="139" fillId="14" fontId="8" numFmtId="0" xfId="0" applyBorder="1" applyFont="1"/>
    <xf borderId="140" fillId="14" fontId="29" numFmtId="164" xfId="0" applyAlignment="1" applyBorder="1" applyFont="1" applyNumberFormat="1">
      <alignment readingOrder="0" shrinkToFit="0" wrapText="1"/>
    </xf>
    <xf borderId="207" fillId="13" fontId="19" numFmtId="0" xfId="0" applyAlignment="1" applyBorder="1" applyFont="1">
      <alignment shrinkToFit="0" wrapText="1"/>
    </xf>
    <xf borderId="135" fillId="0" fontId="29" numFmtId="0" xfId="0" applyAlignment="1" applyBorder="1" applyFont="1">
      <alignment readingOrder="0" shrinkToFit="0" wrapText="0"/>
    </xf>
    <xf borderId="215" fillId="13" fontId="8" numFmtId="0" xfId="0" applyBorder="1" applyFont="1"/>
    <xf borderId="7" fillId="14" fontId="29" numFmtId="0" xfId="0" applyAlignment="1" applyBorder="1" applyFont="1">
      <alignment readingOrder="0" shrinkToFit="0" wrapText="1"/>
    </xf>
    <xf borderId="156" fillId="0" fontId="30" numFmtId="0" xfId="0" applyAlignment="1" applyBorder="1" applyFont="1">
      <alignment readingOrder="0" shrinkToFit="0" wrapText="1"/>
    </xf>
    <xf borderId="215" fillId="3" fontId="19" numFmtId="0" xfId="0" applyAlignment="1" applyBorder="1" applyFont="1">
      <alignment shrinkToFit="0" wrapText="0"/>
    </xf>
    <xf borderId="159" fillId="0" fontId="30" numFmtId="0" xfId="0" applyAlignment="1" applyBorder="1" applyFont="1">
      <alignment readingOrder="0" shrinkToFit="0" wrapText="1"/>
    </xf>
    <xf borderId="221" fillId="3" fontId="8" numFmtId="0" xfId="0" applyBorder="1" applyFont="1"/>
    <xf borderId="159" fillId="3" fontId="30" numFmtId="164" xfId="0" applyAlignment="1" applyBorder="1" applyFont="1" applyNumberFormat="1">
      <alignment readingOrder="0" shrinkToFit="0" wrapText="1"/>
    </xf>
    <xf borderId="159" fillId="3" fontId="30" numFmtId="164" xfId="0" applyAlignment="1" applyBorder="1" applyFont="1" applyNumberFormat="1">
      <alignment readingOrder="0" shrinkToFit="0" wrapText="1"/>
    </xf>
    <xf borderId="220" fillId="0" fontId="6" numFmtId="0" xfId="0" applyAlignment="1" applyBorder="1" applyFont="1">
      <alignment readingOrder="0" shrinkToFit="0" wrapText="0"/>
    </xf>
    <xf borderId="222" fillId="0" fontId="46" numFmtId="0" xfId="0" applyAlignment="1" applyBorder="1" applyFont="1">
      <alignment readingOrder="0" shrinkToFit="0" wrapText="1"/>
    </xf>
    <xf borderId="222" fillId="0" fontId="6" numFmtId="0" xfId="0" applyAlignment="1" applyBorder="1" applyFont="1">
      <alignment readingOrder="0" shrinkToFit="0" wrapText="1"/>
    </xf>
    <xf borderId="222" fillId="0" fontId="3" numFmtId="0" xfId="0" applyAlignment="1" applyBorder="1" applyFont="1">
      <alignment readingOrder="0" shrinkToFit="0" wrapText="1"/>
    </xf>
    <xf borderId="222" fillId="0" fontId="8" numFmtId="0" xfId="0" applyAlignment="1" applyBorder="1" applyFont="1">
      <alignment shrinkToFit="0" wrapText="1"/>
    </xf>
    <xf borderId="222" fillId="0" fontId="3" numFmtId="0" xfId="0" applyAlignment="1" applyBorder="1" applyFont="1">
      <alignment shrinkToFit="0" wrapText="1"/>
    </xf>
    <xf borderId="219" fillId="0" fontId="3" numFmtId="0" xfId="0" applyAlignment="1" applyBorder="1" applyFont="1">
      <alignment shrinkToFit="0" wrapText="1"/>
    </xf>
    <xf borderId="122" fillId="0" fontId="13" numFmtId="0" xfId="0" applyAlignment="1" applyBorder="1" applyFont="1">
      <alignment readingOrder="0" shrinkToFit="0" wrapText="1"/>
    </xf>
    <xf borderId="123" fillId="0" fontId="12" numFmtId="0" xfId="0" applyAlignment="1" applyBorder="1" applyFont="1">
      <alignment readingOrder="0" shrinkToFit="0" wrapText="1"/>
    </xf>
    <xf borderId="125" fillId="0" fontId="12" numFmtId="0" xfId="0" applyAlignment="1" applyBorder="1" applyFont="1">
      <alignment readingOrder="0" shrinkToFit="0" wrapText="1"/>
    </xf>
    <xf borderId="148" fillId="0" fontId="21" numFmtId="0" xfId="0" applyAlignment="1" applyBorder="1" applyFont="1">
      <alignment readingOrder="0" shrinkToFit="0" wrapText="1"/>
    </xf>
    <xf borderId="148" fillId="0" fontId="19" numFmtId="0" xfId="0" applyAlignment="1" applyBorder="1" applyFont="1">
      <alignment readingOrder="0" shrinkToFit="0" wrapText="1"/>
    </xf>
    <xf borderId="148" fillId="0" fontId="23" numFmtId="0" xfId="0" applyAlignment="1" applyBorder="1" applyFont="1">
      <alignment shrinkToFit="0" wrapText="1"/>
    </xf>
    <xf borderId="148" fillId="0" fontId="19" numFmtId="0" xfId="0" applyAlignment="1" applyBorder="1" applyFont="1">
      <alignment shrinkToFit="0" wrapText="1"/>
    </xf>
    <xf borderId="140" fillId="0" fontId="19" numFmtId="0" xfId="0" applyAlignment="1" applyBorder="1" applyFont="1">
      <alignment shrinkToFit="0" wrapText="1"/>
    </xf>
    <xf borderId="140" fillId="0" fontId="19" numFmtId="0" xfId="0" applyAlignment="1" applyBorder="1" applyFont="1">
      <alignment readingOrder="0" shrinkToFit="0" wrapText="1"/>
    </xf>
    <xf borderId="157" fillId="0" fontId="21" numFmtId="0" xfId="0" applyAlignment="1" applyBorder="1" applyFont="1">
      <alignment readingOrder="0" shrinkToFit="0" wrapText="1"/>
    </xf>
    <xf borderId="157" fillId="0" fontId="19" numFmtId="0" xfId="0" applyAlignment="1" applyBorder="1" applyFont="1">
      <alignment readingOrder="0" shrinkToFit="0" wrapText="1"/>
    </xf>
    <xf borderId="157" fillId="0" fontId="19" numFmtId="0" xfId="0" applyAlignment="1" applyBorder="1" applyFont="1">
      <alignment shrinkToFit="0" wrapText="1"/>
    </xf>
    <xf borderId="159" fillId="0" fontId="19" numFmtId="0" xfId="0" applyAlignment="1" applyBorder="1" applyFont="1">
      <alignment shrinkToFit="0" wrapText="1"/>
    </xf>
    <xf borderId="135" fillId="0" fontId="23" numFmtId="0" xfId="0" applyAlignment="1" applyBorder="1" applyFont="1">
      <alignment readingOrder="0" shrinkToFit="0" wrapText="1"/>
    </xf>
    <xf borderId="156" fillId="0" fontId="23" numFmtId="0" xfId="0" applyAlignment="1" applyBorder="1" applyFont="1">
      <alignment readingOrder="0" shrinkToFit="0" wrapText="1"/>
    </xf>
    <xf borderId="220" fillId="21" fontId="39" numFmtId="0" xfId="0" applyAlignment="1" applyBorder="1" applyFont="1">
      <alignment readingOrder="0" shrinkToFit="0" wrapText="1"/>
    </xf>
    <xf borderId="222" fillId="21" fontId="39" numFmtId="0" xfId="0" applyAlignment="1" applyBorder="1" applyFont="1">
      <alignment readingOrder="0" shrinkToFit="0" wrapText="1"/>
    </xf>
    <xf borderId="222" fillId="21" fontId="39" numFmtId="0" xfId="0" applyAlignment="1" applyBorder="1" applyFont="1">
      <alignment readingOrder="0"/>
    </xf>
    <xf borderId="223" fillId="21" fontId="39" numFmtId="0" xfId="0" applyAlignment="1" applyBorder="1" applyFont="1">
      <alignment readingOrder="0" shrinkToFit="0" wrapText="1"/>
    </xf>
    <xf borderId="219" fillId="21" fontId="39" numFmtId="0" xfId="0" applyAlignment="1" applyBorder="1" applyFont="1">
      <alignment readingOrder="0" shrinkToFit="0" wrapText="1"/>
    </xf>
    <xf borderId="135" fillId="3" fontId="19" numFmtId="0" xfId="0" applyAlignment="1" applyBorder="1" applyFont="1">
      <alignment readingOrder="0" shrinkToFit="0" wrapText="1"/>
    </xf>
    <xf borderId="148" fillId="3" fontId="19" numFmtId="0" xfId="0" applyAlignment="1" applyBorder="1" applyFont="1">
      <alignment readingOrder="0" shrinkToFit="0" wrapText="1"/>
    </xf>
    <xf borderId="148" fillId="3" fontId="19" numFmtId="0" xfId="0" applyAlignment="1" applyBorder="1" applyFont="1">
      <alignment readingOrder="0" shrinkToFit="0" wrapText="0"/>
    </xf>
    <xf borderId="148" fillId="3" fontId="8" numFmtId="0" xfId="0" applyAlignment="1" applyBorder="1" applyFont="1">
      <alignment readingOrder="0"/>
    </xf>
    <xf borderId="149" fillId="3" fontId="19" numFmtId="0" xfId="0" applyAlignment="1" applyBorder="1" applyFont="1">
      <alignment shrinkToFit="0" wrapText="1"/>
    </xf>
    <xf borderId="140" fillId="3" fontId="19" numFmtId="164" xfId="0" applyAlignment="1" applyBorder="1" applyFont="1" applyNumberFormat="1">
      <alignment readingOrder="0" shrinkToFit="0" wrapText="1"/>
    </xf>
    <xf borderId="135" fillId="14" fontId="19" numFmtId="0" xfId="0" applyAlignment="1" applyBorder="1" applyFont="1">
      <alignment readingOrder="0" shrinkToFit="0" wrapText="1"/>
    </xf>
    <xf borderId="148" fillId="14" fontId="19" numFmtId="0" xfId="0" applyAlignment="1" applyBorder="1" applyFont="1">
      <alignment readingOrder="0" shrinkToFit="0" wrapText="1"/>
    </xf>
    <xf borderId="148" fillId="14" fontId="19" numFmtId="0" xfId="0" applyAlignment="1" applyBorder="1" applyFont="1">
      <alignment shrinkToFit="0" wrapText="1"/>
    </xf>
    <xf borderId="148" fillId="14" fontId="19" numFmtId="0" xfId="0" applyAlignment="1" applyBorder="1" applyFont="1">
      <alignment shrinkToFit="0" wrapText="0"/>
    </xf>
    <xf borderId="148" fillId="14" fontId="8" numFmtId="0" xfId="0" applyAlignment="1" applyBorder="1" applyFont="1">
      <alignment readingOrder="0"/>
    </xf>
    <xf borderId="149" fillId="14" fontId="19" numFmtId="0" xfId="0" applyAlignment="1" applyBorder="1" applyFont="1">
      <alignment shrinkToFit="0" wrapText="1"/>
    </xf>
    <xf borderId="140" fillId="14" fontId="19" numFmtId="164" xfId="0" applyAlignment="1" applyBorder="1" applyFont="1" applyNumberFormat="1">
      <alignment readingOrder="0" shrinkToFit="0" wrapText="1"/>
    </xf>
    <xf borderId="135" fillId="3" fontId="19" numFmtId="0" xfId="0" applyAlignment="1" applyBorder="1" applyFont="1">
      <alignment shrinkToFit="0" wrapText="1"/>
    </xf>
    <xf borderId="148" fillId="3" fontId="19" numFmtId="0" xfId="0" applyAlignment="1" applyBorder="1" applyFont="1">
      <alignment shrinkToFit="0" wrapText="1"/>
    </xf>
    <xf borderId="148" fillId="3" fontId="8" numFmtId="0" xfId="0" applyBorder="1" applyFont="1"/>
    <xf borderId="135" fillId="14" fontId="19" numFmtId="0" xfId="0" applyAlignment="1" applyBorder="1" applyFont="1">
      <alignment shrinkToFit="0" wrapText="1"/>
    </xf>
    <xf borderId="148" fillId="14" fontId="8" numFmtId="0" xfId="0" applyBorder="1" applyFont="1"/>
    <xf borderId="148" fillId="3" fontId="19" numFmtId="0" xfId="0" applyAlignment="1" applyBorder="1" applyFont="1">
      <alignment shrinkToFit="0" wrapText="0"/>
    </xf>
    <xf borderId="114" fillId="12" fontId="19" numFmtId="0" xfId="0" applyAlignment="1" applyBorder="1" applyFont="1">
      <alignment shrinkToFit="0" wrapText="1"/>
    </xf>
    <xf borderId="116" fillId="12" fontId="19" numFmtId="0" xfId="0" applyAlignment="1" applyBorder="1" applyFont="1">
      <alignment shrinkToFit="0" wrapText="1"/>
    </xf>
    <xf borderId="224" fillId="12" fontId="19" numFmtId="0" xfId="0" applyAlignment="1" applyBorder="1" applyFont="1">
      <alignment shrinkToFit="0" wrapText="1"/>
    </xf>
    <xf borderId="116" fillId="12" fontId="19" numFmtId="0" xfId="0" applyAlignment="1" applyBorder="1" applyFont="1">
      <alignment shrinkToFit="0" wrapText="0"/>
    </xf>
    <xf borderId="116" fillId="12" fontId="8" numFmtId="0" xfId="0" applyBorder="1" applyFont="1"/>
    <xf borderId="115" fillId="12" fontId="19" numFmtId="0" xfId="0" applyAlignment="1" applyBorder="1" applyFont="1">
      <alignment shrinkToFit="0" wrapText="1"/>
    </xf>
    <xf borderId="47" fillId="12" fontId="8" numFmtId="0" xfId="0" applyBorder="1" applyFont="1"/>
    <xf borderId="194" fillId="12" fontId="8" numFmtId="0" xfId="0" applyBorder="1" applyFont="1"/>
    <xf borderId="117" fillId="12" fontId="19" numFmtId="164" xfId="0" applyAlignment="1" applyBorder="1" applyFont="1" applyNumberFormat="1">
      <alignment readingOrder="0" shrinkToFit="0" wrapText="1"/>
    </xf>
    <xf borderId="1" fillId="22" fontId="6" numFmtId="0" xfId="0" applyAlignment="1" applyBorder="1" applyFont="1">
      <alignment readingOrder="0" shrinkToFit="0" wrapText="1"/>
    </xf>
    <xf borderId="225" fillId="22" fontId="8" numFmtId="0" xfId="0" applyBorder="1" applyFont="1"/>
    <xf borderId="226" fillId="22" fontId="27" numFmtId="0" xfId="0" applyAlignment="1" applyBorder="1" applyFont="1">
      <alignment readingOrder="0" shrinkToFit="0" wrapText="1"/>
    </xf>
    <xf borderId="227" fillId="0" fontId="6" numFmtId="0" xfId="0" applyAlignment="1" applyBorder="1" applyFont="1">
      <alignment readingOrder="0" shrinkToFit="0" wrapText="1"/>
    </xf>
    <xf borderId="226" fillId="0" fontId="27" numFmtId="0" xfId="0" applyAlignment="1" applyBorder="1" applyFont="1">
      <alignment readingOrder="0" shrinkToFit="0" wrapText="1"/>
    </xf>
    <xf borderId="3" fillId="22" fontId="8" numFmtId="0" xfId="0" applyBorder="1" applyFont="1"/>
    <xf borderId="143" fillId="3" fontId="8" numFmtId="0" xfId="0" applyBorder="1" applyFont="1"/>
    <xf borderId="144" fillId="3" fontId="29" numFmtId="164" xfId="0" applyAlignment="1" applyBorder="1" applyFont="1" applyNumberFormat="1">
      <alignment readingOrder="0" shrinkToFit="0" wrapText="1"/>
    </xf>
    <xf borderId="141" fillId="0" fontId="29" numFmtId="0" xfId="0" applyAlignment="1" applyBorder="1" applyFont="1">
      <alignment readingOrder="0" shrinkToFit="0" wrapText="1"/>
    </xf>
    <xf borderId="144" fillId="0" fontId="29" numFmtId="0" xfId="0" applyAlignment="1" applyBorder="1" applyFont="1">
      <alignment readingOrder="0" shrinkToFit="0" wrapText="1"/>
    </xf>
    <xf borderId="7" fillId="15" fontId="23" numFmtId="0" xfId="0" applyAlignment="1" applyBorder="1" applyFont="1">
      <alignment readingOrder="0" shrinkToFit="0" wrapText="1"/>
    </xf>
    <xf borderId="143" fillId="15" fontId="8" numFmtId="0" xfId="0" applyBorder="1" applyFont="1"/>
    <xf borderId="144" fillId="15" fontId="29" numFmtId="164" xfId="0" applyAlignment="1" applyBorder="1" applyFont="1" applyNumberFormat="1">
      <alignment readingOrder="0" shrinkToFit="0" wrapText="1"/>
    </xf>
    <xf borderId="141" fillId="0" fontId="29" numFmtId="0" xfId="0" applyAlignment="1" applyBorder="1" applyFont="1">
      <alignment readingOrder="0" shrinkToFit="0" wrapText="0"/>
    </xf>
    <xf borderId="7" fillId="15" fontId="29" numFmtId="0" xfId="0" applyAlignment="1" applyBorder="1" applyFont="1">
      <alignment readingOrder="0" shrinkToFit="0" wrapText="1"/>
    </xf>
    <xf borderId="160" fillId="0" fontId="30" numFmtId="0" xfId="0" applyAlignment="1" applyBorder="1" applyFont="1">
      <alignment readingOrder="0" shrinkToFit="0" wrapText="1"/>
    </xf>
    <xf borderId="163" fillId="0" fontId="30" numFmtId="0" xfId="0" applyAlignment="1" applyBorder="1" applyFont="1">
      <alignment readingOrder="0" shrinkToFit="0" wrapText="1"/>
    </xf>
    <xf borderId="228" fillId="3" fontId="8" numFmtId="0" xfId="0" applyBorder="1" applyFont="1"/>
    <xf borderId="163" fillId="3" fontId="30" numFmtId="164" xfId="0" applyAlignment="1" applyBorder="1" applyFont="1" applyNumberFormat="1">
      <alignment readingOrder="0" shrinkToFit="0" wrapText="1"/>
    </xf>
    <xf borderId="163" fillId="3" fontId="30" numFmtId="164" xfId="0" applyAlignment="1" applyBorder="1" applyFont="1" applyNumberFormat="1">
      <alignment readingOrder="0" shrinkToFit="0" wrapText="1"/>
    </xf>
    <xf borderId="227" fillId="0" fontId="6" numFmtId="0" xfId="0" applyAlignment="1" applyBorder="1" applyFont="1">
      <alignment readingOrder="0" shrinkToFit="0" wrapText="0"/>
    </xf>
    <xf borderId="229" fillId="0" fontId="46" numFmtId="0" xfId="0" applyAlignment="1" applyBorder="1" applyFont="1">
      <alignment readingOrder="0" shrinkToFit="0" wrapText="1"/>
    </xf>
    <xf borderId="229" fillId="0" fontId="6" numFmtId="0" xfId="0" applyAlignment="1" applyBorder="1" applyFont="1">
      <alignment readingOrder="0" shrinkToFit="0" wrapText="1"/>
    </xf>
    <xf borderId="229" fillId="0" fontId="3" numFmtId="0" xfId="0" applyAlignment="1" applyBorder="1" applyFont="1">
      <alignment readingOrder="0" shrinkToFit="0" wrapText="1"/>
    </xf>
    <xf borderId="229" fillId="0" fontId="8" numFmtId="0" xfId="0" applyAlignment="1" applyBorder="1" applyFont="1">
      <alignment shrinkToFit="0" wrapText="1"/>
    </xf>
    <xf borderId="229" fillId="0" fontId="3" numFmtId="0" xfId="0" applyAlignment="1" applyBorder="1" applyFont="1">
      <alignment shrinkToFit="0" wrapText="1"/>
    </xf>
    <xf borderId="226" fillId="0" fontId="3" numFmtId="0" xfId="0" applyAlignment="1" applyBorder="1" applyFont="1">
      <alignment shrinkToFit="0" wrapText="1"/>
    </xf>
    <xf borderId="126" fillId="0" fontId="13" numFmtId="0" xfId="0" applyAlignment="1" applyBorder="1" applyFont="1">
      <alignment readingOrder="0" shrinkToFit="0" wrapText="1"/>
    </xf>
    <xf borderId="127" fillId="0" fontId="12" numFmtId="0" xfId="0" applyAlignment="1" applyBorder="1" applyFont="1">
      <alignment readingOrder="0" shrinkToFit="0" wrapText="1"/>
    </xf>
    <xf borderId="129" fillId="0" fontId="12" numFmtId="0" xfId="0" applyAlignment="1" applyBorder="1" applyFont="1">
      <alignment readingOrder="0" shrinkToFit="0" wrapText="1"/>
    </xf>
    <xf borderId="150" fillId="0" fontId="21" numFmtId="0" xfId="0" applyAlignment="1" applyBorder="1" applyFont="1">
      <alignment readingOrder="0" shrinkToFit="0" wrapText="1"/>
    </xf>
    <xf borderId="150" fillId="0" fontId="19" numFmtId="0" xfId="0" applyAlignment="1" applyBorder="1" applyFont="1">
      <alignment readingOrder="0" shrinkToFit="0" wrapText="1"/>
    </xf>
    <xf borderId="150" fillId="0" fontId="23" numFmtId="0" xfId="0" applyAlignment="1" applyBorder="1" applyFont="1">
      <alignment shrinkToFit="0" wrapText="1"/>
    </xf>
    <xf borderId="150" fillId="0" fontId="19" numFmtId="0" xfId="0" applyAlignment="1" applyBorder="1" applyFont="1">
      <alignment shrinkToFit="0" wrapText="1"/>
    </xf>
    <xf borderId="144" fillId="0" fontId="19" numFmtId="0" xfId="0" applyAlignment="1" applyBorder="1" applyFont="1">
      <alignment shrinkToFit="0" wrapText="1"/>
    </xf>
    <xf borderId="144" fillId="0" fontId="19" numFmtId="0" xfId="0" applyAlignment="1" applyBorder="1" applyFont="1">
      <alignment readingOrder="0" shrinkToFit="0" wrapText="1"/>
    </xf>
    <xf borderId="161" fillId="0" fontId="21" numFmtId="0" xfId="0" applyAlignment="1" applyBorder="1" applyFont="1">
      <alignment readingOrder="0" shrinkToFit="0" wrapText="1"/>
    </xf>
    <xf borderId="161" fillId="0" fontId="19" numFmtId="0" xfId="0" applyAlignment="1" applyBorder="1" applyFont="1">
      <alignment readingOrder="0" shrinkToFit="0" wrapText="1"/>
    </xf>
    <xf borderId="161" fillId="0" fontId="19" numFmtId="0" xfId="0" applyAlignment="1" applyBorder="1" applyFont="1">
      <alignment shrinkToFit="0" wrapText="1"/>
    </xf>
    <xf borderId="163" fillId="0" fontId="19" numFmtId="0" xfId="0" applyAlignment="1" applyBorder="1" applyFont="1">
      <alignment shrinkToFit="0" wrapText="1"/>
    </xf>
    <xf borderId="141" fillId="0" fontId="23" numFmtId="0" xfId="0" applyAlignment="1" applyBorder="1" applyFont="1">
      <alignment readingOrder="0" shrinkToFit="0" wrapText="1"/>
    </xf>
    <xf borderId="160" fillId="0" fontId="23" numFmtId="0" xfId="0" applyAlignment="1" applyBorder="1" applyFont="1">
      <alignment readingOrder="0" shrinkToFit="0" wrapText="1"/>
    </xf>
    <xf borderId="227" fillId="22" fontId="39" numFmtId="0" xfId="0" applyAlignment="1" applyBorder="1" applyFont="1">
      <alignment readingOrder="0" shrinkToFit="0" wrapText="1"/>
    </xf>
    <xf borderId="229" fillId="22" fontId="39" numFmtId="0" xfId="0" applyAlignment="1" applyBorder="1" applyFont="1">
      <alignment readingOrder="0" shrinkToFit="0" wrapText="1"/>
    </xf>
    <xf borderId="229" fillId="22" fontId="39" numFmtId="0" xfId="0" applyAlignment="1" applyBorder="1" applyFont="1">
      <alignment readingOrder="0"/>
    </xf>
    <xf borderId="230" fillId="22" fontId="39" numFmtId="0" xfId="0" applyAlignment="1" applyBorder="1" applyFont="1">
      <alignment readingOrder="0" shrinkToFit="0" wrapText="1"/>
    </xf>
    <xf borderId="226" fillId="22" fontId="39" numFmtId="0" xfId="0" applyAlignment="1" applyBorder="1" applyFont="1">
      <alignment readingOrder="0" shrinkToFit="0" wrapText="1"/>
    </xf>
    <xf borderId="141" fillId="3" fontId="19" numFmtId="0" xfId="0" applyAlignment="1" applyBorder="1" applyFont="1">
      <alignment readingOrder="0" shrinkToFit="0" wrapText="1"/>
    </xf>
    <xf borderId="150" fillId="3" fontId="19" numFmtId="0" xfId="0" applyAlignment="1" applyBorder="1" applyFont="1">
      <alignment readingOrder="0" shrinkToFit="0" wrapText="1"/>
    </xf>
    <xf borderId="150" fillId="3" fontId="19" numFmtId="0" xfId="0" applyAlignment="1" applyBorder="1" applyFont="1">
      <alignment readingOrder="0" shrinkToFit="0" wrapText="0"/>
    </xf>
    <xf borderId="150" fillId="3" fontId="8" numFmtId="0" xfId="0" applyAlignment="1" applyBorder="1" applyFont="1">
      <alignment readingOrder="0"/>
    </xf>
    <xf borderId="151" fillId="3" fontId="19" numFmtId="0" xfId="0" applyAlignment="1" applyBorder="1" applyFont="1">
      <alignment shrinkToFit="0" wrapText="1"/>
    </xf>
    <xf borderId="144" fillId="3" fontId="19" numFmtId="164" xfId="0" applyAlignment="1" applyBorder="1" applyFont="1" applyNumberFormat="1">
      <alignment readingOrder="0" shrinkToFit="0" wrapText="1"/>
    </xf>
    <xf borderId="141" fillId="15" fontId="19" numFmtId="0" xfId="0" applyAlignment="1" applyBorder="1" applyFont="1">
      <alignment readingOrder="0" shrinkToFit="0" wrapText="1"/>
    </xf>
    <xf borderId="150" fillId="15" fontId="19" numFmtId="0" xfId="0" applyAlignment="1" applyBorder="1" applyFont="1">
      <alignment readingOrder="0" shrinkToFit="0" wrapText="1"/>
    </xf>
    <xf borderId="150" fillId="15" fontId="19" numFmtId="0" xfId="0" applyAlignment="1" applyBorder="1" applyFont="1">
      <alignment shrinkToFit="0" wrapText="1"/>
    </xf>
    <xf borderId="150" fillId="15" fontId="19" numFmtId="0" xfId="0" applyAlignment="1" applyBorder="1" applyFont="1">
      <alignment shrinkToFit="0" wrapText="0"/>
    </xf>
    <xf borderId="150" fillId="15" fontId="8" numFmtId="0" xfId="0" applyAlignment="1" applyBorder="1" applyFont="1">
      <alignment readingOrder="0"/>
    </xf>
    <xf borderId="151" fillId="15" fontId="19" numFmtId="0" xfId="0" applyAlignment="1" applyBorder="1" applyFont="1">
      <alignment shrinkToFit="0" wrapText="1"/>
    </xf>
    <xf borderId="144" fillId="15" fontId="19" numFmtId="164" xfId="0" applyAlignment="1" applyBorder="1" applyFont="1" applyNumberFormat="1">
      <alignment readingOrder="0" shrinkToFit="0" wrapText="1"/>
    </xf>
    <xf borderId="141" fillId="3" fontId="19" numFmtId="0" xfId="0" applyAlignment="1" applyBorder="1" applyFont="1">
      <alignment shrinkToFit="0" wrapText="1"/>
    </xf>
    <xf borderId="150" fillId="3" fontId="19" numFmtId="0" xfId="0" applyAlignment="1" applyBorder="1" applyFont="1">
      <alignment shrinkToFit="0" wrapText="1"/>
    </xf>
    <xf borderId="150" fillId="3" fontId="8" numFmtId="0" xfId="0" applyBorder="1" applyFont="1"/>
    <xf borderId="141" fillId="15" fontId="19" numFmtId="0" xfId="0" applyAlignment="1" applyBorder="1" applyFont="1">
      <alignment shrinkToFit="0" wrapText="1"/>
    </xf>
    <xf borderId="150" fillId="15" fontId="8" numFmtId="0" xfId="0" applyBorder="1" applyFont="1"/>
    <xf borderId="150" fillId="3" fontId="19" numFmtId="0" xfId="0" applyAlignment="1" applyBorder="1" applyFont="1">
      <alignment shrinkToFit="0" wrapText="0"/>
    </xf>
    <xf borderId="208" fillId="13" fontId="19" numFmtId="0" xfId="0" applyAlignment="1" applyBorder="1" applyFont="1">
      <alignment shrinkToFit="0" wrapText="1"/>
    </xf>
    <xf borderId="216" fillId="13" fontId="19" numFmtId="0" xfId="0" applyAlignment="1" applyBorder="1" applyFont="1">
      <alignment shrinkToFit="0" wrapText="1"/>
    </xf>
    <xf borderId="216" fillId="13" fontId="19" numFmtId="0" xfId="0" applyAlignment="1" applyBorder="1" applyFont="1">
      <alignment shrinkToFit="0" wrapText="0"/>
    </xf>
    <xf borderId="216" fillId="13" fontId="8" numFmtId="0" xfId="0" applyBorder="1" applyFont="1"/>
    <xf borderId="119" fillId="13" fontId="19" numFmtId="0" xfId="0" applyAlignment="1" applyBorder="1" applyFont="1">
      <alignment shrinkToFit="0" wrapText="1"/>
    </xf>
    <xf borderId="47" fillId="13" fontId="8" numFmtId="0" xfId="0" applyBorder="1" applyFont="1"/>
    <xf borderId="210" fillId="13" fontId="8" numFmtId="0" xfId="0" applyBorder="1" applyFont="1"/>
    <xf borderId="209" fillId="13" fontId="19" numFmtId="164" xfId="0" applyAlignment="1" applyBorder="1" applyFont="1" applyNumberFormat="1">
      <alignment readingOrder="0" shrinkToFit="0" wrapText="1"/>
    </xf>
    <xf borderId="1" fillId="23" fontId="6" numFmtId="0" xfId="0" applyAlignment="1" applyBorder="1" applyFont="1">
      <alignment readingOrder="0" shrinkToFit="0" wrapText="1"/>
    </xf>
    <xf borderId="231" fillId="23" fontId="8" numFmtId="0" xfId="0" applyBorder="1" applyFont="1"/>
    <xf borderId="232" fillId="23" fontId="27" numFmtId="0" xfId="0" applyAlignment="1" applyBorder="1" applyFont="1">
      <alignment readingOrder="0" shrinkToFit="0" wrapText="1"/>
    </xf>
    <xf borderId="233" fillId="0" fontId="6" numFmtId="0" xfId="0" applyAlignment="1" applyBorder="1" applyFont="1">
      <alignment readingOrder="0" shrinkToFit="0" wrapText="1"/>
    </xf>
    <xf borderId="232" fillId="0" fontId="27" numFmtId="0" xfId="0" applyAlignment="1" applyBorder="1" applyFont="1">
      <alignment readingOrder="0" shrinkToFit="0" wrapText="1"/>
    </xf>
    <xf borderId="3" fillId="23" fontId="8" numFmtId="0" xfId="0" applyBorder="1" applyFont="1"/>
    <xf borderId="146" fillId="3" fontId="8" numFmtId="0" xfId="0" applyBorder="1" applyFont="1"/>
    <xf borderId="147" fillId="3" fontId="29" numFmtId="164" xfId="0" applyAlignment="1" applyBorder="1" applyFont="1" applyNumberFormat="1">
      <alignment readingOrder="0" shrinkToFit="0" wrapText="1"/>
    </xf>
    <xf borderId="145" fillId="0" fontId="29" numFmtId="0" xfId="0" applyAlignment="1" applyBorder="1" applyFont="1">
      <alignment readingOrder="0" shrinkToFit="0" wrapText="1"/>
    </xf>
    <xf borderId="147" fillId="0" fontId="29" numFmtId="0" xfId="0" applyAlignment="1" applyBorder="1" applyFont="1">
      <alignment readingOrder="0" shrinkToFit="0" wrapText="1"/>
    </xf>
    <xf borderId="7" fillId="16" fontId="23" numFmtId="0" xfId="0" applyAlignment="1" applyBorder="1" applyFont="1">
      <alignment readingOrder="0" shrinkToFit="0" wrapText="1"/>
    </xf>
    <xf borderId="146" fillId="16" fontId="8" numFmtId="0" xfId="0" applyBorder="1" applyFont="1"/>
    <xf borderId="147" fillId="16" fontId="29" numFmtId="164" xfId="0" applyAlignment="1" applyBorder="1" applyFont="1" applyNumberFormat="1">
      <alignment readingOrder="0" shrinkToFit="0" wrapText="1"/>
    </xf>
    <xf borderId="145" fillId="0" fontId="29" numFmtId="0" xfId="0" applyAlignment="1" applyBorder="1" applyFont="1">
      <alignment readingOrder="0" shrinkToFit="0" wrapText="0"/>
    </xf>
    <xf borderId="7" fillId="16" fontId="29" numFmtId="0" xfId="0" applyAlignment="1" applyBorder="1" applyFont="1">
      <alignment readingOrder="0" shrinkToFit="0" wrapText="1"/>
    </xf>
    <xf borderId="164" fillId="0" fontId="30" numFmtId="0" xfId="0" applyAlignment="1" applyBorder="1" applyFont="1">
      <alignment readingOrder="0" shrinkToFit="0" wrapText="1"/>
    </xf>
    <xf borderId="167" fillId="0" fontId="30" numFmtId="0" xfId="0" applyAlignment="1" applyBorder="1" applyFont="1">
      <alignment readingOrder="0" shrinkToFit="0" wrapText="1"/>
    </xf>
    <xf borderId="234" fillId="3" fontId="8" numFmtId="0" xfId="0" applyBorder="1" applyFont="1"/>
    <xf borderId="167" fillId="3" fontId="30" numFmtId="164" xfId="0" applyAlignment="1" applyBorder="1" applyFont="1" applyNumberFormat="1">
      <alignment readingOrder="0" shrinkToFit="0" wrapText="1"/>
    </xf>
    <xf borderId="167" fillId="3" fontId="30" numFmtId="164" xfId="0" applyAlignment="1" applyBorder="1" applyFont="1" applyNumberFormat="1">
      <alignment readingOrder="0" shrinkToFit="0" wrapText="1"/>
    </xf>
    <xf borderId="233" fillId="0" fontId="6" numFmtId="0" xfId="0" applyAlignment="1" applyBorder="1" applyFont="1">
      <alignment readingOrder="0" shrinkToFit="0" wrapText="0"/>
    </xf>
    <xf borderId="235" fillId="0" fontId="46" numFmtId="0" xfId="0" applyAlignment="1" applyBorder="1" applyFont="1">
      <alignment readingOrder="0" shrinkToFit="0" wrapText="1"/>
    </xf>
    <xf borderId="235" fillId="0" fontId="6" numFmtId="0" xfId="0" applyAlignment="1" applyBorder="1" applyFont="1">
      <alignment readingOrder="0" shrinkToFit="0" wrapText="1"/>
    </xf>
    <xf borderId="235" fillId="0" fontId="3" numFmtId="0" xfId="0" applyAlignment="1" applyBorder="1" applyFont="1">
      <alignment readingOrder="0" shrinkToFit="0" wrapText="1"/>
    </xf>
    <xf borderId="235" fillId="0" fontId="8" numFmtId="0" xfId="0" applyAlignment="1" applyBorder="1" applyFont="1">
      <alignment shrinkToFit="0" wrapText="1"/>
    </xf>
    <xf borderId="235" fillId="0" fontId="3" numFmtId="0" xfId="0" applyAlignment="1" applyBorder="1" applyFont="1">
      <alignment shrinkToFit="0" wrapText="1"/>
    </xf>
    <xf borderId="232" fillId="0" fontId="3" numFmtId="0" xfId="0" applyAlignment="1" applyBorder="1" applyFont="1">
      <alignment shrinkToFit="0" wrapText="1"/>
    </xf>
    <xf borderId="130" fillId="0" fontId="13" numFmtId="0" xfId="0" applyAlignment="1" applyBorder="1" applyFont="1">
      <alignment readingOrder="0" shrinkToFit="0" wrapText="1"/>
    </xf>
    <xf borderId="132" fillId="0" fontId="12" numFmtId="0" xfId="0" applyAlignment="1" applyBorder="1" applyFont="1">
      <alignment readingOrder="0" shrinkToFit="0" wrapText="1"/>
    </xf>
    <xf borderId="134" fillId="0" fontId="12" numFmtId="0" xfId="0" applyAlignment="1" applyBorder="1" applyFont="1">
      <alignment readingOrder="0" shrinkToFit="0" wrapText="1"/>
    </xf>
    <xf borderId="145" fillId="0" fontId="23" numFmtId="0" xfId="0" applyAlignment="1" applyBorder="1" applyFont="1">
      <alignment readingOrder="0" shrinkToFit="0" wrapText="1"/>
    </xf>
    <xf borderId="152" fillId="0" fontId="21" numFmtId="0" xfId="0" applyAlignment="1" applyBorder="1" applyFont="1">
      <alignment readingOrder="0" shrinkToFit="0" wrapText="1"/>
    </xf>
    <xf borderId="152" fillId="0" fontId="19" numFmtId="0" xfId="0" applyAlignment="1" applyBorder="1" applyFont="1">
      <alignment readingOrder="0" shrinkToFit="0" wrapText="1"/>
    </xf>
    <xf borderId="152" fillId="0" fontId="23" numFmtId="0" xfId="0" applyAlignment="1" applyBorder="1" applyFont="1">
      <alignment shrinkToFit="0" wrapText="1"/>
    </xf>
    <xf borderId="152" fillId="0" fontId="19" numFmtId="0" xfId="0" applyAlignment="1" applyBorder="1" applyFont="1">
      <alignment shrinkToFit="0" wrapText="1"/>
    </xf>
    <xf borderId="147" fillId="0" fontId="19" numFmtId="0" xfId="0" applyAlignment="1" applyBorder="1" applyFont="1">
      <alignment shrinkToFit="0" wrapText="1"/>
    </xf>
    <xf borderId="147" fillId="0" fontId="19" numFmtId="0" xfId="0" applyAlignment="1" applyBorder="1" applyFont="1">
      <alignment readingOrder="0" shrinkToFit="0" wrapText="1"/>
    </xf>
    <xf borderId="164" fillId="0" fontId="23" numFmtId="0" xfId="0" applyAlignment="1" applyBorder="1" applyFont="1">
      <alignment readingOrder="0" shrinkToFit="0" wrapText="1"/>
    </xf>
    <xf borderId="165" fillId="0" fontId="21" numFmtId="0" xfId="0" applyAlignment="1" applyBorder="1" applyFont="1">
      <alignment readingOrder="0" shrinkToFit="0" wrapText="1"/>
    </xf>
    <xf borderId="165" fillId="0" fontId="19" numFmtId="0" xfId="0" applyAlignment="1" applyBorder="1" applyFont="1">
      <alignment readingOrder="0" shrinkToFit="0" wrapText="1"/>
    </xf>
    <xf borderId="165" fillId="0" fontId="19" numFmtId="0" xfId="0" applyAlignment="1" applyBorder="1" applyFont="1">
      <alignment shrinkToFit="0" wrapText="1"/>
    </xf>
    <xf borderId="167" fillId="0" fontId="19" numFmtId="0" xfId="0" applyAlignment="1" applyBorder="1" applyFont="1">
      <alignment shrinkToFit="0" wrapText="1"/>
    </xf>
    <xf borderId="233" fillId="23" fontId="39" numFmtId="0" xfId="0" applyAlignment="1" applyBorder="1" applyFont="1">
      <alignment readingOrder="0" shrinkToFit="0" wrapText="1"/>
    </xf>
    <xf borderId="235" fillId="23" fontId="39" numFmtId="0" xfId="0" applyAlignment="1" applyBorder="1" applyFont="1">
      <alignment readingOrder="0" shrinkToFit="0" wrapText="1"/>
    </xf>
    <xf borderId="236" fillId="23" fontId="39" numFmtId="0" xfId="0" applyAlignment="1" applyBorder="1" applyFont="1">
      <alignment readingOrder="0" shrinkToFit="0" wrapText="1"/>
    </xf>
    <xf borderId="152" fillId="3" fontId="19" numFmtId="0" xfId="0" applyAlignment="1" applyBorder="1" applyFont="1">
      <alignment readingOrder="0" shrinkToFit="0" wrapText="1"/>
    </xf>
    <xf borderId="152" fillId="3" fontId="19" numFmtId="0" xfId="0" applyAlignment="1" applyBorder="1" applyFont="1">
      <alignment shrinkToFit="0" wrapText="1"/>
    </xf>
    <xf borderId="152" fillId="3" fontId="19" numFmtId="0" xfId="0" applyAlignment="1" applyBorder="1" applyFont="1">
      <alignment shrinkToFit="0" wrapText="0"/>
    </xf>
    <xf borderId="153" fillId="3" fontId="19" numFmtId="0" xfId="0" applyAlignment="1" applyBorder="1" applyFont="1">
      <alignment shrinkToFit="0" wrapText="1"/>
    </xf>
    <xf borderId="35" fillId="3" fontId="8" numFmtId="0" xfId="0" applyBorder="1" applyFont="1"/>
    <xf borderId="38" fillId="16" fontId="19" numFmtId="0" xfId="0" applyAlignment="1" applyBorder="1" applyFont="1">
      <alignment readingOrder="0" shrinkToFit="0" wrapText="1"/>
    </xf>
    <xf borderId="39" fillId="16" fontId="19" numFmtId="0" xfId="0" applyAlignment="1" applyBorder="1" applyFont="1">
      <alignment readingOrder="0" shrinkToFit="0" wrapText="1"/>
    </xf>
    <xf borderId="152" fillId="16" fontId="19" numFmtId="0" xfId="0" applyAlignment="1" applyBorder="1" applyFont="1">
      <alignment readingOrder="0" shrinkToFit="0" wrapText="1"/>
    </xf>
    <xf borderId="152" fillId="16" fontId="19" numFmtId="0" xfId="0" applyAlignment="1" applyBorder="1" applyFont="1">
      <alignment shrinkToFit="0" wrapText="1"/>
    </xf>
    <xf borderId="39" fillId="16" fontId="19" numFmtId="0" xfId="0" applyAlignment="1" applyBorder="1" applyFont="1">
      <alignment readingOrder="0" shrinkToFit="0" wrapText="0"/>
    </xf>
    <xf borderId="152" fillId="16" fontId="19" numFmtId="0" xfId="0" applyAlignment="1" applyBorder="1" applyFont="1">
      <alignment shrinkToFit="0" wrapText="0"/>
    </xf>
    <xf borderId="153" fillId="16" fontId="19" numFmtId="0" xfId="0" applyAlignment="1" applyBorder="1" applyFont="1">
      <alignment shrinkToFit="0" wrapText="1"/>
    </xf>
    <xf borderId="35" fillId="16" fontId="8" numFmtId="0" xfId="0" applyBorder="1" applyFont="1"/>
    <xf borderId="145" fillId="3" fontId="19" numFmtId="0" xfId="0" applyAlignment="1" applyBorder="1" applyFont="1">
      <alignment shrinkToFit="0" wrapText="1"/>
    </xf>
    <xf borderId="156" fillId="14" fontId="19" numFmtId="0" xfId="0" applyAlignment="1" applyBorder="1" applyFont="1">
      <alignment shrinkToFit="0" wrapText="1"/>
    </xf>
    <xf borderId="152" fillId="3" fontId="19" numFmtId="0" xfId="0" applyAlignment="1" applyBorder="1" applyFont="1">
      <alignment readingOrder="0" shrinkToFit="0" wrapText="0"/>
    </xf>
    <xf borderId="157" fillId="14" fontId="19" numFmtId="0" xfId="0" applyAlignment="1" applyBorder="1" applyFont="1">
      <alignment shrinkToFit="0" wrapText="1"/>
    </xf>
    <xf borderId="157" fillId="14" fontId="19" numFmtId="0" xfId="0" applyAlignment="1" applyBorder="1" applyFont="1">
      <alignment shrinkToFit="0" wrapText="0"/>
    </xf>
    <xf borderId="145" fillId="16" fontId="19" numFmtId="0" xfId="0" applyAlignment="1" applyBorder="1" applyFont="1">
      <alignment shrinkToFit="0" wrapText="1"/>
    </xf>
    <xf borderId="157" fillId="14" fontId="8" numFmtId="0" xfId="0" applyBorder="1" applyFont="1"/>
    <xf borderId="158" fillId="14" fontId="19" numFmtId="0" xfId="0" applyAlignment="1" applyBorder="1" applyFont="1">
      <alignment shrinkToFit="0" wrapText="1"/>
    </xf>
    <xf borderId="152" fillId="16" fontId="19" numFmtId="0" xfId="0" applyAlignment="1" applyBorder="1" applyFont="1">
      <alignment readingOrder="0" shrinkToFit="0" wrapText="0"/>
    </xf>
    <xf borderId="47" fillId="14" fontId="8" numFmtId="0" xfId="0" applyBorder="1" applyFont="1"/>
    <xf borderId="221" fillId="14" fontId="8" numFmtId="0" xfId="0" applyBorder="1" applyFont="1"/>
    <xf borderId="159" fillId="14" fontId="19" numFmtId="164" xfId="0" applyAlignment="1" applyBorder="1" applyFont="1" applyNumberFormat="1">
      <alignment readingOrder="0" shrinkToFit="0" wrapText="1"/>
    </xf>
    <xf borderId="0" fillId="0" fontId="47" numFmtId="0" xfId="0" applyAlignment="1" applyFont="1">
      <alignment readingOrder="0" vertical="center"/>
    </xf>
    <xf borderId="0" fillId="0" fontId="48" numFmtId="0" xfId="0" applyAlignment="1" applyFont="1">
      <alignment readingOrder="0" shrinkToFit="0" wrapText="1"/>
    </xf>
    <xf borderId="1" fillId="0" fontId="49" numFmtId="0" xfId="0" applyAlignment="1" applyBorder="1" applyFont="1">
      <alignment readingOrder="0"/>
    </xf>
    <xf borderId="2" fillId="0" fontId="49" numFmtId="0" xfId="0" applyAlignment="1" applyBorder="1" applyFont="1">
      <alignment readingOrder="0"/>
    </xf>
    <xf borderId="3" fillId="0" fontId="49" numFmtId="0" xfId="0" applyAlignment="1" applyBorder="1" applyFont="1">
      <alignment readingOrder="0" shrinkToFit="0" wrapText="1"/>
    </xf>
    <xf borderId="0" fillId="0" fontId="49" numFmtId="0" xfId="0" applyAlignment="1" applyFont="1">
      <alignment readingOrder="0" shrinkToFit="0" wrapText="1"/>
    </xf>
    <xf borderId="3" fillId="0" fontId="8" numFmtId="0" xfId="0" applyBorder="1" applyFont="1"/>
    <xf borderId="7" fillId="0" fontId="8" numFmtId="0" xfId="0" applyAlignment="1" applyBorder="1" applyFont="1">
      <alignment readingOrder="0"/>
    </xf>
    <xf borderId="35" fillId="0" fontId="8" numFmtId="0" xfId="0" applyAlignment="1" applyBorder="1" applyFont="1">
      <alignment readingOrder="0"/>
    </xf>
    <xf borderId="35" fillId="0" fontId="8" numFmtId="0" xfId="0" applyBorder="1" applyFont="1"/>
    <xf borderId="48" fillId="0" fontId="8" numFmtId="0" xfId="0" applyAlignment="1" applyBorder="1" applyFont="1">
      <alignment readingOrder="0"/>
    </xf>
    <xf borderId="55" fillId="0" fontId="8" numFmtId="0" xfId="0" applyBorder="1" applyFont="1"/>
    <xf borderId="48" fillId="0" fontId="8" numFmtId="0" xfId="0" applyBorder="1" applyFont="1"/>
    <xf borderId="47" fillId="0" fontId="8" numFmtId="0" xfId="0" applyBorder="1" applyFont="1"/>
    <xf borderId="3" fillId="0" fontId="49" numFmtId="0" xfId="0" applyAlignment="1" applyBorder="1" applyFont="1">
      <alignment readingOrder="0"/>
    </xf>
    <xf borderId="7" fillId="0" fontId="8" numFmtId="3" xfId="0" applyAlignment="1" applyBorder="1" applyFont="1" applyNumberFormat="1">
      <alignment readingOrder="0"/>
    </xf>
    <xf borderId="35" fillId="0" fontId="8" numFmtId="3" xfId="0" applyAlignment="1" applyBorder="1" applyFont="1" applyNumberFormat="1">
      <alignment readingOrder="0"/>
    </xf>
    <xf borderId="48" fillId="0" fontId="8" numFmtId="3" xfId="0" applyAlignment="1" applyBorder="1" applyFont="1" applyNumberFormat="1">
      <alignment readingOrder="0"/>
    </xf>
    <xf borderId="47" fillId="0" fontId="8" numFmtId="0" xfId="0" applyAlignment="1" applyBorder="1" applyFont="1">
      <alignment readingOrder="0"/>
    </xf>
    <xf borderId="55" fillId="0" fontId="8" numFmtId="3" xfId="0" applyAlignment="1" applyBorder="1" applyFont="1" applyNumberFormat="1">
      <alignment readingOrder="0"/>
    </xf>
    <xf borderId="55" fillId="0" fontId="8" numFmtId="0" xfId="0" applyAlignment="1" applyBorder="1" applyFont="1">
      <alignment readingOrder="0"/>
    </xf>
    <xf borderId="7" fillId="0" fontId="8" numFmtId="0" xfId="0" applyAlignment="1" applyBorder="1" applyFont="1">
      <alignment readingOrder="0" shrinkToFit="0" wrapText="0"/>
    </xf>
    <xf borderId="0" fillId="0" fontId="8" numFmtId="0" xfId="0" applyAlignment="1" applyFont="1">
      <alignment readingOrder="0" shrinkToFit="0" wrapText="0"/>
    </xf>
    <xf borderId="0" fillId="0" fontId="8" numFmtId="0" xfId="0" applyAlignment="1" applyFont="1">
      <alignment shrinkToFit="0" wrapText="0"/>
    </xf>
    <xf borderId="35" fillId="0" fontId="8" numFmtId="0" xfId="0" applyAlignment="1" applyBorder="1" applyFont="1">
      <alignment shrinkToFit="0" wrapText="0"/>
    </xf>
    <xf borderId="35" fillId="0" fontId="8" numFmtId="0" xfId="0" applyAlignment="1" applyBorder="1" applyFont="1">
      <alignment readingOrder="0" shrinkToFit="0" wrapText="0"/>
    </xf>
    <xf borderId="0" fillId="0" fontId="8" numFmtId="3" xfId="0" applyAlignment="1" applyFont="1" applyNumberFormat="1">
      <alignment readingOrder="0" shrinkToFit="0" wrapText="0"/>
    </xf>
    <xf borderId="2" fillId="0" fontId="8" numFmtId="0" xfId="0" applyAlignment="1" applyBorder="1" applyFont="1">
      <alignment readingOrder="0"/>
    </xf>
    <xf borderId="3" fillId="0" fontId="8" numFmtId="0" xfId="0" applyAlignment="1" applyBorder="1" applyFont="1">
      <alignment readingOrder="0"/>
    </xf>
    <xf borderId="7" fillId="0" fontId="50" numFmtId="0" xfId="0" applyAlignment="1" applyBorder="1" applyFont="1">
      <alignment readingOrder="0"/>
    </xf>
    <xf borderId="0" fillId="0" fontId="51" numFmtId="0" xfId="0" applyFont="1"/>
    <xf borderId="35" fillId="0" fontId="51" numFmtId="0" xfId="0" applyBorder="1" applyFont="1"/>
    <xf borderId="0" fillId="0" fontId="49" numFmtId="0" xfId="0" applyAlignment="1" applyFont="1">
      <alignment readingOrder="0"/>
    </xf>
    <xf borderId="0" fillId="0" fontId="52" numFmtId="0" xfId="0" applyAlignment="1" applyFont="1">
      <alignment horizontal="center" readingOrder="0" vertical="center"/>
    </xf>
    <xf borderId="0" fillId="0" fontId="21" numFmtId="0" xfId="0" applyAlignment="1" applyFont="1">
      <alignment readingOrder="0"/>
    </xf>
    <xf borderId="237" fillId="0" fontId="21" numFmtId="0" xfId="0" applyAlignment="1" applyBorder="1" applyFont="1">
      <alignment readingOrder="0"/>
    </xf>
    <xf borderId="238" fillId="0" fontId="21" numFmtId="0" xfId="0" applyAlignment="1" applyBorder="1" applyFont="1">
      <alignment readingOrder="0"/>
    </xf>
    <xf borderId="239" fillId="0" fontId="19" numFmtId="165" xfId="0" applyAlignment="1" applyBorder="1" applyFont="1" applyNumberFormat="1">
      <alignment readingOrder="0"/>
    </xf>
    <xf borderId="240" fillId="0" fontId="19" numFmtId="0" xfId="0" applyAlignment="1" applyBorder="1" applyFont="1">
      <alignment readingOrder="0" shrinkToFit="0" wrapText="1"/>
    </xf>
    <xf borderId="239" fillId="0" fontId="19" numFmtId="0" xfId="0" applyBorder="1" applyFont="1"/>
    <xf borderId="239" fillId="0" fontId="19" numFmtId="0" xfId="0" applyAlignment="1" applyBorder="1" applyFont="1">
      <alignment readingOrder="0"/>
    </xf>
    <xf borderId="0" fillId="3" fontId="29" numFmtId="0" xfId="0" applyAlignment="1" applyFont="1">
      <alignment horizontal="left" readingOrder="0"/>
    </xf>
    <xf borderId="0" fillId="0" fontId="29" numFmtId="0" xfId="0" applyAlignment="1" applyFont="1">
      <alignment horizontal="left" readingOrder="0"/>
    </xf>
    <xf borderId="240" fillId="0" fontId="53" numFmtId="0" xfId="0" applyAlignment="1" applyBorder="1" applyFont="1">
      <alignment readingOrder="0" shrinkToFit="0" wrapText="1"/>
    </xf>
    <xf borderId="240" fillId="0" fontId="19" numFmtId="0" xfId="0" applyAlignment="1" applyBorder="1" applyFont="1">
      <alignment shrinkToFit="0" wrapText="1"/>
    </xf>
    <xf borderId="241" fillId="0" fontId="19" numFmtId="0" xfId="0" applyBorder="1" applyFont="1"/>
    <xf borderId="242" fillId="0" fontId="19" numFmtId="0" xfId="0" applyAlignment="1" applyBorder="1" applyFont="1">
      <alignment shrinkToFit="0" wrapText="1"/>
    </xf>
    <xf borderId="160" fillId="15" fontId="19" numFmtId="0" xfId="0" applyAlignment="1" applyBorder="1" applyFont="1">
      <alignment shrinkToFit="0" wrapText="1"/>
    </xf>
    <xf borderId="161" fillId="15" fontId="19" numFmtId="0" xfId="0" applyAlignment="1" applyBorder="1" applyFont="1">
      <alignment shrinkToFit="0" wrapText="1"/>
    </xf>
    <xf borderId="161" fillId="15" fontId="19" numFmtId="0" xfId="0" applyAlignment="1" applyBorder="1" applyFont="1">
      <alignment shrinkToFit="0" wrapText="0"/>
    </xf>
    <xf borderId="161" fillId="15" fontId="8" numFmtId="0" xfId="0" applyBorder="1" applyFont="1"/>
    <xf borderId="162" fillId="15" fontId="19" numFmtId="0" xfId="0" applyAlignment="1" applyBorder="1" applyFont="1">
      <alignment shrinkToFit="0" wrapText="1"/>
    </xf>
    <xf borderId="47" fillId="15" fontId="8" numFmtId="0" xfId="0" applyBorder="1" applyFont="1"/>
    <xf borderId="228" fillId="15" fontId="8" numFmtId="0" xfId="0" applyBorder="1" applyFont="1"/>
    <xf borderId="163" fillId="15" fontId="19" numFmtId="164" xfId="0" applyAlignment="1" applyBorder="1" applyFont="1" applyNumberFormat="1">
      <alignment readingOrder="0" shrinkToFit="0" wrapText="1"/>
    </xf>
    <xf borderId="164" fillId="16" fontId="19" numFmtId="0" xfId="0" applyAlignment="1" applyBorder="1" applyFont="1">
      <alignment shrinkToFit="0" wrapText="1"/>
    </xf>
    <xf borderId="165" fillId="16" fontId="19" numFmtId="0" xfId="0" applyAlignment="1" applyBorder="1" applyFont="1">
      <alignment shrinkToFit="0" wrapText="1"/>
    </xf>
    <xf borderId="165" fillId="16" fontId="19" numFmtId="0" xfId="0" applyAlignment="1" applyBorder="1" applyFont="1">
      <alignment readingOrder="0" shrinkToFit="0" wrapText="1"/>
    </xf>
    <xf borderId="165" fillId="16" fontId="19" numFmtId="0" xfId="0" applyAlignment="1" applyBorder="1" applyFont="1">
      <alignment readingOrder="0" shrinkToFit="0" wrapText="0"/>
    </xf>
    <xf borderId="165" fillId="16" fontId="19" numFmtId="0" xfId="0" applyAlignment="1" applyBorder="1" applyFont="1">
      <alignment shrinkToFit="0" wrapText="0"/>
    </xf>
    <xf borderId="166" fillId="16" fontId="19" numFmtId="0" xfId="0" applyAlignment="1" applyBorder="1" applyFont="1">
      <alignment shrinkToFit="0" wrapText="1"/>
    </xf>
    <xf borderId="47" fillId="16" fontId="8" numFmtId="0" xfId="0" applyBorder="1" applyFont="1"/>
    <xf borderId="55" fillId="16" fontId="8" numFmtId="0" xfId="0" applyBorder="1" applyFont="1"/>
  </cellXfs>
  <cellStyles count="1">
    <cellStyle xfId="0" name="Normal" builtinId="0"/>
  </cellStyles>
  <dxfs count="45">
    <dxf>
      <font/>
      <fill>
        <patternFill patternType="solid">
          <fgColor rgb="FFE06666"/>
          <bgColor rgb="FFE06666"/>
        </patternFill>
      </fill>
      <border/>
    </dxf>
    <dxf>
      <font/>
      <fill>
        <patternFill patternType="none"/>
      </fill>
      <border/>
    </dxf>
    <dxf>
      <font/>
      <fill>
        <patternFill patternType="solid">
          <fgColor rgb="FF434343"/>
          <bgColor rgb="FF434343"/>
        </patternFill>
      </fill>
      <border/>
    </dxf>
    <dxf>
      <font/>
      <fill>
        <patternFill patternType="solid">
          <fgColor rgb="FFFFFFFF"/>
          <bgColor rgb="FFFFFFFF"/>
        </patternFill>
      </fill>
      <border/>
    </dxf>
    <dxf>
      <font/>
      <fill>
        <patternFill patternType="solid">
          <fgColor rgb="FFEFEFEF"/>
          <bgColor rgb="FFEFEFEF"/>
        </patternFill>
      </fill>
      <border/>
    </dxf>
    <dxf>
      <font>
        <color rgb="FFCC0000"/>
      </font>
      <fill>
        <patternFill patternType="none"/>
      </fill>
      <border/>
    </dxf>
    <dxf>
      <font>
        <color rgb="FFFFA6A6"/>
      </font>
      <fill>
        <patternFill patternType="none"/>
      </fill>
      <border/>
    </dxf>
    <dxf>
      <font/>
      <fill>
        <patternFill patternType="solid">
          <fgColor rgb="FF990000"/>
          <bgColor rgb="FF990000"/>
        </patternFill>
      </fill>
      <border/>
    </dxf>
    <dxf>
      <font/>
      <fill>
        <patternFill patternType="solid">
          <fgColor rgb="FFF4CCCC"/>
          <bgColor rgb="FFF4CCCC"/>
        </patternFill>
      </fill>
      <border/>
    </dxf>
    <dxf>
      <font>
        <color rgb="FFD9D9D9"/>
      </font>
      <fill>
        <patternFill patternType="none"/>
      </fill>
      <border/>
    </dxf>
    <dxf>
      <font>
        <color rgb="FF666666"/>
      </font>
      <fill>
        <patternFill patternType="none"/>
      </fill>
      <border/>
    </dxf>
    <dxf>
      <font/>
      <fill>
        <patternFill patternType="solid">
          <fgColor rgb="FFBDBDBD"/>
          <bgColor rgb="FFBDBDBD"/>
        </patternFill>
      </fill>
      <border/>
    </dxf>
    <dxf>
      <font/>
      <fill>
        <patternFill patternType="solid">
          <fgColor rgb="FFF3F3F3"/>
          <bgColor rgb="FFF3F3F3"/>
        </patternFill>
      </fill>
      <border/>
    </dxf>
    <dxf>
      <font>
        <color rgb="FFE69138"/>
      </font>
      <fill>
        <patternFill patternType="none"/>
      </fill>
      <border/>
    </dxf>
    <dxf>
      <font>
        <color rgb="FFF9CB9C"/>
      </font>
      <fill>
        <patternFill patternType="none"/>
      </fill>
      <border/>
    </dxf>
    <dxf>
      <font/>
      <fill>
        <patternFill patternType="solid">
          <fgColor rgb="FFB45F06"/>
          <bgColor rgb="FFB45F06"/>
        </patternFill>
      </fill>
      <border/>
    </dxf>
    <dxf>
      <font/>
      <fill>
        <patternFill patternType="solid">
          <fgColor rgb="FFFCE5CD"/>
          <bgColor rgb="FFFCE5CD"/>
        </patternFill>
      </fill>
      <border/>
    </dxf>
    <dxf>
      <font>
        <color rgb="FF6AA84F"/>
      </font>
      <fill>
        <patternFill patternType="none"/>
      </fill>
      <border/>
    </dxf>
    <dxf>
      <font>
        <color rgb="FFB6D7A8"/>
      </font>
      <fill>
        <patternFill patternType="none"/>
      </fill>
      <border/>
    </dxf>
    <dxf>
      <font/>
      <fill>
        <patternFill patternType="solid">
          <fgColor rgb="FF38761D"/>
          <bgColor rgb="FF38761D"/>
        </patternFill>
      </fill>
      <border/>
    </dxf>
    <dxf>
      <font/>
      <fill>
        <patternFill patternType="solid">
          <fgColor rgb="FFD9EAD3"/>
          <bgColor rgb="FFD9EAD3"/>
        </patternFill>
      </fill>
      <border/>
    </dxf>
    <dxf>
      <font>
        <color rgb="FFF1C232"/>
      </font>
      <fill>
        <patternFill patternType="none"/>
      </fill>
      <border/>
    </dxf>
    <dxf>
      <font>
        <color rgb="FFFFE599"/>
      </font>
      <fill>
        <patternFill patternType="none"/>
      </fill>
      <border/>
    </dxf>
    <dxf>
      <font/>
      <fill>
        <patternFill patternType="solid">
          <fgColor rgb="FFBF9000"/>
          <bgColor rgb="FFBF9000"/>
        </patternFill>
      </fill>
      <border/>
    </dxf>
    <dxf>
      <font/>
      <fill>
        <patternFill patternType="solid">
          <fgColor rgb="FFFFF2CC"/>
          <bgColor rgb="FFFFF2CC"/>
        </patternFill>
      </fill>
      <border/>
    </dxf>
    <dxf>
      <font>
        <color rgb="FF76A5AF"/>
      </font>
      <fill>
        <patternFill patternType="none"/>
      </fill>
      <border/>
    </dxf>
    <dxf>
      <font>
        <color rgb="FFA2C4C9"/>
      </font>
      <fill>
        <patternFill patternType="none"/>
      </fill>
      <border/>
    </dxf>
    <dxf>
      <font/>
      <fill>
        <patternFill patternType="solid">
          <fgColor rgb="FF45818E"/>
          <bgColor rgb="FF45818E"/>
        </patternFill>
      </fill>
      <border/>
    </dxf>
    <dxf>
      <font/>
      <fill>
        <patternFill patternType="solid">
          <fgColor rgb="FFD0E0E3"/>
          <bgColor rgb="FFD0E0E3"/>
        </patternFill>
      </fill>
      <border/>
    </dxf>
    <dxf>
      <font>
        <color rgb="FF6FA8DC"/>
      </font>
      <fill>
        <patternFill patternType="none"/>
      </fill>
      <border/>
    </dxf>
    <dxf>
      <font>
        <color rgb="FF9FC5E8"/>
      </font>
      <fill>
        <patternFill patternType="none"/>
      </fill>
      <border/>
    </dxf>
    <dxf>
      <font/>
      <fill>
        <patternFill patternType="solid">
          <fgColor rgb="FF0B5394"/>
          <bgColor rgb="FF0B5394"/>
        </patternFill>
      </fill>
      <border/>
    </dxf>
    <dxf>
      <font/>
      <fill>
        <patternFill patternType="solid">
          <fgColor rgb="FFCFE2F3"/>
          <bgColor rgb="FFCFE2F3"/>
        </patternFill>
      </fill>
      <border/>
    </dxf>
    <dxf>
      <font>
        <color rgb="FF3C78D8"/>
      </font>
      <fill>
        <patternFill patternType="none"/>
      </fill>
      <border/>
    </dxf>
    <dxf>
      <font>
        <color rgb="FFA4C2F4"/>
      </font>
      <fill>
        <patternFill patternType="none"/>
      </fill>
      <border/>
    </dxf>
    <dxf>
      <font/>
      <fill>
        <patternFill patternType="solid">
          <fgColor rgb="FF1155CC"/>
          <bgColor rgb="FF1155CC"/>
        </patternFill>
      </fill>
      <border/>
    </dxf>
    <dxf>
      <font/>
      <fill>
        <patternFill patternType="solid">
          <fgColor rgb="FFC9DAF8"/>
          <bgColor rgb="FFC9DAF8"/>
        </patternFill>
      </fill>
      <border/>
    </dxf>
    <dxf>
      <font>
        <color rgb="FF8E7CC3"/>
      </font>
      <fill>
        <patternFill patternType="none"/>
      </fill>
      <border/>
    </dxf>
    <dxf>
      <font>
        <color rgb="FFB4A7D6"/>
      </font>
      <fill>
        <patternFill patternType="none"/>
      </fill>
      <border/>
    </dxf>
    <dxf>
      <font/>
      <fill>
        <patternFill patternType="solid">
          <fgColor rgb="FF674EA7"/>
          <bgColor rgb="FF674EA7"/>
        </patternFill>
      </fill>
      <border/>
    </dxf>
    <dxf>
      <font/>
      <fill>
        <patternFill patternType="solid">
          <fgColor rgb="FFD9D2E9"/>
          <bgColor rgb="FFD9D2E9"/>
        </patternFill>
      </fill>
      <border/>
    </dxf>
    <dxf>
      <font>
        <color rgb="FFC27BA0"/>
      </font>
      <fill>
        <patternFill patternType="none"/>
      </fill>
      <border/>
    </dxf>
    <dxf>
      <font>
        <color rgb="FFD5A6BD"/>
      </font>
      <fill>
        <patternFill patternType="none"/>
      </fill>
      <border/>
    </dxf>
    <dxf>
      <font/>
      <fill>
        <patternFill patternType="solid">
          <fgColor rgb="FFA64D79"/>
          <bgColor rgb="FFA64D79"/>
        </patternFill>
      </fill>
      <border/>
    </dxf>
    <dxf>
      <font/>
      <fill>
        <patternFill patternType="solid">
          <fgColor rgb="FFEAD1DC"/>
          <bgColor rgb="FFEAD1DC"/>
        </patternFill>
      </fill>
      <border/>
    </dxf>
  </dxfs>
  <tableStyles count="34">
    <tableStyle count="3" pivot="0" name="Party Info-style">
      <tableStyleElement dxfId="2" type="headerRow"/>
      <tableStyleElement dxfId="3" type="firstRowStripe"/>
      <tableStyleElement dxfId="4" type="secondRowStripe"/>
    </tableStyle>
    <tableStyle count="3" pivot="0" name="Party Info-style 2">
      <tableStyleElement dxfId="2" type="headerRow"/>
      <tableStyleElement dxfId="3" type="firstRowStripe"/>
      <tableStyleElement dxfId="4" type="secondRowStripe"/>
    </tableStyle>
    <tableStyle count="3" pivot="0" name="Party Info-style 3">
      <tableStyleElement dxfId="2" type="headerRow"/>
      <tableStyleElement dxfId="3" type="firstRowStripe"/>
      <tableStyleElement dxfId="4" type="secondRowStripe"/>
    </tableStyle>
    <tableStyle count="3" pivot="0" name="Character 1's Inventory-style">
      <tableStyleElement dxfId="7" type="headerRow"/>
      <tableStyleElement dxfId="3" type="firstRowStripe"/>
      <tableStyleElement dxfId="8" type="secondRowStripe"/>
    </tableStyle>
    <tableStyle count="3" pivot="0" name="Party Inventory-style">
      <tableStyleElement dxfId="11" type="headerRow"/>
      <tableStyleElement dxfId="3" type="firstRowStripe"/>
      <tableStyleElement dxfId="12" type="secondRowStripe"/>
    </tableStyle>
    <tableStyle count="2" pivot="0" name="Party Inventory-style 2">
      <tableStyleElement dxfId="3" type="firstRowStripe"/>
      <tableStyleElement dxfId="12" type="secondRowStripe"/>
    </tableStyle>
    <tableStyle count="3" pivot="0" name="Character 2's Inventory-style">
      <tableStyleElement dxfId="15" type="headerRow"/>
      <tableStyleElement dxfId="3" type="firstRowStripe"/>
      <tableStyleElement dxfId="16" type="secondRowStripe"/>
    </tableStyle>
    <tableStyle count="3" pivot="0" name="Character 2's Inventory-style 2">
      <tableStyleElement dxfId="15" type="headerRow"/>
      <tableStyleElement dxfId="3" type="firstRowStripe"/>
      <tableStyleElement dxfId="16" type="secondRowStripe"/>
    </tableStyle>
    <tableStyle count="3" pivot="0" name="Character 2's Inventory-style 3">
      <tableStyleElement dxfId="15" type="headerRow"/>
      <tableStyleElement dxfId="3" type="firstRowStripe"/>
      <tableStyleElement dxfId="16" type="secondRowStripe"/>
    </tableStyle>
    <tableStyle count="3" pivot="0" name="Character 4's Inventory-style">
      <tableStyleElement dxfId="11" type="headerRow"/>
      <tableStyleElement dxfId="3" type="firstRowStripe"/>
      <tableStyleElement dxfId="12" type="secondRowStripe"/>
    </tableStyle>
    <tableStyle count="3" pivot="0" name="Character 4's Inventory-style 2">
      <tableStyleElement dxfId="19" type="headerRow"/>
      <tableStyleElement dxfId="3" type="firstRowStripe"/>
      <tableStyleElement dxfId="20" type="secondRowStripe"/>
    </tableStyle>
    <tableStyle count="3" pivot="0" name="Character 4's Inventory-style 3">
      <tableStyleElement dxfId="19" type="headerRow"/>
      <tableStyleElement dxfId="3" type="firstRowStripe"/>
      <tableStyleElement dxfId="20" type="secondRowStripe"/>
    </tableStyle>
    <tableStyle count="3" pivot="0" name="Character 4's Inventory-style 4">
      <tableStyleElement dxfId="19" type="headerRow"/>
      <tableStyleElement dxfId="3" type="firstRowStripe"/>
      <tableStyleElement dxfId="20" type="secondRowStripe"/>
    </tableStyle>
    <tableStyle count="3" pivot="0" name="Character 3's Inventory-style">
      <tableStyleElement dxfId="23" type="headerRow"/>
      <tableStyleElement dxfId="3" type="firstRowStripe"/>
      <tableStyleElement dxfId="24" type="secondRowStripe"/>
    </tableStyle>
    <tableStyle count="3" pivot="0" name="Character 5's Inventory-style">
      <tableStyleElement dxfId="27" type="headerRow"/>
      <tableStyleElement dxfId="3" type="firstRowStripe"/>
      <tableStyleElement dxfId="28" type="secondRowStripe"/>
    </tableStyle>
    <tableStyle count="3" pivot="0" name="Character 5's Inventory-style 2">
      <tableStyleElement dxfId="27" type="headerRow"/>
      <tableStyleElement dxfId="3" type="firstRowStripe"/>
      <tableStyleElement dxfId="28" type="secondRowStripe"/>
    </tableStyle>
    <tableStyle count="3" pivot="0" name="Character 5's Inventory-style 3">
      <tableStyleElement dxfId="11" type="headerRow"/>
      <tableStyleElement dxfId="3" type="firstRowStripe"/>
      <tableStyleElement dxfId="12" type="secondRowStripe"/>
    </tableStyle>
    <tableStyle count="3" pivot="0" name="Character 5's Inventory-style 4">
      <tableStyleElement dxfId="27" type="headerRow"/>
      <tableStyleElement dxfId="3" type="firstRowStripe"/>
      <tableStyleElement dxfId="28" type="secondRowStripe"/>
    </tableStyle>
    <tableStyle count="3" pivot="0" name="Character 6's Inventory-style">
      <tableStyleElement dxfId="11" type="headerRow"/>
      <tableStyleElement dxfId="3" type="firstRowStripe"/>
      <tableStyleElement dxfId="12" type="secondRowStripe"/>
    </tableStyle>
    <tableStyle count="3" pivot="0" name="Character 6's Inventory-style 2">
      <tableStyleElement dxfId="31" type="headerRow"/>
      <tableStyleElement dxfId="3" type="firstRowStripe"/>
      <tableStyleElement dxfId="32" type="secondRowStripe"/>
    </tableStyle>
    <tableStyle count="3" pivot="0" name="Character 6's Inventory-style 3">
      <tableStyleElement dxfId="31" type="headerRow"/>
      <tableStyleElement dxfId="3" type="firstRowStripe"/>
      <tableStyleElement dxfId="32" type="secondRowStripe"/>
    </tableStyle>
    <tableStyle count="3" pivot="0" name="Character 6's Inventory-style 4">
      <tableStyleElement dxfId="31" type="headerRow"/>
      <tableStyleElement dxfId="3" type="firstRowStripe"/>
      <tableStyleElement dxfId="32" type="secondRowStripe"/>
    </tableStyle>
    <tableStyle count="3" pivot="0" name="Character 7's Inventory-style">
      <tableStyleElement dxfId="35" type="headerRow"/>
      <tableStyleElement dxfId="3" type="firstRowStripe"/>
      <tableStyleElement dxfId="36" type="secondRowStripe"/>
    </tableStyle>
    <tableStyle count="3" pivot="0" name="Character 7's Inventory-style 2">
      <tableStyleElement dxfId="35" type="headerRow"/>
      <tableStyleElement dxfId="3" type="firstRowStripe"/>
      <tableStyleElement dxfId="36" type="secondRowStripe"/>
    </tableStyle>
    <tableStyle count="3" pivot="0" name="Character 7's Inventory-style 3">
      <tableStyleElement dxfId="35" type="headerRow"/>
      <tableStyleElement dxfId="3" type="firstRowStripe"/>
      <tableStyleElement dxfId="36" type="secondRowStripe"/>
    </tableStyle>
    <tableStyle count="3" pivot="0" name="Character 7's Inventory-style 4">
      <tableStyleElement dxfId="11" type="headerRow"/>
      <tableStyleElement dxfId="3" type="firstRowStripe"/>
      <tableStyleElement dxfId="12" type="secondRowStripe"/>
    </tableStyle>
    <tableStyle count="3" pivot="0" name="Character 8's Inventory-style">
      <tableStyleElement dxfId="39" type="headerRow"/>
      <tableStyleElement dxfId="3" type="firstRowStripe"/>
      <tableStyleElement dxfId="40" type="secondRowStripe"/>
    </tableStyle>
    <tableStyle count="3" pivot="0" name="Character 8's Inventory-style 2">
      <tableStyleElement dxfId="39" type="headerRow"/>
      <tableStyleElement dxfId="3" type="firstRowStripe"/>
      <tableStyleElement dxfId="40" type="secondRowStripe"/>
    </tableStyle>
    <tableStyle count="3" pivot="0" name="Character 8's Inventory-style 3">
      <tableStyleElement dxfId="39" type="headerRow"/>
      <tableStyleElement dxfId="3" type="firstRowStripe"/>
      <tableStyleElement dxfId="40" type="secondRowStripe"/>
    </tableStyle>
    <tableStyle count="3" pivot="0" name="Character 8's Inventory-style 4">
      <tableStyleElement dxfId="11" type="headerRow"/>
      <tableStyleElement dxfId="3" type="firstRowStripe"/>
      <tableStyleElement dxfId="12" type="secondRowStripe"/>
    </tableStyle>
    <tableStyle count="3" pivot="0" name="Character 9's Inventory-style">
      <tableStyleElement dxfId="43" type="headerRow"/>
      <tableStyleElement dxfId="3" type="firstRowStripe"/>
      <tableStyleElement dxfId="44" type="secondRowStripe"/>
    </tableStyle>
    <tableStyle count="3" pivot="0" name="Character 9's Inventory-style 2">
      <tableStyleElement dxfId="43" type="headerRow"/>
      <tableStyleElement dxfId="3" type="firstRowStripe"/>
      <tableStyleElement dxfId="44" type="secondRowStripe"/>
    </tableStyle>
    <tableStyle count="3" pivot="0" name="Character 9's Inventory-style 3">
      <tableStyleElement dxfId="11" type="headerRow"/>
      <tableStyleElement dxfId="3" type="firstRowStripe"/>
      <tableStyleElement dxfId="12" type="secondRowStripe"/>
    </tableStyle>
    <tableStyle count="3" pivot="0" name="Character 9's Inventory-style 4">
      <tableStyleElement dxfId="43" type="headerRow"/>
      <tableStyleElement dxfId="3" type="firstRowStripe"/>
      <tableStyleElement dxfId="4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B17:K21" displayName="Table_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Party Info-style" showColumnStripes="0" showFirstColumn="1" showLastColumn="1" showRowStripes="1"/>
</table>
</file>

<file path=xl/tables/table2.xml><?xml version="1.0" encoding="utf-8"?>
<table xmlns="http://schemas.openxmlformats.org/spreadsheetml/2006/main" headerRowCount="0" ref="I2:K15" displayName="Table_2" id="2">
  <tableColumns count="3">
    <tableColumn name="Column1" id="1"/>
    <tableColumn name="Column2" id="2"/>
    <tableColumn name="Column3" id="3"/>
  </tableColumns>
  <tableStyleInfo name="Party Info-style 2" showColumnStripes="0" showFirstColumn="1" showLastColumn="1" showRowStripes="1"/>
</table>
</file>

<file path=xl/tables/table3.xml><?xml version="1.0" encoding="utf-8"?>
<table xmlns="http://schemas.openxmlformats.org/spreadsheetml/2006/main" headerRowCount="0" ref="B2:F15" displayName="Table_3" id="3">
  <tableColumns count="5">
    <tableColumn name="Column1" id="1"/>
    <tableColumn name="Column2" id="2"/>
    <tableColumn name="Column3" id="3"/>
    <tableColumn name="Column4" id="4"/>
    <tableColumn name="Column5" id="5"/>
  </tableColumns>
  <tableStyleInfo name="Party Info-style 3" showColumnStripes="0" showFirstColumn="1" showLastColumn="1" showRowStripes="1"/>
</table>
</file>

<file path=xl/tables/table4.xml><?xml version="1.0" encoding="utf-8"?>
<table xmlns="http://schemas.openxmlformats.org/spreadsheetml/2006/main" ref="A1" displayName="Table_5" id="5">
  <tableColumns count="1">
    <tableColumn name="Party Inventory" id="1"/>
  </tableColumns>
  <tableStyleInfo name="Party Inventory-style" showColumnStripes="0" showFirstColumn="1" showLastColumn="1" showRowStripes="1"/>
</table>
</file>

<file path=xl/tables/table5.xml><?xml version="1.0" encoding="utf-8"?>
<table xmlns="http://schemas.openxmlformats.org/spreadsheetml/2006/main" headerRowCount="0" ref="M20:M201" displayName="Table_6" id="6">
  <tableColumns count="1">
    <tableColumn name="Column1" id="1"/>
  </tableColumns>
  <tableStyleInfo name="Party Inventory-style 2" showColumnStripes="0" showFirstColumn="1" showLastColumn="1" showRowStripes="1"/>
</table>
</file>

<file path=xl/tables/table6.xml><?xml version="1.0" encoding="utf-8"?>
<table xmlns="http://schemas.openxmlformats.org/spreadsheetml/2006/main" headerRowCount="0" ref="G2:H5" displayName="Table_4" id="4">
  <tableColumns count="2">
    <tableColumn name="Column1" id="1"/>
    <tableColumn name="Column2" id="2"/>
  </tableColumns>
  <tableStyleInfo name="Character 1's Inventory-style" showColumnStripes="0" showFirstColumn="1" showLastColumn="1" showRowStripes="1"/>
</table>
</file>

<file path=xl/tables/table7.xml><?xml version="1.0" encoding="utf-8"?>
<table xmlns="http://schemas.openxmlformats.org/spreadsheetml/2006/main" headerRowCount="0" ref="B9:M15" displayName="Table_7" id="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2's Inventory-style" showColumnStripes="0" showFirstColumn="1" showLastColumn="1" showRowStripes="1"/>
</table>
</file>

<file path=xl/tables/table8.xml><?xml version="1.0" encoding="utf-8"?>
<table xmlns="http://schemas.openxmlformats.org/spreadsheetml/2006/main" headerRowCount="0" ref="B17:M24" displayName="Table_8" id="8">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2's Inventory-style 2" showColumnStripes="0" showFirstColumn="1" showLastColumn="1" showRowStripes="1"/>
</table>
</file>

<file path=xl/tables/table9.xml><?xml version="1.0" encoding="utf-8"?>
<table xmlns="http://schemas.openxmlformats.org/spreadsheetml/2006/main" headerRowCount="0" ref="G2:H5" displayName="Table_9" id="9">
  <tableColumns count="2">
    <tableColumn name="Column1" id="1"/>
    <tableColumn name="Column2" id="2"/>
  </tableColumns>
  <tableStyleInfo name="Character 2's Inventory-style 3" showColumnStripes="0" showFirstColumn="1" showLastColumn="1" showRowStripes="1"/>
</table>
</file>

<file path=xl/tables/table10.xml><?xml version="1.0" encoding="utf-8"?>
<table xmlns="http://schemas.openxmlformats.org/spreadsheetml/2006/main" headerRowCount="0" ref="G2:H5" displayName="Table_14" id="14">
  <tableColumns count="2">
    <tableColumn name="Column1" id="1"/>
    <tableColumn name="Column2" id="2"/>
  </tableColumns>
  <tableStyleInfo name="Character 3's Inventory-style" showColumnStripes="0" showFirstColumn="1" showLastColumn="1" showRowStripes="1"/>
</table>
</file>

<file path=xl/tables/table11.xml><?xml version="1.0" encoding="utf-8"?>
<table xmlns="http://schemas.openxmlformats.org/spreadsheetml/2006/main" ref="A1" displayName="Table_10" id="10">
  <tableColumns count="1">
    <tableColumn name="Character 4's Inventory" id="1"/>
  </tableColumns>
  <tableStyleInfo name="Character 4's Inventory-style" showColumnStripes="0" showFirstColumn="1" showLastColumn="1" showRowStripes="1"/>
</table>
</file>

<file path=xl/tables/table12.xml><?xml version="1.0" encoding="utf-8"?>
<table xmlns="http://schemas.openxmlformats.org/spreadsheetml/2006/main" headerRowCount="0" ref="G2:H5" displayName="Table_11" id="11">
  <tableColumns count="2">
    <tableColumn name="Column1" id="1"/>
    <tableColumn name="Column2" id="2"/>
  </tableColumns>
  <tableStyleInfo name="Character 4's Inventory-style 2" showColumnStripes="0" showFirstColumn="1" showLastColumn="1" showRowStripes="1"/>
</table>
</file>

<file path=xl/tables/table13.xml><?xml version="1.0" encoding="utf-8"?>
<table xmlns="http://schemas.openxmlformats.org/spreadsheetml/2006/main" headerRowCount="0" ref="B9:M15" displayName="Table_12" id="1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4's Inventory-style 3" showColumnStripes="0" showFirstColumn="1" showLastColumn="1" showRowStripes="1"/>
</table>
</file>

<file path=xl/tables/table14.xml><?xml version="1.0" encoding="utf-8"?>
<table xmlns="http://schemas.openxmlformats.org/spreadsheetml/2006/main" headerRowCount="0" ref="B17:M24"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4's Inventory-style 4" showColumnStripes="0" showFirstColumn="1" showLastColumn="1" showRowStripes="1"/>
</table>
</file>

<file path=xl/tables/table15.xml><?xml version="1.0" encoding="utf-8"?>
<table xmlns="http://schemas.openxmlformats.org/spreadsheetml/2006/main" headerRowCount="0" ref="B9:M15" display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5's Inventory-style" showColumnStripes="0" showFirstColumn="1" showLastColumn="1" showRowStripes="1"/>
</table>
</file>

<file path=xl/tables/table16.xml><?xml version="1.0" encoding="utf-8"?>
<table xmlns="http://schemas.openxmlformats.org/spreadsheetml/2006/main" headerRowCount="0" ref="B17:M24" display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5's Inventory-style 2" showColumnStripes="0" showFirstColumn="1" showLastColumn="1" showRowStripes="1"/>
</table>
</file>

<file path=xl/tables/table17.xml><?xml version="1.0" encoding="utf-8"?>
<table xmlns="http://schemas.openxmlformats.org/spreadsheetml/2006/main" ref="A1" displayName="Table_17" id="17">
  <tableColumns count="1">
    <tableColumn name="Character 5's Inventory" id="1"/>
  </tableColumns>
  <tableStyleInfo name="Character 5's Inventory-style 3" showColumnStripes="0" showFirstColumn="1" showLastColumn="1" showRowStripes="1"/>
</table>
</file>

<file path=xl/tables/table18.xml><?xml version="1.0" encoding="utf-8"?>
<table xmlns="http://schemas.openxmlformats.org/spreadsheetml/2006/main" headerRowCount="0" ref="G2:H5" displayName="Table_18" id="18">
  <tableColumns count="2">
    <tableColumn name="Column1" id="1"/>
    <tableColumn name="Column2" id="2"/>
  </tableColumns>
  <tableStyleInfo name="Character 5's Inventory-style 4" showColumnStripes="0" showFirstColumn="1" showLastColumn="1" showRowStripes="1"/>
</table>
</file>

<file path=xl/tables/table19.xml><?xml version="1.0" encoding="utf-8"?>
<table xmlns="http://schemas.openxmlformats.org/spreadsheetml/2006/main" ref="A1" displayName="Table_19" id="19">
  <tableColumns count="1">
    <tableColumn name="Character 6's Inventory" id="1"/>
  </tableColumns>
  <tableStyleInfo name="Character 6's Inventory-style" showColumnStripes="0" showFirstColumn="1" showLastColumn="1" showRowStripes="1"/>
</table>
</file>

<file path=xl/tables/table20.xml><?xml version="1.0" encoding="utf-8"?>
<table xmlns="http://schemas.openxmlformats.org/spreadsheetml/2006/main" headerRowCount="0" ref="G2:H5" displayName="Table_20" id="20">
  <tableColumns count="2">
    <tableColumn name="Column1" id="1"/>
    <tableColumn name="Column2" id="2"/>
  </tableColumns>
  <tableStyleInfo name="Character 6's Inventory-style 2" showColumnStripes="0" showFirstColumn="1" showLastColumn="1" showRowStripes="1"/>
</table>
</file>

<file path=xl/tables/table21.xml><?xml version="1.0" encoding="utf-8"?>
<table xmlns="http://schemas.openxmlformats.org/spreadsheetml/2006/main" headerRowCount="0" ref="B17:M24" displayName="Table_21" id="2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6's Inventory-style 3" showColumnStripes="0" showFirstColumn="1" showLastColumn="1" showRowStripes="1"/>
</table>
</file>

<file path=xl/tables/table22.xml><?xml version="1.0" encoding="utf-8"?>
<table xmlns="http://schemas.openxmlformats.org/spreadsheetml/2006/main" headerRowCount="0" ref="B9:M15" displayName="Table_22" id="2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6's Inventory-style 4" showColumnStripes="0" showFirstColumn="1" showLastColumn="1" showRowStripes="1"/>
</table>
</file>

<file path=xl/tables/table23.xml><?xml version="1.0" encoding="utf-8"?>
<table xmlns="http://schemas.openxmlformats.org/spreadsheetml/2006/main" headerRowCount="0" ref="B17:M24" displayName="Table_23" id="2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7's Inventory-style" showColumnStripes="0" showFirstColumn="1" showLastColumn="1" showRowStripes="1"/>
</table>
</file>

<file path=xl/tables/table24.xml><?xml version="1.0" encoding="utf-8"?>
<table xmlns="http://schemas.openxmlformats.org/spreadsheetml/2006/main" headerRowCount="0" ref="G2:H5" displayName="Table_24" id="24">
  <tableColumns count="2">
    <tableColumn name="Column1" id="1"/>
    <tableColumn name="Column2" id="2"/>
  </tableColumns>
  <tableStyleInfo name="Character 7's Inventory-style 2" showColumnStripes="0" showFirstColumn="1" showLastColumn="1" showRowStripes="1"/>
</table>
</file>

<file path=xl/tables/table25.xml><?xml version="1.0" encoding="utf-8"?>
<table xmlns="http://schemas.openxmlformats.org/spreadsheetml/2006/main" headerRowCount="0" ref="B9:M15" displayName="Table_25" id="2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7's Inventory-style 3" showColumnStripes="0" showFirstColumn="1" showLastColumn="1" showRowStripes="1"/>
</table>
</file>

<file path=xl/tables/table26.xml><?xml version="1.0" encoding="utf-8"?>
<table xmlns="http://schemas.openxmlformats.org/spreadsheetml/2006/main" ref="A1" displayName="Table_26" id="26">
  <tableColumns count="1">
    <tableColumn name="Character 7's Inventory" id="1"/>
  </tableColumns>
  <tableStyleInfo name="Character 7's Inventory-style 4" showColumnStripes="0" showFirstColumn="1" showLastColumn="1" showRowStripes="1"/>
</table>
</file>

<file path=xl/tables/table27.xml><?xml version="1.0" encoding="utf-8"?>
<table xmlns="http://schemas.openxmlformats.org/spreadsheetml/2006/main" headerRowCount="0" ref="B17:M24" display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8's Inventory-style" showColumnStripes="0" showFirstColumn="1" showLastColumn="1" showRowStripes="1"/>
</table>
</file>

<file path=xl/tables/table28.xml><?xml version="1.0" encoding="utf-8"?>
<table xmlns="http://schemas.openxmlformats.org/spreadsheetml/2006/main" headerRowCount="0" ref="G2:H5" displayName="Table_28" id="28">
  <tableColumns count="2">
    <tableColumn name="Column1" id="1"/>
    <tableColumn name="Column2" id="2"/>
  </tableColumns>
  <tableStyleInfo name="Character 8's Inventory-style 2" showColumnStripes="0" showFirstColumn="1" showLastColumn="1" showRowStripes="1"/>
</table>
</file>

<file path=xl/tables/table29.xml><?xml version="1.0" encoding="utf-8"?>
<table xmlns="http://schemas.openxmlformats.org/spreadsheetml/2006/main" headerRowCount="0" ref="B9:M15" displayName="Table_29" id="29">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8's Inventory-style 3" showColumnStripes="0" showFirstColumn="1" showLastColumn="1" showRowStripes="1"/>
</table>
</file>

<file path=xl/tables/table30.xml><?xml version="1.0" encoding="utf-8"?>
<table xmlns="http://schemas.openxmlformats.org/spreadsheetml/2006/main" ref="A1" displayName="Table_30" id="30">
  <tableColumns count="1">
    <tableColumn name="Character 8's Inventory" id="1"/>
  </tableColumns>
  <tableStyleInfo name="Character 8's Inventory-style 4" showColumnStripes="0" showFirstColumn="1" showLastColumn="1" showRowStripes="1"/>
</table>
</file>

<file path=xl/tables/table31.xml><?xml version="1.0" encoding="utf-8"?>
<table xmlns="http://schemas.openxmlformats.org/spreadsheetml/2006/main" headerRowCount="0" ref="B9:M15" displayName="Table_31" id="3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9's Inventory-style" showColumnStripes="0" showFirstColumn="1" showLastColumn="1" showRowStripes="1"/>
</table>
</file>

<file path=xl/tables/table32.xml><?xml version="1.0" encoding="utf-8"?>
<table xmlns="http://schemas.openxmlformats.org/spreadsheetml/2006/main" headerRowCount="0" ref="B17:M24" displayName="Table_32" id="3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Character 9's Inventory-style 2" showColumnStripes="0" showFirstColumn="1" showLastColumn="1" showRowStripes="1"/>
</table>
</file>

<file path=xl/tables/table33.xml><?xml version="1.0" encoding="utf-8"?>
<table xmlns="http://schemas.openxmlformats.org/spreadsheetml/2006/main" ref="A1" displayName="Table_33" id="33">
  <tableColumns count="1">
    <tableColumn name="Character 9's Inventory" id="1"/>
  </tableColumns>
  <tableStyleInfo name="Character 9's Inventory-style 3" showColumnStripes="0" showFirstColumn="1" showLastColumn="1" showRowStripes="1"/>
</table>
</file>

<file path=xl/tables/table34.xml><?xml version="1.0" encoding="utf-8"?>
<table xmlns="http://schemas.openxmlformats.org/spreadsheetml/2006/main" headerRowCount="0" ref="G2:H5" displayName="Table_34" id="34">
  <tableColumns count="2">
    <tableColumn name="Column1" id="1"/>
    <tableColumn name="Column2" id="2"/>
  </tableColumns>
  <tableStyleInfo name="Character 9's Inventory-style 4"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i.imgur.com/gFnzKMz.jp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i.imgur.com/Nwx2LDC.jpg?1" TargetMode="External"/><Relationship Id="rId3" Type="http://schemas.openxmlformats.org/officeDocument/2006/relationships/drawing" Target="../drawings/drawing2.xml"/><Relationship Id="rId4" Type="http://schemas.openxmlformats.org/officeDocument/2006/relationships/vmlDrawing" Target="../drawings/vmlDrawing2.vml"/><Relationship Id="rId10" Type="http://schemas.openxmlformats.org/officeDocument/2006/relationships/table" Target="../tables/table3.xml"/><Relationship Id="rId9" Type="http://schemas.openxmlformats.org/officeDocument/2006/relationships/table" Target="../tables/table2.xml"/><Relationship Id="rId8"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i.imgur.com/qtTdMV2.jpg" TargetMode="External"/><Relationship Id="rId3" Type="http://schemas.openxmlformats.org/officeDocument/2006/relationships/hyperlink" Target="http://i.imgur.com/JociBVH.jpg?1" TargetMode="External"/><Relationship Id="rId4" Type="http://schemas.openxmlformats.org/officeDocument/2006/relationships/hyperlink" Target="http://i.imgur.com/iMpzlq2.jpg" TargetMode="External"/><Relationship Id="rId10" Type="http://schemas.openxmlformats.org/officeDocument/2006/relationships/vmlDrawing" Target="../drawings/vmlDrawing3.vml"/><Relationship Id="rId13" Type="http://schemas.openxmlformats.org/officeDocument/2006/relationships/table" Target="../tables/table4.xml"/><Relationship Id="rId9" Type="http://schemas.openxmlformats.org/officeDocument/2006/relationships/drawing" Target="../drawings/drawing3.xml"/><Relationship Id="rId14" Type="http://schemas.openxmlformats.org/officeDocument/2006/relationships/table" Target="../tables/table5.xml"/><Relationship Id="rId5" Type="http://schemas.openxmlformats.org/officeDocument/2006/relationships/hyperlink" Target="http://i.imgur.com/LtPNTWZ.jpg?1" TargetMode="External"/><Relationship Id="rId6" Type="http://schemas.openxmlformats.org/officeDocument/2006/relationships/hyperlink" Target="http://i.imgur.com/0pNfodn.jpg?1" TargetMode="External"/><Relationship Id="rId7" Type="http://schemas.openxmlformats.org/officeDocument/2006/relationships/hyperlink" Target="http://i.imgur.com/iLsCkPi.jpg?1" TargetMode="External"/><Relationship Id="rId8" Type="http://schemas.openxmlformats.org/officeDocument/2006/relationships/hyperlink" Target="http://i.imgur.com/pTw6bV5.jpg"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4.xml"/><Relationship Id="rId5" Type="http://schemas.openxmlformats.org/officeDocument/2006/relationships/vmlDrawing" Target="../drawings/vmlDrawing4.vml"/><Relationship Id="rId7"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5.xml"/><Relationship Id="rId11" Type="http://schemas.openxmlformats.org/officeDocument/2006/relationships/table" Target="../tables/table9.xml"/><Relationship Id="rId10" Type="http://schemas.openxmlformats.org/officeDocument/2006/relationships/table" Target="../tables/table8.xml"/><Relationship Id="rId9" Type="http://schemas.openxmlformats.org/officeDocument/2006/relationships/table" Target="../tables/table7.xml"/><Relationship Id="rId5"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6.xml"/><Relationship Id="rId5" Type="http://schemas.openxmlformats.org/officeDocument/2006/relationships/vmlDrawing" Target="../drawings/vmlDrawing6.vml"/><Relationship Id="rId7"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7.xml"/><Relationship Id="rId11" Type="http://schemas.openxmlformats.org/officeDocument/2006/relationships/table" Target="../tables/table12.xml"/><Relationship Id="rId10" Type="http://schemas.openxmlformats.org/officeDocument/2006/relationships/table" Target="../tables/table11.xml"/><Relationship Id="rId13" Type="http://schemas.openxmlformats.org/officeDocument/2006/relationships/table" Target="../tables/table14.xml"/><Relationship Id="rId12" Type="http://schemas.openxmlformats.org/officeDocument/2006/relationships/table" Target="../tables/table13.xml"/><Relationship Id="rId5"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8.xml"/><Relationship Id="rId11" Type="http://schemas.openxmlformats.org/officeDocument/2006/relationships/table" Target="../tables/table16.xml"/><Relationship Id="rId10" Type="http://schemas.openxmlformats.org/officeDocument/2006/relationships/table" Target="../tables/table15.xml"/><Relationship Id="rId13" Type="http://schemas.openxmlformats.org/officeDocument/2006/relationships/table" Target="../tables/table18.xml"/><Relationship Id="rId12" Type="http://schemas.openxmlformats.org/officeDocument/2006/relationships/table" Target="../tables/table17.xml"/><Relationship Id="rId5"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9.xml"/><Relationship Id="rId11" Type="http://schemas.openxmlformats.org/officeDocument/2006/relationships/table" Target="../tables/table20.xml"/><Relationship Id="rId10" Type="http://schemas.openxmlformats.org/officeDocument/2006/relationships/table" Target="../tables/table19.xml"/><Relationship Id="rId13" Type="http://schemas.openxmlformats.org/officeDocument/2006/relationships/table" Target="../tables/table22.xml"/><Relationship Id="rId12" Type="http://schemas.openxmlformats.org/officeDocument/2006/relationships/table" Target="../tables/table21.xml"/><Relationship Id="rId5"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10.xml"/><Relationship Id="rId11" Type="http://schemas.openxmlformats.org/officeDocument/2006/relationships/table" Target="../tables/table24.xml"/><Relationship Id="rId10" Type="http://schemas.openxmlformats.org/officeDocument/2006/relationships/table" Target="../tables/table23.xml"/><Relationship Id="rId13" Type="http://schemas.openxmlformats.org/officeDocument/2006/relationships/table" Target="../tables/table26.xml"/><Relationship Id="rId12" Type="http://schemas.openxmlformats.org/officeDocument/2006/relationships/table" Target="../tables/table25.xml"/><Relationship Id="rId5"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11.xml"/><Relationship Id="rId11" Type="http://schemas.openxmlformats.org/officeDocument/2006/relationships/table" Target="../tables/table28.xml"/><Relationship Id="rId10" Type="http://schemas.openxmlformats.org/officeDocument/2006/relationships/table" Target="../tables/table27.xml"/><Relationship Id="rId13" Type="http://schemas.openxmlformats.org/officeDocument/2006/relationships/table" Target="../tables/table30.xml"/><Relationship Id="rId12" Type="http://schemas.openxmlformats.org/officeDocument/2006/relationships/table" Target="../tables/table29.xml"/><Relationship Id="rId5"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12.xml"/><Relationship Id="rId11" Type="http://schemas.openxmlformats.org/officeDocument/2006/relationships/table" Target="../tables/table32.xml"/><Relationship Id="rId10" Type="http://schemas.openxmlformats.org/officeDocument/2006/relationships/table" Target="../tables/table31.xml"/><Relationship Id="rId13" Type="http://schemas.openxmlformats.org/officeDocument/2006/relationships/table" Target="../tables/table34.xml"/><Relationship Id="rId12" Type="http://schemas.openxmlformats.org/officeDocument/2006/relationships/table" Target="../tables/table33.xml"/><Relationship Id="rId5"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3.xml"/><Relationship Id="rId3"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FF"/>
  </sheetPr>
  <sheetViews>
    <sheetView showGridLines="0" workbookViewId="0"/>
  </sheetViews>
  <sheetFormatPr customHeight="1" defaultColWidth="14.43" defaultRowHeight="15.75"/>
  <cols>
    <col customWidth="1" min="1" max="1" width="1.57"/>
    <col customWidth="1" min="2" max="2" width="3.71"/>
    <col customWidth="1" min="4" max="5" width="10.29"/>
    <col customWidth="1" min="6" max="6" width="8.86"/>
    <col customWidth="1" min="8" max="8" width="11.86"/>
    <col customWidth="1" min="9" max="9" width="12.0"/>
    <col customWidth="1" min="10" max="10" width="1.57"/>
    <col customWidth="1" min="11" max="11" width="3.71"/>
    <col customWidth="1" min="12" max="12" width="21.57"/>
    <col customWidth="1" min="17" max="17" width="1.57"/>
    <col customWidth="1" min="18" max="18" width="3.71"/>
    <col customWidth="1" min="19" max="19" width="21.57"/>
    <col customWidth="1" min="24" max="24" width="1.57"/>
    <col customWidth="1" min="25" max="25" width="3.71"/>
    <col customWidth="1" min="26" max="26" width="21.57"/>
    <col customWidth="1" min="31" max="31" width="1.57"/>
    <col hidden="1" min="32" max="39" width="14.43"/>
  </cols>
  <sheetData>
    <row r="1" ht="7.5" customHeight="1">
      <c r="A1" s="5" t="s">
        <v>1</v>
      </c>
      <c r="B1" s="3"/>
      <c r="C1" s="3"/>
      <c r="D1" s="3"/>
      <c r="E1" s="3"/>
      <c r="F1" s="3"/>
      <c r="G1" s="3"/>
      <c r="H1" s="3"/>
      <c r="I1" s="3"/>
    </row>
    <row r="2" ht="18.75" customHeight="1">
      <c r="A2" s="6"/>
      <c r="B2" s="8" t="s">
        <v>3</v>
      </c>
      <c r="C2" s="10"/>
      <c r="D2" s="10"/>
      <c r="E2" s="12"/>
      <c r="F2" s="10"/>
      <c r="G2" s="10"/>
      <c r="H2" s="10"/>
      <c r="I2" s="10"/>
      <c r="K2" s="14" t="s">
        <v>4</v>
      </c>
      <c r="L2" s="15"/>
      <c r="M2" s="15"/>
      <c r="N2" s="15"/>
      <c r="O2" s="15"/>
      <c r="P2" s="15"/>
      <c r="Q2" s="15"/>
      <c r="R2" s="15"/>
      <c r="S2" s="15"/>
      <c r="T2" s="15"/>
      <c r="U2" s="15"/>
      <c r="V2" s="15"/>
      <c r="W2" s="15"/>
      <c r="X2" s="15"/>
      <c r="Y2" s="15"/>
      <c r="Z2" s="15"/>
      <c r="AA2" s="15"/>
      <c r="AB2" s="15"/>
      <c r="AC2" s="15"/>
      <c r="AD2" s="16"/>
    </row>
    <row r="3" ht="7.5" customHeight="1">
      <c r="A3" s="6"/>
      <c r="B3" s="17"/>
      <c r="K3" s="2"/>
    </row>
    <row r="4" ht="18.75" customHeight="1">
      <c r="A4" s="19"/>
      <c r="B4" s="26"/>
      <c r="C4" s="27" t="s">
        <v>6</v>
      </c>
      <c r="D4" s="27" t="s">
        <v>8</v>
      </c>
      <c r="E4" s="27" t="s">
        <v>9</v>
      </c>
      <c r="F4" s="27" t="s">
        <v>12</v>
      </c>
      <c r="G4" s="27" t="s">
        <v>13</v>
      </c>
      <c r="H4" s="27" t="s">
        <v>14</v>
      </c>
      <c r="I4" s="28" t="s">
        <v>15</v>
      </c>
      <c r="J4" s="29"/>
      <c r="K4" s="30" t="str">
        <f>'Character Info'!C5</f>
        <v>Character 1</v>
      </c>
      <c r="L4" s="31"/>
      <c r="M4" s="31"/>
      <c r="N4" s="31"/>
      <c r="O4" s="32"/>
      <c r="P4" s="33"/>
      <c r="Q4" s="3"/>
      <c r="R4" s="34" t="str">
        <f>'Character Info'!C6</f>
        <v>Character 2</v>
      </c>
      <c r="S4" s="36"/>
      <c r="T4" s="36"/>
      <c r="U4" s="36"/>
      <c r="V4" s="38"/>
      <c r="W4" s="40"/>
      <c r="X4" s="3"/>
      <c r="Y4" s="44" t="str">
        <f>'Character Info'!C7</f>
        <v>Character 3</v>
      </c>
      <c r="Z4" s="46"/>
      <c r="AA4" s="46"/>
      <c r="AB4" s="46"/>
      <c r="AC4" s="50"/>
      <c r="AD4" s="54"/>
      <c r="AE4" s="29"/>
      <c r="AF4" s="29"/>
      <c r="AG4" s="29"/>
      <c r="AH4" s="29"/>
      <c r="AI4" s="29"/>
      <c r="AJ4" s="29"/>
      <c r="AK4" s="29"/>
      <c r="AL4" s="29"/>
      <c r="AM4" s="29"/>
    </row>
    <row r="5" ht="18.75" customHeight="1">
      <c r="A5" s="6"/>
      <c r="B5" s="57">
        <v>1.0</v>
      </c>
      <c r="C5" s="59" t="s">
        <v>18</v>
      </c>
      <c r="D5" s="61" t="s">
        <v>19</v>
      </c>
      <c r="E5" s="61">
        <v>10.0</v>
      </c>
      <c r="F5" s="61"/>
      <c r="G5" s="61"/>
      <c r="H5" s="61"/>
      <c r="I5" s="64"/>
      <c r="K5" s="66"/>
      <c r="L5" s="68" t="s">
        <v>20</v>
      </c>
      <c r="M5" s="70" t="s">
        <v>21</v>
      </c>
      <c r="N5" s="70" t="s">
        <v>11</v>
      </c>
      <c r="O5" s="70" t="s">
        <v>22</v>
      </c>
      <c r="P5" s="72" t="s">
        <v>12</v>
      </c>
      <c r="Q5" s="6"/>
      <c r="R5" s="73"/>
      <c r="S5" s="74" t="s">
        <v>20</v>
      </c>
      <c r="T5" s="76" t="s">
        <v>21</v>
      </c>
      <c r="U5" s="76" t="s">
        <v>11</v>
      </c>
      <c r="V5" s="78" t="s">
        <v>22</v>
      </c>
      <c r="W5" s="80" t="s">
        <v>12</v>
      </c>
      <c r="X5" s="6"/>
      <c r="Y5" s="87"/>
      <c r="Z5" s="89" t="s">
        <v>20</v>
      </c>
      <c r="AA5" s="91" t="s">
        <v>21</v>
      </c>
      <c r="AB5" s="91" t="s">
        <v>11</v>
      </c>
      <c r="AC5" s="95" t="s">
        <v>22</v>
      </c>
      <c r="AD5" s="97" t="s">
        <v>12</v>
      </c>
    </row>
    <row r="6" ht="18.75" customHeight="1">
      <c r="A6" s="6"/>
      <c r="B6" s="99">
        <v>2.0</v>
      </c>
      <c r="C6" s="101" t="s">
        <v>34</v>
      </c>
      <c r="D6" s="103" t="s">
        <v>19</v>
      </c>
      <c r="E6" s="103">
        <v>10.0</v>
      </c>
      <c r="F6" s="105"/>
      <c r="G6" s="103"/>
      <c r="H6" s="103"/>
      <c r="I6" s="112"/>
      <c r="K6" s="114">
        <v>1.0</v>
      </c>
      <c r="L6" s="115" t="s">
        <v>44</v>
      </c>
      <c r="M6" s="116"/>
      <c r="N6" s="115"/>
      <c r="O6" s="116"/>
      <c r="P6" s="117"/>
      <c r="Q6" s="3"/>
      <c r="R6" s="118">
        <v>1.0</v>
      </c>
      <c r="S6" s="120"/>
      <c r="T6" s="121"/>
      <c r="U6" s="121"/>
      <c r="V6" s="123"/>
      <c r="W6" s="124"/>
      <c r="X6" s="6"/>
      <c r="Y6" s="125">
        <v>1.0</v>
      </c>
      <c r="Z6" s="126"/>
      <c r="AA6" s="128"/>
      <c r="AB6" s="128"/>
      <c r="AC6" s="130"/>
      <c r="AD6" s="133"/>
    </row>
    <row r="7" ht="18.75" customHeight="1">
      <c r="A7" s="6"/>
      <c r="B7" s="135">
        <v>3.0</v>
      </c>
      <c r="C7" s="136" t="s">
        <v>46</v>
      </c>
      <c r="D7" s="137" t="s">
        <v>19</v>
      </c>
      <c r="E7" s="137">
        <v>10.0</v>
      </c>
      <c r="F7" s="138"/>
      <c r="G7" s="137"/>
      <c r="H7" s="137"/>
      <c r="I7" s="139"/>
      <c r="K7" s="140">
        <v>2.0</v>
      </c>
      <c r="L7" s="141" t="s">
        <v>47</v>
      </c>
      <c r="M7" s="142"/>
      <c r="N7" s="141"/>
      <c r="O7" s="142"/>
      <c r="P7" s="143"/>
      <c r="Q7" s="3"/>
      <c r="R7" s="144">
        <v>2.0</v>
      </c>
      <c r="S7" s="145"/>
      <c r="T7" s="145"/>
      <c r="U7" s="145"/>
      <c r="V7" s="146"/>
      <c r="W7" s="147"/>
      <c r="X7" s="6"/>
      <c r="Y7" s="148">
        <v>2.0</v>
      </c>
      <c r="Z7" s="149"/>
      <c r="AA7" s="149"/>
      <c r="AB7" s="149"/>
      <c r="AC7" s="150"/>
      <c r="AD7" s="151"/>
    </row>
    <row r="8" ht="18.75" customHeight="1">
      <c r="A8" s="6"/>
      <c r="B8" s="152">
        <v>4.0</v>
      </c>
      <c r="C8" s="153" t="s">
        <v>48</v>
      </c>
      <c r="D8" s="154" t="s">
        <v>19</v>
      </c>
      <c r="E8" s="154">
        <v>10.0</v>
      </c>
      <c r="F8" s="155"/>
      <c r="G8" s="154"/>
      <c r="H8" s="154"/>
      <c r="I8" s="156"/>
      <c r="K8" s="114">
        <v>3.0</v>
      </c>
      <c r="L8" s="115" t="s">
        <v>49</v>
      </c>
      <c r="M8" s="116"/>
      <c r="N8" s="115"/>
      <c r="O8" s="116"/>
      <c r="P8" s="157"/>
      <c r="Q8" s="3"/>
      <c r="R8" s="118">
        <v>3.0</v>
      </c>
      <c r="S8" s="158"/>
      <c r="T8" s="158"/>
      <c r="U8" s="158"/>
      <c r="V8" s="159"/>
      <c r="W8" s="161"/>
      <c r="X8" s="6"/>
      <c r="Y8" s="125">
        <v>3.0</v>
      </c>
      <c r="Z8" s="163"/>
      <c r="AA8" s="163"/>
      <c r="AB8" s="163"/>
      <c r="AC8" s="165"/>
      <c r="AD8" s="167"/>
    </row>
    <row r="9" ht="18.75" customHeight="1">
      <c r="A9" s="6"/>
      <c r="B9" s="168">
        <v>5.0</v>
      </c>
      <c r="C9" s="171" t="s">
        <v>51</v>
      </c>
      <c r="D9" s="173" t="s">
        <v>19</v>
      </c>
      <c r="E9" s="173">
        <v>10.0</v>
      </c>
      <c r="F9" s="175"/>
      <c r="G9" s="173"/>
      <c r="H9" s="173"/>
      <c r="I9" s="177"/>
      <c r="K9" s="140">
        <v>4.0</v>
      </c>
      <c r="L9" s="141"/>
      <c r="M9" s="142"/>
      <c r="N9" s="141"/>
      <c r="O9" s="142"/>
      <c r="P9" s="143"/>
      <c r="Q9" s="3"/>
      <c r="R9" s="144">
        <v>4.0</v>
      </c>
      <c r="S9" s="145"/>
      <c r="T9" s="145"/>
      <c r="U9" s="145"/>
      <c r="V9" s="146"/>
      <c r="W9" s="147"/>
      <c r="X9" s="6"/>
      <c r="Y9" s="148">
        <v>4.0</v>
      </c>
      <c r="Z9" s="149"/>
      <c r="AA9" s="149"/>
      <c r="AB9" s="149"/>
      <c r="AC9" s="150"/>
      <c r="AD9" s="151"/>
    </row>
    <row r="10" ht="18.75" customHeight="1">
      <c r="A10" s="6"/>
      <c r="B10" s="183">
        <v>6.0</v>
      </c>
      <c r="C10" s="184" t="s">
        <v>55</v>
      </c>
      <c r="D10" s="185" t="s">
        <v>19</v>
      </c>
      <c r="E10" s="185">
        <v>10.0</v>
      </c>
      <c r="F10" s="187"/>
      <c r="G10" s="185"/>
      <c r="H10" s="185"/>
      <c r="I10" s="189"/>
      <c r="K10" s="114">
        <v>5.0</v>
      </c>
      <c r="L10" s="115"/>
      <c r="M10" s="116"/>
      <c r="N10" s="115"/>
      <c r="O10" s="116"/>
      <c r="P10" s="157"/>
      <c r="Q10" s="3"/>
      <c r="R10" s="118">
        <v>5.0</v>
      </c>
      <c r="S10" s="158"/>
      <c r="T10" s="158"/>
      <c r="U10" s="158"/>
      <c r="V10" s="159"/>
      <c r="W10" s="161"/>
      <c r="X10" s="6"/>
      <c r="Y10" s="125">
        <v>5.0</v>
      </c>
      <c r="Z10" s="163"/>
      <c r="AA10" s="163"/>
      <c r="AB10" s="163"/>
      <c r="AC10" s="165"/>
      <c r="AD10" s="167"/>
    </row>
    <row r="11" ht="18.75" customHeight="1">
      <c r="A11" s="6"/>
      <c r="B11" s="193">
        <v>7.0</v>
      </c>
      <c r="C11" s="195" t="s">
        <v>58</v>
      </c>
      <c r="D11" s="196" t="s">
        <v>19</v>
      </c>
      <c r="E11" s="196">
        <v>10.0</v>
      </c>
      <c r="F11" s="197"/>
      <c r="G11" s="196"/>
      <c r="H11" s="196"/>
      <c r="I11" s="200"/>
      <c r="K11" s="140">
        <v>6.0</v>
      </c>
      <c r="L11" s="141"/>
      <c r="M11" s="142"/>
      <c r="N11" s="141"/>
      <c r="O11" s="142"/>
      <c r="P11" s="143"/>
      <c r="Q11" s="3"/>
      <c r="R11" s="144">
        <v>6.0</v>
      </c>
      <c r="S11" s="145"/>
      <c r="T11" s="145"/>
      <c r="U11" s="145"/>
      <c r="V11" s="146"/>
      <c r="W11" s="147"/>
      <c r="X11" s="6"/>
      <c r="Y11" s="148">
        <v>6.0</v>
      </c>
      <c r="Z11" s="149"/>
      <c r="AA11" s="149"/>
      <c r="AB11" s="149"/>
      <c r="AC11" s="150"/>
      <c r="AD11" s="151"/>
    </row>
    <row r="12" ht="18.75" customHeight="1">
      <c r="A12" s="6"/>
      <c r="B12" s="207">
        <v>8.0</v>
      </c>
      <c r="C12" s="212" t="s">
        <v>62</v>
      </c>
      <c r="D12" s="215" t="s">
        <v>19</v>
      </c>
      <c r="E12" s="215">
        <v>10.0</v>
      </c>
      <c r="F12" s="215"/>
      <c r="G12" s="215"/>
      <c r="H12" s="215"/>
      <c r="I12" s="218"/>
      <c r="K12" s="114">
        <v>7.0</v>
      </c>
      <c r="L12" s="115"/>
      <c r="M12" s="116"/>
      <c r="N12" s="115"/>
      <c r="O12" s="116"/>
      <c r="P12" s="157"/>
      <c r="Q12" s="3"/>
      <c r="R12" s="118">
        <v>7.0</v>
      </c>
      <c r="S12" s="158"/>
      <c r="T12" s="158"/>
      <c r="U12" s="158"/>
      <c r="V12" s="159"/>
      <c r="W12" s="161"/>
      <c r="X12" s="6"/>
      <c r="Y12" s="125">
        <v>7.0</v>
      </c>
      <c r="Z12" s="163"/>
      <c r="AA12" s="163"/>
      <c r="AB12" s="163"/>
      <c r="AC12" s="165"/>
      <c r="AD12" s="167"/>
    </row>
    <row r="13" ht="18.75" customHeight="1">
      <c r="A13" s="6"/>
      <c r="B13" s="222">
        <v>9.0</v>
      </c>
      <c r="C13" s="223" t="s">
        <v>66</v>
      </c>
      <c r="D13" s="226" t="s">
        <v>19</v>
      </c>
      <c r="E13" s="226">
        <v>10.0</v>
      </c>
      <c r="F13" s="227"/>
      <c r="G13" s="226"/>
      <c r="H13" s="226"/>
      <c r="I13" s="229"/>
      <c r="K13" s="140">
        <v>8.0</v>
      </c>
      <c r="L13" s="141"/>
      <c r="M13" s="142"/>
      <c r="N13" s="141"/>
      <c r="O13" s="142"/>
      <c r="P13" s="143"/>
      <c r="Q13" s="3"/>
      <c r="R13" s="144">
        <v>8.0</v>
      </c>
      <c r="S13" s="145"/>
      <c r="T13" s="145"/>
      <c r="U13" s="145"/>
      <c r="V13" s="146"/>
      <c r="W13" s="147"/>
      <c r="X13" s="6"/>
      <c r="Y13" s="148">
        <v>8.0</v>
      </c>
      <c r="Z13" s="149"/>
      <c r="AA13" s="149"/>
      <c r="AB13" s="149"/>
      <c r="AC13" s="150"/>
      <c r="AD13" s="151"/>
    </row>
    <row r="14" ht="18.75" customHeight="1">
      <c r="A14" s="231"/>
      <c r="B14" s="232"/>
      <c r="C14" s="232"/>
      <c r="D14" s="232"/>
      <c r="E14" s="232"/>
      <c r="F14" s="232"/>
      <c r="G14" s="232"/>
      <c r="H14" s="232"/>
      <c r="I14" s="232"/>
      <c r="J14" s="233"/>
      <c r="K14" s="114">
        <v>9.0</v>
      </c>
      <c r="L14" s="115"/>
      <c r="M14" s="116"/>
      <c r="N14" s="115"/>
      <c r="O14" s="116"/>
      <c r="P14" s="157"/>
      <c r="Q14" s="3"/>
      <c r="R14" s="118">
        <v>9.0</v>
      </c>
      <c r="S14" s="158"/>
      <c r="T14" s="158"/>
      <c r="U14" s="158"/>
      <c r="V14" s="159"/>
      <c r="W14" s="161"/>
      <c r="X14" s="6"/>
      <c r="Y14" s="125">
        <v>9.0</v>
      </c>
      <c r="Z14" s="163"/>
      <c r="AA14" s="163"/>
      <c r="AB14" s="163"/>
      <c r="AC14" s="165"/>
      <c r="AD14" s="167"/>
      <c r="AE14" s="233"/>
      <c r="AF14" s="233"/>
      <c r="AG14" s="233"/>
      <c r="AH14" s="233"/>
      <c r="AI14" s="233"/>
      <c r="AJ14" s="233"/>
      <c r="AK14" s="233"/>
      <c r="AL14" s="233"/>
      <c r="AM14" s="233"/>
    </row>
    <row r="15" ht="18.75" customHeight="1">
      <c r="B15" s="232" t="str">
        <f>IMAGE(B38,2)</f>
        <v/>
      </c>
      <c r="K15" s="236">
        <v>10.0</v>
      </c>
      <c r="L15" s="237"/>
      <c r="M15" s="239"/>
      <c r="N15" s="237"/>
      <c r="O15" s="239"/>
      <c r="P15" s="241"/>
      <c r="Q15" s="3"/>
      <c r="R15" s="242">
        <v>10.0</v>
      </c>
      <c r="S15" s="243"/>
      <c r="T15" s="243"/>
      <c r="U15" s="243"/>
      <c r="V15" s="244"/>
      <c r="W15" s="245"/>
      <c r="X15" s="6"/>
      <c r="Y15" s="246">
        <v>10.0</v>
      </c>
      <c r="Z15" s="247"/>
      <c r="AA15" s="247"/>
      <c r="AB15" s="247"/>
      <c r="AC15" s="248"/>
      <c r="AD15" s="249"/>
    </row>
    <row r="16" ht="7.5" customHeight="1">
      <c r="A16" s="250"/>
      <c r="J16" s="251"/>
      <c r="K16" s="252"/>
      <c r="L16" s="254"/>
      <c r="M16" s="254"/>
      <c r="N16" s="254"/>
      <c r="O16" s="254"/>
      <c r="P16" s="254"/>
      <c r="Q16" s="254"/>
      <c r="R16" s="256"/>
      <c r="S16" s="254"/>
      <c r="T16" s="254"/>
      <c r="U16" s="254"/>
      <c r="V16" s="254"/>
      <c r="W16" s="254"/>
      <c r="X16" s="254"/>
      <c r="Y16" s="254"/>
      <c r="Z16" s="254"/>
      <c r="AA16" s="254"/>
      <c r="AB16" s="254"/>
      <c r="AC16" s="254"/>
      <c r="AD16" s="254"/>
      <c r="AE16" s="251"/>
      <c r="AF16" s="251"/>
      <c r="AG16" s="251"/>
      <c r="AH16" s="251"/>
      <c r="AI16" s="251"/>
      <c r="AJ16" s="251"/>
      <c r="AK16" s="251"/>
      <c r="AL16" s="251"/>
      <c r="AM16" s="251"/>
    </row>
    <row r="17" ht="18.75" customHeight="1">
      <c r="A17" s="260"/>
      <c r="K17" s="262" t="str">
        <f>'Character Info'!C8</f>
        <v>Character 4</v>
      </c>
      <c r="L17" s="264"/>
      <c r="M17" s="264"/>
      <c r="N17" s="264"/>
      <c r="O17" s="270"/>
      <c r="P17" s="280"/>
      <c r="Q17" s="3"/>
      <c r="R17" s="281" t="str">
        <f>'Character Info'!C9</f>
        <v>Character 5</v>
      </c>
      <c r="S17" s="283"/>
      <c r="T17" s="283"/>
      <c r="U17" s="283"/>
      <c r="V17" s="285"/>
      <c r="W17" s="286"/>
      <c r="X17" s="3"/>
      <c r="Y17" s="288" t="str">
        <f>'Character Info'!C10</f>
        <v>Character 6</v>
      </c>
      <c r="Z17" s="289"/>
      <c r="AA17" s="289"/>
      <c r="AB17" s="289"/>
      <c r="AC17" s="291"/>
      <c r="AD17" s="292"/>
    </row>
    <row r="18" ht="18.75" customHeight="1">
      <c r="A18" s="260"/>
      <c r="K18" s="293"/>
      <c r="L18" s="294" t="s">
        <v>20</v>
      </c>
      <c r="M18" s="295" t="s">
        <v>21</v>
      </c>
      <c r="N18" s="295" t="s">
        <v>11</v>
      </c>
      <c r="O18" s="297" t="s">
        <v>22</v>
      </c>
      <c r="P18" s="298" t="s">
        <v>12</v>
      </c>
      <c r="Q18" s="6"/>
      <c r="R18" s="300"/>
      <c r="S18" s="301" t="s">
        <v>20</v>
      </c>
      <c r="T18" s="302" t="s">
        <v>21</v>
      </c>
      <c r="U18" s="303" t="s">
        <v>11</v>
      </c>
      <c r="V18" s="305" t="s">
        <v>22</v>
      </c>
      <c r="W18" s="307" t="s">
        <v>12</v>
      </c>
      <c r="X18" s="6"/>
      <c r="Y18" s="309"/>
      <c r="Z18" s="311" t="s">
        <v>20</v>
      </c>
      <c r="AA18" s="312" t="s">
        <v>21</v>
      </c>
      <c r="AB18" s="313" t="s">
        <v>11</v>
      </c>
      <c r="AC18" s="314" t="s">
        <v>22</v>
      </c>
      <c r="AD18" s="315" t="s">
        <v>12</v>
      </c>
    </row>
    <row r="19" ht="18.75" customHeight="1">
      <c r="A19" s="260"/>
      <c r="K19" s="316">
        <v>1.0</v>
      </c>
      <c r="L19" s="317"/>
      <c r="M19" s="318"/>
      <c r="N19" s="318"/>
      <c r="O19" s="319"/>
      <c r="P19" s="320"/>
      <c r="Q19" s="3"/>
      <c r="R19" s="322">
        <v>1.0</v>
      </c>
      <c r="S19" s="323"/>
      <c r="T19" s="324"/>
      <c r="U19" s="325"/>
      <c r="V19" s="324"/>
      <c r="W19" s="326"/>
      <c r="X19" s="6"/>
      <c r="Y19" s="327">
        <v>1.0</v>
      </c>
      <c r="Z19" s="328"/>
      <c r="AA19" s="329"/>
      <c r="AB19" s="330"/>
      <c r="AC19" s="331"/>
      <c r="AD19" s="332"/>
    </row>
    <row r="20" ht="18.75" customHeight="1">
      <c r="A20" s="260"/>
      <c r="K20" s="333">
        <v>2.0</v>
      </c>
      <c r="L20" s="334"/>
      <c r="M20" s="334"/>
      <c r="N20" s="334"/>
      <c r="O20" s="335"/>
      <c r="P20" s="336"/>
      <c r="Q20" s="3"/>
      <c r="R20" s="337">
        <v>2.0</v>
      </c>
      <c r="S20" s="338"/>
      <c r="T20" s="339"/>
      <c r="U20" s="341"/>
      <c r="V20" s="339"/>
      <c r="W20" s="342"/>
      <c r="X20" s="6"/>
      <c r="Y20" s="343">
        <v>2.0</v>
      </c>
      <c r="Z20" s="345"/>
      <c r="AA20" s="347"/>
      <c r="AB20" s="349"/>
      <c r="AC20" s="345"/>
      <c r="AD20" s="350"/>
    </row>
    <row r="21" ht="18.75" customHeight="1">
      <c r="A21" s="260"/>
      <c r="K21" s="316">
        <v>3.0</v>
      </c>
      <c r="L21" s="352"/>
      <c r="M21" s="352"/>
      <c r="N21" s="352"/>
      <c r="O21" s="353"/>
      <c r="P21" s="354"/>
      <c r="Q21" s="3"/>
      <c r="R21" s="322">
        <v>3.0</v>
      </c>
      <c r="S21" s="355"/>
      <c r="T21" s="356"/>
      <c r="U21" s="357"/>
      <c r="V21" s="356"/>
      <c r="W21" s="359"/>
      <c r="X21" s="6"/>
      <c r="Y21" s="327">
        <v>3.0</v>
      </c>
      <c r="Z21" s="360"/>
      <c r="AA21" s="361"/>
      <c r="AB21" s="362"/>
      <c r="AC21" s="360"/>
      <c r="AD21" s="364"/>
    </row>
    <row r="22" ht="18.75" customHeight="1">
      <c r="A22" s="260"/>
      <c r="K22" s="333">
        <v>4.0</v>
      </c>
      <c r="L22" s="334"/>
      <c r="M22" s="334"/>
      <c r="N22" s="334"/>
      <c r="O22" s="335"/>
      <c r="P22" s="336"/>
      <c r="Q22" s="3"/>
      <c r="R22" s="337">
        <v>4.0</v>
      </c>
      <c r="S22" s="345"/>
      <c r="T22" s="365"/>
      <c r="U22" s="367"/>
      <c r="V22" s="365"/>
      <c r="W22" s="369"/>
      <c r="X22" s="6"/>
      <c r="Y22" s="343">
        <v>4.0</v>
      </c>
      <c r="Z22" s="345"/>
      <c r="AA22" s="347"/>
      <c r="AB22" s="349"/>
      <c r="AC22" s="345"/>
      <c r="AD22" s="350"/>
    </row>
    <row r="23" ht="18.75" customHeight="1">
      <c r="A23" s="260"/>
      <c r="K23" s="316">
        <v>5.0</v>
      </c>
      <c r="L23" s="352"/>
      <c r="M23" s="352"/>
      <c r="N23" s="352"/>
      <c r="O23" s="353"/>
      <c r="P23" s="354"/>
      <c r="Q23" s="3"/>
      <c r="R23" s="322">
        <v>5.0</v>
      </c>
      <c r="S23" s="371"/>
      <c r="T23" s="373"/>
      <c r="U23" s="374"/>
      <c r="V23" s="373"/>
      <c r="W23" s="375"/>
      <c r="X23" s="6"/>
      <c r="Y23" s="327">
        <v>5.0</v>
      </c>
      <c r="Z23" s="360"/>
      <c r="AA23" s="361"/>
      <c r="AB23" s="362"/>
      <c r="AC23" s="360"/>
      <c r="AD23" s="364"/>
    </row>
    <row r="24" ht="18.75" customHeight="1">
      <c r="A24" s="260"/>
      <c r="K24" s="333">
        <v>6.0</v>
      </c>
      <c r="L24" s="334"/>
      <c r="M24" s="334"/>
      <c r="N24" s="334"/>
      <c r="O24" s="335"/>
      <c r="P24" s="336"/>
      <c r="Q24" s="3"/>
      <c r="R24" s="337">
        <v>6.0</v>
      </c>
      <c r="S24" s="345"/>
      <c r="T24" s="365"/>
      <c r="U24" s="367"/>
      <c r="V24" s="365"/>
      <c r="W24" s="369"/>
      <c r="X24" s="6"/>
      <c r="Y24" s="343">
        <v>6.0</v>
      </c>
      <c r="Z24" s="345"/>
      <c r="AA24" s="347"/>
      <c r="AB24" s="349"/>
      <c r="AC24" s="345"/>
      <c r="AD24" s="350"/>
    </row>
    <row r="25" ht="18.75" customHeight="1">
      <c r="A25" s="260"/>
      <c r="K25" s="316">
        <v>7.0</v>
      </c>
      <c r="L25" s="352"/>
      <c r="M25" s="352"/>
      <c r="N25" s="352"/>
      <c r="O25" s="353"/>
      <c r="P25" s="354"/>
      <c r="Q25" s="3"/>
      <c r="R25" s="322">
        <v>7.0</v>
      </c>
      <c r="S25" s="371"/>
      <c r="T25" s="373"/>
      <c r="U25" s="374"/>
      <c r="V25" s="373"/>
      <c r="W25" s="375"/>
      <c r="X25" s="6"/>
      <c r="Y25" s="327">
        <v>7.0</v>
      </c>
      <c r="Z25" s="360"/>
      <c r="AA25" s="361"/>
      <c r="AB25" s="362"/>
      <c r="AC25" s="360"/>
      <c r="AD25" s="364"/>
    </row>
    <row r="26" ht="18.75" customHeight="1">
      <c r="A26" s="260"/>
      <c r="K26" s="333">
        <v>8.0</v>
      </c>
      <c r="L26" s="334"/>
      <c r="M26" s="334"/>
      <c r="N26" s="334"/>
      <c r="O26" s="335"/>
      <c r="P26" s="336"/>
      <c r="Q26" s="3"/>
      <c r="R26" s="337">
        <v>8.0</v>
      </c>
      <c r="S26" s="345"/>
      <c r="T26" s="365"/>
      <c r="U26" s="367"/>
      <c r="V26" s="365"/>
      <c r="W26" s="369"/>
      <c r="X26" s="6"/>
      <c r="Y26" s="343">
        <v>8.0</v>
      </c>
      <c r="Z26" s="345"/>
      <c r="AA26" s="347"/>
      <c r="AB26" s="349"/>
      <c r="AC26" s="345"/>
      <c r="AD26" s="350"/>
    </row>
    <row r="27" ht="18.75" customHeight="1">
      <c r="K27" s="316">
        <v>9.0</v>
      </c>
      <c r="L27" s="352"/>
      <c r="M27" s="352"/>
      <c r="N27" s="352"/>
      <c r="O27" s="353"/>
      <c r="P27" s="354"/>
      <c r="Q27" s="3"/>
      <c r="R27" s="322">
        <v>9.0</v>
      </c>
      <c r="S27" s="371"/>
      <c r="T27" s="373"/>
      <c r="U27" s="374"/>
      <c r="V27" s="373"/>
      <c r="W27" s="375"/>
      <c r="X27" s="6"/>
      <c r="Y27" s="327">
        <v>9.0</v>
      </c>
      <c r="Z27" s="360"/>
      <c r="AA27" s="361"/>
      <c r="AB27" s="362"/>
      <c r="AC27" s="360"/>
      <c r="AD27" s="364"/>
    </row>
    <row r="28" ht="18.75" customHeight="1">
      <c r="K28" s="377">
        <v>10.0</v>
      </c>
      <c r="L28" s="378"/>
      <c r="M28" s="378"/>
      <c r="N28" s="378"/>
      <c r="O28" s="379"/>
      <c r="P28" s="380"/>
      <c r="Q28" s="3"/>
      <c r="R28" s="382">
        <v>10.0</v>
      </c>
      <c r="S28" s="383"/>
      <c r="T28" s="385"/>
      <c r="U28" s="387"/>
      <c r="V28" s="385"/>
      <c r="W28" s="388"/>
      <c r="X28" s="6"/>
      <c r="Y28" s="389">
        <v>10.0</v>
      </c>
      <c r="Z28" s="383"/>
      <c r="AA28" s="390"/>
      <c r="AB28" s="391"/>
      <c r="AC28" s="383"/>
      <c r="AD28" s="392"/>
    </row>
    <row r="29" ht="7.5" customHeight="1">
      <c r="A29" s="251"/>
      <c r="J29" s="251"/>
      <c r="K29" s="252"/>
      <c r="L29" s="254"/>
      <c r="M29" s="254"/>
      <c r="N29" s="254"/>
      <c r="O29" s="254"/>
      <c r="P29" s="254"/>
      <c r="Q29" s="254"/>
      <c r="R29" s="252"/>
      <c r="S29" s="254"/>
      <c r="T29" s="254"/>
      <c r="U29" s="254"/>
      <c r="V29" s="254"/>
      <c r="W29" s="254"/>
      <c r="X29" s="254"/>
      <c r="Y29" s="254"/>
      <c r="Z29" s="254"/>
      <c r="AA29" s="254"/>
      <c r="AB29" s="254"/>
      <c r="AC29" s="254"/>
      <c r="AD29" s="254"/>
      <c r="AE29" s="251"/>
      <c r="AF29" s="251"/>
      <c r="AG29" s="251"/>
      <c r="AH29" s="251"/>
      <c r="AI29" s="251"/>
      <c r="AJ29" s="251"/>
      <c r="AK29" s="251"/>
      <c r="AL29" s="251"/>
      <c r="AM29" s="251"/>
    </row>
    <row r="30" ht="18.75" customHeight="1">
      <c r="K30" s="393" t="str">
        <f>'Character Info'!C11</f>
        <v>Character 7</v>
      </c>
      <c r="L30" s="395"/>
      <c r="M30" s="395"/>
      <c r="N30" s="395"/>
      <c r="O30" s="397"/>
      <c r="P30" s="398"/>
      <c r="Q30" s="3"/>
      <c r="R30" s="400" t="str">
        <f>'Character Info'!C12</f>
        <v>Character 8</v>
      </c>
      <c r="S30" s="402"/>
      <c r="T30" s="402"/>
      <c r="U30" s="402"/>
      <c r="V30" s="404"/>
      <c r="W30" s="405"/>
      <c r="X30" s="3"/>
      <c r="Y30" s="407" t="str">
        <f>'Character Info'!C13</f>
        <v>Character 9</v>
      </c>
      <c r="Z30" s="408"/>
      <c r="AA30" s="408"/>
      <c r="AB30" s="408"/>
      <c r="AC30" s="409"/>
      <c r="AD30" s="410"/>
    </row>
    <row r="31" ht="18.75" customHeight="1">
      <c r="K31" s="411"/>
      <c r="L31" s="412" t="s">
        <v>20</v>
      </c>
      <c r="M31" s="415" t="s">
        <v>21</v>
      </c>
      <c r="N31" s="415" t="s">
        <v>11</v>
      </c>
      <c r="O31" s="417" t="s">
        <v>22</v>
      </c>
      <c r="P31" s="418" t="s">
        <v>12</v>
      </c>
      <c r="Q31" s="6"/>
      <c r="R31" s="420"/>
      <c r="S31" s="422" t="s">
        <v>20</v>
      </c>
      <c r="T31" s="423" t="s">
        <v>21</v>
      </c>
      <c r="U31" s="423" t="s">
        <v>11</v>
      </c>
      <c r="V31" s="424" t="s">
        <v>22</v>
      </c>
      <c r="W31" s="425" t="s">
        <v>12</v>
      </c>
      <c r="X31" s="6"/>
      <c r="Y31" s="426"/>
      <c r="Z31" s="429" t="s">
        <v>20</v>
      </c>
      <c r="AA31" s="431" t="s">
        <v>21</v>
      </c>
      <c r="AB31" s="431" t="s">
        <v>11</v>
      </c>
      <c r="AC31" s="433" t="s">
        <v>22</v>
      </c>
      <c r="AD31" s="437" t="s">
        <v>12</v>
      </c>
    </row>
    <row r="32" ht="18.75" customHeight="1">
      <c r="K32" s="439">
        <v>1.0</v>
      </c>
      <c r="L32" s="443"/>
      <c r="M32" s="448"/>
      <c r="N32" s="448"/>
      <c r="O32" s="450"/>
      <c r="P32" s="452"/>
      <c r="Q32" s="3"/>
      <c r="R32" s="453">
        <v>1.0</v>
      </c>
      <c r="S32" s="455"/>
      <c r="T32" s="456"/>
      <c r="U32" s="458"/>
      <c r="V32" s="459"/>
      <c r="W32" s="460"/>
      <c r="X32" s="6"/>
      <c r="Y32" s="462">
        <v>1.0</v>
      </c>
      <c r="Z32" s="464"/>
      <c r="AA32" s="466"/>
      <c r="AB32" s="466"/>
      <c r="AC32" s="467"/>
      <c r="AD32" s="469"/>
    </row>
    <row r="33" ht="18.75" customHeight="1">
      <c r="K33" s="470">
        <v>2.0</v>
      </c>
      <c r="L33" s="471"/>
      <c r="M33" s="471"/>
      <c r="N33" s="471"/>
      <c r="O33" s="472"/>
      <c r="P33" s="474"/>
      <c r="Q33" s="3"/>
      <c r="R33" s="475">
        <v>2.0</v>
      </c>
      <c r="S33" s="477"/>
      <c r="T33" s="477"/>
      <c r="U33" s="477"/>
      <c r="V33" s="479"/>
      <c r="W33" s="481"/>
      <c r="X33" s="6"/>
      <c r="Y33" s="483">
        <v>2.0</v>
      </c>
      <c r="Z33" s="484"/>
      <c r="AA33" s="484"/>
      <c r="AB33" s="484"/>
      <c r="AC33" s="486"/>
      <c r="AD33" s="488"/>
    </row>
    <row r="34" ht="18.75" customHeight="1">
      <c r="K34" s="439">
        <v>3.0</v>
      </c>
      <c r="L34" s="489"/>
      <c r="M34" s="489"/>
      <c r="N34" s="489"/>
      <c r="O34" s="490"/>
      <c r="P34" s="491"/>
      <c r="Q34" s="3"/>
      <c r="R34" s="453">
        <v>3.0</v>
      </c>
      <c r="S34" s="493"/>
      <c r="T34" s="493"/>
      <c r="U34" s="493"/>
      <c r="V34" s="494"/>
      <c r="W34" s="495"/>
      <c r="X34" s="6"/>
      <c r="Y34" s="462">
        <v>3.0</v>
      </c>
      <c r="Z34" s="496"/>
      <c r="AA34" s="496"/>
      <c r="AB34" s="496"/>
      <c r="AC34" s="497"/>
      <c r="AD34" s="498"/>
    </row>
    <row r="35" ht="18.75" customHeight="1">
      <c r="K35" s="470">
        <v>4.0</v>
      </c>
      <c r="L35" s="471"/>
      <c r="M35" s="471"/>
      <c r="N35" s="471"/>
      <c r="O35" s="472"/>
      <c r="P35" s="474"/>
      <c r="Q35" s="3"/>
      <c r="R35" s="475">
        <v>4.0</v>
      </c>
      <c r="S35" s="477"/>
      <c r="T35" s="477"/>
      <c r="U35" s="477"/>
      <c r="V35" s="479"/>
      <c r="W35" s="481"/>
      <c r="X35" s="6"/>
      <c r="Y35" s="483">
        <v>4.0</v>
      </c>
      <c r="Z35" s="484"/>
      <c r="AA35" s="484"/>
      <c r="AB35" s="484"/>
      <c r="AC35" s="486"/>
      <c r="AD35" s="488"/>
    </row>
    <row r="36" ht="18.75" customHeight="1">
      <c r="K36" s="439">
        <v>5.0</v>
      </c>
      <c r="L36" s="489"/>
      <c r="M36" s="489"/>
      <c r="N36" s="489"/>
      <c r="O36" s="490"/>
      <c r="P36" s="491"/>
      <c r="Q36" s="3"/>
      <c r="R36" s="453">
        <v>5.0</v>
      </c>
      <c r="S36" s="493"/>
      <c r="T36" s="493"/>
      <c r="U36" s="493"/>
      <c r="V36" s="494"/>
      <c r="W36" s="495"/>
      <c r="X36" s="6"/>
      <c r="Y36" s="462">
        <v>5.0</v>
      </c>
      <c r="Z36" s="496"/>
      <c r="AA36" s="496"/>
      <c r="AB36" s="496"/>
      <c r="AC36" s="497"/>
      <c r="AD36" s="498"/>
    </row>
    <row r="37" ht="18.75" customHeight="1">
      <c r="K37" s="470">
        <v>6.0</v>
      </c>
      <c r="L37" s="471"/>
      <c r="M37" s="471"/>
      <c r="N37" s="471"/>
      <c r="O37" s="472"/>
      <c r="P37" s="474"/>
      <c r="Q37" s="3"/>
      <c r="R37" s="475">
        <v>6.0</v>
      </c>
      <c r="S37" s="477"/>
      <c r="T37" s="477"/>
      <c r="U37" s="477"/>
      <c r="V37" s="479"/>
      <c r="W37" s="481"/>
      <c r="X37" s="6"/>
      <c r="Y37" s="483">
        <v>6.0</v>
      </c>
      <c r="Z37" s="484"/>
      <c r="AA37" s="484"/>
      <c r="AB37" s="484"/>
      <c r="AC37" s="486"/>
      <c r="AD37" s="488"/>
    </row>
    <row r="38" ht="18.75" customHeight="1">
      <c r="B38" s="506" t="s">
        <v>82</v>
      </c>
      <c r="K38" s="439">
        <v>7.0</v>
      </c>
      <c r="L38" s="489"/>
      <c r="M38" s="489"/>
      <c r="N38" s="489"/>
      <c r="O38" s="490"/>
      <c r="P38" s="491"/>
      <c r="Q38" s="3"/>
      <c r="R38" s="453">
        <v>7.0</v>
      </c>
      <c r="S38" s="493"/>
      <c r="T38" s="493"/>
      <c r="U38" s="493"/>
      <c r="V38" s="494"/>
      <c r="W38" s="495"/>
      <c r="X38" s="6"/>
      <c r="Y38" s="462">
        <v>7.0</v>
      </c>
      <c r="Z38" s="496"/>
      <c r="AA38" s="496"/>
      <c r="AB38" s="496"/>
      <c r="AC38" s="497"/>
      <c r="AD38" s="498"/>
    </row>
    <row r="39" ht="18.75" customHeight="1">
      <c r="K39" s="470">
        <v>8.0</v>
      </c>
      <c r="L39" s="471"/>
      <c r="M39" s="471"/>
      <c r="N39" s="471"/>
      <c r="O39" s="472"/>
      <c r="P39" s="474"/>
      <c r="Q39" s="3"/>
      <c r="R39" s="475">
        <v>8.0</v>
      </c>
      <c r="S39" s="477"/>
      <c r="T39" s="477"/>
      <c r="U39" s="477"/>
      <c r="V39" s="479"/>
      <c r="W39" s="481"/>
      <c r="X39" s="6"/>
      <c r="Y39" s="483">
        <v>8.0</v>
      </c>
      <c r="Z39" s="484"/>
      <c r="AA39" s="484"/>
      <c r="AB39" s="484"/>
      <c r="AC39" s="486"/>
      <c r="AD39" s="488"/>
    </row>
    <row r="40" ht="18.75" customHeight="1">
      <c r="K40" s="439">
        <v>9.0</v>
      </c>
      <c r="L40" s="489"/>
      <c r="M40" s="489"/>
      <c r="N40" s="489"/>
      <c r="O40" s="490"/>
      <c r="P40" s="491"/>
      <c r="Q40" s="3"/>
      <c r="R40" s="453">
        <v>9.0</v>
      </c>
      <c r="S40" s="493"/>
      <c r="T40" s="493"/>
      <c r="U40" s="493"/>
      <c r="V40" s="494"/>
      <c r="W40" s="495"/>
      <c r="X40" s="6"/>
      <c r="Y40" s="462">
        <v>9.0</v>
      </c>
      <c r="Z40" s="496"/>
      <c r="AA40" s="496"/>
      <c r="AB40" s="496"/>
      <c r="AC40" s="497"/>
      <c r="AD40" s="498"/>
    </row>
    <row r="41" ht="18.75" customHeight="1">
      <c r="K41" s="512">
        <v>10.0</v>
      </c>
      <c r="L41" s="514"/>
      <c r="M41" s="514"/>
      <c r="N41" s="514"/>
      <c r="O41" s="517"/>
      <c r="P41" s="518"/>
      <c r="Q41" s="3"/>
      <c r="R41" s="521">
        <v>10.0</v>
      </c>
      <c r="S41" s="523"/>
      <c r="T41" s="523"/>
      <c r="U41" s="523"/>
      <c r="V41" s="524"/>
      <c r="W41" s="525"/>
      <c r="X41" s="6"/>
      <c r="Y41" s="526">
        <v>10.0</v>
      </c>
      <c r="Z41" s="527"/>
      <c r="AA41" s="527"/>
      <c r="AB41" s="527"/>
      <c r="AC41" s="528"/>
      <c r="AD41" s="529"/>
    </row>
    <row r="42" ht="7.5" customHeight="1">
      <c r="A42" s="251"/>
      <c r="B42" s="251"/>
      <c r="C42" s="251"/>
      <c r="D42" s="251"/>
      <c r="E42" s="251"/>
      <c r="F42" s="251"/>
      <c r="G42" s="251"/>
      <c r="H42" s="251"/>
      <c r="I42" s="251"/>
      <c r="J42" s="251"/>
      <c r="K42" s="252"/>
      <c r="L42" s="254"/>
      <c r="M42" s="254"/>
      <c r="N42" s="254"/>
      <c r="O42" s="254"/>
      <c r="P42" s="254"/>
      <c r="Q42" s="251"/>
      <c r="R42" s="252"/>
      <c r="S42" s="254"/>
      <c r="T42" s="254"/>
      <c r="U42" s="254"/>
      <c r="V42" s="254"/>
      <c r="W42" s="254"/>
      <c r="X42" s="251"/>
      <c r="Y42" s="251"/>
      <c r="Z42" s="251"/>
      <c r="AA42" s="251"/>
      <c r="AB42" s="251"/>
      <c r="AC42" s="251"/>
      <c r="AD42" s="251"/>
      <c r="AE42" s="251"/>
      <c r="AF42" s="251"/>
      <c r="AG42" s="251"/>
      <c r="AH42" s="251"/>
      <c r="AI42" s="251"/>
      <c r="AJ42" s="251"/>
      <c r="AK42" s="251"/>
      <c r="AL42" s="251"/>
      <c r="AM42" s="251"/>
    </row>
  </sheetData>
  <mergeCells count="12">
    <mergeCell ref="K4:N4"/>
    <mergeCell ref="K17:N17"/>
    <mergeCell ref="R17:U17"/>
    <mergeCell ref="Y17:AB17"/>
    <mergeCell ref="K30:N30"/>
    <mergeCell ref="R30:U30"/>
    <mergeCell ref="Y30:AB30"/>
    <mergeCell ref="R4:U4"/>
    <mergeCell ref="B15:I37"/>
    <mergeCell ref="B2:D3"/>
    <mergeCell ref="E2:I3"/>
    <mergeCell ref="Y4:AB4"/>
  </mergeCells>
  <conditionalFormatting sqref="D5:D13">
    <cfRule type="expression" dxfId="0" priority="1">
      <formula>AND((NOT(ISBLANK(C5))),ISBLANK(D5))</formula>
    </cfRule>
  </conditionalFormatting>
  <conditionalFormatting sqref="E5:E13">
    <cfRule type="expression" dxfId="0" priority="2">
      <formula>AND((NOT(ISBLANK(C5))),ISBLANK(E5))</formula>
    </cfRule>
  </conditionalFormatting>
  <conditionalFormatting sqref="F5:F13">
    <cfRule type="expression" dxfId="0" priority="3">
      <formula>AND((NOT(ISBLANK(G5))),ISBLANK(F5))</formula>
    </cfRule>
  </conditionalFormatting>
  <conditionalFormatting sqref="H5:H13">
    <cfRule type="expression" dxfId="0" priority="4">
      <formula>AND((NOT(ISBLANK(G5))),ISBLANK(H5))</formula>
    </cfRule>
  </conditionalFormatting>
  <conditionalFormatting sqref="I5:I13">
    <cfRule type="expression" dxfId="0" priority="5">
      <formula>AND((NOT(ISBLANK(G5))),ISBLANK(I5))</formula>
    </cfRule>
  </conditionalFormatting>
  <dataValidations>
    <dataValidation type="decimal" allowBlank="1" showDropDown="1" showInputMessage="1" prompt="Your PC must have a weight if you have a mount." sqref="F5:F13">
      <formula1>1.0</formula1>
      <formula2>600.0</formula2>
    </dataValidation>
    <dataValidation type="list" allowBlank="1" showInputMessage="1" prompt="What kind of container is it? If not listed, choose custom." sqref="T6:T15">
      <formula1>Reference!$A$59:$A$96</formula1>
    </dataValidation>
    <dataValidation type="list" allowBlank="1" showInputMessage="1" prompt="Your mount must have a size." sqref="H5:H13">
      <formula1>"Medium,Large,Huge"</formula1>
    </dataValidation>
    <dataValidation type="list" allowBlank="1" sqref="N6:N15">
      <formula1>"self,mount,extradimensional"</formula1>
    </dataValidation>
    <dataValidation type="decimal" allowBlank="1" showDropDown="1" showInputMessage="1" prompt="Your PC must have a Strength." sqref="E5:E13">
      <formula1>1.0</formula1>
      <formula2>30.0</formula2>
    </dataValidation>
    <dataValidation type="decimal" allowBlank="1" showDropDown="1" showInputMessage="1" prompt="Your mount must have a Strength." sqref="I5:I13">
      <formula1>1.0</formula1>
      <formula2>30.0</formula2>
    </dataValidation>
    <dataValidation type="list" allowBlank="1" showInputMessage="1" showErrorMessage="1" prompt="What kind of container is it? If not listed, choose custom." sqref="M6:M15">
      <formula1>Reference!$A$59:$A$96</formula1>
    </dataValidation>
    <dataValidation type="list" allowBlank="1" showInputMessage="1" prompt="Your PC must have a size." sqref="D5:D13">
      <formula1>"Medium,Large"</formula1>
    </dataValidation>
  </dataValidations>
  <hyperlinks>
    <hyperlink r:id="rId2" ref="B38"/>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FF"/>
  </sheetPr>
  <sheetViews>
    <sheetView showGridLines="0" workbookViewId="0"/>
  </sheetViews>
  <sheetFormatPr customHeight="1" defaultColWidth="14.43" defaultRowHeight="15.75"/>
  <cols>
    <col customWidth="1" min="1" max="1" width="1.57"/>
    <col customWidth="1" min="2" max="2" width="3.71"/>
    <col customWidth="1" min="4" max="11" width="17.29"/>
    <col customWidth="1" min="12" max="12" width="1.57"/>
  </cols>
  <sheetData>
    <row r="1" ht="7.5" customHeight="1">
      <c r="A1" s="1"/>
      <c r="B1" s="2"/>
      <c r="C1" s="3"/>
      <c r="D1" s="3"/>
      <c r="E1" s="3"/>
      <c r="F1" s="3"/>
      <c r="G1" s="4" t="s">
        <v>0</v>
      </c>
      <c r="H1" s="2"/>
      <c r="I1" s="3"/>
      <c r="J1" s="3"/>
      <c r="L1" s="3"/>
    </row>
    <row r="2" ht="18.75" customHeight="1">
      <c r="A2" s="1"/>
      <c r="B2" s="7" t="s">
        <v>2</v>
      </c>
      <c r="C2" s="9"/>
      <c r="D2" s="11"/>
      <c r="E2" s="11"/>
      <c r="F2" s="13"/>
      <c r="G2" s="18" t="str">
        <f>IMAGE(G1,1)</f>
        <v/>
      </c>
      <c r="I2" s="7" t="s">
        <v>5</v>
      </c>
      <c r="J2" s="11"/>
      <c r="K2" s="13"/>
      <c r="L2" s="3"/>
    </row>
    <row r="3" ht="18.75" customHeight="1">
      <c r="A3" s="19"/>
      <c r="B3" s="20"/>
      <c r="C3" s="21" t="s">
        <v>6</v>
      </c>
      <c r="D3" s="21" t="s">
        <v>7</v>
      </c>
      <c r="E3" s="21" t="s">
        <v>8</v>
      </c>
      <c r="F3" s="22" t="s">
        <v>9</v>
      </c>
      <c r="I3" s="23" t="s">
        <v>6</v>
      </c>
      <c r="J3" s="24" t="s">
        <v>10</v>
      </c>
      <c r="K3" s="25" t="s">
        <v>11</v>
      </c>
      <c r="L3" s="42"/>
    </row>
    <row r="4" ht="18.75" customHeight="1">
      <c r="A4" s="6"/>
      <c r="B4" s="47">
        <v>1.0</v>
      </c>
      <c r="C4" s="49"/>
      <c r="D4" s="52"/>
      <c r="E4" s="49"/>
      <c r="F4" s="55"/>
      <c r="I4" s="47"/>
      <c r="J4" s="49"/>
      <c r="K4" s="55"/>
      <c r="L4" s="3"/>
    </row>
    <row r="5" ht="18.75" customHeight="1">
      <c r="A5" s="6"/>
      <c r="B5" s="47">
        <v>2.0</v>
      </c>
      <c r="C5" s="49"/>
      <c r="D5" s="58"/>
      <c r="E5" s="60"/>
      <c r="F5" s="63"/>
      <c r="I5" s="47"/>
      <c r="J5" s="60"/>
      <c r="K5" s="63"/>
      <c r="L5" s="3"/>
    </row>
    <row r="6" ht="18.75" customHeight="1">
      <c r="A6" s="6"/>
      <c r="B6" s="47">
        <v>3.0</v>
      </c>
      <c r="C6" s="49"/>
      <c r="D6" s="58"/>
      <c r="E6" s="60"/>
      <c r="F6" s="63"/>
      <c r="I6" s="47"/>
      <c r="J6" s="60"/>
      <c r="K6" s="63"/>
      <c r="L6" s="3"/>
    </row>
    <row r="7" ht="18.75" customHeight="1">
      <c r="A7" s="6"/>
      <c r="B7" s="47">
        <v>4.0</v>
      </c>
      <c r="C7" s="49"/>
      <c r="D7" s="58"/>
      <c r="E7" s="60"/>
      <c r="F7" s="63"/>
      <c r="I7" s="47"/>
      <c r="J7" s="60"/>
      <c r="K7" s="63"/>
      <c r="L7" s="3"/>
    </row>
    <row r="8" ht="18.75" customHeight="1">
      <c r="A8" s="6"/>
      <c r="B8" s="47">
        <v>5.0</v>
      </c>
      <c r="C8" s="49"/>
      <c r="D8" s="58"/>
      <c r="E8" s="60"/>
      <c r="F8" s="63"/>
      <c r="I8" s="47"/>
      <c r="J8" s="60"/>
      <c r="K8" s="63"/>
      <c r="L8" s="3"/>
    </row>
    <row r="9" ht="18.75" customHeight="1">
      <c r="A9" s="6"/>
      <c r="B9" s="47">
        <v>6.0</v>
      </c>
      <c r="C9" s="49"/>
      <c r="D9" s="58"/>
      <c r="E9" s="60"/>
      <c r="F9" s="63"/>
      <c r="I9" s="47"/>
      <c r="J9" s="60"/>
      <c r="K9" s="63"/>
      <c r="L9" s="3"/>
    </row>
    <row r="10" ht="18.75" customHeight="1">
      <c r="A10" s="6"/>
      <c r="B10" s="47">
        <v>7.0</v>
      </c>
      <c r="C10" s="49"/>
      <c r="D10" s="58"/>
      <c r="E10" s="60"/>
      <c r="F10" s="63"/>
      <c r="I10" s="47"/>
      <c r="J10" s="60"/>
      <c r="K10" s="63"/>
      <c r="L10" s="3"/>
    </row>
    <row r="11" ht="18.75" customHeight="1">
      <c r="A11" s="6"/>
      <c r="B11" s="47">
        <v>8.0</v>
      </c>
      <c r="C11" s="49"/>
      <c r="D11" s="58"/>
      <c r="E11" s="60"/>
      <c r="F11" s="63"/>
      <c r="I11" s="47"/>
      <c r="J11" s="60"/>
      <c r="K11" s="63"/>
      <c r="L11" s="3"/>
    </row>
    <row r="12" ht="18.75" customHeight="1">
      <c r="A12" s="6"/>
      <c r="B12" s="47">
        <v>9.0</v>
      </c>
      <c r="C12" s="49"/>
      <c r="D12" s="58"/>
      <c r="E12" s="60"/>
      <c r="F12" s="63"/>
      <c r="I12" s="47"/>
      <c r="J12" s="60"/>
      <c r="K12" s="63"/>
      <c r="L12" s="3"/>
    </row>
    <row r="13" ht="18.75" customHeight="1">
      <c r="A13" s="6"/>
      <c r="B13" s="47">
        <v>10.0</v>
      </c>
      <c r="C13" s="49"/>
      <c r="D13" s="58"/>
      <c r="E13" s="60"/>
      <c r="F13" s="63"/>
      <c r="I13" s="47"/>
      <c r="J13" s="60"/>
      <c r="K13" s="63"/>
      <c r="L13" s="3"/>
    </row>
    <row r="14" ht="18.75" customHeight="1">
      <c r="A14" s="6"/>
      <c r="B14" s="47">
        <v>11.0</v>
      </c>
      <c r="C14" s="49"/>
      <c r="D14" s="58"/>
      <c r="E14" s="60"/>
      <c r="F14" s="63"/>
      <c r="I14" s="47"/>
      <c r="J14" s="60"/>
      <c r="K14" s="63"/>
      <c r="L14" s="3"/>
    </row>
    <row r="15" ht="18.75" customHeight="1">
      <c r="A15" s="6"/>
      <c r="B15" s="82">
        <v>12.0</v>
      </c>
      <c r="C15" s="84"/>
      <c r="D15" s="86"/>
      <c r="E15" s="88"/>
      <c r="F15" s="93"/>
      <c r="I15" s="82"/>
      <c r="J15" s="88"/>
      <c r="K15" s="93"/>
      <c r="L15" s="3"/>
    </row>
    <row r="16" ht="7.5" customHeight="1">
      <c r="A16" s="6"/>
      <c r="B16" s="96"/>
      <c r="C16" s="96"/>
      <c r="D16" s="100"/>
      <c r="E16" s="102"/>
      <c r="F16" s="102"/>
      <c r="I16" s="96"/>
      <c r="J16" s="102"/>
      <c r="K16" s="102"/>
      <c r="L16" s="3"/>
    </row>
    <row r="17" ht="18.75" customHeight="1">
      <c r="A17" s="6"/>
      <c r="B17" s="107" t="s">
        <v>35</v>
      </c>
      <c r="C17" s="9"/>
      <c r="D17" s="9"/>
      <c r="E17" s="9"/>
      <c r="F17" s="9"/>
      <c r="G17" s="9"/>
      <c r="H17" s="9"/>
      <c r="I17" s="9"/>
      <c r="J17" s="9"/>
      <c r="K17" s="109"/>
      <c r="L17" s="3"/>
    </row>
    <row r="18" ht="18.75" customHeight="1">
      <c r="A18" s="6"/>
      <c r="B18" s="111"/>
      <c r="C18" s="24" t="s">
        <v>37</v>
      </c>
      <c r="D18" s="24" t="s">
        <v>12</v>
      </c>
      <c r="E18" s="24" t="s">
        <v>7</v>
      </c>
      <c r="F18" s="24" t="s">
        <v>38</v>
      </c>
      <c r="G18" s="24" t="s">
        <v>39</v>
      </c>
      <c r="H18" s="24" t="s">
        <v>40</v>
      </c>
      <c r="I18" s="24" t="s">
        <v>41</v>
      </c>
      <c r="J18" s="24" t="s">
        <v>42</v>
      </c>
      <c r="K18" s="25" t="s">
        <v>43</v>
      </c>
      <c r="L18" s="3"/>
    </row>
    <row r="19" ht="18.75" customHeight="1">
      <c r="A19" s="6"/>
      <c r="B19" s="47">
        <v>1.0</v>
      </c>
      <c r="C19" s="49"/>
      <c r="D19" s="58"/>
      <c r="E19" s="100">
        <f>MULTIPLY((IFERROR(VLOOKUP(F19,DraftAnimals,2),0)),5)+MULTIPLY((IFERROR(VLOOKUP(G19,DraftAnimals,2),0)),5)+MULTIPLY((IFERROR(VLOOKUP(H19,DraftAnimals,2),0)),5)+MULTIPLY((IFERROR(VLOOKUP(I19,DraftAnimals,2),0)),5)+MULTIPLY((IFERROR(VLOOKUP(J19,DraftAnimals,2),0)),5)+MULTIPLY((IFERROR(VLOOKUP(K19,DraftAnimals,2),0)),5)-Vehicle1Weight</f>
        <v>0</v>
      </c>
      <c r="F19" s="60"/>
      <c r="G19" s="60"/>
      <c r="H19" s="60"/>
      <c r="I19" s="60"/>
      <c r="J19" s="60"/>
      <c r="K19" s="63"/>
      <c r="L19" s="3"/>
    </row>
    <row r="20" ht="18.75" customHeight="1">
      <c r="A20" s="6"/>
      <c r="B20" s="47">
        <v>2.0</v>
      </c>
      <c r="C20" s="49"/>
      <c r="D20" s="58"/>
      <c r="E20" s="100">
        <f>MULTIPLY((IFERROR(VLOOKUP(F20,DraftAnimals,2),0)),5)+MULTIPLY((IFERROR(VLOOKUP(G20,DraftAnimals,2),0)),5)+MULTIPLY((IFERROR(VLOOKUP(H20,DraftAnimals,2),0)),5)+MULTIPLY((IFERROR(VLOOKUP(I20,DraftAnimals,2),0)),5)+MULTIPLY((IFERROR(VLOOKUP(J20,DraftAnimals,2),0)),5)+MULTIPLY((IFERROR(VLOOKUP(K20,DraftAnimals,2),0)),5)-Vehicle1Weight</f>
        <v>0</v>
      </c>
      <c r="F20" s="60"/>
      <c r="G20" s="60"/>
      <c r="H20" s="60"/>
      <c r="I20" s="60"/>
      <c r="J20" s="60"/>
      <c r="K20" s="63"/>
      <c r="L20" s="3"/>
    </row>
    <row r="21" ht="18.75" customHeight="1">
      <c r="A21" s="6"/>
      <c r="B21" s="82">
        <v>3.0</v>
      </c>
      <c r="C21" s="84"/>
      <c r="D21" s="86"/>
      <c r="E21" s="131">
        <f>MULTIPLY((IFERROR(VLOOKUP(F21,DraftAnimals,2),0)),5)+MULTIPLY((IFERROR(VLOOKUP(G21,DraftAnimals,2),0)),5)+MULTIPLY((IFERROR(VLOOKUP(H21,DraftAnimals,2),0)),5)+MULTIPLY((IFERROR(VLOOKUP(I21,DraftAnimals,2),0)),5)+MULTIPLY((IFERROR(VLOOKUP(J21,DraftAnimals,2),0)),5)+MULTIPLY((IFERROR(VLOOKUP(K21,DraftAnimals,2),0)),5)-Vehicle1Weight</f>
        <v>0</v>
      </c>
      <c r="F21" s="88"/>
      <c r="G21" s="88"/>
      <c r="H21" s="88"/>
      <c r="I21" s="88"/>
      <c r="J21" s="88"/>
      <c r="K21" s="93"/>
      <c r="L21" s="3"/>
    </row>
    <row r="22" ht="7.5" customHeight="1">
      <c r="A22" s="6"/>
      <c r="B22" s="6"/>
      <c r="C22" s="6"/>
      <c r="D22" s="3"/>
      <c r="E22" s="3"/>
      <c r="F22" s="3"/>
      <c r="G22" s="3"/>
      <c r="H22" s="3"/>
      <c r="I22" s="3"/>
      <c r="J22" s="3"/>
      <c r="K22" s="3"/>
      <c r="L22" s="3"/>
    </row>
  </sheetData>
  <mergeCells count="1">
    <mergeCell ref="G2:H15"/>
  </mergeCells>
  <conditionalFormatting sqref="D19:D21">
    <cfRule type="expression" dxfId="0" priority="1">
      <formula>AND(NOT(ISBLANK(C19)), ISBLANK(D19))</formula>
    </cfRule>
  </conditionalFormatting>
  <conditionalFormatting sqref="D4:D16">
    <cfRule type="expression" dxfId="0" priority="2">
      <formula>AND(NOT(ISBLANK(C4)), ISBLANK(D4))</formula>
    </cfRule>
  </conditionalFormatting>
  <conditionalFormatting sqref="E4:E16">
    <cfRule type="expression" dxfId="0" priority="3">
      <formula>AND(NOT(ISBLANK(C4)), ISBLANK(E4))</formula>
    </cfRule>
  </conditionalFormatting>
  <conditionalFormatting sqref="F4:F16">
    <cfRule type="expression" dxfId="0" priority="4">
      <formula>AND(NOT(ISBLANK(C4)), ISBLANK(F4))</formula>
    </cfRule>
  </conditionalFormatting>
  <conditionalFormatting sqref="J4:J16">
    <cfRule type="expression" dxfId="0" priority="5">
      <formula>AND(NOT(ISBLANK(I4)), ISBLANK(J4))</formula>
    </cfRule>
  </conditionalFormatting>
  <conditionalFormatting sqref="K4:K16">
    <cfRule type="expression" dxfId="0" priority="6">
      <formula>AND(NOT(ISBLANK(I4)), ISBLANK(K4))</formula>
    </cfRule>
  </conditionalFormatting>
  <dataValidations>
    <dataValidation type="list" allowBlank="1" showInputMessage="1" prompt="Every draft animal must have a size." sqref="E4:E15">
      <formula1>"Medium,Large,Huge"</formula1>
    </dataValidation>
    <dataValidation type="list" allowBlank="1" sqref="F19:K21">
      <formula1>'Party Info'!$C$4:$C$15</formula1>
    </dataValidation>
    <dataValidation type="decimal" allowBlank="1" showDropDown="1" showInputMessage="1" prompt="Every draft animal must have a strength." sqref="F4:F16">
      <formula1>1.0</formula1>
      <formula2>30.0</formula2>
    </dataValidation>
    <dataValidation type="list" allowBlank="1" sqref="J4:J15">
      <formula1>PartyStorageOptions</formula1>
    </dataValidation>
    <dataValidation type="decimal" allowBlank="1" showDropDown="1" showInputMessage="1" prompt="Every draft animal must have a carrying capacity." sqref="D4:D16">
      <formula1>0.0</formula1>
      <formula2>10000.0</formula2>
    </dataValidation>
    <dataValidation type="decimal" allowBlank="1" showDropDown="1" showInputMessage="1" prompt="Every vehicle must have a weight." sqref="D19:D21">
      <formula1>0.0</formula1>
      <formula2>10000.0</formula2>
    </dataValidation>
  </dataValidations>
  <hyperlinks>
    <hyperlink r:id="rId2" ref="G1"/>
  </hyperlinks>
  <drawing r:id="rId3"/>
  <legacyDrawing r:id="rId4"/>
  <tableParts count="3">
    <tablePart r:id="rId8"/>
    <tablePart r:id="rId9"/>
    <tablePart r:id="rId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34343"/>
  </sheetPr>
  <sheetViews>
    <sheetView showGridLines="0" workbookViewId="0"/>
  </sheetViews>
  <sheetFormatPr customHeight="1" defaultColWidth="14.43" defaultRowHeight="15.75"/>
  <cols>
    <col customWidth="1" min="1" max="1" width="1.57"/>
    <col customWidth="1" min="2" max="2" width="5.86"/>
    <col customWidth="1" min="3" max="3" width="21.57"/>
    <col customWidth="1" min="4" max="13" width="15.86"/>
    <col customWidth="1" min="14" max="14" width="1.57"/>
    <col customWidth="1" min="15" max="17" width="15.86"/>
    <col customWidth="1" min="18" max="18" width="1.57"/>
  </cols>
  <sheetData>
    <row r="1" ht="7.5" customHeight="1">
      <c r="A1" s="35" t="str">
        <f>"Party Inventory"</f>
        <v>Party Inventory</v>
      </c>
      <c r="B1" s="37"/>
      <c r="C1" s="39"/>
      <c r="D1" s="39"/>
      <c r="E1" s="39"/>
      <c r="F1" s="39"/>
      <c r="G1" s="41"/>
      <c r="H1" s="41"/>
      <c r="I1" s="41"/>
      <c r="J1" s="41"/>
      <c r="K1" s="41"/>
      <c r="L1" s="41"/>
      <c r="M1" s="41"/>
      <c r="N1" s="43"/>
      <c r="P1" s="41"/>
      <c r="Q1" s="41"/>
      <c r="R1" s="45"/>
    </row>
    <row r="2" ht="18.75" customHeight="1">
      <c r="A2" s="48"/>
      <c r="B2" s="51" t="s">
        <v>16</v>
      </c>
      <c r="C2" s="53"/>
      <c r="D2" s="56" t="s">
        <v>17</v>
      </c>
      <c r="E2" s="62"/>
      <c r="F2" s="62"/>
      <c r="G2" s="62"/>
      <c r="H2" s="62"/>
      <c r="I2" s="65"/>
      <c r="J2" s="67"/>
      <c r="K2" s="67"/>
      <c r="L2" s="67"/>
      <c r="M2" s="69"/>
      <c r="N2" s="71"/>
      <c r="O2" s="75" t="str">
        <f>IF(ISBLANK(Vehicle1),"Vehicle 1",Vehicle1)&amp;" Capacity"</f>
        <v>Vehicle 1 Capacity</v>
      </c>
      <c r="P2" s="77"/>
      <c r="Q2" s="79"/>
      <c r="R2" s="81" t="str">
        <f>Vehicle1</f>
        <v/>
      </c>
    </row>
    <row r="3" ht="18.75" customHeight="1">
      <c r="A3" s="48"/>
      <c r="B3" s="83" t="s">
        <v>23</v>
      </c>
      <c r="C3" s="85" t="s">
        <v>10</v>
      </c>
      <c r="D3" s="85" t="s">
        <v>24</v>
      </c>
      <c r="E3" s="85" t="s">
        <v>25</v>
      </c>
      <c r="F3" s="85" t="s">
        <v>26</v>
      </c>
      <c r="G3" s="85" t="s">
        <v>27</v>
      </c>
      <c r="H3" s="85" t="s">
        <v>28</v>
      </c>
      <c r="I3" s="85" t="s">
        <v>29</v>
      </c>
      <c r="J3" s="85" t="s">
        <v>30</v>
      </c>
      <c r="K3" s="85" t="s">
        <v>31</v>
      </c>
      <c r="L3" s="85" t="s">
        <v>32</v>
      </c>
      <c r="M3" s="90" t="s">
        <v>33</v>
      </c>
      <c r="N3" s="92"/>
      <c r="O3" s="94" t="s">
        <v>7</v>
      </c>
      <c r="P3" s="98"/>
      <c r="Q3" s="104">
        <f>IF(ISBLANK(Vehicle1AdjustedCapacity),0,Vehicle1AdjustedCapacity)</f>
        <v>0</v>
      </c>
      <c r="R3" s="106"/>
    </row>
    <row r="4" ht="18.75" customHeight="1">
      <c r="A4" s="48"/>
      <c r="B4" s="108">
        <v>0.0</v>
      </c>
      <c r="C4" s="110" t="s">
        <v>36</v>
      </c>
      <c r="D4" s="113">
        <f>B4</f>
        <v>0</v>
      </c>
      <c r="E4" s="113">
        <f>B4/10</f>
        <v>0</v>
      </c>
      <c r="F4" s="113">
        <f>B4/50</f>
        <v>0</v>
      </c>
      <c r="G4" s="113">
        <f>B4/100</f>
        <v>0</v>
      </c>
      <c r="H4" s="113">
        <f>B4/1000</f>
        <v>0</v>
      </c>
      <c r="I4" s="119">
        <f>B4/5000</f>
        <v>0</v>
      </c>
      <c r="J4" s="122">
        <f>B4/10000</f>
        <v>0</v>
      </c>
      <c r="K4" s="122">
        <f>B4/50000</f>
        <v>0</v>
      </c>
      <c r="L4" s="122">
        <f>B4/100000</f>
        <v>0</v>
      </c>
      <c r="M4" s="127">
        <f>B4/500000</f>
        <v>0</v>
      </c>
      <c r="N4" s="129"/>
      <c r="O4" s="132" t="s">
        <v>45</v>
      </c>
      <c r="P4" s="134"/>
      <c r="Q4" s="160">
        <f t="array" ref="Q4">SUMIF(PartyEquipStatus,"="&amp;Vehicle1,PartyInventoryWeights)+SUMIF(Ch1_PartyEquip,"="&amp;Vehicle1,Ch1_InventoryWeights)+SUMIF(Ch2_PartyEquip,"="&amp;Vehicle1,Ch2_InventoryWeights)++SUMIF(Ch3_PartyEquip,"="&amp;Vehicle1,Ch3_InventoryWeights)++SUMIF(Ch4_PartyEquip,"="&amp;Vehicle1,Ch4_InventoryWeights)++SUMIF(Ch5_PartyEquip,"="&amp;Vehicle1,Ch5_InventoryWeights)+SUMIF(Ch6_PartyEquip,"="&amp;Vehicle1,Ch6_InventoryWeights)+SUMIF(Ch7_PartyEquip,"="&amp;Vehicle1,Ch7_InventoryWeights)+SUMIF(Ch8_PartyEquip,"="&amp;Vehicle1,Ch8_InventoryWeights)+SUMIF(Ch9_PartyEquip,"="&amp;Vehicle1,Ch9_InventoryWeights)</f>
        <v>0</v>
      </c>
      <c r="R4" s="162"/>
    </row>
    <row r="5" ht="18.75" customHeight="1">
      <c r="A5" s="48"/>
      <c r="B5" s="164">
        <v>0.0</v>
      </c>
      <c r="C5" s="166" t="s">
        <v>50</v>
      </c>
      <c r="D5" s="169">
        <f>B5*10</f>
        <v>0</v>
      </c>
      <c r="E5" s="169">
        <f>B5</f>
        <v>0</v>
      </c>
      <c r="F5" s="169">
        <f>B5/5</f>
        <v>0</v>
      </c>
      <c r="G5" s="169">
        <f>B5/10</f>
        <v>0</v>
      </c>
      <c r="H5" s="169">
        <f>B5/100</f>
        <v>0</v>
      </c>
      <c r="I5" s="169">
        <f>B5/500</f>
        <v>0</v>
      </c>
      <c r="J5" s="169">
        <f>B5/1000</f>
        <v>0</v>
      </c>
      <c r="K5" s="169">
        <f>B5/5000</f>
        <v>0</v>
      </c>
      <c r="L5" s="169">
        <f>B5/10000</f>
        <v>0</v>
      </c>
      <c r="M5" s="178">
        <f>B5/50000</f>
        <v>0</v>
      </c>
      <c r="N5" s="180"/>
      <c r="O5" s="71"/>
      <c r="P5" s="71"/>
      <c r="Q5" s="71"/>
      <c r="R5" s="182"/>
    </row>
    <row r="6" ht="18.75" customHeight="1">
      <c r="A6" s="48"/>
      <c r="B6" s="108">
        <v>0.0</v>
      </c>
      <c r="C6" s="110" t="s">
        <v>54</v>
      </c>
      <c r="D6" s="113">
        <f>B6*50</f>
        <v>0</v>
      </c>
      <c r="E6" s="113">
        <f>B6*5</f>
        <v>0</v>
      </c>
      <c r="F6" s="113">
        <f>B6</f>
        <v>0</v>
      </c>
      <c r="G6" s="113">
        <f>B6/2</f>
        <v>0</v>
      </c>
      <c r="H6" s="113">
        <f>B6/20</f>
        <v>0</v>
      </c>
      <c r="I6" s="113">
        <f>B6/100</f>
        <v>0</v>
      </c>
      <c r="J6" s="122">
        <f>B6/200</f>
        <v>0</v>
      </c>
      <c r="K6" s="122">
        <f>B6/1000</f>
        <v>0</v>
      </c>
      <c r="L6" s="122">
        <f>B6/2000</f>
        <v>0</v>
      </c>
      <c r="M6" s="127">
        <f>B6/10000</f>
        <v>0</v>
      </c>
      <c r="N6" s="129"/>
      <c r="O6" s="75" t="str">
        <f>IF(ISBLANK(Vehicle2),"Vehicle 2",Vehicle2)&amp;" Capacity"</f>
        <v>Vehicle 2 Capacity</v>
      </c>
      <c r="P6" s="77"/>
      <c r="Q6" s="79"/>
      <c r="R6" s="81" t="str">
        <f>Vehicle2
</f>
        <v/>
      </c>
    </row>
    <row r="7" ht="18.75" customHeight="1">
      <c r="A7" s="48"/>
      <c r="B7" s="164">
        <v>0.0</v>
      </c>
      <c r="C7" s="166" t="s">
        <v>59</v>
      </c>
      <c r="D7" s="169">
        <f>B7*100</f>
        <v>0</v>
      </c>
      <c r="E7" s="169">
        <f>B7*10</f>
        <v>0</v>
      </c>
      <c r="F7" s="169">
        <f>B7*2</f>
        <v>0</v>
      </c>
      <c r="G7" s="169">
        <f>B7</f>
        <v>0</v>
      </c>
      <c r="H7" s="169">
        <f>B7/10</f>
        <v>0</v>
      </c>
      <c r="I7" s="169">
        <f>B7/50</f>
        <v>0</v>
      </c>
      <c r="J7" s="202">
        <f>B7/100</f>
        <v>0</v>
      </c>
      <c r="K7" s="202">
        <f>B7/500</f>
        <v>0</v>
      </c>
      <c r="L7" s="202">
        <f>B7/1000</f>
        <v>0</v>
      </c>
      <c r="M7" s="205">
        <f>B7/5000</f>
        <v>0</v>
      </c>
      <c r="N7" s="129"/>
      <c r="O7" s="94" t="s">
        <v>7</v>
      </c>
      <c r="P7" s="98"/>
      <c r="Q7" s="104">
        <f>IF(ISBLANK(Vehicle2AdjustedCapacity),0,Vehicle2AdjustedCapacity)</f>
        <v>0</v>
      </c>
      <c r="R7" s="106"/>
    </row>
    <row r="8" ht="18.75" customHeight="1">
      <c r="A8" s="48"/>
      <c r="B8" s="209">
        <v>0.0</v>
      </c>
      <c r="C8" s="211" t="s">
        <v>63</v>
      </c>
      <c r="D8" s="213">
        <f>B8*1000</f>
        <v>0</v>
      </c>
      <c r="E8" s="213">
        <f>B8*100</f>
        <v>0</v>
      </c>
      <c r="F8" s="213">
        <f>B8*20</f>
        <v>0</v>
      </c>
      <c r="G8" s="213">
        <f>B8*10</f>
        <v>0</v>
      </c>
      <c r="H8" s="213">
        <f>B8*1</f>
        <v>0</v>
      </c>
      <c r="I8" s="213">
        <f>B8/5</f>
        <v>0</v>
      </c>
      <c r="J8" s="221">
        <f>B8/10</f>
        <v>0</v>
      </c>
      <c r="K8" s="221">
        <f>B8/50</f>
        <v>0</v>
      </c>
      <c r="L8" s="221">
        <f>B8/100</f>
        <v>0</v>
      </c>
      <c r="M8" s="225">
        <f>B8/500</f>
        <v>0</v>
      </c>
      <c r="N8" s="129"/>
      <c r="O8" s="132" t="s">
        <v>45</v>
      </c>
      <c r="P8" s="134"/>
      <c r="Q8" s="160">
        <f t="array" ref="Q8">SUMIF(PartyEquipStatus,"="&amp;Vehicle2,PartyInventoryWeights)+SUMIF(Ch1_PartyEquip,"="&amp;Vehicle2,Ch1_InventoryWeights)+SUMIF(Ch2_PartyEquip,"="&amp;Vehicle2,Ch2_InventoryWeights)++SUMIF(Ch3_PartyEquip,"="&amp;Vehicle2,Ch3_InventoryWeights)++SUMIF(Ch4_PartyEquip,"="&amp;Vehicle2,Ch4_InventoryWeights)++SUMIF(Ch5_PartyEquip,"="&amp;Vehicle2,Ch5_InventoryWeights)+SUMIF(Ch6_PartyEquip,"="&amp;Vehicle2,Ch6_InventoryWeights)+SUMIF(Ch7_PartyEquip,"="&amp;Vehicle2,Ch7_InventoryWeights)+SUMIF(Ch8_PartyEquip,"="&amp;Vehicle2,Ch8_InventoryWeights)+SUMIF(Ch9_PartyEquip,"="&amp;Vehicle2,Ch9_InventoryWeights)</f>
        <v>0</v>
      </c>
      <c r="R8" s="162"/>
    </row>
    <row r="9" ht="18.75" customHeight="1">
      <c r="A9" s="48"/>
      <c r="B9" s="265"/>
      <c r="C9" s="267"/>
      <c r="D9" s="267"/>
      <c r="E9" s="267"/>
      <c r="F9" s="267"/>
      <c r="G9" s="267"/>
      <c r="H9" s="267"/>
      <c r="I9" s="267"/>
      <c r="J9" s="269"/>
      <c r="K9" s="269"/>
      <c r="L9" s="269"/>
      <c r="M9" s="269"/>
      <c r="N9" s="272"/>
      <c r="O9" s="274"/>
      <c r="P9" s="276"/>
      <c r="Q9" s="278"/>
      <c r="R9" s="162"/>
    </row>
    <row r="10" ht="18.75" customHeight="1">
      <c r="A10" s="48"/>
      <c r="B10" s="51" t="s">
        <v>69</v>
      </c>
      <c r="C10" s="53"/>
      <c r="D10" s="56" t="s">
        <v>17</v>
      </c>
      <c r="E10" s="62"/>
      <c r="F10" s="62"/>
      <c r="G10" s="62"/>
      <c r="H10" s="62"/>
      <c r="I10" s="62"/>
      <c r="J10" s="67"/>
      <c r="K10" s="67"/>
      <c r="L10" s="67"/>
      <c r="M10" s="69"/>
      <c r="N10" s="214"/>
      <c r="O10" s="75" t="str">
        <f>IF(ISBLANK(Vehicle3),"Vehicle 3",Vehicle3)&amp;" Capacity"</f>
        <v>Vehicle 3 Capacity</v>
      </c>
      <c r="P10" s="77"/>
      <c r="Q10" s="79"/>
      <c r="R10" s="81" t="str">
        <f>Vehicle3</f>
        <v/>
      </c>
    </row>
    <row r="11" ht="18.75" customHeight="1">
      <c r="A11" s="48"/>
      <c r="B11" s="83" t="s">
        <v>23</v>
      </c>
      <c r="C11" s="85" t="s">
        <v>10</v>
      </c>
      <c r="D11" s="85" t="s">
        <v>24</v>
      </c>
      <c r="E11" s="85" t="s">
        <v>25</v>
      </c>
      <c r="F11" s="85" t="s">
        <v>26</v>
      </c>
      <c r="G11" s="85" t="s">
        <v>27</v>
      </c>
      <c r="H11" s="85" t="s">
        <v>28</v>
      </c>
      <c r="I11" s="85" t="s">
        <v>29</v>
      </c>
      <c r="J11" s="85" t="s">
        <v>30</v>
      </c>
      <c r="K11" s="85" t="s">
        <v>31</v>
      </c>
      <c r="L11" s="85" t="s">
        <v>32</v>
      </c>
      <c r="M11" s="90" t="s">
        <v>33</v>
      </c>
      <c r="N11" s="214"/>
      <c r="O11" s="94" t="s">
        <v>7</v>
      </c>
      <c r="P11" s="98"/>
      <c r="Q11" s="104">
        <f>IF(ISBLANK(Vehicle3AdjustedCapacity),0,Vehicle3AdjustedCapacity)</f>
        <v>0</v>
      </c>
      <c r="R11" s="106"/>
    </row>
    <row r="12" ht="18.75" customHeight="1">
      <c r="A12" s="48"/>
      <c r="B12" s="108">
        <v>0.0</v>
      </c>
      <c r="C12" s="110" t="s">
        <v>70</v>
      </c>
      <c r="D12" s="113">
        <f>B12*1000</f>
        <v>0</v>
      </c>
      <c r="E12" s="113">
        <f>B12*100</f>
        <v>0</v>
      </c>
      <c r="F12" s="113">
        <f>B12*20</f>
        <v>0</v>
      </c>
      <c r="G12" s="113">
        <f>B12*10</f>
        <v>0</v>
      </c>
      <c r="H12" s="113">
        <f>B12*1</f>
        <v>0</v>
      </c>
      <c r="I12" s="113">
        <f>B12/5</f>
        <v>0</v>
      </c>
      <c r="J12" s="122">
        <f>B12/10</f>
        <v>0</v>
      </c>
      <c r="K12" s="122">
        <f>B12/50</f>
        <v>0</v>
      </c>
      <c r="L12" s="122">
        <f>B12/100</f>
        <v>0</v>
      </c>
      <c r="M12" s="127">
        <f>B12/500</f>
        <v>0</v>
      </c>
      <c r="N12" s="214"/>
      <c r="O12" s="132" t="s">
        <v>45</v>
      </c>
      <c r="P12" s="134"/>
      <c r="Q12" s="160">
        <f t="array" ref="Q12">SUMIF(PartyEquipStatus,"="&amp;Vehicle3,PartyInventoryWeights)+SUMIF(Ch1_PartyEquip,"="&amp;Vehicle3,Ch1_InventoryWeights)+SUMIF(Ch2_PartyEquip,"="&amp;Vehicle3,Ch2_InventoryWeights)++SUMIF(Ch3_PartyEquip,"="&amp;Vehicle3,Ch3_InventoryWeights)++SUMIF(Ch4_PartyEquip,"="&amp;Vehicle3,Ch4_InventoryWeights)++SUMIF(Ch5_PartyEquip,"="&amp;Vehicle3,Ch5_InventoryWeights)+SUMIF(Ch6_PartyEquip,"="&amp;Vehicle3,Ch6_InventoryWeights)+SUMIF(Ch7_PartyEquip,"="&amp;Vehicle3,Ch7_InventoryWeights)+SUMIF(Ch8_PartyEquip,"="&amp;Vehicle3,Ch8_InventoryWeights)+SUMIF(Ch9_PartyEquip,"="&amp;Vehicle3,Ch9_InventoryWeights)</f>
        <v>0</v>
      </c>
      <c r="R12" s="162"/>
    </row>
    <row r="13" ht="18.75" customHeight="1">
      <c r="A13" s="48"/>
      <c r="B13" s="164">
        <v>0.0</v>
      </c>
      <c r="C13" s="166" t="s">
        <v>71</v>
      </c>
      <c r="D13" s="169">
        <f>B13*5000</f>
        <v>0</v>
      </c>
      <c r="E13" s="169">
        <f>B13*500</f>
        <v>0</v>
      </c>
      <c r="F13" s="169">
        <f>B13*100</f>
        <v>0</v>
      </c>
      <c r="G13" s="169">
        <f>B13*50</f>
        <v>0</v>
      </c>
      <c r="H13" s="169">
        <f>B13*5</f>
        <v>0</v>
      </c>
      <c r="I13" s="169">
        <f>B13</f>
        <v>0</v>
      </c>
      <c r="J13" s="202">
        <f>B13/2</f>
        <v>0</v>
      </c>
      <c r="K13" s="202">
        <f>B13/10</f>
        <v>0</v>
      </c>
      <c r="L13" s="202">
        <f>B13/20</f>
        <v>0</v>
      </c>
      <c r="M13" s="205">
        <f>B13/100</f>
        <v>0</v>
      </c>
      <c r="N13" s="214"/>
      <c r="O13" s="129" t="str">
        <f>IF(ISBLANK(Draft1Size),"",VLOOKUP(Draft1Size,SizeMultipliers,2, FALSE))</f>
        <v/>
      </c>
      <c r="P13" s="71"/>
      <c r="Q13" s="71"/>
      <c r="R13" s="182"/>
    </row>
    <row r="14" ht="18.75" customHeight="1">
      <c r="A14" s="48"/>
      <c r="B14" s="108">
        <v>0.0</v>
      </c>
      <c r="C14" s="110" t="s">
        <v>72</v>
      </c>
      <c r="D14" s="113">
        <f>B14*10000</f>
        <v>0</v>
      </c>
      <c r="E14" s="113">
        <f>B14*1000</f>
        <v>0</v>
      </c>
      <c r="F14" s="113">
        <f>B14*200</f>
        <v>0</v>
      </c>
      <c r="G14" s="113">
        <f>B14*100</f>
        <v>0</v>
      </c>
      <c r="H14" s="113">
        <f>B14*10</f>
        <v>0</v>
      </c>
      <c r="I14" s="113">
        <f>B14/5*10</f>
        <v>0</v>
      </c>
      <c r="J14" s="122">
        <f>B14</f>
        <v>0</v>
      </c>
      <c r="K14" s="122">
        <f>B14/5</f>
        <v>0</v>
      </c>
      <c r="L14" s="122">
        <f>B14/10</f>
        <v>0</v>
      </c>
      <c r="M14" s="127">
        <f>B14/50</f>
        <v>0</v>
      </c>
      <c r="N14" s="214"/>
      <c r="O14" s="51" t="str">
        <f>IF(ISBLANK(DraftAnimal1),"Draft Animal 1",DraftAnimal1)&amp;"'s Encumbrance"</f>
        <v>Draft Animal 1's Encumbrance</v>
      </c>
      <c r="P14" s="77"/>
      <c r="Q14" s="79"/>
      <c r="R14" s="376" t="str">
        <f>DraftAnimal1</f>
        <v/>
      </c>
    </row>
    <row r="15" ht="18.75" customHeight="1">
      <c r="A15" s="48"/>
      <c r="B15" s="164">
        <v>0.0</v>
      </c>
      <c r="C15" s="166" t="s">
        <v>73</v>
      </c>
      <c r="D15" s="169">
        <f>B15*50000</f>
        <v>0</v>
      </c>
      <c r="E15" s="169">
        <f>B15*5000</f>
        <v>0</v>
      </c>
      <c r="F15" s="169">
        <f>B15*1000</f>
        <v>0</v>
      </c>
      <c r="G15" s="169">
        <f>B15*500</f>
        <v>0</v>
      </c>
      <c r="H15" s="169">
        <f>B15*50</f>
        <v>0</v>
      </c>
      <c r="I15" s="169">
        <f>B15*10</f>
        <v>0</v>
      </c>
      <c r="J15" s="202">
        <f>B15/2*10</f>
        <v>0</v>
      </c>
      <c r="K15" s="202">
        <f>B15</f>
        <v>0</v>
      </c>
      <c r="L15" s="202">
        <f>B15/2</f>
        <v>0</v>
      </c>
      <c r="M15" s="205">
        <f>B15/10</f>
        <v>0</v>
      </c>
      <c r="N15" s="214"/>
      <c r="O15" s="210" t="s">
        <v>60</v>
      </c>
      <c r="P15" s="381"/>
      <c r="Q15" s="384">
        <f>Draft1Str*Draft1SizeMult*5</f>
        <v>0</v>
      </c>
      <c r="R15" s="386"/>
    </row>
    <row r="16" ht="18.75" customHeight="1">
      <c r="A16" s="48"/>
      <c r="B16" s="108">
        <v>0.0</v>
      </c>
      <c r="C16" s="110" t="s">
        <v>74</v>
      </c>
      <c r="D16" s="113">
        <f>B16*100000</f>
        <v>0</v>
      </c>
      <c r="E16" s="113">
        <f>B16*10000</f>
        <v>0</v>
      </c>
      <c r="F16" s="113">
        <f>B16*2000</f>
        <v>0</v>
      </c>
      <c r="G16" s="113">
        <f>B16*1000</f>
        <v>0</v>
      </c>
      <c r="H16" s="113">
        <f>B16*100</f>
        <v>0</v>
      </c>
      <c r="I16" s="113">
        <f>B16/5*100</f>
        <v>0</v>
      </c>
      <c r="J16" s="122">
        <f>B16*10</f>
        <v>0</v>
      </c>
      <c r="K16" s="122">
        <f>B16/5*10</f>
        <v>0</v>
      </c>
      <c r="L16" s="122">
        <f>B16</f>
        <v>0</v>
      </c>
      <c r="M16" s="127">
        <f>B16/5</f>
        <v>0</v>
      </c>
      <c r="N16" s="214"/>
      <c r="O16" s="394" t="s">
        <v>64</v>
      </c>
      <c r="P16" s="396"/>
      <c r="Q16" s="399">
        <f>Draft1Str*Draft1SizeMult*10</f>
        <v>0</v>
      </c>
      <c r="R16" s="386"/>
    </row>
    <row r="17" ht="18.75" customHeight="1">
      <c r="A17" s="48"/>
      <c r="B17" s="401">
        <v>0.0</v>
      </c>
      <c r="C17" s="403" t="s">
        <v>75</v>
      </c>
      <c r="D17" s="406">
        <f>B17*500000</f>
        <v>0</v>
      </c>
      <c r="E17" s="406">
        <f>B17*50000</f>
        <v>0</v>
      </c>
      <c r="F17" s="406">
        <f>B17*10000</f>
        <v>0</v>
      </c>
      <c r="G17" s="406">
        <f>B17*5000</f>
        <v>0</v>
      </c>
      <c r="H17" s="406">
        <f>B17*500</f>
        <v>0</v>
      </c>
      <c r="I17" s="406">
        <f>B17*100</f>
        <v>0</v>
      </c>
      <c r="J17" s="414">
        <f>B17/2*100</f>
        <v>0</v>
      </c>
      <c r="K17" s="414">
        <f>B17*10</f>
        <v>0</v>
      </c>
      <c r="L17" s="414">
        <f>B17/2*10</f>
        <v>0</v>
      </c>
      <c r="M17" s="419">
        <f>B17</f>
        <v>0</v>
      </c>
      <c r="N17" s="214"/>
      <c r="O17" s="210" t="s">
        <v>7</v>
      </c>
      <c r="Q17" s="384">
        <f>Draft1Str*Draft1SizeMult*15</f>
        <v>0</v>
      </c>
      <c r="R17" s="386"/>
    </row>
    <row r="18" ht="7.5" customHeight="1">
      <c r="A18" s="48"/>
      <c r="B18" s="199"/>
      <c r="C18" s="19"/>
      <c r="D18" s="19"/>
      <c r="E18" s="19"/>
      <c r="F18" s="19"/>
      <c r="G18" s="19"/>
      <c r="H18" s="19"/>
      <c r="I18" s="19"/>
      <c r="J18" s="42"/>
      <c r="K18" s="42"/>
      <c r="L18" s="42"/>
      <c r="M18" s="42"/>
      <c r="N18" s="214"/>
      <c r="O18" s="394" t="s">
        <v>68</v>
      </c>
      <c r="Q18" s="399">
        <f>Draft1Str*Draft1SizeMult*30</f>
        <v>0</v>
      </c>
      <c r="R18" s="386"/>
    </row>
    <row r="19" ht="18.75" customHeight="1">
      <c r="A19" s="48"/>
      <c r="B19" s="427" t="s">
        <v>23</v>
      </c>
      <c r="C19" s="430" t="s">
        <v>76</v>
      </c>
      <c r="D19" s="430" t="s">
        <v>77</v>
      </c>
      <c r="E19" s="430" t="s">
        <v>78</v>
      </c>
      <c r="F19" s="430" t="s">
        <v>11</v>
      </c>
      <c r="G19" s="434" t="s">
        <v>79</v>
      </c>
      <c r="H19" s="436" t="s">
        <v>80</v>
      </c>
      <c r="I19" s="77"/>
      <c r="J19" s="77"/>
      <c r="K19" s="77"/>
      <c r="L19" s="77"/>
      <c r="M19" s="441" t="s">
        <v>81</v>
      </c>
      <c r="N19" s="445"/>
      <c r="O19" s="240" t="s">
        <v>45</v>
      </c>
      <c r="P19" s="447"/>
      <c r="Q19" s="501">
        <f t="array" ref="Q19">SUMIF(PartyEquipStatus,"="&amp;DraftAnimal1,PartyInventoryWeights)+SUMIF(Ch1_PartyEquip,"="&amp;DraftAnimal1,Ch1_InventoryWeights)+SUMIF(Ch2_PartyEquip,"="&amp;DraftAnimal1,Ch2_InventoryWeights)++SUMIF(Ch3_PartyEquip,"="&amp;DraftAnimal1,Ch3_InventoryWeights)++SUMIF(Ch4_PartyEquip,"="&amp;DraftAnimal1,Ch4_InventoryWeights)++SUMIF(Ch5_PartyEquip,"="&amp;DraftAnimal1,Ch5_InventoryWeights)+SUMIF(Ch6_PartyEquip,"="&amp;DraftAnimal1,Ch6_InventoryWeights)+SUMIF(Ch7_PartyEquip,"="&amp;DraftAnimal1,Ch7_InventoryWeights)+SUMIF(Ch8_PartyEquip,"="&amp;DraftAnimal1,Ch8_InventoryWeights)+SUMIF(Ch9_PartyEquip,"="&amp;DraftAnimal1,Ch9_InventoryWeights)</f>
        <v>0</v>
      </c>
      <c r="R19" s="503"/>
    </row>
    <row r="20" ht="18.75" customHeight="1">
      <c r="A20" s="504"/>
      <c r="B20" s="505">
        <f>sum(Party_Money)</f>
        <v>0</v>
      </c>
      <c r="C20" s="169" t="s">
        <v>16</v>
      </c>
      <c r="D20" s="169">
        <v>0.02</v>
      </c>
      <c r="E20" s="169"/>
      <c r="F20" s="507"/>
      <c r="G20" s="233"/>
      <c r="H20" s="508"/>
      <c r="M20" s="510">
        <f t="shared" ref="M20:M21" si="1">IF(ISBLANK(C20),"",IF(ISBLANK(B20),D20,D20*B20))</f>
        <v>0</v>
      </c>
      <c r="N20" s="214">
        <f>IFERROR(VLOOKUP(F20,PartyStorage,2, FALSE),0)</f>
        <v>0</v>
      </c>
      <c r="O20" s="129" t="str">
        <f>IF(ISBLANK(Draft2Size),"",VLOOKUP(Draft2Size,SizeMultipliers,2, FALSE))</f>
        <v/>
      </c>
      <c r="P20" s="511"/>
      <c r="Q20" s="511"/>
      <c r="R20" s="182"/>
    </row>
    <row r="21" ht="18.75" customHeight="1">
      <c r="A21" s="513"/>
      <c r="B21" s="515">
        <f>sum(Party_Gems)</f>
        <v>0</v>
      </c>
      <c r="C21" s="113" t="s">
        <v>69</v>
      </c>
      <c r="D21" s="113">
        <v>0.02</v>
      </c>
      <c r="E21" s="122"/>
      <c r="F21" s="519"/>
      <c r="G21" s="520"/>
      <c r="H21" s="522"/>
      <c r="M21" s="510">
        <f t="shared" si="1"/>
        <v>0</v>
      </c>
      <c r="N21" s="214">
        <f>IFERROR(VLOOKUP(F21,PartyStorage,2, FALSE),0)</f>
        <v>0</v>
      </c>
      <c r="O21" s="51" t="str">
        <f>IF(ISBLANK(DraftAnimal2),"Draft Animal 2",DraftAnimal2)&amp;"'s Encumbrance"</f>
        <v>Draft Animal 2's Encumbrance</v>
      </c>
      <c r="P21" s="77"/>
      <c r="Q21" s="79"/>
      <c r="R21" s="376" t="str">
        <f>DraftAnimal2</f>
        <v/>
      </c>
    </row>
    <row r="22" ht="18.75" customHeight="1">
      <c r="A22" s="513"/>
      <c r="B22" s="505"/>
      <c r="C22" s="169"/>
      <c r="D22" s="169"/>
      <c r="E22" s="202"/>
      <c r="F22" s="507"/>
      <c r="G22" s="233"/>
      <c r="H22" s="508"/>
      <c r="M22" s="510"/>
      <c r="N22" s="214">
        <f>IFERROR(VLOOKUP(F22,PartyStorage,2, FALSE),0)</f>
        <v>0</v>
      </c>
      <c r="O22" s="210" t="s">
        <v>60</v>
      </c>
      <c r="Q22" s="384">
        <f>Draft2Str*Draft2SizeMult*5</f>
        <v>0</v>
      </c>
      <c r="R22" s="386"/>
    </row>
    <row r="23" ht="18.75" customHeight="1">
      <c r="A23" s="513"/>
      <c r="B23" s="530" t="str">
        <f>if(isblank(C23),"",1)</f>
        <v/>
      </c>
      <c r="C23" s="113"/>
      <c r="D23" s="122"/>
      <c r="E23" s="122"/>
      <c r="F23" s="519"/>
      <c r="G23" s="520"/>
      <c r="H23" s="522"/>
      <c r="M23" s="510" t="str">
        <f t="shared" ref="M23:M201" si="2">IF(ISBLANK(C23),"",IF(ISBLANK(B23),D23,D23*B23))</f>
        <v/>
      </c>
      <c r="N23" s="214">
        <f>IFERROR(VLOOKUP(F23,PartyStorage,2, FALSE),0)</f>
        <v>0</v>
      </c>
      <c r="O23" s="394" t="s">
        <v>64</v>
      </c>
      <c r="Q23" s="399">
        <f>Draft2Str*Draft2SizeMult*10</f>
        <v>0</v>
      </c>
      <c r="R23" s="386"/>
    </row>
    <row r="24" ht="18.75" customHeight="1">
      <c r="A24" s="513"/>
      <c r="B24" s="531"/>
      <c r="C24" s="202"/>
      <c r="D24" s="202"/>
      <c r="E24" s="202"/>
      <c r="F24" s="532"/>
      <c r="G24" s="233"/>
      <c r="H24" s="508"/>
      <c r="M24" s="510" t="str">
        <f t="shared" si="2"/>
        <v/>
      </c>
      <c r="N24" s="214">
        <f>IFERROR(VLOOKUP(F24,PartyStorage,2, FALSE),0)</f>
        <v>0</v>
      </c>
      <c r="O24" s="210" t="s">
        <v>7</v>
      </c>
      <c r="Q24" s="384">
        <f>Draft2Str*Draft2SizeMult*15</f>
        <v>0</v>
      </c>
      <c r="R24" s="386"/>
    </row>
    <row r="25" ht="18.75" customHeight="1">
      <c r="A25" s="513"/>
      <c r="B25" s="530"/>
      <c r="C25" s="122"/>
      <c r="D25" s="122"/>
      <c r="E25" s="122"/>
      <c r="F25" s="519"/>
      <c r="G25" s="520"/>
      <c r="H25" s="522"/>
      <c r="M25" s="510" t="str">
        <f t="shared" si="2"/>
        <v/>
      </c>
      <c r="N25" s="214">
        <f>IFERROR(VLOOKUP(F25,PartyStorage,2, FALSE),0)</f>
        <v>0</v>
      </c>
      <c r="O25" s="394" t="s">
        <v>68</v>
      </c>
      <c r="Q25" s="399">
        <f>Draft2Str*Draft2SizeMult*30</f>
        <v>0</v>
      </c>
      <c r="R25" s="386"/>
    </row>
    <row r="26" ht="18.75" customHeight="1">
      <c r="A26" s="513"/>
      <c r="B26" s="531"/>
      <c r="C26" s="202"/>
      <c r="D26" s="202"/>
      <c r="E26" s="202"/>
      <c r="F26" s="532"/>
      <c r="G26" s="233"/>
      <c r="H26" s="508"/>
      <c r="M26" s="510" t="str">
        <f t="shared" si="2"/>
        <v/>
      </c>
      <c r="N26" s="214">
        <f>IFERROR(VLOOKUP(F26,PartyStorage,2, FALSE),0)</f>
        <v>0</v>
      </c>
      <c r="O26" s="240" t="s">
        <v>45</v>
      </c>
      <c r="P26" s="447"/>
      <c r="Q26" s="501">
        <f t="array" ref="Q26">SUMIF(PartyEquipStatus,"="&amp;DraftAnimal2,PartyInventoryWeights)+SUMIF(Ch1_PartyEquip,"="&amp;DraftAnimal2,Ch1_InventoryWeights)+SUMIF(Ch2_PartyEquip,"="&amp;DraftAnimal2,Ch2_InventoryWeights)++SUMIF(Ch3_PartyEquip,"="&amp;DraftAnimal2,Ch3_InventoryWeights)++SUMIF(Ch4_PartyEquip,"="&amp;DraftAnimal2,Ch4_InventoryWeights)++SUMIF(Ch5_PartyEquip,"="&amp;DraftAnimal2,Ch5_InventoryWeights)+SUMIF(Ch6_PartyEquip,"="&amp;DraftAnimal2,Ch6_InventoryWeights)+SUMIF(Ch7_PartyEquip,"="&amp;DraftAnimal2,Ch7_InventoryWeights)+SUMIF(Ch8_PartyEquip,"="&amp;DraftAnimal2,Ch8_InventoryWeights)+SUMIF(Ch9_PartyEquip,"="&amp;DraftAnimal2,Ch9_InventoryWeights)</f>
        <v>0</v>
      </c>
      <c r="R26" s="503"/>
    </row>
    <row r="27" ht="18.75" customHeight="1">
      <c r="A27" s="513"/>
      <c r="B27" s="530"/>
      <c r="C27" s="122"/>
      <c r="D27" s="122"/>
      <c r="E27" s="122"/>
      <c r="F27" s="519"/>
      <c r="G27" s="520"/>
      <c r="H27" s="522"/>
      <c r="M27" s="510" t="str">
        <f t="shared" si="2"/>
        <v/>
      </c>
      <c r="N27" s="214">
        <f>IFERROR(VLOOKUP(F27,PartyStorage,2, FALSE),0)</f>
        <v>0</v>
      </c>
      <c r="O27" s="71" t="str">
        <f>IF(ISBLANK(Draft3Size),"",VLOOKUP(Draft3Size,SizeMultipliers,2, FALSE))</f>
        <v/>
      </c>
      <c r="R27" s="182"/>
    </row>
    <row r="28" ht="18.75" customHeight="1">
      <c r="A28" s="513"/>
      <c r="B28" s="531"/>
      <c r="C28" s="202"/>
      <c r="D28" s="202"/>
      <c r="E28" s="202"/>
      <c r="F28" s="532"/>
      <c r="G28" s="233"/>
      <c r="H28" s="508"/>
      <c r="M28" s="510" t="str">
        <f t="shared" si="2"/>
        <v/>
      </c>
      <c r="N28" s="214">
        <f>IFERROR(VLOOKUP(F28,PartyStorage,2, FALSE),0)</f>
        <v>0</v>
      </c>
      <c r="O28" s="51" t="str">
        <f>IF(ISBLANK(DraftAnimal3),"Draft Animal 3",DraftAnimal3)&amp;"'s Encumbrance"</f>
        <v>Draft Animal 3's Encumbrance</v>
      </c>
      <c r="P28" s="77"/>
      <c r="Q28" s="79"/>
      <c r="R28" s="376" t="str">
        <f>DraftAnimal3</f>
        <v/>
      </c>
    </row>
    <row r="29" ht="18.75" customHeight="1">
      <c r="A29" s="513"/>
      <c r="B29" s="530"/>
      <c r="C29" s="122"/>
      <c r="D29" s="122"/>
      <c r="E29" s="122"/>
      <c r="F29" s="519"/>
      <c r="G29" s="520"/>
      <c r="H29" s="522"/>
      <c r="M29" s="510" t="str">
        <f t="shared" si="2"/>
        <v/>
      </c>
      <c r="N29" s="214">
        <f>IFERROR(VLOOKUP(F29,PartyStorage,2, FALSE),0)</f>
        <v>0</v>
      </c>
      <c r="O29" s="210" t="s">
        <v>60</v>
      </c>
      <c r="P29" s="381"/>
      <c r="Q29" s="384">
        <f>Draft3Str*Draft3SizeMult*5</f>
        <v>0</v>
      </c>
      <c r="R29" s="386"/>
    </row>
    <row r="30" ht="18.75" customHeight="1">
      <c r="A30" s="513"/>
      <c r="B30" s="531"/>
      <c r="C30" s="202"/>
      <c r="D30" s="202"/>
      <c r="E30" s="202"/>
      <c r="F30" s="532"/>
      <c r="G30" s="233"/>
      <c r="H30" s="508"/>
      <c r="M30" s="510" t="str">
        <f t="shared" si="2"/>
        <v/>
      </c>
      <c r="N30" s="214">
        <f>IFERROR(VLOOKUP(F30,PartyStorage,2, FALSE),0)</f>
        <v>0</v>
      </c>
      <c r="O30" s="394" t="s">
        <v>64</v>
      </c>
      <c r="P30" s="396"/>
      <c r="Q30" s="399">
        <f>Draft3Str*Draft3SizeMult*10</f>
        <v>0</v>
      </c>
      <c r="R30" s="386"/>
    </row>
    <row r="31" ht="18.75" customHeight="1">
      <c r="A31" s="513"/>
      <c r="B31" s="530"/>
      <c r="C31" s="122"/>
      <c r="D31" s="122"/>
      <c r="E31" s="122"/>
      <c r="F31" s="519"/>
      <c r="G31" s="520"/>
      <c r="H31" s="522"/>
      <c r="M31" s="510" t="str">
        <f t="shared" si="2"/>
        <v/>
      </c>
      <c r="N31" s="214">
        <f>IFERROR(VLOOKUP(F31,PartyStorage,2, FALSE),0)</f>
        <v>0</v>
      </c>
      <c r="O31" s="210" t="s">
        <v>7</v>
      </c>
      <c r="P31" s="381"/>
      <c r="Q31" s="384">
        <f>Draft3Str*Draft3SizeMult*15</f>
        <v>0</v>
      </c>
      <c r="R31" s="386"/>
    </row>
    <row r="32" ht="18.75" customHeight="1">
      <c r="A32" s="513"/>
      <c r="B32" s="531"/>
      <c r="C32" s="202"/>
      <c r="D32" s="202"/>
      <c r="E32" s="202"/>
      <c r="F32" s="532"/>
      <c r="G32" s="233"/>
      <c r="H32" s="508"/>
      <c r="M32" s="510" t="str">
        <f t="shared" si="2"/>
        <v/>
      </c>
      <c r="N32" s="214">
        <f>IFERROR(VLOOKUP(F32,PartyStorage,2, FALSE),0)</f>
        <v>0</v>
      </c>
      <c r="O32" s="394" t="s">
        <v>68</v>
      </c>
      <c r="P32" s="396"/>
      <c r="Q32" s="399">
        <f>Draft3Str*Draft3SizeMult*30</f>
        <v>0</v>
      </c>
      <c r="R32" s="386"/>
    </row>
    <row r="33" ht="18.75" customHeight="1">
      <c r="A33" s="513"/>
      <c r="B33" s="530"/>
      <c r="C33" s="122"/>
      <c r="D33" s="122"/>
      <c r="E33" s="122"/>
      <c r="F33" s="519"/>
      <c r="G33" s="520"/>
      <c r="H33" s="522"/>
      <c r="M33" s="510" t="str">
        <f t="shared" si="2"/>
        <v/>
      </c>
      <c r="N33" s="214">
        <f>IFERROR(VLOOKUP(F33,PartyStorage,2, FALSE),0)</f>
        <v>0</v>
      </c>
      <c r="O33" s="240" t="s">
        <v>45</v>
      </c>
      <c r="P33" s="569"/>
      <c r="Q33" s="501">
        <f t="array" ref="Q33">SUMIF(PartyEquipStatus,"="&amp;DraftAnimal3,PartyInventoryWeights)+SUMIF(Ch1_PartyEquip,"="&amp;DraftAnimal3,Ch1_InventoryWeights)+SUMIF(Ch2_PartyEquip,"="&amp;DraftAnimal3,Ch2_InventoryWeights)++SUMIF(Ch3_PartyEquip,"="&amp;DraftAnimal3,Ch3_InventoryWeights)++SUMIF(Ch4_PartyEquip,"="&amp;DraftAnimal3,Ch4_InventoryWeights)++SUMIF(Ch5_PartyEquip,"="&amp;DraftAnimal3,Ch5_InventoryWeights)+SUMIF(Ch6_PartyEquip,"="&amp;DraftAnimal3,Ch6_InventoryWeights)+SUMIF(Ch7_PartyEquip,"="&amp;DraftAnimal3,Ch7_InventoryWeights)+SUMIF(Ch8_PartyEquip,"="&amp;DraftAnimal3,Ch8_InventoryWeights)+SUMIF(Ch9_PartyEquip,"="&amp;DraftAnimal3,Ch9_InventoryWeights)</f>
        <v>0</v>
      </c>
      <c r="R33" s="503"/>
    </row>
    <row r="34" ht="18.75" customHeight="1">
      <c r="A34" s="513"/>
      <c r="B34" s="531"/>
      <c r="C34" s="202"/>
      <c r="D34" s="202"/>
      <c r="E34" s="202"/>
      <c r="F34" s="532"/>
      <c r="G34" s="233"/>
      <c r="H34" s="508"/>
      <c r="M34" s="510" t="str">
        <f t="shared" si="2"/>
        <v/>
      </c>
      <c r="N34" s="214">
        <f>IFERROR(VLOOKUP(F34,PartyStorage,2, FALSE),0)</f>
        <v>0</v>
      </c>
      <c r="O34" s="577" t="str">
        <f>IF(ISBLANK(Draft4Size),"",VLOOKUP(Draft4Size,SizeMultipliers,2, FALSE))</f>
        <v/>
      </c>
      <c r="R34" s="182"/>
    </row>
    <row r="35" ht="18.75" customHeight="1">
      <c r="A35" s="513"/>
      <c r="B35" s="530"/>
      <c r="C35" s="122"/>
      <c r="D35" s="122"/>
      <c r="E35" s="122"/>
      <c r="F35" s="519"/>
      <c r="G35" s="520"/>
      <c r="H35" s="522"/>
      <c r="M35" s="510" t="str">
        <f t="shared" si="2"/>
        <v/>
      </c>
      <c r="N35" s="214">
        <f>IFERROR(VLOOKUP(F35,PartyStorage,2, FALSE),0)</f>
        <v>0</v>
      </c>
      <c r="O35" s="51" t="str">
        <f>IF(ISBLANK(DraftAnimal4),"Draft Animal 4",DraftAnimal4)&amp;"'s Encumbrance"</f>
        <v>Draft Animal 4's Encumbrance</v>
      </c>
      <c r="P35" s="77"/>
      <c r="Q35" s="79"/>
      <c r="R35" s="376" t="str">
        <f>DraftAnimal4</f>
        <v/>
      </c>
    </row>
    <row r="36" ht="18.75" customHeight="1">
      <c r="A36" s="513"/>
      <c r="B36" s="531"/>
      <c r="C36" s="202"/>
      <c r="D36" s="202"/>
      <c r="E36" s="202"/>
      <c r="F36" s="532"/>
      <c r="G36" s="233"/>
      <c r="H36" s="508"/>
      <c r="M36" s="510" t="str">
        <f t="shared" si="2"/>
        <v/>
      </c>
      <c r="N36" s="214">
        <f>IFERROR(VLOOKUP(F36,PartyStorage,2, FALSE),0)</f>
        <v>0</v>
      </c>
      <c r="O36" s="210" t="s">
        <v>60</v>
      </c>
      <c r="P36" s="381"/>
      <c r="Q36" s="384">
        <f>Draft4Str*Draft4SizeMult*5</f>
        <v>0</v>
      </c>
      <c r="R36" s="386"/>
    </row>
    <row r="37" ht="18.75" customHeight="1">
      <c r="A37" s="513"/>
      <c r="B37" s="530"/>
      <c r="C37" s="122"/>
      <c r="D37" s="122"/>
      <c r="E37" s="122"/>
      <c r="F37" s="519"/>
      <c r="G37" s="520"/>
      <c r="H37" s="522"/>
      <c r="M37" s="510" t="str">
        <f t="shared" si="2"/>
        <v/>
      </c>
      <c r="N37" s="214">
        <f>IFERROR(VLOOKUP(F37,PartyStorage,2, FALSE),0)</f>
        <v>0</v>
      </c>
      <c r="O37" s="394" t="s">
        <v>64</v>
      </c>
      <c r="P37" s="396"/>
      <c r="Q37" s="399">
        <f>Draft4Str*Draft4SizeMult*10</f>
        <v>0</v>
      </c>
      <c r="R37" s="386"/>
    </row>
    <row r="38" ht="18.75" customHeight="1">
      <c r="A38" s="513"/>
      <c r="B38" s="531"/>
      <c r="C38" s="202"/>
      <c r="D38" s="202"/>
      <c r="E38" s="202"/>
      <c r="F38" s="532"/>
      <c r="G38" s="233"/>
      <c r="H38" s="508"/>
      <c r="M38" s="510" t="str">
        <f t="shared" si="2"/>
        <v/>
      </c>
      <c r="N38" s="214">
        <f>IFERROR(VLOOKUP(F38,PartyStorage,2, FALSE),0)</f>
        <v>0</v>
      </c>
      <c r="O38" s="210" t="s">
        <v>7</v>
      </c>
      <c r="P38" s="381"/>
      <c r="Q38" s="384">
        <f>Draft4Str*Draft4SizeMult*15</f>
        <v>0</v>
      </c>
      <c r="R38" s="386"/>
    </row>
    <row r="39" ht="18.75" customHeight="1">
      <c r="A39" s="513"/>
      <c r="B39" s="530"/>
      <c r="C39" s="122"/>
      <c r="D39" s="122"/>
      <c r="E39" s="122"/>
      <c r="F39" s="519"/>
      <c r="G39" s="520"/>
      <c r="H39" s="522"/>
      <c r="M39" s="510" t="str">
        <f t="shared" si="2"/>
        <v/>
      </c>
      <c r="N39" s="214">
        <f>IFERROR(VLOOKUP(F39,PartyStorage,2, FALSE),0)</f>
        <v>0</v>
      </c>
      <c r="O39" s="394" t="s">
        <v>68</v>
      </c>
      <c r="P39" s="396"/>
      <c r="Q39" s="399">
        <f>Draft4Str*Draft4SizeMult*30</f>
        <v>0</v>
      </c>
      <c r="R39" s="386"/>
    </row>
    <row r="40" ht="18.75" customHeight="1">
      <c r="A40" s="513"/>
      <c r="B40" s="531"/>
      <c r="C40" s="202"/>
      <c r="D40" s="202"/>
      <c r="E40" s="202"/>
      <c r="F40" s="532"/>
      <c r="G40" s="233"/>
      <c r="H40" s="508"/>
      <c r="M40" s="510" t="str">
        <f t="shared" si="2"/>
        <v/>
      </c>
      <c r="N40" s="214">
        <f>IFERROR(VLOOKUP(F40,PartyStorage,2, FALSE),0)</f>
        <v>0</v>
      </c>
      <c r="O40" s="240" t="s">
        <v>45</v>
      </c>
      <c r="P40" s="569"/>
      <c r="Q40" s="501">
        <f t="array" ref="Q40">SUMIF(PartyEquipStatus,"="&amp;DraftAnimal4,PartyInventoryWeights)+SUMIF(Ch1_PartyEquip,"="&amp;DraftAnimal4,Ch1_InventoryWeights)+SUMIF(Ch2_PartyEquip,"="&amp;DraftAnimal4,Ch2_InventoryWeights)++SUMIF(Ch3_PartyEquip,"="&amp;DraftAnimal4,Ch3_InventoryWeights)++SUMIF(Ch4_PartyEquip,"="&amp;DraftAnimal4,Ch4_InventoryWeights)++SUMIF(Ch5_PartyEquip,"="&amp;DraftAnimal4,Ch5_InventoryWeights)+SUMIF(Ch6_PartyEquip,"="&amp;DraftAnimal4,Ch6_InventoryWeights)+SUMIF(Ch7_PartyEquip,"="&amp;DraftAnimal4,Ch7_InventoryWeights)+SUMIF(Ch8_PartyEquip,"="&amp;DraftAnimal4,Ch8_InventoryWeights)+SUMIF(Ch9_PartyEquip,"="&amp;DraftAnimal4,Ch9_InventoryWeights)</f>
        <v>0</v>
      </c>
      <c r="R40" s="503"/>
    </row>
    <row r="41" ht="18.75" customHeight="1">
      <c r="A41" s="513"/>
      <c r="B41" s="530"/>
      <c r="C41" s="122"/>
      <c r="D41" s="122"/>
      <c r="E41" s="122"/>
      <c r="F41" s="519"/>
      <c r="G41" s="520"/>
      <c r="H41" s="522"/>
      <c r="M41" s="510" t="str">
        <f t="shared" si="2"/>
        <v/>
      </c>
      <c r="N41" s="214">
        <f>IFERROR(VLOOKUP(F41,PartyStorage,2, FALSE),0)</f>
        <v>0</v>
      </c>
      <c r="O41" s="577" t="str">
        <f>IF(ISBLANK(Draft5Size),"",VLOOKUP(Draft5Size,SizeMultipliers,2, FALSE))</f>
        <v/>
      </c>
      <c r="P41" s="233"/>
      <c r="Q41" s="233"/>
      <c r="R41" s="182"/>
    </row>
    <row r="42" ht="18.75" customHeight="1">
      <c r="A42" s="513"/>
      <c r="B42" s="531"/>
      <c r="C42" s="202"/>
      <c r="D42" s="202"/>
      <c r="E42" s="202"/>
      <c r="F42" s="532"/>
      <c r="G42" s="233"/>
      <c r="H42" s="508"/>
      <c r="M42" s="510" t="str">
        <f t="shared" si="2"/>
        <v/>
      </c>
      <c r="N42" s="214">
        <f>IFERROR(VLOOKUP(F42,PartyStorage,2, FALSE),0)</f>
        <v>0</v>
      </c>
      <c r="O42" s="51" t="str">
        <f>IF(ISBLANK(DraftAnimal5),"Draft Animal 5",DraftAnimal5)&amp;"'s Encumbrance"</f>
        <v>Draft Animal 5's Encumbrance</v>
      </c>
      <c r="P42" s="77"/>
      <c r="Q42" s="79"/>
      <c r="R42" s="376" t="str">
        <f>DraftAnimal5</f>
        <v/>
      </c>
    </row>
    <row r="43" ht="18.75" customHeight="1">
      <c r="A43" s="513"/>
      <c r="B43" s="530"/>
      <c r="C43" s="122"/>
      <c r="D43" s="122"/>
      <c r="E43" s="122"/>
      <c r="F43" s="519"/>
      <c r="G43" s="520"/>
      <c r="H43" s="522"/>
      <c r="M43" s="510" t="str">
        <f t="shared" si="2"/>
        <v/>
      </c>
      <c r="N43" s="214">
        <f>IFERROR(VLOOKUP(F43,PartyStorage,2, FALSE),0)</f>
        <v>0</v>
      </c>
      <c r="O43" s="210" t="s">
        <v>60</v>
      </c>
      <c r="Q43" s="384">
        <f>Draft5Str*Draft5SizeMult*5</f>
        <v>0</v>
      </c>
      <c r="R43" s="386"/>
    </row>
    <row r="44" ht="18.75" customHeight="1">
      <c r="A44" s="513"/>
      <c r="B44" s="531"/>
      <c r="C44" s="202"/>
      <c r="D44" s="202"/>
      <c r="E44" s="202"/>
      <c r="F44" s="532"/>
      <c r="G44" s="233"/>
      <c r="H44" s="508"/>
      <c r="M44" s="510" t="str">
        <f t="shared" si="2"/>
        <v/>
      </c>
      <c r="N44" s="214">
        <f>IFERROR(VLOOKUP(F44,PartyStorage,2, FALSE),0)</f>
        <v>0</v>
      </c>
      <c r="O44" s="394" t="s">
        <v>64</v>
      </c>
      <c r="Q44" s="399">
        <f>Draft5Str*Draft5SizeMult*10</f>
        <v>0</v>
      </c>
      <c r="R44" s="386"/>
    </row>
    <row r="45" ht="18.75" customHeight="1">
      <c r="A45" s="513"/>
      <c r="B45" s="530"/>
      <c r="C45" s="122"/>
      <c r="D45" s="122"/>
      <c r="E45" s="122"/>
      <c r="F45" s="519"/>
      <c r="G45" s="520"/>
      <c r="H45" s="522"/>
      <c r="M45" s="510" t="str">
        <f t="shared" si="2"/>
        <v/>
      </c>
      <c r="N45" s="214">
        <f>IFERROR(VLOOKUP(F45,PartyStorage,2, FALSE),0)</f>
        <v>0</v>
      </c>
      <c r="O45" s="210" t="s">
        <v>7</v>
      </c>
      <c r="Q45" s="384">
        <f>Draft5Str*Draft5SizeMult*15</f>
        <v>0</v>
      </c>
      <c r="R45" s="386"/>
    </row>
    <row r="46" ht="18.75" customHeight="1">
      <c r="A46" s="513"/>
      <c r="B46" s="531"/>
      <c r="C46" s="202"/>
      <c r="D46" s="202"/>
      <c r="E46" s="202"/>
      <c r="F46" s="532"/>
      <c r="G46" s="233"/>
      <c r="H46" s="508"/>
      <c r="M46" s="510" t="str">
        <f t="shared" si="2"/>
        <v/>
      </c>
      <c r="N46" s="214">
        <f>IFERROR(VLOOKUP(F46,PartyStorage,2, FALSE),0)</f>
        <v>0</v>
      </c>
      <c r="O46" s="394" t="s">
        <v>68</v>
      </c>
      <c r="Q46" s="399">
        <f>Draft5Str*Draft5SizeMult*30</f>
        <v>0</v>
      </c>
      <c r="R46" s="386"/>
    </row>
    <row r="47" ht="18.75" customHeight="1">
      <c r="A47" s="513"/>
      <c r="B47" s="530"/>
      <c r="C47" s="122"/>
      <c r="D47" s="122"/>
      <c r="E47" s="122"/>
      <c r="F47" s="519"/>
      <c r="G47" s="520"/>
      <c r="H47" s="522"/>
      <c r="M47" s="510" t="str">
        <f t="shared" si="2"/>
        <v/>
      </c>
      <c r="N47" s="214">
        <f>IFERROR(VLOOKUP(F47,PartyStorage,2, FALSE),0)</f>
        <v>0</v>
      </c>
      <c r="O47" s="240" t="s">
        <v>45</v>
      </c>
      <c r="P47" s="569"/>
      <c r="Q47" s="501">
        <f t="array" ref="Q47">SUMIF(PartyEquipStatus,"="&amp;DraftAnimal5,PartyInventoryWeights)+SUMIF(Ch1_PartyEquip,"="&amp;DraftAnimal5,Ch1_InventoryWeights)+SUMIF(Ch2_PartyEquip,"="&amp;DraftAnimal5,Ch2_InventoryWeights)++SUMIF(Ch3_PartyEquip,"="&amp;DraftAnimal5,Ch3_InventoryWeights)++SUMIF(Ch4_PartyEquip,"="&amp;DraftAnimal5,Ch4_InventoryWeights)++SUMIF(Ch5_PartyEquip,"="&amp;DraftAnimal5,Ch5_InventoryWeights)+SUMIF(Ch6_PartyEquip,"="&amp;DraftAnimal5,Ch6_InventoryWeights)+SUMIF(Ch7_PartyEquip,"="&amp;DraftAnimal5,Ch7_InventoryWeights)+SUMIF(Ch8_PartyEquip,"="&amp;DraftAnimal5,Ch8_InventoryWeights)+SUMIF(Ch9_PartyEquip,"="&amp;DraftAnimal5,Ch9_InventoryWeights)</f>
        <v>0</v>
      </c>
      <c r="R47" s="503"/>
    </row>
    <row r="48" ht="18.75" customHeight="1">
      <c r="A48" s="513"/>
      <c r="B48" s="531"/>
      <c r="C48" s="202"/>
      <c r="D48" s="202"/>
      <c r="E48" s="202"/>
      <c r="F48" s="532"/>
      <c r="G48" s="233"/>
      <c r="H48" s="508"/>
      <c r="M48" s="510" t="str">
        <f t="shared" si="2"/>
        <v/>
      </c>
      <c r="N48" s="214">
        <f>IFERROR(VLOOKUP(F48,PartyStorage,2, FALSE),0)</f>
        <v>0</v>
      </c>
      <c r="O48" s="577" t="str">
        <f>IF(ISBLANK(Draft6Size),"",VLOOKUP(Draft6Size,SizeMultipliers,2, FALSE))</f>
        <v/>
      </c>
      <c r="R48" s="182"/>
    </row>
    <row r="49" ht="18.75" customHeight="1">
      <c r="A49" s="513"/>
      <c r="B49" s="530"/>
      <c r="C49" s="122"/>
      <c r="D49" s="122"/>
      <c r="E49" s="122"/>
      <c r="F49" s="519"/>
      <c r="G49" s="520"/>
      <c r="H49" s="522"/>
      <c r="M49" s="510" t="str">
        <f t="shared" si="2"/>
        <v/>
      </c>
      <c r="N49" s="214">
        <f>IFERROR(VLOOKUP(F49,PartyStorage,2, FALSE),0)</f>
        <v>0</v>
      </c>
      <c r="O49" s="51" t="str">
        <f>IF(ISBLANK(DraftAnimal6),"Draft Animal 6",DraftAnimal6)&amp;"'s Encumbrance"</f>
        <v>Draft Animal 6's Encumbrance</v>
      </c>
      <c r="P49" s="77"/>
      <c r="Q49" s="79"/>
      <c r="R49" s="541" t="str">
        <f>DraftAnimal6</f>
        <v/>
      </c>
    </row>
    <row r="50" ht="18.75" customHeight="1">
      <c r="A50" s="513"/>
      <c r="B50" s="531"/>
      <c r="C50" s="202"/>
      <c r="D50" s="202"/>
      <c r="E50" s="202"/>
      <c r="F50" s="532"/>
      <c r="G50" s="233"/>
      <c r="H50" s="508"/>
      <c r="M50" s="510" t="str">
        <f t="shared" si="2"/>
        <v/>
      </c>
      <c r="N50" s="214">
        <f>IFERROR(VLOOKUP(F50,PartyStorage,2, FALSE),0)</f>
        <v>0</v>
      </c>
      <c r="O50" s="210" t="s">
        <v>60</v>
      </c>
      <c r="Q50" s="384">
        <f>Draft6Str*Draft6SizeMult*5</f>
        <v>0</v>
      </c>
      <c r="R50" s="386"/>
    </row>
    <row r="51" ht="18.75" customHeight="1">
      <c r="A51" s="513"/>
      <c r="B51" s="530"/>
      <c r="C51" s="122"/>
      <c r="D51" s="122"/>
      <c r="E51" s="122"/>
      <c r="F51" s="519"/>
      <c r="G51" s="520"/>
      <c r="H51" s="522"/>
      <c r="M51" s="510" t="str">
        <f t="shared" si="2"/>
        <v/>
      </c>
      <c r="N51" s="214">
        <f>IFERROR(VLOOKUP(F51,PartyStorage,2, FALSE),0)</f>
        <v>0</v>
      </c>
      <c r="O51" s="394" t="s">
        <v>64</v>
      </c>
      <c r="Q51" s="399">
        <f>Draft6Str*Draft6SizeMult*10</f>
        <v>0</v>
      </c>
      <c r="R51" s="386"/>
    </row>
    <row r="52" ht="18.75" customHeight="1">
      <c r="A52" s="513"/>
      <c r="B52" s="531"/>
      <c r="C52" s="202"/>
      <c r="D52" s="202"/>
      <c r="E52" s="202"/>
      <c r="F52" s="532"/>
      <c r="G52" s="233"/>
      <c r="H52" s="508"/>
      <c r="M52" s="510" t="str">
        <f t="shared" si="2"/>
        <v/>
      </c>
      <c r="N52" s="214">
        <f>IFERROR(VLOOKUP(F52,PartyStorage,2, FALSE),0)</f>
        <v>0</v>
      </c>
      <c r="O52" s="210" t="s">
        <v>7</v>
      </c>
      <c r="P52" s="381"/>
      <c r="Q52" s="384">
        <f>Draft6Str*Draft6SizeMult*15</f>
        <v>0</v>
      </c>
      <c r="R52" s="386"/>
    </row>
    <row r="53" ht="18.75" customHeight="1">
      <c r="A53" s="513"/>
      <c r="B53" s="530"/>
      <c r="C53" s="122"/>
      <c r="D53" s="122"/>
      <c r="E53" s="122"/>
      <c r="F53" s="519"/>
      <c r="G53" s="520"/>
      <c r="H53" s="522"/>
      <c r="M53" s="510" t="str">
        <f t="shared" si="2"/>
        <v/>
      </c>
      <c r="N53" s="214">
        <f>IFERROR(VLOOKUP(F53,PartyStorage,2, FALSE),0)</f>
        <v>0</v>
      </c>
      <c r="O53" s="394" t="s">
        <v>68</v>
      </c>
      <c r="P53" s="396"/>
      <c r="Q53" s="399">
        <f>Draft6Str*Draft6SizeMult*30</f>
        <v>0</v>
      </c>
      <c r="R53" s="386"/>
    </row>
    <row r="54" ht="18.75" customHeight="1">
      <c r="A54" s="513"/>
      <c r="B54" s="531"/>
      <c r="C54" s="202"/>
      <c r="D54" s="202"/>
      <c r="E54" s="202"/>
      <c r="F54" s="532"/>
      <c r="G54" s="233"/>
      <c r="H54" s="508"/>
      <c r="M54" s="510" t="str">
        <f t="shared" si="2"/>
        <v/>
      </c>
      <c r="N54" s="214">
        <f>IFERROR(VLOOKUP(F54,PartyStorage,2, FALSE),0)</f>
        <v>0</v>
      </c>
      <c r="O54" s="240" t="s">
        <v>45</v>
      </c>
      <c r="P54" s="569"/>
      <c r="Q54" s="501">
        <f t="array" ref="Q54">SUMIF(PartyEquipStatus,"="&amp;DraftAnimal6,PartyInventoryWeights)+SUMIF(Ch1_PartyEquip,"="&amp;DraftAnimal6,Ch1_InventoryWeights)+SUMIF(Ch2_PartyEquip,"="&amp;DraftAnimal6,Ch2_InventoryWeights)++SUMIF(Ch3_PartyEquip,"="&amp;DraftAnimal6,Ch3_InventoryWeights)++SUMIF(Ch4_PartyEquip,"="&amp;DraftAnimal6,Ch4_InventoryWeights)++SUMIF(Ch5_PartyEquip,"="&amp;DraftAnimal6,Ch5_InventoryWeights)+SUMIF(Ch6_PartyEquip,"="&amp;DraftAnimal6,Ch6_InventoryWeights)+SUMIF(Ch7_PartyEquip,"="&amp;DraftAnimal6,Ch7_InventoryWeights)+SUMIF(Ch8_PartyEquip,"="&amp;DraftAnimal6,Ch8_InventoryWeights)+SUMIF(Ch9_PartyEquip,"="&amp;DraftAnimal6,Ch9_InventoryWeights)</f>
        <v>0</v>
      </c>
      <c r="R54" s="503"/>
    </row>
    <row r="55" ht="18.75" customHeight="1">
      <c r="A55" s="513"/>
      <c r="B55" s="530"/>
      <c r="C55" s="122"/>
      <c r="D55" s="122"/>
      <c r="E55" s="122"/>
      <c r="F55" s="519"/>
      <c r="G55" s="520"/>
      <c r="H55" s="522"/>
      <c r="M55" s="510" t="str">
        <f t="shared" si="2"/>
        <v/>
      </c>
      <c r="N55" s="214">
        <f>IFERROR(VLOOKUP(F55,PartyStorage,2, FALSE),0)</f>
        <v>0</v>
      </c>
      <c r="O55" s="577" t="str">
        <f>IF(ISBLANK(Draft7Size),"",VLOOKUP(Draft7Size,SizeMultipliers,2, FALSE))</f>
        <v/>
      </c>
      <c r="R55" s="182"/>
    </row>
    <row r="56" ht="18.75" customHeight="1">
      <c r="A56" s="513"/>
      <c r="B56" s="531"/>
      <c r="C56" s="202"/>
      <c r="D56" s="202"/>
      <c r="E56" s="202"/>
      <c r="F56" s="532"/>
      <c r="G56" s="233"/>
      <c r="H56" s="508"/>
      <c r="M56" s="510" t="str">
        <f t="shared" si="2"/>
        <v/>
      </c>
      <c r="N56" s="214">
        <f>IFERROR(VLOOKUP(F56,PartyStorage,2, FALSE),0)</f>
        <v>0</v>
      </c>
      <c r="O56" s="51" t="str">
        <f>IF(ISBLANK(DraftAnimal7),"Draft Animal 7",DraftAnimal7)&amp;"'s Encumbrance"</f>
        <v>Draft Animal 7's Encumbrance</v>
      </c>
      <c r="P56" s="77"/>
      <c r="Q56" s="79"/>
      <c r="R56" s="541" t="str">
        <f>DraftAnimal7</f>
        <v/>
      </c>
    </row>
    <row r="57" ht="18.75" customHeight="1">
      <c r="A57" s="513"/>
      <c r="B57" s="530"/>
      <c r="C57" s="122"/>
      <c r="D57" s="122"/>
      <c r="E57" s="122"/>
      <c r="F57" s="519"/>
      <c r="G57" s="520"/>
      <c r="H57" s="522"/>
      <c r="M57" s="510" t="str">
        <f t="shared" si="2"/>
        <v/>
      </c>
      <c r="N57" s="214">
        <f>IFERROR(VLOOKUP(F57,PartyStorage,2, FALSE),0)</f>
        <v>0</v>
      </c>
      <c r="O57" s="210" t="s">
        <v>60</v>
      </c>
      <c r="P57" s="381"/>
      <c r="Q57" s="384">
        <f>Draft7Str*Draft7SizeMult*5</f>
        <v>0</v>
      </c>
      <c r="R57" s="386"/>
    </row>
    <row r="58" ht="18.75" customHeight="1">
      <c r="A58" s="513"/>
      <c r="B58" s="531"/>
      <c r="C58" s="202"/>
      <c r="D58" s="202"/>
      <c r="E58" s="202"/>
      <c r="F58" s="532"/>
      <c r="G58" s="233"/>
      <c r="H58" s="508"/>
      <c r="M58" s="510" t="str">
        <f t="shared" si="2"/>
        <v/>
      </c>
      <c r="N58" s="214">
        <f>IFERROR(VLOOKUP(F58,PartyStorage,2, FALSE),0)</f>
        <v>0</v>
      </c>
      <c r="O58" s="394" t="s">
        <v>64</v>
      </c>
      <c r="P58" s="396"/>
      <c r="Q58" s="399">
        <f>Draft7Str*Draft7SizeMult*10</f>
        <v>0</v>
      </c>
      <c r="R58" s="386"/>
    </row>
    <row r="59" ht="18.75" customHeight="1">
      <c r="A59" s="513"/>
      <c r="B59" s="530"/>
      <c r="C59" s="122"/>
      <c r="D59" s="122"/>
      <c r="E59" s="122"/>
      <c r="F59" s="519"/>
      <c r="G59" s="520"/>
      <c r="H59" s="522"/>
      <c r="M59" s="510" t="str">
        <f t="shared" si="2"/>
        <v/>
      </c>
      <c r="N59" s="214">
        <f>IFERROR(VLOOKUP(F59,PartyStorage,2, FALSE),0)</f>
        <v>0</v>
      </c>
      <c r="O59" s="210" t="s">
        <v>7</v>
      </c>
      <c r="P59" s="381"/>
      <c r="Q59" s="384">
        <f>Draft7Str*Draft7SizeMult*15</f>
        <v>0</v>
      </c>
      <c r="R59" s="386"/>
    </row>
    <row r="60" ht="18.75" customHeight="1">
      <c r="A60" s="513"/>
      <c r="B60" s="531"/>
      <c r="C60" s="202"/>
      <c r="D60" s="202"/>
      <c r="E60" s="202"/>
      <c r="F60" s="532"/>
      <c r="G60" s="233"/>
      <c r="H60" s="508"/>
      <c r="M60" s="510" t="str">
        <f t="shared" si="2"/>
        <v/>
      </c>
      <c r="N60" s="214">
        <f>IFERROR(VLOOKUP(F60,PartyStorage,2, FALSE),0)</f>
        <v>0</v>
      </c>
      <c r="O60" s="394" t="s">
        <v>68</v>
      </c>
      <c r="P60" s="396"/>
      <c r="Q60" s="399">
        <f>Draft7Str*Draft7SizeMult*30</f>
        <v>0</v>
      </c>
      <c r="R60" s="386"/>
    </row>
    <row r="61" ht="18.75" customHeight="1">
      <c r="A61" s="513"/>
      <c r="B61" s="530"/>
      <c r="C61" s="122"/>
      <c r="D61" s="122"/>
      <c r="E61" s="122"/>
      <c r="F61" s="519"/>
      <c r="G61" s="520"/>
      <c r="H61" s="522"/>
      <c r="M61" s="510" t="str">
        <f t="shared" si="2"/>
        <v/>
      </c>
      <c r="N61" s="214">
        <f>IFERROR(VLOOKUP(F61,PartyStorage,2, FALSE),0)</f>
        <v>0</v>
      </c>
      <c r="O61" s="240" t="s">
        <v>45</v>
      </c>
      <c r="P61" s="569"/>
      <c r="Q61" s="501">
        <f t="array" ref="Q61">SUMIF(PartyEquipStatus,"="&amp;DraftAnimal7,PartyInventoryWeights)+SUMIF(Ch1_PartyEquip,"="&amp;DraftAnimal7,Ch1_InventoryWeights)+SUMIF(Ch2_PartyEquip,"="&amp;DraftAnimal7,Ch2_InventoryWeights)++SUMIF(Ch3_PartyEquip,"="&amp;DraftAnimal7,Ch3_InventoryWeights)++SUMIF(Ch4_PartyEquip,"="&amp;DraftAnimal7,Ch4_InventoryWeights)++SUMIF(Ch5_PartyEquip,"="&amp;DraftAnimal7,Ch5_InventoryWeights)+SUMIF(Ch6_PartyEquip,"="&amp;DraftAnimal7,Ch6_InventoryWeights)+SUMIF(Ch7_PartyEquip,"="&amp;DraftAnimal7,Ch7_InventoryWeights)+SUMIF(Ch8_PartyEquip,"="&amp;DraftAnimal7,Ch8_InventoryWeights)+SUMIF(Ch9_PartyEquip,"="&amp;DraftAnimal7,Ch9_InventoryWeights)</f>
        <v>0</v>
      </c>
      <c r="R61" s="503"/>
    </row>
    <row r="62" ht="18.75" customHeight="1">
      <c r="A62" s="513"/>
      <c r="B62" s="531"/>
      <c r="C62" s="202"/>
      <c r="D62" s="202"/>
      <c r="E62" s="202"/>
      <c r="F62" s="532"/>
      <c r="G62" s="233"/>
      <c r="H62" s="508"/>
      <c r="M62" s="510" t="str">
        <f t="shared" si="2"/>
        <v/>
      </c>
      <c r="N62" s="214">
        <f>IFERROR(VLOOKUP(F62,PartyStorage,2, FALSE),0)</f>
        <v>0</v>
      </c>
      <c r="O62" s="577" t="str">
        <f>IF(ISBLANK(Draft8Size),"",VLOOKUP(Draft8Size,SizeMultipliers,2, FALSE))</f>
        <v/>
      </c>
      <c r="P62" s="233"/>
      <c r="Q62" s="233"/>
      <c r="R62" s="182"/>
    </row>
    <row r="63" ht="18.75" customHeight="1">
      <c r="A63" s="513"/>
      <c r="B63" s="530"/>
      <c r="C63" s="122"/>
      <c r="D63" s="122"/>
      <c r="E63" s="122"/>
      <c r="F63" s="519"/>
      <c r="G63" s="520"/>
      <c r="H63" s="522"/>
      <c r="M63" s="510" t="str">
        <f t="shared" si="2"/>
        <v/>
      </c>
      <c r="N63" s="214">
        <f>IFERROR(VLOOKUP(F63,PartyStorage,2, FALSE),0)</f>
        <v>0</v>
      </c>
      <c r="O63" s="51" t="str">
        <f>IF(ISBLANK(DraftAnimal8),"Draft Animal 8",DraftAnimal8)&amp;"'s Encumbrance"</f>
        <v>Draft Animal 8's Encumbrance</v>
      </c>
      <c r="P63" s="77"/>
      <c r="Q63" s="79"/>
      <c r="R63" s="541" t="str">
        <f>DraftAnimal8</f>
        <v/>
      </c>
    </row>
    <row r="64" ht="18.75" customHeight="1">
      <c r="A64" s="513"/>
      <c r="B64" s="531"/>
      <c r="C64" s="202"/>
      <c r="D64" s="202"/>
      <c r="E64" s="202"/>
      <c r="F64" s="532"/>
      <c r="G64" s="233"/>
      <c r="H64" s="508"/>
      <c r="M64" s="510" t="str">
        <f t="shared" si="2"/>
        <v/>
      </c>
      <c r="N64" s="214">
        <f>IFERROR(VLOOKUP(F64,PartyStorage,2, FALSE),0)</f>
        <v>0</v>
      </c>
      <c r="O64" s="210" t="s">
        <v>60</v>
      </c>
      <c r="Q64" s="384">
        <f>Draft8Str*Draft8SizeMult*5</f>
        <v>0</v>
      </c>
      <c r="R64" s="386"/>
    </row>
    <row r="65" ht="18.75" customHeight="1">
      <c r="A65" s="513"/>
      <c r="B65" s="530"/>
      <c r="C65" s="122"/>
      <c r="D65" s="122"/>
      <c r="E65" s="122"/>
      <c r="F65" s="519"/>
      <c r="G65" s="520"/>
      <c r="H65" s="522"/>
      <c r="M65" s="510" t="str">
        <f t="shared" si="2"/>
        <v/>
      </c>
      <c r="N65" s="214">
        <f>IFERROR(VLOOKUP(F65,PartyStorage,2, FALSE),0)</f>
        <v>0</v>
      </c>
      <c r="O65" s="394" t="s">
        <v>64</v>
      </c>
      <c r="Q65" s="399">
        <f>Draft8Str*Draft8SizeMult*10</f>
        <v>0</v>
      </c>
      <c r="R65" s="386"/>
    </row>
    <row r="66" ht="18.75" customHeight="1">
      <c r="A66" s="513"/>
      <c r="B66" s="531"/>
      <c r="C66" s="202"/>
      <c r="D66" s="202"/>
      <c r="E66" s="202"/>
      <c r="F66" s="532"/>
      <c r="G66" s="233"/>
      <c r="H66" s="508"/>
      <c r="M66" s="510" t="str">
        <f t="shared" si="2"/>
        <v/>
      </c>
      <c r="N66" s="214">
        <f>IFERROR(VLOOKUP(F66,PartyStorage,2, FALSE),0)</f>
        <v>0</v>
      </c>
      <c r="O66" s="210" t="s">
        <v>7</v>
      </c>
      <c r="Q66" s="384">
        <f>Draft8Str*Draft8SizeMult*15</f>
        <v>0</v>
      </c>
      <c r="R66" s="386"/>
    </row>
    <row r="67" ht="18.75" customHeight="1">
      <c r="A67" s="513"/>
      <c r="B67" s="530"/>
      <c r="C67" s="122"/>
      <c r="D67" s="122"/>
      <c r="E67" s="122"/>
      <c r="F67" s="519"/>
      <c r="G67" s="520"/>
      <c r="H67" s="522"/>
      <c r="M67" s="510" t="str">
        <f t="shared" si="2"/>
        <v/>
      </c>
      <c r="N67" s="214">
        <f>IFERROR(VLOOKUP(F67,PartyStorage,2, FALSE),0)</f>
        <v>0</v>
      </c>
      <c r="O67" s="394" t="s">
        <v>68</v>
      </c>
      <c r="Q67" s="399">
        <f>Draft8Str*Draft8SizeMult*30</f>
        <v>0</v>
      </c>
      <c r="R67" s="386"/>
    </row>
    <row r="68" ht="18.75" customHeight="1">
      <c r="A68" s="513"/>
      <c r="B68" s="531"/>
      <c r="C68" s="202"/>
      <c r="D68" s="202"/>
      <c r="E68" s="202"/>
      <c r="F68" s="532"/>
      <c r="G68" s="233"/>
      <c r="H68" s="508"/>
      <c r="M68" s="510" t="str">
        <f t="shared" si="2"/>
        <v/>
      </c>
      <c r="N68" s="214">
        <f>IFERROR(VLOOKUP(F68,PartyStorage,2, FALSE),0)</f>
        <v>0</v>
      </c>
      <c r="O68" s="240" t="s">
        <v>45</v>
      </c>
      <c r="P68" s="569"/>
      <c r="Q68" s="501">
        <f t="array" ref="Q68">SUMIF(PartyEquipStatus,"="&amp;DraftAnimal8,PartyInventoryWeights)+SUMIF(Ch1_PartyEquip,"="&amp;DraftAnimal8,Ch1_InventoryWeights)+SUMIF(Ch2_PartyEquip,"="&amp;DraftAnimal8,Ch2_InventoryWeights)++SUMIF(Ch3_PartyEquip,"="&amp;DraftAnimal8,Ch3_InventoryWeights)++SUMIF(Ch4_PartyEquip,"="&amp;DraftAnimal8,Ch4_InventoryWeights)++SUMIF(Ch5_PartyEquip,"="&amp;DraftAnimal8,Ch5_InventoryWeights)+SUMIF(Ch6_PartyEquip,"="&amp;DraftAnimal8,Ch6_InventoryWeights)+SUMIF(Ch7_PartyEquip,"="&amp;DraftAnimal8,Ch7_InventoryWeights)+SUMIF(Ch8_PartyEquip,"="&amp;DraftAnimal8,Ch8_InventoryWeights)+SUMIF(Ch9_PartyEquip,"="&amp;DraftAnimal8,Ch9_InventoryWeights)</f>
        <v>0</v>
      </c>
      <c r="R68" s="503"/>
    </row>
    <row r="69" ht="18.75" customHeight="1">
      <c r="A69" s="513"/>
      <c r="B69" s="530"/>
      <c r="C69" s="122"/>
      <c r="D69" s="122"/>
      <c r="E69" s="122"/>
      <c r="F69" s="519"/>
      <c r="G69" s="520"/>
      <c r="H69" s="522"/>
      <c r="M69" s="510" t="str">
        <f t="shared" si="2"/>
        <v/>
      </c>
      <c r="N69" s="214">
        <f>IFERROR(VLOOKUP(F69,PartyStorage,2, FALSE),0)</f>
        <v>0</v>
      </c>
      <c r="O69" s="577" t="str">
        <f>IF(ISBLANK(Draft9Size),"",VLOOKUP(Draft9Size,SizeMultipliers,2, FALSE))</f>
        <v/>
      </c>
      <c r="R69" s="182"/>
    </row>
    <row r="70" ht="18.75" customHeight="1">
      <c r="A70" s="513"/>
      <c r="B70" s="531"/>
      <c r="C70" s="202"/>
      <c r="D70" s="202"/>
      <c r="E70" s="202"/>
      <c r="F70" s="532"/>
      <c r="G70" s="233"/>
      <c r="H70" s="508"/>
      <c r="M70" s="510" t="str">
        <f t="shared" si="2"/>
        <v/>
      </c>
      <c r="N70" s="214">
        <f>IFERROR(VLOOKUP(F70,PartyStorage,2, FALSE),0)</f>
        <v>0</v>
      </c>
      <c r="O70" s="51" t="str">
        <f>IF(ISBLANK(DraftAnimal9),"Draft Animal 9",DraftAnimal9)&amp;"'s Encumbrance"</f>
        <v>Draft Animal 9's Encumbrance</v>
      </c>
      <c r="P70" s="77"/>
      <c r="Q70" s="79"/>
      <c r="R70" s="541" t="str">
        <f>DraftAnimal9</f>
        <v/>
      </c>
    </row>
    <row r="71" ht="18.75" customHeight="1">
      <c r="A71" s="513"/>
      <c r="B71" s="530"/>
      <c r="C71" s="122"/>
      <c r="D71" s="122"/>
      <c r="E71" s="122"/>
      <c r="F71" s="519"/>
      <c r="G71" s="520"/>
      <c r="H71" s="522"/>
      <c r="M71" s="510" t="str">
        <f t="shared" si="2"/>
        <v/>
      </c>
      <c r="N71" s="214">
        <f>IFERROR(VLOOKUP(F71,PartyStorage,2, FALSE),0)</f>
        <v>0</v>
      </c>
      <c r="O71" s="210" t="s">
        <v>60</v>
      </c>
      <c r="Q71" s="384">
        <f>Draft9Str*Draft9SizeMult*5</f>
        <v>0</v>
      </c>
      <c r="R71" s="386"/>
    </row>
    <row r="72" ht="18.75" customHeight="1">
      <c r="A72" s="513"/>
      <c r="B72" s="531"/>
      <c r="C72" s="202"/>
      <c r="D72" s="202"/>
      <c r="E72" s="202"/>
      <c r="F72" s="532"/>
      <c r="G72" s="233"/>
      <c r="H72" s="508"/>
      <c r="M72" s="510" t="str">
        <f t="shared" si="2"/>
        <v/>
      </c>
      <c r="N72" s="214">
        <f>IFERROR(VLOOKUP(F72,PartyStorage,2, FALSE),0)</f>
        <v>0</v>
      </c>
      <c r="O72" s="394" t="s">
        <v>64</v>
      </c>
      <c r="Q72" s="399">
        <f>Draft9Str*Draft9SizeMult*10</f>
        <v>0</v>
      </c>
      <c r="R72" s="386"/>
    </row>
    <row r="73" ht="18.75" customHeight="1">
      <c r="A73" s="513"/>
      <c r="B73" s="530"/>
      <c r="C73" s="122"/>
      <c r="D73" s="122"/>
      <c r="E73" s="122"/>
      <c r="F73" s="519"/>
      <c r="G73" s="520"/>
      <c r="H73" s="522"/>
      <c r="M73" s="510" t="str">
        <f t="shared" si="2"/>
        <v/>
      </c>
      <c r="N73" s="214">
        <f>IFERROR(VLOOKUP(F73,PartyStorage,2, FALSE),0)</f>
        <v>0</v>
      </c>
      <c r="O73" s="210" t="s">
        <v>7</v>
      </c>
      <c r="P73" s="381"/>
      <c r="Q73" s="384">
        <f>Draft9Str*Draft9SizeMult*15</f>
        <v>0</v>
      </c>
      <c r="R73" s="386"/>
    </row>
    <row r="74" ht="18.75" customHeight="1">
      <c r="A74" s="513"/>
      <c r="B74" s="531"/>
      <c r="C74" s="202"/>
      <c r="D74" s="202"/>
      <c r="E74" s="202"/>
      <c r="F74" s="532"/>
      <c r="G74" s="233"/>
      <c r="H74" s="508"/>
      <c r="M74" s="510" t="str">
        <f t="shared" si="2"/>
        <v/>
      </c>
      <c r="N74" s="214">
        <f>IFERROR(VLOOKUP(F74,PartyStorage,2, FALSE),0)</f>
        <v>0</v>
      </c>
      <c r="O74" s="394" t="s">
        <v>68</v>
      </c>
      <c r="P74" s="396"/>
      <c r="Q74" s="399">
        <f>Draft9Str*Draft9SizeMult*30</f>
        <v>0</v>
      </c>
      <c r="R74" s="386"/>
    </row>
    <row r="75" ht="18.75" customHeight="1">
      <c r="A75" s="513"/>
      <c r="B75" s="530"/>
      <c r="C75" s="122"/>
      <c r="D75" s="122"/>
      <c r="E75" s="122"/>
      <c r="F75" s="519"/>
      <c r="G75" s="520"/>
      <c r="H75" s="522"/>
      <c r="M75" s="510" t="str">
        <f t="shared" si="2"/>
        <v/>
      </c>
      <c r="N75" s="214">
        <f>IFERROR(VLOOKUP(F75,PartyStorage,2, FALSE),0)</f>
        <v>0</v>
      </c>
      <c r="O75" s="240" t="s">
        <v>45</v>
      </c>
      <c r="P75" s="569"/>
      <c r="Q75" s="501">
        <f t="array" ref="Q75">SUMIF(PartyEquipStatus,"="&amp;DraftAnimal9,PartyInventoryWeights)+SUMIF(Ch1_PartyEquip,"="&amp;DraftAnimal9,Ch1_InventoryWeights)+SUMIF(Ch2_PartyEquip,"="&amp;DraftAnimal9,Ch2_InventoryWeights)++SUMIF(Ch3_PartyEquip,"="&amp;DraftAnimal9,Ch3_InventoryWeights)++SUMIF(Ch4_PartyEquip,"="&amp;DraftAnimal9,Ch4_InventoryWeights)++SUMIF(Ch5_PartyEquip,"="&amp;DraftAnimal9,Ch5_InventoryWeights)+SUMIF(Ch6_PartyEquip,"="&amp;DraftAnimal9,Ch6_InventoryWeights)+SUMIF(Ch7_PartyEquip,"="&amp;DraftAnimal9,Ch7_InventoryWeights)+SUMIF(Ch8_PartyEquip,"="&amp;DraftAnimal9,Ch8_InventoryWeights)+SUMIF(Ch9_PartyEquip,"="&amp;DraftAnimal9,Ch9_InventoryWeights)</f>
        <v>0</v>
      </c>
      <c r="R75" s="503"/>
    </row>
    <row r="76" ht="18.75" customHeight="1">
      <c r="A76" s="513"/>
      <c r="B76" s="531"/>
      <c r="C76" s="202"/>
      <c r="D76" s="202"/>
      <c r="E76" s="202"/>
      <c r="F76" s="532"/>
      <c r="G76" s="233"/>
      <c r="H76" s="508"/>
      <c r="M76" s="510" t="str">
        <f t="shared" si="2"/>
        <v/>
      </c>
      <c r="N76" s="214">
        <f>IFERROR(VLOOKUP(F76,PartyStorage,2, FALSE),0)</f>
        <v>0</v>
      </c>
      <c r="O76" s="577" t="str">
        <f>IF(ISBLANK(Draft10Size),"",VLOOKUP(Draft10Size,SizeMultipliers,2, FALSE))</f>
        <v/>
      </c>
      <c r="R76" s="182"/>
    </row>
    <row r="77" ht="18.75" customHeight="1">
      <c r="A77" s="513"/>
      <c r="B77" s="530"/>
      <c r="C77" s="122"/>
      <c r="D77" s="122"/>
      <c r="E77" s="122"/>
      <c r="F77" s="519"/>
      <c r="G77" s="520"/>
      <c r="H77" s="522"/>
      <c r="M77" s="510" t="str">
        <f t="shared" si="2"/>
        <v/>
      </c>
      <c r="N77" s="214">
        <f>IFERROR(VLOOKUP(F77,PartyStorage,2, FALSE),0)</f>
        <v>0</v>
      </c>
      <c r="O77" s="51" t="str">
        <f>IF(ISBLANK(DraftAnimal10),"Draft Animal 10",DraftAnimal10)&amp;"'s Encumbrance"</f>
        <v>Draft Animal 10's Encumbrance</v>
      </c>
      <c r="P77" s="77"/>
      <c r="Q77" s="79"/>
      <c r="R77" s="376" t="str">
        <f>DraftAnimal10</f>
        <v/>
      </c>
    </row>
    <row r="78" ht="18.75" customHeight="1">
      <c r="A78" s="513"/>
      <c r="B78" s="531"/>
      <c r="C78" s="202"/>
      <c r="D78" s="202"/>
      <c r="E78" s="202"/>
      <c r="F78" s="532"/>
      <c r="G78" s="233"/>
      <c r="H78" s="508"/>
      <c r="M78" s="510" t="str">
        <f t="shared" si="2"/>
        <v/>
      </c>
      <c r="N78" s="214">
        <f>IFERROR(VLOOKUP(F78,PartyStorage,2, FALSE),0)</f>
        <v>0</v>
      </c>
      <c r="O78" s="210" t="s">
        <v>60</v>
      </c>
      <c r="P78" s="381"/>
      <c r="Q78" s="384">
        <f>Draft10Str*Draft10SizeMult*5</f>
        <v>0</v>
      </c>
      <c r="R78" s="386"/>
    </row>
    <row r="79" ht="18.75" customHeight="1">
      <c r="A79" s="513"/>
      <c r="B79" s="530"/>
      <c r="C79" s="122"/>
      <c r="D79" s="122"/>
      <c r="E79" s="122"/>
      <c r="F79" s="519"/>
      <c r="G79" s="520"/>
      <c r="H79" s="522"/>
      <c r="M79" s="510" t="str">
        <f t="shared" si="2"/>
        <v/>
      </c>
      <c r="N79" s="214">
        <f>IFERROR(VLOOKUP(F79,PartyStorage,2, FALSE),0)</f>
        <v>0</v>
      </c>
      <c r="O79" s="394" t="s">
        <v>64</v>
      </c>
      <c r="P79" s="396"/>
      <c r="Q79" s="399">
        <f>Draft10Str*Draft10SizeMult*10</f>
        <v>0</v>
      </c>
      <c r="R79" s="386"/>
    </row>
    <row r="80" ht="18.75" customHeight="1">
      <c r="A80" s="513"/>
      <c r="B80" s="531"/>
      <c r="C80" s="202"/>
      <c r="D80" s="202"/>
      <c r="E80" s="202"/>
      <c r="F80" s="532"/>
      <c r="G80" s="233"/>
      <c r="H80" s="508"/>
      <c r="M80" s="510" t="str">
        <f t="shared" si="2"/>
        <v/>
      </c>
      <c r="N80" s="214">
        <f>IFERROR(VLOOKUP(F80,PartyStorage,2, FALSE),0)</f>
        <v>0</v>
      </c>
      <c r="O80" s="210" t="s">
        <v>7</v>
      </c>
      <c r="P80" s="381"/>
      <c r="Q80" s="384">
        <f>Draft10Str*Draft10SizeMult*15</f>
        <v>0</v>
      </c>
      <c r="R80" s="386"/>
    </row>
    <row r="81" ht="18.75" customHeight="1">
      <c r="A81" s="513"/>
      <c r="B81" s="530"/>
      <c r="C81" s="122"/>
      <c r="D81" s="122"/>
      <c r="E81" s="122"/>
      <c r="F81" s="519"/>
      <c r="G81" s="520"/>
      <c r="H81" s="522"/>
      <c r="M81" s="510" t="str">
        <f t="shared" si="2"/>
        <v/>
      </c>
      <c r="N81" s="214">
        <f>IFERROR(VLOOKUP(F81,PartyStorage,2, FALSE),0)</f>
        <v>0</v>
      </c>
      <c r="O81" s="394" t="s">
        <v>68</v>
      </c>
      <c r="P81" s="396"/>
      <c r="Q81" s="399">
        <f>Draft10Str*Draft10SizeMult*30</f>
        <v>0</v>
      </c>
      <c r="R81" s="386"/>
    </row>
    <row r="82" ht="18.75" customHeight="1">
      <c r="A82" s="513"/>
      <c r="B82" s="531"/>
      <c r="C82" s="202"/>
      <c r="D82" s="202"/>
      <c r="E82" s="202"/>
      <c r="F82" s="532"/>
      <c r="G82" s="233"/>
      <c r="H82" s="508"/>
      <c r="M82" s="510" t="str">
        <f t="shared" si="2"/>
        <v/>
      </c>
      <c r="N82" s="214">
        <f>IFERROR(VLOOKUP(F82,PartyStorage,2, FALSE),0)</f>
        <v>0</v>
      </c>
      <c r="O82" s="240" t="s">
        <v>45</v>
      </c>
      <c r="P82" s="569"/>
      <c r="Q82" s="501">
        <f t="array" ref="Q82">SUMIF(PartyEquipStatus,"="&amp;DraftAnimal10,PartyInventoryWeights)+SUMIF(Ch1_PartyEquip,"="&amp;DraftAnimal10,Ch1_InventoryWeights)+SUMIF(Ch2_PartyEquip,"="&amp;DraftAnimal10,Ch2_InventoryWeights)++SUMIF(Ch3_PartyEquip,"="&amp;DraftAnimal10,Ch3_InventoryWeights)++SUMIF(Ch4_PartyEquip,"="&amp;DraftAnimal10,Ch4_InventoryWeights)++SUMIF(Ch5_PartyEquip,"="&amp;DraftAnimal10,Ch5_InventoryWeights)+SUMIF(Ch6_PartyEquip,"="&amp;DraftAnimal10,Ch6_InventoryWeights)+SUMIF(Ch7_PartyEquip,"="&amp;DraftAnimal10,Ch7_InventoryWeights)+SUMIF(Ch8_PartyEquip,"="&amp;DraftAnimal10,Ch8_InventoryWeights)+SUMIF(Ch9_PartyEquip,"="&amp;DraftAnimal10,Ch9_InventoryWeights)</f>
        <v>0</v>
      </c>
      <c r="R82" s="503"/>
    </row>
    <row r="83" ht="18.75" customHeight="1">
      <c r="A83" s="513"/>
      <c r="B83" s="530"/>
      <c r="C83" s="122"/>
      <c r="D83" s="122"/>
      <c r="E83" s="122"/>
      <c r="F83" s="519"/>
      <c r="G83" s="520"/>
      <c r="H83" s="522"/>
      <c r="M83" s="510" t="str">
        <f t="shared" si="2"/>
        <v/>
      </c>
      <c r="N83" s="214">
        <f>IFERROR(VLOOKUP(F83,PartyStorage,2, FALSE),0)</f>
        <v>0</v>
      </c>
      <c r="O83" s="577" t="str">
        <f>IF(ISBLANK(Draft11Size),"",VLOOKUP(Draft11Size,SizeMultipliers,2, FALSE))</f>
        <v/>
      </c>
      <c r="P83" s="233"/>
      <c r="Q83" s="233"/>
      <c r="R83" s="182"/>
    </row>
    <row r="84" ht="18.75" customHeight="1">
      <c r="A84" s="513"/>
      <c r="B84" s="531"/>
      <c r="C84" s="202"/>
      <c r="D84" s="202"/>
      <c r="E84" s="202"/>
      <c r="F84" s="532"/>
      <c r="G84" s="233"/>
      <c r="H84" s="508"/>
      <c r="M84" s="510" t="str">
        <f t="shared" si="2"/>
        <v/>
      </c>
      <c r="N84" s="214">
        <f>IFERROR(VLOOKUP(F84,PartyStorage,2, FALSE),0)</f>
        <v>0</v>
      </c>
      <c r="O84" s="51" t="str">
        <f>IF(ISBLANK(DraftAnimal11),"Draft Animal 11",DraftAnimal11)&amp;"'s Encumbrance"</f>
        <v>Draft Animal 11's Encumbrance</v>
      </c>
      <c r="P84" s="77"/>
      <c r="Q84" s="79"/>
      <c r="R84" s="376" t="str">
        <f>DraftAnimal11</f>
        <v/>
      </c>
    </row>
    <row r="85" ht="18.75" customHeight="1">
      <c r="A85" s="513"/>
      <c r="B85" s="530"/>
      <c r="C85" s="122"/>
      <c r="D85" s="122"/>
      <c r="E85" s="122"/>
      <c r="F85" s="519"/>
      <c r="G85" s="520"/>
      <c r="H85" s="522"/>
      <c r="M85" s="510" t="str">
        <f t="shared" si="2"/>
        <v/>
      </c>
      <c r="N85" s="214">
        <f>IFERROR(VLOOKUP(F85,PartyStorage,2, FALSE),0)</f>
        <v>0</v>
      </c>
      <c r="O85" s="210" t="s">
        <v>60</v>
      </c>
      <c r="Q85" s="384">
        <f>Draft11Str*Draft11SizeMult*5</f>
        <v>0</v>
      </c>
      <c r="R85" s="386"/>
    </row>
    <row r="86" ht="18.75" customHeight="1">
      <c r="A86" s="513"/>
      <c r="B86" s="531"/>
      <c r="C86" s="202"/>
      <c r="D86" s="202"/>
      <c r="E86" s="202"/>
      <c r="F86" s="532"/>
      <c r="G86" s="233"/>
      <c r="H86" s="508"/>
      <c r="M86" s="510" t="str">
        <f t="shared" si="2"/>
        <v/>
      </c>
      <c r="N86" s="214">
        <f>IFERROR(VLOOKUP(F86,PartyStorage,2, FALSE),0)</f>
        <v>0</v>
      </c>
      <c r="O86" s="394" t="s">
        <v>64</v>
      </c>
      <c r="Q86" s="399">
        <f>Draft11Str*Draft11SizeMult*10</f>
        <v>0</v>
      </c>
      <c r="R86" s="386"/>
    </row>
    <row r="87" ht="18.75" customHeight="1">
      <c r="A87" s="513"/>
      <c r="B87" s="530"/>
      <c r="C87" s="122"/>
      <c r="D87" s="122"/>
      <c r="E87" s="122"/>
      <c r="F87" s="519"/>
      <c r="G87" s="520"/>
      <c r="H87" s="522"/>
      <c r="M87" s="510" t="str">
        <f t="shared" si="2"/>
        <v/>
      </c>
      <c r="N87" s="214">
        <f>IFERROR(VLOOKUP(F87,PartyStorage,2, FALSE),0)</f>
        <v>0</v>
      </c>
      <c r="O87" s="210" t="s">
        <v>7</v>
      </c>
      <c r="Q87" s="384">
        <f>Draft11Str*Draft11SizeMult*15</f>
        <v>0</v>
      </c>
      <c r="R87" s="386"/>
    </row>
    <row r="88" ht="18.75" customHeight="1">
      <c r="A88" s="513"/>
      <c r="B88" s="531"/>
      <c r="C88" s="202"/>
      <c r="D88" s="202"/>
      <c r="E88" s="202"/>
      <c r="F88" s="532"/>
      <c r="G88" s="233"/>
      <c r="H88" s="508"/>
      <c r="M88" s="510" t="str">
        <f t="shared" si="2"/>
        <v/>
      </c>
      <c r="N88" s="214">
        <f>IFERROR(VLOOKUP(F88,PartyStorage,2, FALSE),0)</f>
        <v>0</v>
      </c>
      <c r="O88" s="394" t="s">
        <v>68</v>
      </c>
      <c r="Q88" s="399">
        <f>Draft11Str*Draft11SizeMult*30</f>
        <v>0</v>
      </c>
      <c r="R88" s="386"/>
    </row>
    <row r="89" ht="18.75" customHeight="1">
      <c r="A89" s="513"/>
      <c r="B89" s="530"/>
      <c r="C89" s="122"/>
      <c r="D89" s="122"/>
      <c r="E89" s="122"/>
      <c r="F89" s="519"/>
      <c r="G89" s="520"/>
      <c r="H89" s="522"/>
      <c r="M89" s="510" t="str">
        <f t="shared" si="2"/>
        <v/>
      </c>
      <c r="N89" s="214">
        <f>IFERROR(VLOOKUP(F89,PartyStorage,2, FALSE),0)</f>
        <v>0</v>
      </c>
      <c r="O89" s="240" t="s">
        <v>45</v>
      </c>
      <c r="P89" s="569"/>
      <c r="Q89" s="501">
        <f t="array" ref="Q89">SUMIF(PartyEquipStatus,"="&amp;DraftAnimal11,PartyInventoryWeights)+SUMIF(Ch1_PartyEquip,"="&amp;DraftAnimal11,Ch1_InventoryWeights)+SUMIF(Ch2_PartyEquip,"="&amp;DraftAnimal11,Ch2_InventoryWeights)++SUMIF(Ch3_PartyEquip,"="&amp;DraftAnimal11,Ch3_InventoryWeights)++SUMIF(Ch4_PartyEquip,"="&amp;DraftAnimal11,Ch4_InventoryWeights)++SUMIF(Ch5_PartyEquip,"="&amp;DraftAnimal11,Ch5_InventoryWeights)+SUMIF(Ch6_PartyEquip,"="&amp;DraftAnimal11,Ch6_InventoryWeights)+SUMIF(Ch7_PartyEquip,"="&amp;DraftAnimal11,Ch7_InventoryWeights)+SUMIF(Ch8_PartyEquip,"="&amp;DraftAnimal11,Ch8_InventoryWeights)+SUMIF(Ch9_PartyEquip,"="&amp;DraftAnimal11,Ch9_InventoryWeights)</f>
        <v>0</v>
      </c>
      <c r="R89" s="503"/>
    </row>
    <row r="90" ht="18.75" customHeight="1">
      <c r="A90" s="513"/>
      <c r="B90" s="531"/>
      <c r="C90" s="202"/>
      <c r="D90" s="202"/>
      <c r="E90" s="202"/>
      <c r="F90" s="532"/>
      <c r="G90" s="233"/>
      <c r="H90" s="508"/>
      <c r="M90" s="510" t="str">
        <f t="shared" si="2"/>
        <v/>
      </c>
      <c r="N90" s="214">
        <f>IFERROR(VLOOKUP(F90,PartyStorage,2, FALSE),0)</f>
        <v>0</v>
      </c>
      <c r="O90" s="577" t="str">
        <f>IF(ISBLANK(Draft12Size),"",VLOOKUP(Draft12Size,SizeMultipliers,2, FALSE))</f>
        <v/>
      </c>
      <c r="R90" s="182"/>
    </row>
    <row r="91" ht="18.75" customHeight="1">
      <c r="A91" s="513"/>
      <c r="B91" s="530"/>
      <c r="C91" s="122"/>
      <c r="D91" s="122"/>
      <c r="E91" s="122"/>
      <c r="F91" s="519"/>
      <c r="G91" s="520"/>
      <c r="H91" s="522"/>
      <c r="M91" s="510" t="str">
        <f t="shared" si="2"/>
        <v/>
      </c>
      <c r="N91" s="214">
        <f>IFERROR(VLOOKUP(F91,PartyStorage,2, FALSE),0)</f>
        <v>0</v>
      </c>
      <c r="O91" s="51" t="str">
        <f>IF(ISBLANK(DraftAnimal12),"Draft Animal 12",DraftAnimal12)&amp;"'s Encumbrance"</f>
        <v>Draft Animal 12's Encumbrance</v>
      </c>
      <c r="P91" s="77"/>
      <c r="Q91" s="79"/>
      <c r="R91" s="541" t="str">
        <f>DraftAnimal12</f>
        <v/>
      </c>
    </row>
    <row r="92" ht="18.75" customHeight="1">
      <c r="A92" s="513"/>
      <c r="B92" s="531"/>
      <c r="C92" s="202"/>
      <c r="D92" s="202"/>
      <c r="E92" s="202"/>
      <c r="F92" s="532"/>
      <c r="G92" s="233"/>
      <c r="H92" s="508"/>
      <c r="M92" s="510" t="str">
        <f t="shared" si="2"/>
        <v/>
      </c>
      <c r="N92" s="214">
        <f>IFERROR(VLOOKUP(F92,PartyStorage,2, FALSE),0)</f>
        <v>0</v>
      </c>
      <c r="O92" s="210" t="s">
        <v>60</v>
      </c>
      <c r="Q92" s="384">
        <f>Draft12Str*Draft12SizeMult*5</f>
        <v>0</v>
      </c>
      <c r="R92" s="386"/>
    </row>
    <row r="93" ht="18.75" customHeight="1">
      <c r="A93" s="513"/>
      <c r="B93" s="530"/>
      <c r="C93" s="122"/>
      <c r="D93" s="122"/>
      <c r="E93" s="122"/>
      <c r="F93" s="519"/>
      <c r="G93" s="520"/>
      <c r="H93" s="522"/>
      <c r="M93" s="510" t="str">
        <f t="shared" si="2"/>
        <v/>
      </c>
      <c r="N93" s="214">
        <f>IFERROR(VLOOKUP(F93,PartyStorage,2, FALSE),0)</f>
        <v>0</v>
      </c>
      <c r="O93" s="394" t="s">
        <v>64</v>
      </c>
      <c r="Q93" s="399">
        <f>Draft12Str*Draft12SizeMult*10</f>
        <v>0</v>
      </c>
      <c r="R93" s="386"/>
    </row>
    <row r="94" ht="18.75" customHeight="1">
      <c r="A94" s="513"/>
      <c r="B94" s="531"/>
      <c r="C94" s="202"/>
      <c r="D94" s="202"/>
      <c r="E94" s="202"/>
      <c r="F94" s="532"/>
      <c r="G94" s="233"/>
      <c r="H94" s="508"/>
      <c r="M94" s="510" t="str">
        <f t="shared" si="2"/>
        <v/>
      </c>
      <c r="N94" s="214">
        <f>IFERROR(VLOOKUP(F94,PartyStorage,2, FALSE),0)</f>
        <v>0</v>
      </c>
      <c r="O94" s="210" t="s">
        <v>7</v>
      </c>
      <c r="Q94" s="384">
        <f>Draft12Str*Draft12SizeMult*15</f>
        <v>0</v>
      </c>
      <c r="R94" s="386"/>
    </row>
    <row r="95" ht="18.75" customHeight="1">
      <c r="A95" s="513"/>
      <c r="B95" s="530"/>
      <c r="C95" s="122"/>
      <c r="D95" s="122"/>
      <c r="E95" s="122"/>
      <c r="F95" s="519"/>
      <c r="G95" s="520"/>
      <c r="H95" s="522"/>
      <c r="M95" s="510" t="str">
        <f t="shared" si="2"/>
        <v/>
      </c>
      <c r="N95" s="214">
        <f>IFERROR(VLOOKUP(F95,PartyStorage,2, FALSE),0)</f>
        <v>0</v>
      </c>
      <c r="O95" s="394" t="s">
        <v>68</v>
      </c>
      <c r="Q95" s="399">
        <f>Draft12Str*Draft12SizeMult*30</f>
        <v>0</v>
      </c>
      <c r="R95" s="386"/>
    </row>
    <row r="96" ht="18.75" customHeight="1">
      <c r="A96" s="513"/>
      <c r="B96" s="531"/>
      <c r="C96" s="202"/>
      <c r="D96" s="202"/>
      <c r="E96" s="202"/>
      <c r="F96" s="532"/>
      <c r="G96" s="233"/>
      <c r="H96" s="508"/>
      <c r="M96" s="510" t="str">
        <f t="shared" si="2"/>
        <v/>
      </c>
      <c r="N96" s="214">
        <f>IFERROR(VLOOKUP(F96,PartyStorage,2, FALSE),0)</f>
        <v>0</v>
      </c>
      <c r="O96" s="240" t="s">
        <v>45</v>
      </c>
      <c r="P96" s="569"/>
      <c r="Q96" s="501">
        <f t="array" ref="Q96">SUMIF(PartyEquipStatus,"="&amp;DraftAnimal12,PartyInventoryWeights)+SUMIF(Ch1_PartyEquip,"="&amp;DraftAnimal12,Ch1_InventoryWeights)+SUMIF(Ch2_PartyEquip,"="&amp;DraftAnimal12,Ch2_InventoryWeights)++SUMIF(Ch3_PartyEquip,"="&amp;DraftAnimal12,Ch3_InventoryWeights)++SUMIF(Ch4_PartyEquip,"="&amp;DraftAnimal12,Ch4_InventoryWeights)++SUMIF(Ch5_PartyEquip,"="&amp;DraftAnimal12,Ch5_InventoryWeights)+SUMIF(Ch6_PartyEquip,"="&amp;DraftAnimal12,Ch6_InventoryWeights)+SUMIF(Ch7_PartyEquip,"="&amp;DraftAnimal12,Ch7_InventoryWeights)+SUMIF(Ch8_PartyEquip,"="&amp;DraftAnimal12,Ch8_InventoryWeights)+SUMIF(Ch9_PartyEquip,"="&amp;DraftAnimal12,Ch9_InventoryWeights)</f>
        <v>0</v>
      </c>
      <c r="R96" s="503"/>
    </row>
    <row r="97" ht="18.75" customHeight="1">
      <c r="A97" s="513"/>
      <c r="B97" s="530"/>
      <c r="C97" s="122"/>
      <c r="D97" s="122"/>
      <c r="E97" s="122"/>
      <c r="F97" s="519"/>
      <c r="G97" s="520"/>
      <c r="H97" s="522"/>
      <c r="M97" s="510" t="str">
        <f t="shared" si="2"/>
        <v/>
      </c>
      <c r="N97" s="214">
        <f>IFERROR(VLOOKUP(F97,PartyStorage,2, FALSE),0)</f>
        <v>0</v>
      </c>
      <c r="O97" s="602" t="s">
        <v>83</v>
      </c>
      <c r="P97" s="603"/>
      <c r="Q97" s="603"/>
      <c r="R97" s="182"/>
    </row>
    <row r="98" ht="18.75" customHeight="1">
      <c r="A98" s="513"/>
      <c r="B98" s="531"/>
      <c r="C98" s="202"/>
      <c r="D98" s="202"/>
      <c r="E98" s="202"/>
      <c r="F98" s="532"/>
      <c r="G98" s="233"/>
      <c r="H98" s="508"/>
      <c r="M98" s="510" t="str">
        <f t="shared" si="2"/>
        <v/>
      </c>
      <c r="N98" s="214">
        <f>IFERROR(VLOOKUP(F98,PartyStorage,2, FALSE),0)</f>
        <v>0</v>
      </c>
      <c r="O98" s="71" t="str">
        <f>IMAGE(O97,1)</f>
        <v/>
      </c>
      <c r="R98" s="182"/>
    </row>
    <row r="99" ht="18.75" customHeight="1">
      <c r="A99" s="513"/>
      <c r="B99" s="530"/>
      <c r="C99" s="122"/>
      <c r="D99" s="122"/>
      <c r="E99" s="122"/>
      <c r="F99" s="519"/>
      <c r="G99" s="520"/>
      <c r="H99" s="522"/>
      <c r="M99" s="510" t="str">
        <f t="shared" si="2"/>
        <v/>
      </c>
      <c r="N99" s="214">
        <f>IFERROR(VLOOKUP(F99,PartyStorage,2, FALSE),0)</f>
        <v>0</v>
      </c>
      <c r="R99" s="182"/>
    </row>
    <row r="100" ht="18.75" customHeight="1">
      <c r="A100" s="513"/>
      <c r="B100" s="531"/>
      <c r="C100" s="202"/>
      <c r="D100" s="202"/>
      <c r="E100" s="202"/>
      <c r="F100" s="532"/>
      <c r="G100" s="233"/>
      <c r="H100" s="508"/>
      <c r="M100" s="510" t="str">
        <f t="shared" si="2"/>
        <v/>
      </c>
      <c r="N100" s="214">
        <f>IFERROR(VLOOKUP(F100,PartyStorage,2, FALSE),0)</f>
        <v>0</v>
      </c>
      <c r="R100" s="182"/>
    </row>
    <row r="101" ht="18.75" customHeight="1">
      <c r="A101" s="513"/>
      <c r="B101" s="530"/>
      <c r="C101" s="122"/>
      <c r="D101" s="122"/>
      <c r="E101" s="122"/>
      <c r="F101" s="519"/>
      <c r="G101" s="520"/>
      <c r="H101" s="522"/>
      <c r="M101" s="510" t="str">
        <f t="shared" si="2"/>
        <v/>
      </c>
      <c r="N101" s="214">
        <f>IFERROR(VLOOKUP(F101,PartyStorage,2, FALSE),0)</f>
        <v>0</v>
      </c>
      <c r="R101" s="182"/>
    </row>
    <row r="102" ht="18.75" customHeight="1">
      <c r="A102" s="513"/>
      <c r="B102" s="531"/>
      <c r="C102" s="202"/>
      <c r="D102" s="202"/>
      <c r="E102" s="202"/>
      <c r="F102" s="532"/>
      <c r="G102" s="233"/>
      <c r="H102" s="508"/>
      <c r="M102" s="510" t="str">
        <f t="shared" si="2"/>
        <v/>
      </c>
      <c r="N102" s="214">
        <f>IFERROR(VLOOKUP(F102,PartyStorage,2, FALSE),0)</f>
        <v>0</v>
      </c>
      <c r="R102" s="182"/>
    </row>
    <row r="103" ht="18.75" customHeight="1">
      <c r="A103" s="513"/>
      <c r="B103" s="530"/>
      <c r="C103" s="122"/>
      <c r="D103" s="122"/>
      <c r="E103" s="122"/>
      <c r="F103" s="519"/>
      <c r="G103" s="520"/>
      <c r="H103" s="522"/>
      <c r="M103" s="510" t="str">
        <f t="shared" si="2"/>
        <v/>
      </c>
      <c r="N103" s="214">
        <f>IFERROR(VLOOKUP(F103,PartyStorage,2, FALSE),0)</f>
        <v>0</v>
      </c>
      <c r="R103" s="182"/>
    </row>
    <row r="104" ht="18.75" customHeight="1">
      <c r="A104" s="513"/>
      <c r="B104" s="531"/>
      <c r="C104" s="202"/>
      <c r="D104" s="202"/>
      <c r="E104" s="202"/>
      <c r="F104" s="532"/>
      <c r="G104" s="233"/>
      <c r="H104" s="508"/>
      <c r="M104" s="510" t="str">
        <f t="shared" si="2"/>
        <v/>
      </c>
      <c r="N104" s="214">
        <f>IFERROR(VLOOKUP(F104,PartyStorage,2, FALSE),0)</f>
        <v>0</v>
      </c>
      <c r="R104" s="182"/>
    </row>
    <row r="105" ht="18.75" customHeight="1">
      <c r="A105" s="513"/>
      <c r="B105" s="530"/>
      <c r="C105" s="122"/>
      <c r="D105" s="122"/>
      <c r="E105" s="122"/>
      <c r="F105" s="519"/>
      <c r="G105" s="520"/>
      <c r="H105" s="522"/>
      <c r="M105" s="510" t="str">
        <f t="shared" si="2"/>
        <v/>
      </c>
      <c r="N105" s="214">
        <f>IFERROR(VLOOKUP(F105,PartyStorage,2, FALSE),0)</f>
        <v>0</v>
      </c>
      <c r="R105" s="182"/>
    </row>
    <row r="106" ht="18.75" customHeight="1">
      <c r="A106" s="513"/>
      <c r="B106" s="531"/>
      <c r="C106" s="202"/>
      <c r="D106" s="202"/>
      <c r="E106" s="202"/>
      <c r="F106" s="532"/>
      <c r="G106" s="233"/>
      <c r="H106" s="508"/>
      <c r="M106" s="510" t="str">
        <f t="shared" si="2"/>
        <v/>
      </c>
      <c r="N106" s="214">
        <f>IFERROR(VLOOKUP(F106,PartyStorage,2, FALSE),0)</f>
        <v>0</v>
      </c>
      <c r="R106" s="182"/>
    </row>
    <row r="107" ht="18.75" customHeight="1">
      <c r="A107" s="513"/>
      <c r="B107" s="530"/>
      <c r="C107" s="122"/>
      <c r="D107" s="122"/>
      <c r="E107" s="122"/>
      <c r="F107" s="519"/>
      <c r="G107" s="520"/>
      <c r="H107" s="522"/>
      <c r="M107" s="510" t="str">
        <f t="shared" si="2"/>
        <v/>
      </c>
      <c r="N107" s="214">
        <f>IFERROR(VLOOKUP(F107,PartyStorage,2, FALSE),0)</f>
        <v>0</v>
      </c>
      <c r="R107" s="182"/>
    </row>
    <row r="108" ht="18.75" customHeight="1">
      <c r="A108" s="513"/>
      <c r="B108" s="531"/>
      <c r="C108" s="202"/>
      <c r="D108" s="202"/>
      <c r="E108" s="202"/>
      <c r="F108" s="532"/>
      <c r="G108" s="233"/>
      <c r="H108" s="508"/>
      <c r="M108" s="510" t="str">
        <f t="shared" si="2"/>
        <v/>
      </c>
      <c r="N108" s="214">
        <f>IFERROR(VLOOKUP(F108,PartyStorage,2, FALSE),0)</f>
        <v>0</v>
      </c>
      <c r="R108" s="182"/>
    </row>
    <row r="109" ht="18.75" customHeight="1">
      <c r="A109" s="513"/>
      <c r="B109" s="530"/>
      <c r="C109" s="122"/>
      <c r="D109" s="122"/>
      <c r="E109" s="122"/>
      <c r="F109" s="519"/>
      <c r="G109" s="520"/>
      <c r="H109" s="522"/>
      <c r="M109" s="510" t="str">
        <f t="shared" si="2"/>
        <v/>
      </c>
      <c r="N109" s="214">
        <f>IFERROR(VLOOKUP(F109,PartyStorage,2, FALSE),0)</f>
        <v>0</v>
      </c>
      <c r="R109" s="182"/>
    </row>
    <row r="110" ht="18.75" customHeight="1">
      <c r="A110" s="513"/>
      <c r="B110" s="531"/>
      <c r="C110" s="202"/>
      <c r="D110" s="202"/>
      <c r="E110" s="202"/>
      <c r="F110" s="532"/>
      <c r="G110" s="233"/>
      <c r="H110" s="508"/>
      <c r="M110" s="510" t="str">
        <f t="shared" si="2"/>
        <v/>
      </c>
      <c r="N110" s="214">
        <f>IFERROR(VLOOKUP(F110,PartyStorage,2, FALSE),0)</f>
        <v>0</v>
      </c>
      <c r="R110" s="182"/>
    </row>
    <row r="111" ht="18.75" customHeight="1">
      <c r="A111" s="513"/>
      <c r="B111" s="530"/>
      <c r="C111" s="122"/>
      <c r="D111" s="122"/>
      <c r="E111" s="122"/>
      <c r="F111" s="519"/>
      <c r="G111" s="520"/>
      <c r="H111" s="522"/>
      <c r="M111" s="510" t="str">
        <f t="shared" si="2"/>
        <v/>
      </c>
      <c r="N111" s="214">
        <f>IFERROR(VLOOKUP(F111,PartyStorage,2, FALSE),0)</f>
        <v>0</v>
      </c>
      <c r="R111" s="182"/>
    </row>
    <row r="112" ht="18.75" customHeight="1">
      <c r="A112" s="513"/>
      <c r="B112" s="531"/>
      <c r="C112" s="202"/>
      <c r="D112" s="202"/>
      <c r="E112" s="202"/>
      <c r="F112" s="532"/>
      <c r="G112" s="233"/>
      <c r="H112" s="508"/>
      <c r="M112" s="510" t="str">
        <f t="shared" si="2"/>
        <v/>
      </c>
      <c r="N112" s="214">
        <f>IFERROR(VLOOKUP(F112,PartyStorage,2, FALSE),0)</f>
        <v>0</v>
      </c>
      <c r="R112" s="182"/>
    </row>
    <row r="113" ht="18.75" customHeight="1">
      <c r="A113" s="513"/>
      <c r="B113" s="530"/>
      <c r="C113" s="122"/>
      <c r="D113" s="122"/>
      <c r="E113" s="122"/>
      <c r="F113" s="519"/>
      <c r="G113" s="520"/>
      <c r="H113" s="522"/>
      <c r="M113" s="510" t="str">
        <f t="shared" si="2"/>
        <v/>
      </c>
      <c r="N113" s="214">
        <f>IFERROR(VLOOKUP(F113,PartyStorage,2, FALSE),0)</f>
        <v>0</v>
      </c>
      <c r="R113" s="182"/>
    </row>
    <row r="114" ht="18.75" customHeight="1">
      <c r="A114" s="513"/>
      <c r="B114" s="531"/>
      <c r="C114" s="202"/>
      <c r="D114" s="202"/>
      <c r="E114" s="202"/>
      <c r="F114" s="532"/>
      <c r="G114" s="233"/>
      <c r="H114" s="508"/>
      <c r="M114" s="510" t="str">
        <f t="shared" si="2"/>
        <v/>
      </c>
      <c r="N114" s="214">
        <f>IFERROR(VLOOKUP(F114,PartyStorage,2, FALSE),0)</f>
        <v>0</v>
      </c>
      <c r="R114" s="182"/>
    </row>
    <row r="115" ht="18.75" customHeight="1">
      <c r="A115" s="513"/>
      <c r="B115" s="530"/>
      <c r="C115" s="122"/>
      <c r="D115" s="122"/>
      <c r="E115" s="122"/>
      <c r="F115" s="519"/>
      <c r="G115" s="520"/>
      <c r="H115" s="522"/>
      <c r="M115" s="510" t="str">
        <f t="shared" si="2"/>
        <v/>
      </c>
      <c r="N115" s="214">
        <f>IFERROR(VLOOKUP(F115,PartyStorage,2, FALSE),0)</f>
        <v>0</v>
      </c>
      <c r="R115" s="182"/>
    </row>
    <row r="116" ht="18.75" customHeight="1">
      <c r="A116" s="513"/>
      <c r="B116" s="531"/>
      <c r="C116" s="202"/>
      <c r="D116" s="202"/>
      <c r="E116" s="202"/>
      <c r="F116" s="532"/>
      <c r="G116" s="233"/>
      <c r="H116" s="508"/>
      <c r="M116" s="510" t="str">
        <f t="shared" si="2"/>
        <v/>
      </c>
      <c r="N116" s="214">
        <f>IFERROR(VLOOKUP(F116,PartyStorage,2, FALSE),0)</f>
        <v>0</v>
      </c>
      <c r="O116" s="4" t="s">
        <v>84</v>
      </c>
      <c r="P116" s="71"/>
      <c r="Q116" s="71"/>
      <c r="R116" s="182"/>
    </row>
    <row r="117" ht="18.75" customHeight="1">
      <c r="A117" s="513"/>
      <c r="B117" s="530"/>
      <c r="C117" s="122"/>
      <c r="D117" s="122"/>
      <c r="E117" s="122"/>
      <c r="F117" s="519"/>
      <c r="G117" s="520"/>
      <c r="H117" s="522"/>
      <c r="M117" s="510" t="str">
        <f t="shared" si="2"/>
        <v/>
      </c>
      <c r="N117" s="214">
        <f>IFERROR(VLOOKUP(F117,PartyStorage,2, FALSE),0)</f>
        <v>0</v>
      </c>
      <c r="O117" s="604" t="str">
        <f>IMAGE(O116,1)</f>
        <v/>
      </c>
      <c r="R117" s="182"/>
    </row>
    <row r="118" ht="18.75" customHeight="1">
      <c r="A118" s="513"/>
      <c r="B118" s="531"/>
      <c r="C118" s="202"/>
      <c r="D118" s="202"/>
      <c r="E118" s="202"/>
      <c r="F118" s="532"/>
      <c r="G118" s="233"/>
      <c r="H118" s="508"/>
      <c r="M118" s="510" t="str">
        <f t="shared" si="2"/>
        <v/>
      </c>
      <c r="N118" s="214">
        <f>IFERROR(VLOOKUP(F118,PartyStorage,2, FALSE),0)</f>
        <v>0</v>
      </c>
      <c r="R118" s="182"/>
    </row>
    <row r="119" ht="18.75" customHeight="1">
      <c r="A119" s="513"/>
      <c r="B119" s="530"/>
      <c r="C119" s="122"/>
      <c r="D119" s="122"/>
      <c r="E119" s="122"/>
      <c r="F119" s="519"/>
      <c r="G119" s="520"/>
      <c r="H119" s="522"/>
      <c r="M119" s="510" t="str">
        <f t="shared" si="2"/>
        <v/>
      </c>
      <c r="N119" s="214">
        <f>IFERROR(VLOOKUP(F119,PartyStorage,2, FALSE),0)</f>
        <v>0</v>
      </c>
      <c r="R119" s="182"/>
    </row>
    <row r="120" ht="18.75" customHeight="1">
      <c r="A120" s="513"/>
      <c r="B120" s="531"/>
      <c r="C120" s="202"/>
      <c r="D120" s="202"/>
      <c r="E120" s="202"/>
      <c r="F120" s="532"/>
      <c r="G120" s="233"/>
      <c r="H120" s="508"/>
      <c r="M120" s="510" t="str">
        <f t="shared" si="2"/>
        <v/>
      </c>
      <c r="N120" s="214">
        <f>IFERROR(VLOOKUP(F120,PartyStorage,2, FALSE),0)</f>
        <v>0</v>
      </c>
      <c r="R120" s="182"/>
    </row>
    <row r="121" ht="18.75" customHeight="1">
      <c r="A121" s="513"/>
      <c r="B121" s="530"/>
      <c r="C121" s="122"/>
      <c r="D121" s="122"/>
      <c r="E121" s="122"/>
      <c r="F121" s="519"/>
      <c r="G121" s="520"/>
      <c r="H121" s="522"/>
      <c r="M121" s="510" t="str">
        <f t="shared" si="2"/>
        <v/>
      </c>
      <c r="N121" s="214">
        <f>IFERROR(VLOOKUP(F121,PartyStorage,2, FALSE),0)</f>
        <v>0</v>
      </c>
      <c r="R121" s="182"/>
    </row>
    <row r="122" ht="18.75" customHeight="1">
      <c r="A122" s="513"/>
      <c r="B122" s="531"/>
      <c r="C122" s="202"/>
      <c r="D122" s="202"/>
      <c r="E122" s="202"/>
      <c r="F122" s="532"/>
      <c r="G122" s="233"/>
      <c r="H122" s="508"/>
      <c r="M122" s="510" t="str">
        <f t="shared" si="2"/>
        <v/>
      </c>
      <c r="N122" s="214">
        <f>IFERROR(VLOOKUP(F122,PartyStorage,2, FALSE),0)</f>
        <v>0</v>
      </c>
      <c r="R122" s="182"/>
    </row>
    <row r="123" ht="18.75" customHeight="1">
      <c r="A123" s="513"/>
      <c r="B123" s="530"/>
      <c r="C123" s="122"/>
      <c r="D123" s="122"/>
      <c r="E123" s="122"/>
      <c r="F123" s="519"/>
      <c r="G123" s="520"/>
      <c r="H123" s="522"/>
      <c r="M123" s="510" t="str">
        <f t="shared" si="2"/>
        <v/>
      </c>
      <c r="N123" s="214">
        <f>IFERROR(VLOOKUP(F123,PartyStorage,2, FALSE),0)</f>
        <v>0</v>
      </c>
      <c r="R123" s="182"/>
    </row>
    <row r="124" ht="18.75" customHeight="1">
      <c r="A124" s="513"/>
      <c r="B124" s="531"/>
      <c r="C124" s="202"/>
      <c r="D124" s="202"/>
      <c r="E124" s="202"/>
      <c r="F124" s="532"/>
      <c r="G124" s="233"/>
      <c r="H124" s="508"/>
      <c r="M124" s="510" t="str">
        <f t="shared" si="2"/>
        <v/>
      </c>
      <c r="N124" s="214">
        <f>IFERROR(VLOOKUP(F124,PartyStorage,2, FALSE),0)</f>
        <v>0</v>
      </c>
      <c r="R124" s="182"/>
    </row>
    <row r="125" ht="18.75" customHeight="1">
      <c r="A125" s="513"/>
      <c r="B125" s="530"/>
      <c r="C125" s="122"/>
      <c r="D125" s="122"/>
      <c r="E125" s="122"/>
      <c r="F125" s="519"/>
      <c r="G125" s="520"/>
      <c r="H125" s="522"/>
      <c r="M125" s="510" t="str">
        <f t="shared" si="2"/>
        <v/>
      </c>
      <c r="N125" s="214">
        <f>IFERROR(VLOOKUP(F125,PartyStorage,2, FALSE),0)</f>
        <v>0</v>
      </c>
      <c r="R125" s="182"/>
    </row>
    <row r="126" ht="18.75" customHeight="1">
      <c r="A126" s="513"/>
      <c r="B126" s="531"/>
      <c r="C126" s="202"/>
      <c r="D126" s="202"/>
      <c r="E126" s="202"/>
      <c r="F126" s="532"/>
      <c r="G126" s="233"/>
      <c r="H126" s="508"/>
      <c r="M126" s="510" t="str">
        <f t="shared" si="2"/>
        <v/>
      </c>
      <c r="N126" s="214">
        <f>IFERROR(VLOOKUP(F126,PartyStorage,2, FALSE),0)</f>
        <v>0</v>
      </c>
      <c r="R126" s="182"/>
    </row>
    <row r="127" ht="18.75" customHeight="1">
      <c r="A127" s="513"/>
      <c r="B127" s="530"/>
      <c r="C127" s="122"/>
      <c r="D127" s="122"/>
      <c r="E127" s="122"/>
      <c r="F127" s="519"/>
      <c r="G127" s="520"/>
      <c r="H127" s="522"/>
      <c r="M127" s="510" t="str">
        <f t="shared" si="2"/>
        <v/>
      </c>
      <c r="N127" s="214">
        <f>IFERROR(VLOOKUP(F127,PartyStorage,2, FALSE),0)</f>
        <v>0</v>
      </c>
      <c r="R127" s="182"/>
    </row>
    <row r="128" ht="18.75" customHeight="1">
      <c r="A128" s="513"/>
      <c r="B128" s="531"/>
      <c r="C128" s="202"/>
      <c r="D128" s="202"/>
      <c r="E128" s="202"/>
      <c r="F128" s="532"/>
      <c r="G128" s="233"/>
      <c r="H128" s="508"/>
      <c r="M128" s="510" t="str">
        <f t="shared" si="2"/>
        <v/>
      </c>
      <c r="N128" s="214">
        <f>IFERROR(VLOOKUP(F128,PartyStorage,2, FALSE),0)</f>
        <v>0</v>
      </c>
      <c r="R128" s="182"/>
    </row>
    <row r="129" ht="18.75" customHeight="1">
      <c r="A129" s="513"/>
      <c r="B129" s="530"/>
      <c r="C129" s="122"/>
      <c r="D129" s="122"/>
      <c r="E129" s="122"/>
      <c r="F129" s="519"/>
      <c r="G129" s="520"/>
      <c r="H129" s="522"/>
      <c r="M129" s="510" t="str">
        <f t="shared" si="2"/>
        <v/>
      </c>
      <c r="N129" s="214">
        <f>IFERROR(VLOOKUP(F129,PartyStorage,2, FALSE),0)</f>
        <v>0</v>
      </c>
      <c r="R129" s="182"/>
    </row>
    <row r="130" ht="18.75" customHeight="1">
      <c r="A130" s="513"/>
      <c r="B130" s="531"/>
      <c r="C130" s="202"/>
      <c r="D130" s="202"/>
      <c r="E130" s="202"/>
      <c r="F130" s="532"/>
      <c r="G130" s="233"/>
      <c r="H130" s="508"/>
      <c r="M130" s="510" t="str">
        <f t="shared" si="2"/>
        <v/>
      </c>
      <c r="N130" s="214">
        <f>IFERROR(VLOOKUP(F130,PartyStorage,2, FALSE),0)</f>
        <v>0</v>
      </c>
      <c r="R130" s="182"/>
    </row>
    <row r="131" ht="18.75" customHeight="1">
      <c r="A131" s="513"/>
      <c r="B131" s="530"/>
      <c r="C131" s="122"/>
      <c r="D131" s="122"/>
      <c r="E131" s="122"/>
      <c r="F131" s="519"/>
      <c r="G131" s="520"/>
      <c r="H131" s="522"/>
      <c r="M131" s="510" t="str">
        <f t="shared" si="2"/>
        <v/>
      </c>
      <c r="N131" s="214">
        <f>IFERROR(VLOOKUP(F131,PartyStorage,2, FALSE),0)</f>
        <v>0</v>
      </c>
      <c r="O131" s="605" t="s">
        <v>85</v>
      </c>
      <c r="P131" s="71"/>
      <c r="Q131" s="71"/>
      <c r="R131" s="182"/>
    </row>
    <row r="132" ht="18.75" customHeight="1">
      <c r="A132" s="513"/>
      <c r="B132" s="531"/>
      <c r="C132" s="202"/>
      <c r="D132" s="202"/>
      <c r="E132" s="202"/>
      <c r="F132" s="532"/>
      <c r="G132" s="233"/>
      <c r="H132" s="508"/>
      <c r="M132" s="510" t="str">
        <f t="shared" si="2"/>
        <v/>
      </c>
      <c r="N132" s="214">
        <f>IFERROR(VLOOKUP(F132,PartyStorage,2, FALSE),0)</f>
        <v>0</v>
      </c>
      <c r="O132" s="71" t="str">
        <f>IMAGE(O131,1)</f>
        <v/>
      </c>
      <c r="R132" s="182"/>
    </row>
    <row r="133" ht="18.75" customHeight="1">
      <c r="A133" s="513"/>
      <c r="B133" s="530"/>
      <c r="C133" s="122"/>
      <c r="D133" s="122"/>
      <c r="E133" s="122"/>
      <c r="F133" s="519"/>
      <c r="G133" s="520"/>
      <c r="H133" s="522"/>
      <c r="M133" s="510" t="str">
        <f t="shared" si="2"/>
        <v/>
      </c>
      <c r="N133" s="214">
        <f>IFERROR(VLOOKUP(F133,PartyStorage,2, FALSE),0)</f>
        <v>0</v>
      </c>
      <c r="R133" s="182"/>
    </row>
    <row r="134" ht="18.75" customHeight="1">
      <c r="A134" s="513"/>
      <c r="B134" s="531"/>
      <c r="C134" s="202"/>
      <c r="D134" s="202"/>
      <c r="E134" s="202"/>
      <c r="F134" s="532"/>
      <c r="G134" s="233"/>
      <c r="H134" s="508"/>
      <c r="M134" s="510" t="str">
        <f t="shared" si="2"/>
        <v/>
      </c>
      <c r="N134" s="214">
        <f>IFERROR(VLOOKUP(F134,PartyStorage,2, FALSE),0)</f>
        <v>0</v>
      </c>
      <c r="R134" s="182"/>
    </row>
    <row r="135" ht="18.75" customHeight="1">
      <c r="A135" s="513"/>
      <c r="B135" s="530"/>
      <c r="C135" s="122"/>
      <c r="D135" s="122"/>
      <c r="E135" s="122"/>
      <c r="F135" s="519"/>
      <c r="G135" s="520"/>
      <c r="H135" s="522"/>
      <c r="M135" s="510" t="str">
        <f t="shared" si="2"/>
        <v/>
      </c>
      <c r="N135" s="214">
        <f>IFERROR(VLOOKUP(F135,PartyStorage,2, FALSE),0)</f>
        <v>0</v>
      </c>
      <c r="R135" s="182"/>
    </row>
    <row r="136" ht="18.75" customHeight="1">
      <c r="A136" s="513"/>
      <c r="B136" s="531"/>
      <c r="C136" s="202"/>
      <c r="D136" s="202"/>
      <c r="E136" s="202"/>
      <c r="F136" s="532"/>
      <c r="G136" s="233"/>
      <c r="H136" s="508"/>
      <c r="M136" s="510" t="str">
        <f t="shared" si="2"/>
        <v/>
      </c>
      <c r="N136" s="214">
        <f>IFERROR(VLOOKUP(F136,PartyStorage,2, FALSE),0)</f>
        <v>0</v>
      </c>
      <c r="R136" s="182"/>
    </row>
    <row r="137" ht="18.75" customHeight="1">
      <c r="A137" s="513"/>
      <c r="B137" s="530"/>
      <c r="C137" s="122"/>
      <c r="D137" s="122"/>
      <c r="E137" s="122"/>
      <c r="F137" s="519"/>
      <c r="G137" s="520"/>
      <c r="H137" s="522"/>
      <c r="M137" s="510" t="str">
        <f t="shared" si="2"/>
        <v/>
      </c>
      <c r="N137" s="214">
        <f>IFERROR(VLOOKUP(F137,PartyStorage,2, FALSE),0)</f>
        <v>0</v>
      </c>
      <c r="R137" s="182"/>
    </row>
    <row r="138" ht="18.75" customHeight="1">
      <c r="A138" s="513"/>
      <c r="B138" s="531"/>
      <c r="C138" s="202"/>
      <c r="D138" s="202"/>
      <c r="E138" s="202"/>
      <c r="F138" s="532"/>
      <c r="G138" s="233"/>
      <c r="H138" s="508"/>
      <c r="M138" s="510" t="str">
        <f t="shared" si="2"/>
        <v/>
      </c>
      <c r="N138" s="214">
        <f>IFERROR(VLOOKUP(F138,PartyStorage,2, FALSE),0)</f>
        <v>0</v>
      </c>
      <c r="R138" s="182"/>
    </row>
    <row r="139" ht="18.75" customHeight="1">
      <c r="A139" s="513"/>
      <c r="B139" s="530"/>
      <c r="C139" s="122"/>
      <c r="D139" s="122"/>
      <c r="E139" s="122"/>
      <c r="F139" s="519"/>
      <c r="G139" s="520"/>
      <c r="H139" s="522"/>
      <c r="M139" s="510" t="str">
        <f t="shared" si="2"/>
        <v/>
      </c>
      <c r="N139" s="214">
        <f>IFERROR(VLOOKUP(F139,PartyStorage,2, FALSE),0)</f>
        <v>0</v>
      </c>
      <c r="R139" s="182"/>
    </row>
    <row r="140" ht="18.75" customHeight="1">
      <c r="A140" s="513"/>
      <c r="B140" s="531"/>
      <c r="C140" s="202"/>
      <c r="D140" s="202"/>
      <c r="E140" s="202"/>
      <c r="F140" s="532"/>
      <c r="G140" s="233"/>
      <c r="H140" s="508"/>
      <c r="M140" s="510" t="str">
        <f t="shared" si="2"/>
        <v/>
      </c>
      <c r="N140" s="214">
        <f>IFERROR(VLOOKUP(F140,PartyStorage,2, FALSE),0)</f>
        <v>0</v>
      </c>
      <c r="R140" s="182"/>
    </row>
    <row r="141" ht="18.75" customHeight="1">
      <c r="A141" s="513"/>
      <c r="B141" s="530"/>
      <c r="C141" s="122"/>
      <c r="D141" s="122"/>
      <c r="E141" s="122"/>
      <c r="F141" s="519"/>
      <c r="G141" s="520"/>
      <c r="H141" s="522"/>
      <c r="M141" s="510" t="str">
        <f t="shared" si="2"/>
        <v/>
      </c>
      <c r="N141" s="214">
        <f>IFERROR(VLOOKUP(F141,PartyStorage,2, FALSE),0)</f>
        <v>0</v>
      </c>
      <c r="R141" s="182"/>
    </row>
    <row r="142" ht="18.75" customHeight="1">
      <c r="A142" s="513"/>
      <c r="B142" s="531"/>
      <c r="C142" s="202"/>
      <c r="D142" s="202"/>
      <c r="E142" s="202"/>
      <c r="F142" s="532"/>
      <c r="G142" s="233"/>
      <c r="H142" s="508"/>
      <c r="M142" s="510" t="str">
        <f t="shared" si="2"/>
        <v/>
      </c>
      <c r="N142" s="214">
        <f>IFERROR(VLOOKUP(F142,PartyStorage,2, FALSE),0)</f>
        <v>0</v>
      </c>
      <c r="R142" s="182"/>
    </row>
    <row r="143" ht="18.75" customHeight="1">
      <c r="A143" s="513"/>
      <c r="B143" s="530"/>
      <c r="C143" s="122"/>
      <c r="D143" s="122"/>
      <c r="E143" s="122"/>
      <c r="F143" s="519"/>
      <c r="G143" s="520"/>
      <c r="H143" s="522"/>
      <c r="M143" s="510" t="str">
        <f t="shared" si="2"/>
        <v/>
      </c>
      <c r="N143" s="214">
        <f>IFERROR(VLOOKUP(F143,PartyStorage,2, FALSE),0)</f>
        <v>0</v>
      </c>
      <c r="O143" s="605" t="s">
        <v>86</v>
      </c>
      <c r="P143" s="71"/>
      <c r="Q143" s="71"/>
      <c r="R143" s="182"/>
    </row>
    <row r="144" ht="18.75" customHeight="1">
      <c r="A144" s="513"/>
      <c r="B144" s="531"/>
      <c r="C144" s="202"/>
      <c r="D144" s="202"/>
      <c r="E144" s="202"/>
      <c r="F144" s="532"/>
      <c r="G144" s="233"/>
      <c r="H144" s="508"/>
      <c r="M144" s="510" t="str">
        <f t="shared" si="2"/>
        <v/>
      </c>
      <c r="N144" s="214">
        <f>IFERROR(VLOOKUP(F144,PartyStorage,2, FALSE),0)</f>
        <v>0</v>
      </c>
      <c r="O144" s="71" t="str">
        <f>IMAGE(O143,1)</f>
        <v/>
      </c>
      <c r="R144" s="182"/>
    </row>
    <row r="145" ht="18.75" customHeight="1">
      <c r="A145" s="513"/>
      <c r="B145" s="530"/>
      <c r="C145" s="122"/>
      <c r="D145" s="122"/>
      <c r="E145" s="122"/>
      <c r="F145" s="519"/>
      <c r="G145" s="520"/>
      <c r="H145" s="522"/>
      <c r="M145" s="510" t="str">
        <f t="shared" si="2"/>
        <v/>
      </c>
      <c r="N145" s="214">
        <f>IFERROR(VLOOKUP(F145,PartyStorage,2, FALSE),0)</f>
        <v>0</v>
      </c>
      <c r="R145" s="182"/>
    </row>
    <row r="146" ht="18.75" customHeight="1">
      <c r="A146" s="513"/>
      <c r="B146" s="531"/>
      <c r="C146" s="202"/>
      <c r="D146" s="202"/>
      <c r="E146" s="202"/>
      <c r="F146" s="532"/>
      <c r="G146" s="233"/>
      <c r="H146" s="508"/>
      <c r="M146" s="510" t="str">
        <f t="shared" si="2"/>
        <v/>
      </c>
      <c r="N146" s="214">
        <f>IFERROR(VLOOKUP(F146,PartyStorage,2, FALSE),0)</f>
        <v>0</v>
      </c>
      <c r="R146" s="182"/>
    </row>
    <row r="147" ht="18.75" customHeight="1">
      <c r="A147" s="513"/>
      <c r="B147" s="530"/>
      <c r="C147" s="122"/>
      <c r="D147" s="122"/>
      <c r="E147" s="122"/>
      <c r="F147" s="519"/>
      <c r="G147" s="520"/>
      <c r="H147" s="522"/>
      <c r="M147" s="510" t="str">
        <f t="shared" si="2"/>
        <v/>
      </c>
      <c r="N147" s="214">
        <f>IFERROR(VLOOKUP(F147,PartyStorage,2, FALSE),0)</f>
        <v>0</v>
      </c>
      <c r="R147" s="182"/>
    </row>
    <row r="148" ht="18.75" customHeight="1">
      <c r="A148" s="513"/>
      <c r="B148" s="531"/>
      <c r="C148" s="202"/>
      <c r="D148" s="202"/>
      <c r="E148" s="202"/>
      <c r="F148" s="532"/>
      <c r="G148" s="233"/>
      <c r="H148" s="508"/>
      <c r="M148" s="510" t="str">
        <f t="shared" si="2"/>
        <v/>
      </c>
      <c r="N148" s="214">
        <f>IFERROR(VLOOKUP(F148,PartyStorage,2, FALSE),0)</f>
        <v>0</v>
      </c>
      <c r="R148" s="182"/>
    </row>
    <row r="149" ht="18.75" customHeight="1">
      <c r="A149" s="513"/>
      <c r="B149" s="530"/>
      <c r="C149" s="122"/>
      <c r="D149" s="122"/>
      <c r="E149" s="122"/>
      <c r="F149" s="519"/>
      <c r="G149" s="520"/>
      <c r="H149" s="522"/>
      <c r="M149" s="510" t="str">
        <f t="shared" si="2"/>
        <v/>
      </c>
      <c r="N149" s="214">
        <f>IFERROR(VLOOKUP(F149,PartyStorage,2, FALSE),0)</f>
        <v>0</v>
      </c>
      <c r="R149" s="182"/>
    </row>
    <row r="150" ht="18.75" customHeight="1">
      <c r="A150" s="513"/>
      <c r="B150" s="531"/>
      <c r="C150" s="202"/>
      <c r="D150" s="202"/>
      <c r="E150" s="202"/>
      <c r="F150" s="532"/>
      <c r="G150" s="233"/>
      <c r="H150" s="508"/>
      <c r="M150" s="510" t="str">
        <f t="shared" si="2"/>
        <v/>
      </c>
      <c r="N150" s="214">
        <f>IFERROR(VLOOKUP(F150,PartyStorage,2, FALSE),0)</f>
        <v>0</v>
      </c>
      <c r="R150" s="182"/>
    </row>
    <row r="151" ht="18.75" customHeight="1">
      <c r="A151" s="513"/>
      <c r="B151" s="530"/>
      <c r="C151" s="122"/>
      <c r="D151" s="122"/>
      <c r="E151" s="122"/>
      <c r="F151" s="519"/>
      <c r="G151" s="520"/>
      <c r="H151" s="522"/>
      <c r="M151" s="510" t="str">
        <f t="shared" si="2"/>
        <v/>
      </c>
      <c r="N151" s="214">
        <f>IFERROR(VLOOKUP(F151,PartyStorage,2, FALSE),0)</f>
        <v>0</v>
      </c>
      <c r="R151" s="182"/>
    </row>
    <row r="152" ht="18.75" customHeight="1">
      <c r="A152" s="513"/>
      <c r="B152" s="531"/>
      <c r="C152" s="202"/>
      <c r="D152" s="202"/>
      <c r="E152" s="202"/>
      <c r="F152" s="532"/>
      <c r="G152" s="233"/>
      <c r="H152" s="508"/>
      <c r="M152" s="510" t="str">
        <f t="shared" si="2"/>
        <v/>
      </c>
      <c r="N152" s="214">
        <f>IFERROR(VLOOKUP(F152,PartyStorage,2, FALSE),0)</f>
        <v>0</v>
      </c>
      <c r="R152" s="182"/>
    </row>
    <row r="153" ht="18.75" customHeight="1">
      <c r="A153" s="513"/>
      <c r="B153" s="530"/>
      <c r="C153" s="122"/>
      <c r="D153" s="122"/>
      <c r="E153" s="122"/>
      <c r="F153" s="519"/>
      <c r="G153" s="520"/>
      <c r="H153" s="522"/>
      <c r="M153" s="510" t="str">
        <f t="shared" si="2"/>
        <v/>
      </c>
      <c r="N153" s="214">
        <f>IFERROR(VLOOKUP(F153,PartyStorage,2, FALSE),0)</f>
        <v>0</v>
      </c>
      <c r="O153" s="605" t="s">
        <v>87</v>
      </c>
      <c r="P153" s="71"/>
      <c r="Q153" s="71"/>
      <c r="R153" s="182"/>
    </row>
    <row r="154" ht="18.75" customHeight="1">
      <c r="A154" s="513"/>
      <c r="B154" s="531"/>
      <c r="C154" s="202"/>
      <c r="D154" s="202"/>
      <c r="E154" s="202"/>
      <c r="F154" s="532"/>
      <c r="G154" s="233"/>
      <c r="H154" s="508"/>
      <c r="M154" s="510" t="str">
        <f t="shared" si="2"/>
        <v/>
      </c>
      <c r="N154" s="214">
        <f>IFERROR(VLOOKUP(F154,PartyStorage,2, FALSE),0)</f>
        <v>0</v>
      </c>
      <c r="O154" s="71" t="str">
        <f>IMAGE(O153,1)</f>
        <v/>
      </c>
      <c r="R154" s="182"/>
    </row>
    <row r="155" ht="18.75" customHeight="1">
      <c r="A155" s="513"/>
      <c r="B155" s="530"/>
      <c r="C155" s="122"/>
      <c r="D155" s="122"/>
      <c r="E155" s="122"/>
      <c r="F155" s="519"/>
      <c r="G155" s="520"/>
      <c r="H155" s="522"/>
      <c r="M155" s="510" t="str">
        <f t="shared" si="2"/>
        <v/>
      </c>
      <c r="N155" s="214">
        <f>IFERROR(VLOOKUP(F155,PartyStorage,2, FALSE),0)</f>
        <v>0</v>
      </c>
      <c r="R155" s="182"/>
    </row>
    <row r="156" ht="18.75" customHeight="1">
      <c r="A156" s="513"/>
      <c r="B156" s="531"/>
      <c r="C156" s="202"/>
      <c r="D156" s="202"/>
      <c r="E156" s="202"/>
      <c r="F156" s="532"/>
      <c r="G156" s="233"/>
      <c r="H156" s="508"/>
      <c r="M156" s="510" t="str">
        <f t="shared" si="2"/>
        <v/>
      </c>
      <c r="N156" s="214">
        <f>IFERROR(VLOOKUP(F156,PartyStorage,2, FALSE),0)</f>
        <v>0</v>
      </c>
      <c r="R156" s="182"/>
    </row>
    <row r="157" ht="18.75" customHeight="1">
      <c r="A157" s="513"/>
      <c r="B157" s="530"/>
      <c r="C157" s="122"/>
      <c r="D157" s="122"/>
      <c r="E157" s="122"/>
      <c r="F157" s="519"/>
      <c r="G157" s="520"/>
      <c r="H157" s="522"/>
      <c r="M157" s="510" t="str">
        <f t="shared" si="2"/>
        <v/>
      </c>
      <c r="N157" s="214">
        <f>IFERROR(VLOOKUP(F157,PartyStorage,2, FALSE),0)</f>
        <v>0</v>
      </c>
      <c r="R157" s="182"/>
    </row>
    <row r="158" ht="18.75" customHeight="1">
      <c r="A158" s="513"/>
      <c r="B158" s="531"/>
      <c r="C158" s="202"/>
      <c r="D158" s="202"/>
      <c r="E158" s="202"/>
      <c r="F158" s="532"/>
      <c r="G158" s="233"/>
      <c r="H158" s="508"/>
      <c r="M158" s="510" t="str">
        <f t="shared" si="2"/>
        <v/>
      </c>
      <c r="N158" s="214">
        <f>IFERROR(VLOOKUP(F158,PartyStorage,2, FALSE),0)</f>
        <v>0</v>
      </c>
      <c r="R158" s="182"/>
    </row>
    <row r="159" ht="18.75" customHeight="1">
      <c r="A159" s="513"/>
      <c r="B159" s="530"/>
      <c r="C159" s="122"/>
      <c r="D159" s="122"/>
      <c r="E159" s="122"/>
      <c r="F159" s="519"/>
      <c r="G159" s="520"/>
      <c r="H159" s="522"/>
      <c r="M159" s="510" t="str">
        <f t="shared" si="2"/>
        <v/>
      </c>
      <c r="N159" s="214">
        <f>IFERROR(VLOOKUP(F159,PartyStorage,2, FALSE),0)</f>
        <v>0</v>
      </c>
      <c r="R159" s="182"/>
    </row>
    <row r="160" ht="18.75" customHeight="1">
      <c r="A160" s="513"/>
      <c r="B160" s="531"/>
      <c r="C160" s="202"/>
      <c r="D160" s="202"/>
      <c r="E160" s="202"/>
      <c r="F160" s="532"/>
      <c r="G160" s="233"/>
      <c r="H160" s="508"/>
      <c r="M160" s="510" t="str">
        <f t="shared" si="2"/>
        <v/>
      </c>
      <c r="N160" s="214">
        <f>IFERROR(VLOOKUP(F160,PartyStorage,2, FALSE),0)</f>
        <v>0</v>
      </c>
      <c r="R160" s="182"/>
    </row>
    <row r="161" ht="18.75" customHeight="1">
      <c r="A161" s="513"/>
      <c r="B161" s="530"/>
      <c r="C161" s="122"/>
      <c r="D161" s="122"/>
      <c r="E161" s="122"/>
      <c r="F161" s="519"/>
      <c r="G161" s="520"/>
      <c r="H161" s="522"/>
      <c r="M161" s="510" t="str">
        <f t="shared" si="2"/>
        <v/>
      </c>
      <c r="N161" s="214">
        <f>IFERROR(VLOOKUP(F161,PartyStorage,2, FALSE),0)</f>
        <v>0</v>
      </c>
      <c r="R161" s="182"/>
    </row>
    <row r="162" ht="18.75" customHeight="1">
      <c r="A162" s="513"/>
      <c r="B162" s="531"/>
      <c r="C162" s="202"/>
      <c r="D162" s="202"/>
      <c r="E162" s="202"/>
      <c r="F162" s="532"/>
      <c r="G162" s="233"/>
      <c r="H162" s="508"/>
      <c r="M162" s="510" t="str">
        <f t="shared" si="2"/>
        <v/>
      </c>
      <c r="N162" s="214">
        <f>IFERROR(VLOOKUP(F162,PartyStorage,2, FALSE),0)</f>
        <v>0</v>
      </c>
      <c r="R162" s="182"/>
    </row>
    <row r="163" ht="18.75" customHeight="1">
      <c r="A163" s="513"/>
      <c r="B163" s="530"/>
      <c r="C163" s="122"/>
      <c r="D163" s="122"/>
      <c r="E163" s="122"/>
      <c r="F163" s="519"/>
      <c r="G163" s="520"/>
      <c r="H163" s="522"/>
      <c r="M163" s="510" t="str">
        <f t="shared" si="2"/>
        <v/>
      </c>
      <c r="N163" s="214">
        <f>IFERROR(VLOOKUP(F163,PartyStorage,2, FALSE),0)</f>
        <v>0</v>
      </c>
      <c r="R163" s="182"/>
    </row>
    <row r="164" ht="18.75" customHeight="1">
      <c r="A164" s="513"/>
      <c r="B164" s="531"/>
      <c r="C164" s="202"/>
      <c r="D164" s="202"/>
      <c r="E164" s="202"/>
      <c r="F164" s="532"/>
      <c r="G164" s="233"/>
      <c r="H164" s="508"/>
      <c r="M164" s="510" t="str">
        <f t="shared" si="2"/>
        <v/>
      </c>
      <c r="N164" s="214">
        <f>IFERROR(VLOOKUP(F164,PartyStorage,2, FALSE),0)</f>
        <v>0</v>
      </c>
      <c r="R164" s="182"/>
    </row>
    <row r="165" ht="18.75" customHeight="1">
      <c r="A165" s="513"/>
      <c r="B165" s="530"/>
      <c r="C165" s="122"/>
      <c r="D165" s="122"/>
      <c r="E165" s="122"/>
      <c r="F165" s="519"/>
      <c r="G165" s="520"/>
      <c r="H165" s="522"/>
      <c r="M165" s="510" t="str">
        <f t="shared" si="2"/>
        <v/>
      </c>
      <c r="N165" s="214">
        <f>IFERROR(VLOOKUP(F165,PartyStorage,2, FALSE),0)</f>
        <v>0</v>
      </c>
      <c r="R165" s="182"/>
    </row>
    <row r="166" ht="18.75" customHeight="1">
      <c r="A166" s="513"/>
      <c r="B166" s="531"/>
      <c r="C166" s="202"/>
      <c r="D166" s="202"/>
      <c r="E166" s="202"/>
      <c r="F166" s="532"/>
      <c r="G166" s="233"/>
      <c r="H166" s="508"/>
      <c r="M166" s="510" t="str">
        <f t="shared" si="2"/>
        <v/>
      </c>
      <c r="N166" s="214">
        <f>IFERROR(VLOOKUP(F166,PartyStorage,2, FALSE),0)</f>
        <v>0</v>
      </c>
      <c r="R166" s="182"/>
    </row>
    <row r="167" ht="18.75" customHeight="1">
      <c r="A167" s="513"/>
      <c r="B167" s="530"/>
      <c r="C167" s="122"/>
      <c r="D167" s="122"/>
      <c r="E167" s="122"/>
      <c r="F167" s="519"/>
      <c r="G167" s="520"/>
      <c r="H167" s="522"/>
      <c r="M167" s="510" t="str">
        <f t="shared" si="2"/>
        <v/>
      </c>
      <c r="N167" s="214">
        <f>IFERROR(VLOOKUP(F167,PartyStorage,2, FALSE),0)</f>
        <v>0</v>
      </c>
      <c r="R167" s="182"/>
    </row>
    <row r="168" ht="18.75" customHeight="1">
      <c r="A168" s="513"/>
      <c r="B168" s="531"/>
      <c r="C168" s="202"/>
      <c r="D168" s="202"/>
      <c r="E168" s="202"/>
      <c r="F168" s="532"/>
      <c r="G168" s="233"/>
      <c r="H168" s="508"/>
      <c r="M168" s="510" t="str">
        <f t="shared" si="2"/>
        <v/>
      </c>
      <c r="N168" s="214">
        <f>IFERROR(VLOOKUP(F168,PartyStorage,2, FALSE),0)</f>
        <v>0</v>
      </c>
      <c r="O168" s="605" t="s">
        <v>88</v>
      </c>
      <c r="P168" s="71"/>
      <c r="Q168" s="71"/>
      <c r="R168" s="182"/>
    </row>
    <row r="169" ht="18.75" customHeight="1">
      <c r="A169" s="513"/>
      <c r="B169" s="530"/>
      <c r="C169" s="122"/>
      <c r="D169" s="122"/>
      <c r="E169" s="122"/>
      <c r="F169" s="519"/>
      <c r="G169" s="520"/>
      <c r="H169" s="522"/>
      <c r="M169" s="510" t="str">
        <f t="shared" si="2"/>
        <v/>
      </c>
      <c r="N169" s="214">
        <f>IFERROR(VLOOKUP(F169,PartyStorage,2, FALSE),0)</f>
        <v>0</v>
      </c>
      <c r="O169" s="71" t="str">
        <f>IMAGE(O168,1)</f>
        <v/>
      </c>
      <c r="R169" s="182"/>
    </row>
    <row r="170" ht="18.75" customHeight="1">
      <c r="A170" s="513"/>
      <c r="B170" s="531"/>
      <c r="C170" s="202"/>
      <c r="D170" s="202"/>
      <c r="E170" s="202"/>
      <c r="F170" s="532"/>
      <c r="G170" s="233"/>
      <c r="H170" s="508"/>
      <c r="M170" s="510" t="str">
        <f t="shared" si="2"/>
        <v/>
      </c>
      <c r="N170" s="214">
        <f>IFERROR(VLOOKUP(F170,PartyStorage,2, FALSE),0)</f>
        <v>0</v>
      </c>
      <c r="R170" s="182"/>
    </row>
    <row r="171" ht="18.75" customHeight="1">
      <c r="A171" s="513"/>
      <c r="B171" s="530"/>
      <c r="C171" s="122"/>
      <c r="D171" s="122"/>
      <c r="E171" s="122"/>
      <c r="F171" s="519"/>
      <c r="G171" s="520"/>
      <c r="H171" s="522"/>
      <c r="M171" s="510" t="str">
        <f t="shared" si="2"/>
        <v/>
      </c>
      <c r="N171" s="214">
        <f>IFERROR(VLOOKUP(F171,PartyStorage,2, FALSE),0)</f>
        <v>0</v>
      </c>
      <c r="R171" s="182"/>
    </row>
    <row r="172" ht="18.75" customHeight="1">
      <c r="A172" s="513"/>
      <c r="B172" s="531"/>
      <c r="C172" s="202"/>
      <c r="D172" s="202"/>
      <c r="E172" s="202"/>
      <c r="F172" s="532"/>
      <c r="G172" s="233"/>
      <c r="H172" s="508"/>
      <c r="M172" s="510" t="str">
        <f t="shared" si="2"/>
        <v/>
      </c>
      <c r="N172" s="214">
        <f>IFERROR(VLOOKUP(F172,PartyStorage,2, FALSE),0)</f>
        <v>0</v>
      </c>
      <c r="R172" s="182"/>
    </row>
    <row r="173" ht="18.75" customHeight="1">
      <c r="A173" s="513"/>
      <c r="B173" s="530"/>
      <c r="C173" s="122"/>
      <c r="D173" s="122"/>
      <c r="E173" s="122"/>
      <c r="F173" s="519"/>
      <c r="G173" s="520"/>
      <c r="H173" s="522"/>
      <c r="M173" s="510" t="str">
        <f t="shared" si="2"/>
        <v/>
      </c>
      <c r="N173" s="214">
        <f>IFERROR(VLOOKUP(F173,PartyStorage,2, FALSE),0)</f>
        <v>0</v>
      </c>
      <c r="R173" s="182"/>
    </row>
    <row r="174" ht="18.75" customHeight="1">
      <c r="A174" s="513"/>
      <c r="B174" s="531"/>
      <c r="C174" s="202"/>
      <c r="D174" s="202"/>
      <c r="E174" s="202"/>
      <c r="F174" s="532"/>
      <c r="G174" s="233"/>
      <c r="H174" s="508"/>
      <c r="M174" s="510" t="str">
        <f t="shared" si="2"/>
        <v/>
      </c>
      <c r="N174" s="214">
        <f>IFERROR(VLOOKUP(F174,PartyStorage,2, FALSE),0)</f>
        <v>0</v>
      </c>
      <c r="R174" s="182"/>
    </row>
    <row r="175" ht="18.75" customHeight="1">
      <c r="A175" s="513"/>
      <c r="B175" s="530"/>
      <c r="C175" s="122"/>
      <c r="D175" s="122"/>
      <c r="E175" s="122"/>
      <c r="F175" s="519"/>
      <c r="G175" s="520"/>
      <c r="H175" s="522"/>
      <c r="M175" s="510" t="str">
        <f t="shared" si="2"/>
        <v/>
      </c>
      <c r="N175" s="214">
        <f>IFERROR(VLOOKUP(F175,PartyStorage,2, FALSE),0)</f>
        <v>0</v>
      </c>
      <c r="R175" s="182"/>
    </row>
    <row r="176" ht="18.75" customHeight="1">
      <c r="A176" s="513"/>
      <c r="B176" s="531"/>
      <c r="C176" s="202"/>
      <c r="D176" s="202"/>
      <c r="E176" s="202"/>
      <c r="F176" s="532"/>
      <c r="G176" s="233"/>
      <c r="H176" s="508"/>
      <c r="M176" s="510" t="str">
        <f t="shared" si="2"/>
        <v/>
      </c>
      <c r="N176" s="214">
        <f>IFERROR(VLOOKUP(F176,PartyStorage,2, FALSE),0)</f>
        <v>0</v>
      </c>
      <c r="R176" s="182"/>
    </row>
    <row r="177" ht="18.75" customHeight="1">
      <c r="A177" s="513"/>
      <c r="B177" s="530"/>
      <c r="C177" s="122"/>
      <c r="D177" s="122"/>
      <c r="E177" s="122"/>
      <c r="F177" s="519"/>
      <c r="G177" s="520"/>
      <c r="H177" s="522"/>
      <c r="M177" s="510" t="str">
        <f t="shared" si="2"/>
        <v/>
      </c>
      <c r="N177" s="214">
        <f>IFERROR(VLOOKUP(F177,PartyStorage,2, FALSE),0)</f>
        <v>0</v>
      </c>
      <c r="R177" s="182"/>
    </row>
    <row r="178" ht="18.75" customHeight="1">
      <c r="A178" s="513"/>
      <c r="B178" s="531"/>
      <c r="C178" s="202"/>
      <c r="D178" s="202"/>
      <c r="E178" s="202"/>
      <c r="F178" s="532"/>
      <c r="G178" s="233"/>
      <c r="H178" s="508"/>
      <c r="M178" s="510" t="str">
        <f t="shared" si="2"/>
        <v/>
      </c>
      <c r="N178" s="214">
        <f>IFERROR(VLOOKUP(F178,PartyStorage,2, FALSE),0)</f>
        <v>0</v>
      </c>
      <c r="R178" s="182"/>
    </row>
    <row r="179" ht="18.75" customHeight="1">
      <c r="A179" s="513"/>
      <c r="B179" s="530"/>
      <c r="C179" s="122"/>
      <c r="D179" s="122"/>
      <c r="E179" s="122"/>
      <c r="F179" s="519"/>
      <c r="G179" s="520"/>
      <c r="H179" s="522"/>
      <c r="M179" s="510" t="str">
        <f t="shared" si="2"/>
        <v/>
      </c>
      <c r="N179" s="214">
        <f>IFERROR(VLOOKUP(F179,PartyStorage,2, FALSE),0)</f>
        <v>0</v>
      </c>
      <c r="R179" s="182"/>
    </row>
    <row r="180" ht="18.75" customHeight="1">
      <c r="A180" s="513"/>
      <c r="B180" s="531"/>
      <c r="C180" s="202"/>
      <c r="D180" s="202"/>
      <c r="E180" s="202"/>
      <c r="F180" s="532"/>
      <c r="G180" s="233"/>
      <c r="H180" s="508"/>
      <c r="M180" s="510" t="str">
        <f t="shared" si="2"/>
        <v/>
      </c>
      <c r="N180" s="214">
        <f>IFERROR(VLOOKUP(F180,PartyStorage,2, FALSE),0)</f>
        <v>0</v>
      </c>
      <c r="R180" s="182"/>
    </row>
    <row r="181" ht="18.75" customHeight="1">
      <c r="A181" s="513"/>
      <c r="B181" s="530"/>
      <c r="C181" s="122"/>
      <c r="D181" s="122"/>
      <c r="E181" s="122"/>
      <c r="F181" s="519"/>
      <c r="G181" s="520"/>
      <c r="H181" s="522"/>
      <c r="M181" s="510" t="str">
        <f t="shared" si="2"/>
        <v/>
      </c>
      <c r="N181" s="214">
        <f>IFERROR(VLOOKUP(F181,PartyStorage,2, FALSE),0)</f>
        <v>0</v>
      </c>
      <c r="R181" s="182"/>
    </row>
    <row r="182" ht="18.75" customHeight="1">
      <c r="A182" s="513"/>
      <c r="B182" s="531"/>
      <c r="C182" s="202"/>
      <c r="D182" s="202"/>
      <c r="E182" s="202"/>
      <c r="F182" s="532"/>
      <c r="G182" s="233"/>
      <c r="H182" s="508"/>
      <c r="M182" s="510" t="str">
        <f t="shared" si="2"/>
        <v/>
      </c>
      <c r="N182" s="214">
        <f>IFERROR(VLOOKUP(F182,PartyStorage,2, FALSE),0)</f>
        <v>0</v>
      </c>
      <c r="R182" s="182"/>
    </row>
    <row r="183" ht="18.75" customHeight="1">
      <c r="A183" s="513"/>
      <c r="B183" s="530"/>
      <c r="C183" s="122"/>
      <c r="D183" s="122"/>
      <c r="E183" s="122"/>
      <c r="F183" s="519"/>
      <c r="G183" s="520"/>
      <c r="H183" s="522"/>
      <c r="M183" s="510" t="str">
        <f t="shared" si="2"/>
        <v/>
      </c>
      <c r="N183" s="214">
        <f>IFERROR(VLOOKUP(F183,PartyStorage,2, FALSE),0)</f>
        <v>0</v>
      </c>
      <c r="O183" s="605" t="s">
        <v>89</v>
      </c>
      <c r="P183" s="71"/>
      <c r="Q183" s="71"/>
      <c r="R183" s="182"/>
    </row>
    <row r="184" ht="18.75" customHeight="1">
      <c r="A184" s="513"/>
      <c r="B184" s="531"/>
      <c r="C184" s="202"/>
      <c r="D184" s="202"/>
      <c r="E184" s="202"/>
      <c r="F184" s="532"/>
      <c r="G184" s="233"/>
      <c r="H184" s="508"/>
      <c r="M184" s="510" t="str">
        <f t="shared" si="2"/>
        <v/>
      </c>
      <c r="N184" s="214">
        <f>IFERROR(VLOOKUP(F184,PartyStorage,2, FALSE),0)</f>
        <v>0</v>
      </c>
      <c r="O184" s="71" t="str">
        <f>IMAGE(O183,1)</f>
        <v/>
      </c>
      <c r="R184" s="182"/>
    </row>
    <row r="185" ht="18.75" customHeight="1">
      <c r="A185" s="513"/>
      <c r="B185" s="530"/>
      <c r="C185" s="122"/>
      <c r="D185" s="122"/>
      <c r="E185" s="122"/>
      <c r="F185" s="519"/>
      <c r="G185" s="520"/>
      <c r="H185" s="522"/>
      <c r="M185" s="510" t="str">
        <f t="shared" si="2"/>
        <v/>
      </c>
      <c r="N185" s="214">
        <f>IFERROR(VLOOKUP(F185,PartyStorage,2, FALSE),0)</f>
        <v>0</v>
      </c>
      <c r="R185" s="182"/>
    </row>
    <row r="186" ht="18.75" customHeight="1">
      <c r="A186" s="513"/>
      <c r="B186" s="531"/>
      <c r="C186" s="202"/>
      <c r="D186" s="202"/>
      <c r="E186" s="202"/>
      <c r="F186" s="532"/>
      <c r="G186" s="233"/>
      <c r="H186" s="508"/>
      <c r="M186" s="510" t="str">
        <f t="shared" si="2"/>
        <v/>
      </c>
      <c r="N186" s="214">
        <f>IFERROR(VLOOKUP(F186,PartyStorage,2, FALSE),0)</f>
        <v>0</v>
      </c>
      <c r="R186" s="182"/>
    </row>
    <row r="187" ht="18.75" customHeight="1">
      <c r="A187" s="513"/>
      <c r="B187" s="530"/>
      <c r="C187" s="122"/>
      <c r="D187" s="122"/>
      <c r="E187" s="122"/>
      <c r="F187" s="519"/>
      <c r="G187" s="520"/>
      <c r="H187" s="522"/>
      <c r="M187" s="510" t="str">
        <f t="shared" si="2"/>
        <v/>
      </c>
      <c r="N187" s="214">
        <f>IFERROR(VLOOKUP(F187,PartyStorage,2, FALSE),0)</f>
        <v>0</v>
      </c>
      <c r="R187" s="182"/>
    </row>
    <row r="188" ht="18.75" customHeight="1">
      <c r="A188" s="513"/>
      <c r="B188" s="531"/>
      <c r="C188" s="202"/>
      <c r="D188" s="202"/>
      <c r="E188" s="202"/>
      <c r="F188" s="532"/>
      <c r="G188" s="233"/>
      <c r="H188" s="508"/>
      <c r="M188" s="510" t="str">
        <f t="shared" si="2"/>
        <v/>
      </c>
      <c r="N188" s="214">
        <f>IFERROR(VLOOKUP(F188,PartyStorage,2, FALSE),0)</f>
        <v>0</v>
      </c>
      <c r="R188" s="182"/>
    </row>
    <row r="189" ht="18.75" customHeight="1">
      <c r="A189" s="513"/>
      <c r="B189" s="530"/>
      <c r="C189" s="122"/>
      <c r="D189" s="122"/>
      <c r="E189" s="122"/>
      <c r="F189" s="519"/>
      <c r="G189" s="520"/>
      <c r="H189" s="522"/>
      <c r="M189" s="510" t="str">
        <f t="shared" si="2"/>
        <v/>
      </c>
      <c r="N189" s="214">
        <f>IFERROR(VLOOKUP(F189,PartyStorage,2, FALSE),0)</f>
        <v>0</v>
      </c>
      <c r="R189" s="182"/>
    </row>
    <row r="190" ht="18.75" customHeight="1">
      <c r="A190" s="513"/>
      <c r="B190" s="531"/>
      <c r="C190" s="202"/>
      <c r="D190" s="202"/>
      <c r="E190" s="202"/>
      <c r="F190" s="532"/>
      <c r="G190" s="233"/>
      <c r="H190" s="508"/>
      <c r="M190" s="510" t="str">
        <f t="shared" si="2"/>
        <v/>
      </c>
      <c r="N190" s="214">
        <f>IFERROR(VLOOKUP(F190,PartyStorage,2, FALSE),0)</f>
        <v>0</v>
      </c>
      <c r="R190" s="182"/>
    </row>
    <row r="191" ht="18.75" customHeight="1">
      <c r="A191" s="513"/>
      <c r="B191" s="530"/>
      <c r="C191" s="122"/>
      <c r="D191" s="122"/>
      <c r="E191" s="122"/>
      <c r="F191" s="519"/>
      <c r="G191" s="520"/>
      <c r="H191" s="522"/>
      <c r="M191" s="510" t="str">
        <f t="shared" si="2"/>
        <v/>
      </c>
      <c r="N191" s="214">
        <f>IFERROR(VLOOKUP(F191,PartyStorage,2, FALSE),0)</f>
        <v>0</v>
      </c>
      <c r="R191" s="182"/>
    </row>
    <row r="192" ht="18.75" customHeight="1">
      <c r="A192" s="513"/>
      <c r="B192" s="531"/>
      <c r="C192" s="202"/>
      <c r="D192" s="202"/>
      <c r="E192" s="202"/>
      <c r="F192" s="532"/>
      <c r="G192" s="233"/>
      <c r="H192" s="508"/>
      <c r="M192" s="510" t="str">
        <f t="shared" si="2"/>
        <v/>
      </c>
      <c r="N192" s="214">
        <f>IFERROR(VLOOKUP(F192,PartyStorage,2, FALSE),0)</f>
        <v>0</v>
      </c>
      <c r="R192" s="182"/>
    </row>
    <row r="193" ht="18.75" customHeight="1">
      <c r="A193" s="513"/>
      <c r="B193" s="530"/>
      <c r="C193" s="122"/>
      <c r="D193" s="122"/>
      <c r="E193" s="122"/>
      <c r="F193" s="519"/>
      <c r="G193" s="520"/>
      <c r="H193" s="522"/>
      <c r="M193" s="510" t="str">
        <f t="shared" si="2"/>
        <v/>
      </c>
      <c r="N193" s="214">
        <f>IFERROR(VLOOKUP(F193,PartyStorage,2, FALSE),0)</f>
        <v>0</v>
      </c>
      <c r="R193" s="182"/>
    </row>
    <row r="194" ht="18.75" customHeight="1">
      <c r="A194" s="513"/>
      <c r="B194" s="531"/>
      <c r="C194" s="202"/>
      <c r="D194" s="202"/>
      <c r="E194" s="202"/>
      <c r="F194" s="532"/>
      <c r="G194" s="233"/>
      <c r="H194" s="508"/>
      <c r="M194" s="510" t="str">
        <f t="shared" si="2"/>
        <v/>
      </c>
      <c r="N194" s="214">
        <f>IFERROR(VLOOKUP(F194,PartyStorage,2, FALSE),0)</f>
        <v>0</v>
      </c>
      <c r="R194" s="182"/>
    </row>
    <row r="195" ht="18.75" customHeight="1">
      <c r="A195" s="513"/>
      <c r="B195" s="530"/>
      <c r="C195" s="122"/>
      <c r="D195" s="122"/>
      <c r="E195" s="122"/>
      <c r="F195" s="519"/>
      <c r="G195" s="520"/>
      <c r="H195" s="522"/>
      <c r="M195" s="510" t="str">
        <f t="shared" si="2"/>
        <v/>
      </c>
      <c r="N195" s="214">
        <f>IFERROR(VLOOKUP(F195,PartyStorage,2, FALSE),0)</f>
        <v>0</v>
      </c>
      <c r="R195" s="182"/>
    </row>
    <row r="196" ht="18.75" customHeight="1">
      <c r="A196" s="513"/>
      <c r="B196" s="531"/>
      <c r="C196" s="202"/>
      <c r="D196" s="202"/>
      <c r="E196" s="202"/>
      <c r="F196" s="532"/>
      <c r="G196" s="233"/>
      <c r="H196" s="508"/>
      <c r="M196" s="510" t="str">
        <f t="shared" si="2"/>
        <v/>
      </c>
      <c r="N196" s="214">
        <f>IFERROR(VLOOKUP(F196,PartyStorage,2, FALSE),0)</f>
        <v>0</v>
      </c>
      <c r="R196" s="182"/>
    </row>
    <row r="197" ht="18.75" customHeight="1">
      <c r="A197" s="513"/>
      <c r="B197" s="530"/>
      <c r="C197" s="122"/>
      <c r="D197" s="122"/>
      <c r="E197" s="122"/>
      <c r="F197" s="519"/>
      <c r="G197" s="520"/>
      <c r="H197" s="522"/>
      <c r="M197" s="510" t="str">
        <f t="shared" si="2"/>
        <v/>
      </c>
      <c r="N197" s="214">
        <f>IFERROR(VLOOKUP(F197,PartyStorage,2, FALSE),0)</f>
        <v>0</v>
      </c>
      <c r="R197" s="182"/>
    </row>
    <row r="198" ht="18.75" customHeight="1">
      <c r="A198" s="513"/>
      <c r="B198" s="531"/>
      <c r="C198" s="202"/>
      <c r="D198" s="202"/>
      <c r="E198" s="202"/>
      <c r="F198" s="532"/>
      <c r="G198" s="233"/>
      <c r="H198" s="508"/>
      <c r="M198" s="510" t="str">
        <f t="shared" si="2"/>
        <v/>
      </c>
      <c r="N198" s="214">
        <f>IFERROR(VLOOKUP(F198,PartyStorage,2, FALSE),0)</f>
        <v>0</v>
      </c>
      <c r="R198" s="182"/>
    </row>
    <row r="199" ht="18.75" customHeight="1">
      <c r="A199" s="513"/>
      <c r="B199" s="530"/>
      <c r="C199" s="122"/>
      <c r="D199" s="122"/>
      <c r="E199" s="122"/>
      <c r="F199" s="519"/>
      <c r="G199" s="520"/>
      <c r="H199" s="522"/>
      <c r="M199" s="510" t="str">
        <f t="shared" si="2"/>
        <v/>
      </c>
      <c r="N199" s="214">
        <f>IFERROR(VLOOKUP(F199,PartyStorage,2, FALSE),0)</f>
        <v>0</v>
      </c>
      <c r="O199" s="71"/>
      <c r="P199" s="71"/>
      <c r="Q199" s="71"/>
      <c r="R199" s="182"/>
    </row>
    <row r="200" ht="18.75" customHeight="1">
      <c r="A200" s="513"/>
      <c r="B200" s="531"/>
      <c r="C200" s="202"/>
      <c r="D200" s="202"/>
      <c r="E200" s="202"/>
      <c r="F200" s="532"/>
      <c r="G200" s="233"/>
      <c r="H200" s="508"/>
      <c r="M200" s="510" t="str">
        <f t="shared" si="2"/>
        <v/>
      </c>
      <c r="N200" s="214">
        <f>IFERROR(VLOOKUP(F200,PartyStorage,2, FALSE),0)</f>
        <v>0</v>
      </c>
      <c r="O200" s="71"/>
      <c r="P200" s="71"/>
      <c r="Q200" s="71"/>
      <c r="R200" s="182"/>
    </row>
    <row r="201" ht="18.75" customHeight="1">
      <c r="A201" s="513"/>
      <c r="B201" s="635"/>
      <c r="C201" s="221"/>
      <c r="D201" s="221"/>
      <c r="E201" s="221"/>
      <c r="F201" s="638"/>
      <c r="G201" s="639"/>
      <c r="H201" s="641"/>
      <c r="I201" s="639"/>
      <c r="J201" s="639"/>
      <c r="K201" s="639"/>
      <c r="L201" s="639"/>
      <c r="M201" s="643" t="str">
        <f t="shared" si="2"/>
        <v/>
      </c>
      <c r="N201" s="214">
        <f>IFERROR(VLOOKUP(F201,PartyStorage,2, FALSE),0)</f>
        <v>0</v>
      </c>
      <c r="O201" s="71"/>
      <c r="P201" s="71"/>
      <c r="Q201" s="71"/>
      <c r="R201" s="182"/>
    </row>
    <row r="202" ht="7.5" customHeight="1">
      <c r="A202" s="513"/>
      <c r="B202" s="42"/>
      <c r="C202" s="42"/>
      <c r="D202" s="42"/>
      <c r="E202" s="42"/>
      <c r="F202" s="42"/>
      <c r="G202" s="42"/>
      <c r="H202" s="42"/>
      <c r="I202" s="42"/>
      <c r="J202" s="42"/>
      <c r="K202" s="42"/>
      <c r="L202" s="42"/>
      <c r="M202" s="42"/>
      <c r="N202" s="214"/>
      <c r="O202" s="71"/>
      <c r="P202" s="71"/>
      <c r="Q202" s="71"/>
      <c r="R202" s="182"/>
    </row>
  </sheetData>
  <mergeCells count="267">
    <mergeCell ref="O18:P18"/>
    <mergeCell ref="O17:P17"/>
    <mergeCell ref="O22:P22"/>
    <mergeCell ref="O19:P19"/>
    <mergeCell ref="H24:L24"/>
    <mergeCell ref="H20:L20"/>
    <mergeCell ref="H21:L21"/>
    <mergeCell ref="H22:L22"/>
    <mergeCell ref="H23:L23"/>
    <mergeCell ref="H19:L19"/>
    <mergeCell ref="O24:P24"/>
    <mergeCell ref="O26:P26"/>
    <mergeCell ref="O25:P25"/>
    <mergeCell ref="H25:L25"/>
    <mergeCell ref="H26:L26"/>
    <mergeCell ref="H27:L27"/>
    <mergeCell ref="O23:P23"/>
    <mergeCell ref="H39:L39"/>
    <mergeCell ref="H40:L40"/>
    <mergeCell ref="H32:L32"/>
    <mergeCell ref="H33:L33"/>
    <mergeCell ref="H34:L34"/>
    <mergeCell ref="H35:L35"/>
    <mergeCell ref="H36:L36"/>
    <mergeCell ref="H37:L37"/>
    <mergeCell ref="H38:L38"/>
    <mergeCell ref="H57:L57"/>
    <mergeCell ref="H58:L58"/>
    <mergeCell ref="H41:L41"/>
    <mergeCell ref="H42:L42"/>
    <mergeCell ref="O53:P53"/>
    <mergeCell ref="O54:P54"/>
    <mergeCell ref="O51:P51"/>
    <mergeCell ref="O52:P52"/>
    <mergeCell ref="O49:Q49"/>
    <mergeCell ref="O56:Q56"/>
    <mergeCell ref="O58:P58"/>
    <mergeCell ref="O57:P57"/>
    <mergeCell ref="O50:P50"/>
    <mergeCell ref="O16:P16"/>
    <mergeCell ref="O21:Q21"/>
    <mergeCell ref="O29:P29"/>
    <mergeCell ref="O30:P30"/>
    <mergeCell ref="O31:P31"/>
    <mergeCell ref="O28:Q28"/>
    <mergeCell ref="O6:Q6"/>
    <mergeCell ref="O10:Q10"/>
    <mergeCell ref="B10:C10"/>
    <mergeCell ref="B2:C2"/>
    <mergeCell ref="O2:Q2"/>
    <mergeCell ref="O14:Q14"/>
    <mergeCell ref="O15:P15"/>
    <mergeCell ref="H28:L28"/>
    <mergeCell ref="H29:L29"/>
    <mergeCell ref="H30:L30"/>
    <mergeCell ref="H31:L31"/>
    <mergeCell ref="H69:L69"/>
    <mergeCell ref="H70:L70"/>
    <mergeCell ref="H71:L71"/>
    <mergeCell ref="H72:L72"/>
    <mergeCell ref="O63:Q63"/>
    <mergeCell ref="H63:L63"/>
    <mergeCell ref="H64:L64"/>
    <mergeCell ref="H65:L65"/>
    <mergeCell ref="H66:L66"/>
    <mergeCell ref="H73:L73"/>
    <mergeCell ref="O73:P73"/>
    <mergeCell ref="O72:P72"/>
    <mergeCell ref="O71:P71"/>
    <mergeCell ref="O65:P65"/>
    <mergeCell ref="O66:P66"/>
    <mergeCell ref="H67:L67"/>
    <mergeCell ref="H68:L68"/>
    <mergeCell ref="H74:L74"/>
    <mergeCell ref="O67:P67"/>
    <mergeCell ref="O68:P68"/>
    <mergeCell ref="O70:Q70"/>
    <mergeCell ref="O74:P74"/>
    <mergeCell ref="O86:P86"/>
    <mergeCell ref="O89:P89"/>
    <mergeCell ref="O88:P88"/>
    <mergeCell ref="O87:P87"/>
    <mergeCell ref="H82:L82"/>
    <mergeCell ref="H83:L83"/>
    <mergeCell ref="H84:L84"/>
    <mergeCell ref="H85:L85"/>
    <mergeCell ref="O96:P96"/>
    <mergeCell ref="O95:P95"/>
    <mergeCell ref="H95:L95"/>
    <mergeCell ref="H96:L96"/>
    <mergeCell ref="O81:P81"/>
    <mergeCell ref="H81:L81"/>
    <mergeCell ref="O82:P82"/>
    <mergeCell ref="H86:L86"/>
    <mergeCell ref="O60:P60"/>
    <mergeCell ref="H59:L59"/>
    <mergeCell ref="H60:L60"/>
    <mergeCell ref="O59:P59"/>
    <mergeCell ref="O64:P64"/>
    <mergeCell ref="H62:L62"/>
    <mergeCell ref="H50:L50"/>
    <mergeCell ref="H51:L51"/>
    <mergeCell ref="H43:L43"/>
    <mergeCell ref="H44:L44"/>
    <mergeCell ref="H45:L45"/>
    <mergeCell ref="H46:L46"/>
    <mergeCell ref="H47:L47"/>
    <mergeCell ref="H48:L48"/>
    <mergeCell ref="O84:Q84"/>
    <mergeCell ref="O85:P85"/>
    <mergeCell ref="O75:P75"/>
    <mergeCell ref="O79:P79"/>
    <mergeCell ref="O78:P78"/>
    <mergeCell ref="O80:P80"/>
    <mergeCell ref="O77:Q77"/>
    <mergeCell ref="H75:L75"/>
    <mergeCell ref="H76:L76"/>
    <mergeCell ref="H77:L77"/>
    <mergeCell ref="H80:L80"/>
    <mergeCell ref="H78:L78"/>
    <mergeCell ref="H79:L79"/>
    <mergeCell ref="H49:L49"/>
    <mergeCell ref="H61:L61"/>
    <mergeCell ref="H52:L52"/>
    <mergeCell ref="H53:L53"/>
    <mergeCell ref="H54:L54"/>
    <mergeCell ref="H55:L55"/>
    <mergeCell ref="H56:L56"/>
    <mergeCell ref="H179:L179"/>
    <mergeCell ref="H180:L180"/>
    <mergeCell ref="H181:L181"/>
    <mergeCell ref="H182:L182"/>
    <mergeCell ref="H167:L167"/>
    <mergeCell ref="H168:L168"/>
    <mergeCell ref="H169:L169"/>
    <mergeCell ref="H170:L170"/>
    <mergeCell ref="H171:L171"/>
    <mergeCell ref="H172:L172"/>
    <mergeCell ref="O169:Q182"/>
    <mergeCell ref="H195:L195"/>
    <mergeCell ref="H196:L196"/>
    <mergeCell ref="H197:L197"/>
    <mergeCell ref="H198:L198"/>
    <mergeCell ref="H199:L199"/>
    <mergeCell ref="H200:L200"/>
    <mergeCell ref="H201:L201"/>
    <mergeCell ref="H173:L173"/>
    <mergeCell ref="H174:L174"/>
    <mergeCell ref="H175:L175"/>
    <mergeCell ref="H176:L176"/>
    <mergeCell ref="H177:L177"/>
    <mergeCell ref="H178:L178"/>
    <mergeCell ref="H188:L188"/>
    <mergeCell ref="H183:L183"/>
    <mergeCell ref="H184:L184"/>
    <mergeCell ref="H185:L185"/>
    <mergeCell ref="H186:L186"/>
    <mergeCell ref="H187:L187"/>
    <mergeCell ref="H189:L189"/>
    <mergeCell ref="H190:L190"/>
    <mergeCell ref="H191:L191"/>
    <mergeCell ref="H192:L192"/>
    <mergeCell ref="H193:L193"/>
    <mergeCell ref="H194:L194"/>
    <mergeCell ref="O184:Q198"/>
    <mergeCell ref="H158:L158"/>
    <mergeCell ref="H159:L159"/>
    <mergeCell ref="H161:L161"/>
    <mergeCell ref="H162:L162"/>
    <mergeCell ref="H163:L163"/>
    <mergeCell ref="H164:L164"/>
    <mergeCell ref="H165:L165"/>
    <mergeCell ref="H166:L166"/>
    <mergeCell ref="O154:Q167"/>
    <mergeCell ref="H97:L97"/>
    <mergeCell ref="H98:L98"/>
    <mergeCell ref="H99:L99"/>
    <mergeCell ref="H100:L100"/>
    <mergeCell ref="H101:L101"/>
    <mergeCell ref="H102:L102"/>
    <mergeCell ref="H103:L103"/>
    <mergeCell ref="H104:L104"/>
    <mergeCell ref="H105:L105"/>
    <mergeCell ref="H106:L106"/>
    <mergeCell ref="H107:L107"/>
    <mergeCell ref="H108:L108"/>
    <mergeCell ref="H109:L109"/>
    <mergeCell ref="H110:L110"/>
    <mergeCell ref="H123:L123"/>
    <mergeCell ref="H124:L124"/>
    <mergeCell ref="H116:L116"/>
    <mergeCell ref="H117:L117"/>
    <mergeCell ref="H118:L118"/>
    <mergeCell ref="H119:L119"/>
    <mergeCell ref="H120:L120"/>
    <mergeCell ref="H121:L121"/>
    <mergeCell ref="H122:L122"/>
    <mergeCell ref="H149:L149"/>
    <mergeCell ref="H150:L150"/>
    <mergeCell ref="H146:L146"/>
    <mergeCell ref="H147:L147"/>
    <mergeCell ref="H148:L148"/>
    <mergeCell ref="H154:L154"/>
    <mergeCell ref="H151:L151"/>
    <mergeCell ref="H136:L136"/>
    <mergeCell ref="H137:L137"/>
    <mergeCell ref="H138:L138"/>
    <mergeCell ref="H139:L139"/>
    <mergeCell ref="H140:L140"/>
    <mergeCell ref="H141:L141"/>
    <mergeCell ref="H93:L93"/>
    <mergeCell ref="H94:L94"/>
    <mergeCell ref="H111:L111"/>
    <mergeCell ref="H112:L112"/>
    <mergeCell ref="H113:L113"/>
    <mergeCell ref="H114:L114"/>
    <mergeCell ref="H115:L115"/>
    <mergeCell ref="O132:Q142"/>
    <mergeCell ref="O144:Q152"/>
    <mergeCell ref="O61:P61"/>
    <mergeCell ref="O94:P94"/>
    <mergeCell ref="O92:P92"/>
    <mergeCell ref="O93:P93"/>
    <mergeCell ref="O98:Q115"/>
    <mergeCell ref="O117:Q130"/>
    <mergeCell ref="O91:Q91"/>
    <mergeCell ref="O44:P44"/>
    <mergeCell ref="O43:P43"/>
    <mergeCell ref="O45:P45"/>
    <mergeCell ref="O46:P46"/>
    <mergeCell ref="O47:P47"/>
    <mergeCell ref="O37:P37"/>
    <mergeCell ref="O36:P36"/>
    <mergeCell ref="O42:Q42"/>
    <mergeCell ref="O38:P38"/>
    <mergeCell ref="O32:P32"/>
    <mergeCell ref="O33:P33"/>
    <mergeCell ref="O35:Q35"/>
    <mergeCell ref="H142:L142"/>
    <mergeCell ref="H87:L87"/>
    <mergeCell ref="H88:L88"/>
    <mergeCell ref="H89:L89"/>
    <mergeCell ref="H90:L90"/>
    <mergeCell ref="H91:L91"/>
    <mergeCell ref="H92:L92"/>
    <mergeCell ref="H160:L160"/>
    <mergeCell ref="H156:L156"/>
    <mergeCell ref="H157:L157"/>
    <mergeCell ref="O40:P40"/>
    <mergeCell ref="O39:P39"/>
    <mergeCell ref="H143:L143"/>
    <mergeCell ref="H135:L135"/>
    <mergeCell ref="H125:L125"/>
    <mergeCell ref="H126:L126"/>
    <mergeCell ref="H127:L127"/>
    <mergeCell ref="H128:L128"/>
    <mergeCell ref="H129:L129"/>
    <mergeCell ref="H130:L130"/>
    <mergeCell ref="H131:L131"/>
    <mergeCell ref="H132:L132"/>
    <mergeCell ref="H133:L133"/>
    <mergeCell ref="H134:L134"/>
    <mergeCell ref="H155:L155"/>
    <mergeCell ref="H152:L152"/>
    <mergeCell ref="H153:L153"/>
    <mergeCell ref="H144:L144"/>
    <mergeCell ref="H145:L145"/>
  </mergeCells>
  <conditionalFormatting sqref="F20:F201">
    <cfRule type="expression" dxfId="0" priority="1">
      <formula>AND(AND(NOT(ISBLANK(C20)), ISBLANK(F20)), ISBLANK(H20))</formula>
    </cfRule>
  </conditionalFormatting>
  <conditionalFormatting sqref="O7:Q8">
    <cfRule type="expression" dxfId="9" priority="2">
      <formula>IF(ISBLANK($R$6),true,false)</formula>
    </cfRule>
  </conditionalFormatting>
  <conditionalFormatting sqref="O11:Q12">
    <cfRule type="expression" dxfId="9" priority="3">
      <formula>IF(ISBLANK($R$10),true,false)</formula>
    </cfRule>
  </conditionalFormatting>
  <conditionalFormatting sqref="O3:Q4">
    <cfRule type="expression" dxfId="9" priority="4">
      <formula>IF(ISBLANK($R$2),true,false)</formula>
    </cfRule>
  </conditionalFormatting>
  <conditionalFormatting sqref="O2:Q2">
    <cfRule type="expression" dxfId="10" priority="5">
      <formula>IF(ISBLANK($R$2),true,false)</formula>
    </cfRule>
  </conditionalFormatting>
  <conditionalFormatting sqref="O6:Q6">
    <cfRule type="expression" dxfId="10" priority="6">
      <formula>IF(ISBLANK($R$6),true,false)</formula>
    </cfRule>
  </conditionalFormatting>
  <conditionalFormatting sqref="O10:Q10">
    <cfRule type="expression" dxfId="10" priority="7">
      <formula>IF(ISBLANK($R$10),true,false)</formula>
    </cfRule>
  </conditionalFormatting>
  <conditionalFormatting sqref="O14:Q14">
    <cfRule type="expression" dxfId="10" priority="8">
      <formula>IF(ISBLANK(R14),true,false)</formula>
    </cfRule>
  </conditionalFormatting>
  <conditionalFormatting sqref="O15:Q19">
    <cfRule type="expression" dxfId="9" priority="9">
      <formula>IF(ISBLANK($R$14),true,false)</formula>
    </cfRule>
  </conditionalFormatting>
  <conditionalFormatting sqref="O21:Q21">
    <cfRule type="expression" dxfId="10" priority="10">
      <formula>IF(ISBLANK($R$21),true,false)</formula>
    </cfRule>
  </conditionalFormatting>
  <conditionalFormatting sqref="O22:Q26">
    <cfRule type="expression" dxfId="9" priority="11">
      <formula>IF(ISBLANK($R$21),true,false)</formula>
    </cfRule>
  </conditionalFormatting>
  <conditionalFormatting sqref="O28:Q28">
    <cfRule type="expression" dxfId="10" priority="12">
      <formula>IF(ISBLANK($R$28),true,false)</formula>
    </cfRule>
  </conditionalFormatting>
  <conditionalFormatting sqref="O29:Q33">
    <cfRule type="expression" dxfId="9" priority="13">
      <formula>IF(ISBLANK($R$28),true,false)</formula>
    </cfRule>
  </conditionalFormatting>
  <conditionalFormatting sqref="O35:Q35">
    <cfRule type="expression" dxfId="10" priority="14">
      <formula>IF(ISBLANK($R$35),true,false)</formula>
    </cfRule>
  </conditionalFormatting>
  <conditionalFormatting sqref="O36:Q40">
    <cfRule type="expression" dxfId="9" priority="15">
      <formula>IF(ISBLANK($R$35),true,false)</formula>
    </cfRule>
  </conditionalFormatting>
  <conditionalFormatting sqref="O42:Q42">
    <cfRule type="expression" dxfId="10" priority="16">
      <formula>IF(ISBLANK($R$42),true,false)</formula>
    </cfRule>
  </conditionalFormatting>
  <conditionalFormatting sqref="O43:Q47">
    <cfRule type="expression" dxfId="9" priority="17">
      <formula>IF(ISBLANK($R$42),true,false)</formula>
    </cfRule>
  </conditionalFormatting>
  <conditionalFormatting sqref="O49:Q49">
    <cfRule type="expression" dxfId="10" priority="18">
      <formula>IF(ISBLANK($R$49),true,false)</formula>
    </cfRule>
  </conditionalFormatting>
  <conditionalFormatting sqref="O50:Q54">
    <cfRule type="expression" dxfId="9" priority="19">
      <formula>IF(ISBLANK($R$49),true,false)</formula>
    </cfRule>
  </conditionalFormatting>
  <conditionalFormatting sqref="O56:Q56">
    <cfRule type="expression" dxfId="10" priority="20">
      <formula>IF(ISBLANK($R$56),true,false)</formula>
    </cfRule>
  </conditionalFormatting>
  <conditionalFormatting sqref="O57:Q61">
    <cfRule type="expression" dxfId="9" priority="21">
      <formula>IF(ISBLANK($R$56),true,false)</formula>
    </cfRule>
  </conditionalFormatting>
  <conditionalFormatting sqref="O63:Q63">
    <cfRule type="expression" dxfId="10" priority="22">
      <formula>IF(ISBLANK($R$63),true,false)</formula>
    </cfRule>
  </conditionalFormatting>
  <conditionalFormatting sqref="O64:Q68">
    <cfRule type="expression" dxfId="9" priority="23">
      <formula>IF(ISBLANK($R$63),true,false)</formula>
    </cfRule>
  </conditionalFormatting>
  <conditionalFormatting sqref="O70:Q70">
    <cfRule type="expression" dxfId="10" priority="24">
      <formula>IF(ISBLANK($R$70),true,false)</formula>
    </cfRule>
  </conditionalFormatting>
  <conditionalFormatting sqref="O71:Q75">
    <cfRule type="expression" dxfId="9" priority="25">
      <formula>IF(ISBLANK($R$70),true,false)</formula>
    </cfRule>
  </conditionalFormatting>
  <conditionalFormatting sqref="O77:Q77">
    <cfRule type="expression" dxfId="10" priority="26">
      <formula>IF(ISBLANK($R$77),true,false)</formula>
    </cfRule>
  </conditionalFormatting>
  <conditionalFormatting sqref="O78:Q82">
    <cfRule type="expression" dxfId="9" priority="27">
      <formula>IF(ISBLANK($R$77),true,false)</formula>
    </cfRule>
  </conditionalFormatting>
  <conditionalFormatting sqref="O84:Q84">
    <cfRule type="expression" dxfId="10" priority="28">
      <formula>IF(ISBLANK($R$84),true,false)</formula>
    </cfRule>
  </conditionalFormatting>
  <conditionalFormatting sqref="O85:Q89">
    <cfRule type="expression" dxfId="9" priority="29">
      <formula>IF(ISBLANK($R$84),true,false)</formula>
    </cfRule>
  </conditionalFormatting>
  <conditionalFormatting sqref="O91:Q91">
    <cfRule type="expression" dxfId="10" priority="30">
      <formula>IF(ISBLANK($R$91),true,false)</formula>
    </cfRule>
  </conditionalFormatting>
  <conditionalFormatting sqref="O92:Q96">
    <cfRule type="expression" dxfId="9" priority="31">
      <formula>IF(ISBLANK($R$91),true,false)</formula>
    </cfRule>
  </conditionalFormatting>
  <dataValidations>
    <dataValidation type="list" allowBlank="1" showInputMessage="1" showErrorMessage="1" prompt="Every item must have a storage location." sqref="F20:F201">
      <formula1>PartyStorage</formula1>
    </dataValidation>
    <dataValidation type="list" allowBlank="1" sqref="G20:G201">
      <formula1>"Mundane,Magic,Attunement"</formula1>
    </dataValidation>
  </dataValidations>
  <hyperlinks>
    <hyperlink r:id="rId2" ref="O97"/>
    <hyperlink r:id="rId3" ref="O116"/>
    <hyperlink r:id="rId4" ref="O131"/>
    <hyperlink r:id="rId5" ref="O143"/>
    <hyperlink r:id="rId6" ref="O153"/>
    <hyperlink r:id="rId7" ref="O168"/>
    <hyperlink r:id="rId8" ref="O183"/>
  </hyperlinks>
  <drawing r:id="rId9"/>
  <legacyDrawing r:id="rId10"/>
  <tableParts count="2">
    <tablePart r:id="rId13"/>
    <tablePart r:id="rId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00"/>
  </sheetPr>
  <sheetViews>
    <sheetView showGridLines="0" workbookViewId="0"/>
  </sheetViews>
  <sheetFormatPr customHeight="1" defaultColWidth="14.43" defaultRowHeight="15.75"/>
  <cols>
    <col customWidth="1" min="1" max="1" width="1.57"/>
    <col customWidth="1" min="2" max="2" width="5.86"/>
    <col customWidth="1" min="3" max="3" width="21.57"/>
    <col customWidth="1" min="4" max="13" width="15.86"/>
    <col customWidth="1" min="14" max="14" width="1.57"/>
    <col hidden="1" min="15" max="28" width="14.43"/>
  </cols>
  <sheetData>
    <row r="1" ht="7.5" customHeight="1">
      <c r="A1" s="170" t="str">
        <f>Ch1_Name&amp;"'s Inventory"</f>
        <v>Character 1's Inventory</v>
      </c>
      <c r="B1" s="172"/>
      <c r="C1" s="174"/>
      <c r="D1" s="174"/>
      <c r="E1" s="4" t="s">
        <v>52</v>
      </c>
      <c r="F1" s="174"/>
      <c r="G1" s="176"/>
      <c r="H1" s="176"/>
      <c r="I1" s="179" t="s">
        <v>53</v>
      </c>
      <c r="J1" s="181"/>
      <c r="K1" s="176"/>
      <c r="L1" s="176"/>
      <c r="M1" s="176"/>
      <c r="N1" s="43"/>
      <c r="O1" s="176"/>
      <c r="P1" s="176"/>
      <c r="Q1" s="176"/>
      <c r="R1" s="176"/>
      <c r="S1" s="176"/>
      <c r="T1" s="176"/>
      <c r="U1" s="176"/>
      <c r="V1" s="176"/>
      <c r="W1" s="176"/>
      <c r="X1" s="176"/>
      <c r="Y1" s="176"/>
      <c r="Z1" s="176"/>
      <c r="AA1" s="176"/>
      <c r="AB1" s="176"/>
    </row>
    <row r="2" ht="18.75" customHeight="1">
      <c r="A2" s="92">
        <f>IF(ISBLANK(Ch1_Size),"",VLOOKUP(Ch1_Size,SizeMultipliers,2, FALSE))</f>
        <v>1</v>
      </c>
      <c r="B2" s="186" t="s">
        <v>56</v>
      </c>
      <c r="C2" s="31"/>
      <c r="D2" s="188"/>
      <c r="E2" s="190" t="str">
        <f>IMAGE(E1,1)</f>
        <v/>
      </c>
      <c r="G2" s="191" t="s">
        <v>57</v>
      </c>
      <c r="H2" s="192"/>
      <c r="I2" s="194" t="str">
        <f>IMAGE(I1,1)</f>
        <v/>
      </c>
      <c r="K2" s="186" t="str">
        <f>IF(ISBLANK(Ch1_MountName),"Mount",Ch1_MountName)&amp;"'s Encumbrance"</f>
        <v>Mount's Encumbrance</v>
      </c>
      <c r="L2" s="31"/>
      <c r="M2" s="188"/>
      <c r="N2" s="198" t="str">
        <f>IF(ISBLANK(Ch1_MountSize),"",VLOOKUP(Ch1_MountSize,SizeMultipliers,2, FALSE))</f>
        <v/>
      </c>
    </row>
    <row r="3" ht="18.75" customHeight="1">
      <c r="A3" s="199"/>
      <c r="B3" s="201" t="s">
        <v>60</v>
      </c>
      <c r="C3" s="203"/>
      <c r="D3" s="204">
        <f>Ch1_Str*Ch1_SizeMultiplier*5</f>
        <v>50</v>
      </c>
      <c r="G3" s="206" t="s">
        <v>61</v>
      </c>
      <c r="H3" s="208">
        <v>0.0</v>
      </c>
      <c r="K3" s="210" t="s">
        <v>60</v>
      </c>
      <c r="L3" s="203"/>
      <c r="M3" s="204">
        <f>Ch1_MountStr*Ch1_MountSizeMult*5</f>
        <v>0</v>
      </c>
      <c r="N3" s="214"/>
    </row>
    <row r="4" ht="18.75" customHeight="1">
      <c r="A4" s="199"/>
      <c r="B4" s="216" t="s">
        <v>64</v>
      </c>
      <c r="C4" s="217"/>
      <c r="D4" s="219">
        <f>Ch1_Str*Ch1_SizeMultiplier*10</f>
        <v>100</v>
      </c>
      <c r="G4" s="220" t="s">
        <v>65</v>
      </c>
      <c r="H4" s="208">
        <f>(VLOOKUP(ADD(Ch1_Level,1),XPTable_v,2))-Ch1_XP</f>
        <v>300</v>
      </c>
      <c r="K4" s="224" t="s">
        <v>64</v>
      </c>
      <c r="L4" s="217"/>
      <c r="M4" s="219">
        <f>Ch1_MountStr*Ch1_MountSizeMult*10</f>
        <v>0</v>
      </c>
      <c r="N4" s="214"/>
    </row>
    <row r="5" ht="18.75" customHeight="1">
      <c r="A5" s="199"/>
      <c r="B5" s="201" t="s">
        <v>7</v>
      </c>
      <c r="C5" s="203"/>
      <c r="D5" s="204">
        <f>Ch1_Str*Ch1_SizeMultiplier*15</f>
        <v>150</v>
      </c>
      <c r="G5" s="228" t="s">
        <v>67</v>
      </c>
      <c r="H5" s="230">
        <f>MATCH(Ch1_XP,XPTable_m,2)</f>
        <v>1</v>
      </c>
      <c r="K5" s="210" t="s">
        <v>7</v>
      </c>
      <c r="L5" s="203"/>
      <c r="M5" s="204">
        <f>Ch1_MountStr*Ch1_MountSizeMult*15</f>
        <v>0</v>
      </c>
      <c r="N5" s="214"/>
    </row>
    <row r="6" ht="18.75" customHeight="1">
      <c r="A6" s="199"/>
      <c r="B6" s="216" t="s">
        <v>68</v>
      </c>
      <c r="C6" s="217"/>
      <c r="D6" s="219">
        <f>Ch1_Str*Ch1_SizeMultiplier*30</f>
        <v>300</v>
      </c>
      <c r="G6" s="29"/>
      <c r="H6" s="29"/>
      <c r="K6" s="224" t="s">
        <v>68</v>
      </c>
      <c r="L6" s="217"/>
      <c r="M6" s="219">
        <f>Ch1_MountStr*Ch1_MountSizeMult*30</f>
        <v>0</v>
      </c>
      <c r="N6" s="214"/>
    </row>
    <row r="7" ht="18.75" customHeight="1">
      <c r="A7" s="199"/>
      <c r="B7" s="234" t="s">
        <v>45</v>
      </c>
      <c r="C7" s="235"/>
      <c r="D7" s="238">
        <f t="array" ref="D7">SUMIF(Ch1_EquipStatus,"=yes",Ch1_InventoryWeights)</f>
        <v>0</v>
      </c>
      <c r="G7" s="29"/>
      <c r="H7" s="29"/>
      <c r="K7" s="240" t="s">
        <v>45</v>
      </c>
      <c r="L7" s="235"/>
      <c r="M7" s="253">
        <f t="array" ref="M7">SUMIF(Ch1_EquipStatus,"=mount",Ch1_InventoryWeights)+Ch1_Weight+D7</f>
        <v>0</v>
      </c>
      <c r="N7" s="214"/>
    </row>
    <row r="8" ht="7.5" customHeight="1">
      <c r="A8" s="199"/>
      <c r="B8" s="255"/>
      <c r="C8" s="257"/>
      <c r="D8" s="258"/>
      <c r="E8" s="257"/>
      <c r="F8" s="257"/>
      <c r="G8" s="257"/>
      <c r="H8" s="257"/>
      <c r="I8" s="259"/>
      <c r="J8" s="261"/>
      <c r="K8" s="261"/>
      <c r="L8" s="261"/>
      <c r="M8" s="261"/>
      <c r="N8" s="214"/>
    </row>
    <row r="9" ht="18.75" customHeight="1">
      <c r="A9" s="199"/>
      <c r="B9" s="186" t="s">
        <v>16</v>
      </c>
      <c r="C9" s="263"/>
      <c r="D9" s="266" t="s">
        <v>17</v>
      </c>
      <c r="E9" s="268"/>
      <c r="F9" s="268"/>
      <c r="G9" s="268"/>
      <c r="H9" s="268"/>
      <c r="I9" s="271"/>
      <c r="J9" s="273"/>
      <c r="K9" s="273"/>
      <c r="L9" s="273"/>
      <c r="M9" s="275"/>
      <c r="N9" s="214"/>
    </row>
    <row r="10" ht="18.75" customHeight="1">
      <c r="A10" s="199"/>
      <c r="B10" s="277" t="s">
        <v>23</v>
      </c>
      <c r="C10" s="279" t="s">
        <v>10</v>
      </c>
      <c r="D10" s="279" t="s">
        <v>24</v>
      </c>
      <c r="E10" s="279" t="s">
        <v>25</v>
      </c>
      <c r="F10" s="279" t="s">
        <v>26</v>
      </c>
      <c r="G10" s="279" t="s">
        <v>27</v>
      </c>
      <c r="H10" s="279" t="s">
        <v>28</v>
      </c>
      <c r="I10" s="279" t="s">
        <v>29</v>
      </c>
      <c r="J10" s="279" t="s">
        <v>30</v>
      </c>
      <c r="K10" s="279" t="s">
        <v>31</v>
      </c>
      <c r="L10" s="279" t="s">
        <v>32</v>
      </c>
      <c r="M10" s="282" t="s">
        <v>33</v>
      </c>
      <c r="N10" s="198"/>
    </row>
    <row r="11" ht="18.75" customHeight="1">
      <c r="A11" s="199"/>
      <c r="B11" s="284">
        <v>0.0</v>
      </c>
      <c r="C11" s="287" t="s">
        <v>36</v>
      </c>
      <c r="D11" s="290">
        <f>B11</f>
        <v>0</v>
      </c>
      <c r="E11" s="290">
        <f>B11/10</f>
        <v>0</v>
      </c>
      <c r="F11" s="290">
        <f>B11/50</f>
        <v>0</v>
      </c>
      <c r="G11" s="290">
        <f>B11/100</f>
        <v>0</v>
      </c>
      <c r="H11" s="290">
        <f>B11/1000</f>
        <v>0</v>
      </c>
      <c r="I11" s="296">
        <f>B11/5000</f>
        <v>0</v>
      </c>
      <c r="J11" s="299">
        <f>B11/10000</f>
        <v>0</v>
      </c>
      <c r="K11" s="299">
        <f>B11/50000</f>
        <v>0</v>
      </c>
      <c r="L11" s="299">
        <f>B11/100000</f>
        <v>0</v>
      </c>
      <c r="M11" s="304">
        <f>B11/500000</f>
        <v>0</v>
      </c>
      <c r="N11" s="214"/>
    </row>
    <row r="12" ht="18.75" customHeight="1">
      <c r="A12" s="199"/>
      <c r="B12" s="306">
        <v>0.0</v>
      </c>
      <c r="C12" s="308" t="s">
        <v>50</v>
      </c>
      <c r="D12" s="310">
        <f>B12*10</f>
        <v>0</v>
      </c>
      <c r="E12" s="310">
        <f>B12</f>
        <v>0</v>
      </c>
      <c r="F12" s="310">
        <f>B12/5</f>
        <v>0</v>
      </c>
      <c r="G12" s="310">
        <f>B12/10</f>
        <v>0</v>
      </c>
      <c r="H12" s="310">
        <f>B12/100</f>
        <v>0</v>
      </c>
      <c r="I12" s="310">
        <f>B12/500</f>
        <v>0</v>
      </c>
      <c r="J12" s="310">
        <f>B12/1000</f>
        <v>0</v>
      </c>
      <c r="K12" s="310">
        <f>B12/5000</f>
        <v>0</v>
      </c>
      <c r="L12" s="310">
        <f>B12/10000</f>
        <v>0</v>
      </c>
      <c r="M12" s="321">
        <f>B12/50000</f>
        <v>0</v>
      </c>
      <c r="N12" s="214"/>
    </row>
    <row r="13" ht="18.75" customHeight="1">
      <c r="A13" s="199"/>
      <c r="B13" s="284">
        <v>0.0</v>
      </c>
      <c r="C13" s="287" t="s">
        <v>54</v>
      </c>
      <c r="D13" s="290">
        <f>B13*50</f>
        <v>0</v>
      </c>
      <c r="E13" s="290">
        <f>B13*5</f>
        <v>0</v>
      </c>
      <c r="F13" s="290">
        <f>B13</f>
        <v>0</v>
      </c>
      <c r="G13" s="290">
        <f>B13/2</f>
        <v>0</v>
      </c>
      <c r="H13" s="290">
        <f>B13/20</f>
        <v>0</v>
      </c>
      <c r="I13" s="290">
        <f>B13/100</f>
        <v>0</v>
      </c>
      <c r="J13" s="299">
        <f>B13/200</f>
        <v>0</v>
      </c>
      <c r="K13" s="299">
        <f>B13/1000</f>
        <v>0</v>
      </c>
      <c r="L13" s="299">
        <f>B13/2000</f>
        <v>0</v>
      </c>
      <c r="M13" s="304">
        <f>B13/10000</f>
        <v>0</v>
      </c>
      <c r="N13" s="214"/>
    </row>
    <row r="14" ht="18.75" customHeight="1">
      <c r="A14" s="199"/>
      <c r="B14" s="306">
        <v>0.0</v>
      </c>
      <c r="C14" s="308" t="s">
        <v>59</v>
      </c>
      <c r="D14" s="310">
        <f>B14*100</f>
        <v>0</v>
      </c>
      <c r="E14" s="310">
        <f>B14*10</f>
        <v>0</v>
      </c>
      <c r="F14" s="310">
        <f>B14*2</f>
        <v>0</v>
      </c>
      <c r="G14" s="310">
        <f>B14</f>
        <v>0</v>
      </c>
      <c r="H14" s="310">
        <f>B14/10</f>
        <v>0</v>
      </c>
      <c r="I14" s="310">
        <f>B14/50</f>
        <v>0</v>
      </c>
      <c r="J14" s="340">
        <f>B14/100</f>
        <v>0</v>
      </c>
      <c r="K14" s="340">
        <f>B14/500</f>
        <v>0</v>
      </c>
      <c r="L14" s="340">
        <f>B14/1000</f>
        <v>0</v>
      </c>
      <c r="M14" s="344">
        <f>B14/5000</f>
        <v>0</v>
      </c>
      <c r="N14" s="214"/>
    </row>
    <row r="15" ht="18.75" customHeight="1">
      <c r="A15" s="199"/>
      <c r="B15" s="346">
        <v>0.0</v>
      </c>
      <c r="C15" s="348" t="s">
        <v>63</v>
      </c>
      <c r="D15" s="351">
        <f>B15*1000</f>
        <v>0</v>
      </c>
      <c r="E15" s="351">
        <f>B15*100</f>
        <v>0</v>
      </c>
      <c r="F15" s="351">
        <f>B15*20</f>
        <v>0</v>
      </c>
      <c r="G15" s="351">
        <f>B15*10</f>
        <v>0</v>
      </c>
      <c r="H15" s="351">
        <f>B15*1</f>
        <v>0</v>
      </c>
      <c r="I15" s="351">
        <f>B15/5</f>
        <v>0</v>
      </c>
      <c r="J15" s="358">
        <f>B15/10</f>
        <v>0</v>
      </c>
      <c r="K15" s="358">
        <f>B15/50</f>
        <v>0</v>
      </c>
      <c r="L15" s="358">
        <f>B15/100</f>
        <v>0</v>
      </c>
      <c r="M15" s="363">
        <f>B15/500</f>
        <v>0</v>
      </c>
      <c r="N15" s="214"/>
    </row>
    <row r="16" ht="7.5" customHeight="1">
      <c r="A16" s="199"/>
      <c r="B16" s="265"/>
      <c r="C16" s="267"/>
      <c r="D16" s="267"/>
      <c r="E16" s="267"/>
      <c r="F16" s="267"/>
      <c r="G16" s="267"/>
      <c r="H16" s="267"/>
      <c r="I16" s="267"/>
      <c r="J16" s="269"/>
      <c r="K16" s="269"/>
      <c r="L16" s="269"/>
      <c r="M16" s="269"/>
      <c r="N16" s="272"/>
      <c r="O16" s="233"/>
      <c r="P16" s="233"/>
      <c r="Q16" s="233"/>
      <c r="R16" s="233"/>
      <c r="S16" s="233"/>
      <c r="T16" s="233"/>
      <c r="U16" s="233"/>
      <c r="V16" s="233"/>
      <c r="W16" s="233"/>
      <c r="X16" s="233"/>
      <c r="Y16" s="233"/>
      <c r="Z16" s="233"/>
      <c r="AA16" s="233"/>
      <c r="AB16" s="233"/>
    </row>
    <row r="17" ht="18.75" customHeight="1">
      <c r="A17" s="199"/>
      <c r="B17" s="186" t="s">
        <v>69</v>
      </c>
      <c r="C17" s="263"/>
      <c r="D17" s="266" t="s">
        <v>17</v>
      </c>
      <c r="E17" s="366"/>
      <c r="F17" s="368"/>
      <c r="G17" s="368"/>
      <c r="H17" s="368"/>
      <c r="I17" s="368"/>
      <c r="J17" s="370"/>
      <c r="K17" s="370"/>
      <c r="L17" s="370"/>
      <c r="M17" s="372"/>
      <c r="N17" s="214"/>
    </row>
    <row r="18" ht="18.75" customHeight="1">
      <c r="A18" s="199"/>
      <c r="B18" s="277" t="s">
        <v>23</v>
      </c>
      <c r="C18" s="279" t="s">
        <v>10</v>
      </c>
      <c r="D18" s="279" t="s">
        <v>24</v>
      </c>
      <c r="E18" s="279" t="s">
        <v>25</v>
      </c>
      <c r="F18" s="279" t="s">
        <v>26</v>
      </c>
      <c r="G18" s="279" t="s">
        <v>27</v>
      </c>
      <c r="H18" s="279" t="s">
        <v>28</v>
      </c>
      <c r="I18" s="279" t="s">
        <v>29</v>
      </c>
      <c r="J18" s="279" t="s">
        <v>30</v>
      </c>
      <c r="K18" s="279" t="s">
        <v>31</v>
      </c>
      <c r="L18" s="279" t="s">
        <v>32</v>
      </c>
      <c r="M18" s="282" t="s">
        <v>33</v>
      </c>
      <c r="N18" s="214"/>
    </row>
    <row r="19" ht="18.75" customHeight="1">
      <c r="A19" s="199"/>
      <c r="B19" s="284">
        <v>0.0</v>
      </c>
      <c r="C19" s="287" t="s">
        <v>70</v>
      </c>
      <c r="D19" s="290">
        <f>B19*1000</f>
        <v>0</v>
      </c>
      <c r="E19" s="290">
        <f>B19*100</f>
        <v>0</v>
      </c>
      <c r="F19" s="290">
        <f>B19*20</f>
        <v>0</v>
      </c>
      <c r="G19" s="290">
        <f>B19*10</f>
        <v>0</v>
      </c>
      <c r="H19" s="290">
        <f>B19*1</f>
        <v>0</v>
      </c>
      <c r="I19" s="290">
        <f>B19/5</f>
        <v>0</v>
      </c>
      <c r="J19" s="299">
        <f>B19/10</f>
        <v>0</v>
      </c>
      <c r="K19" s="299">
        <f>B19/50</f>
        <v>0</v>
      </c>
      <c r="L19" s="299">
        <f>B19/100</f>
        <v>0</v>
      </c>
      <c r="M19" s="304">
        <f>B19/500</f>
        <v>0</v>
      </c>
      <c r="N19" s="214"/>
    </row>
    <row r="20" ht="18.75" customHeight="1">
      <c r="A20" s="199"/>
      <c r="B20" s="306">
        <v>0.0</v>
      </c>
      <c r="C20" s="308" t="s">
        <v>71</v>
      </c>
      <c r="D20" s="310">
        <f>B20*5000</f>
        <v>0</v>
      </c>
      <c r="E20" s="310">
        <f>B20*500</f>
        <v>0</v>
      </c>
      <c r="F20" s="310">
        <f>B20*100</f>
        <v>0</v>
      </c>
      <c r="G20" s="310">
        <f>B20*50</f>
        <v>0</v>
      </c>
      <c r="H20" s="310">
        <f>B20*5</f>
        <v>0</v>
      </c>
      <c r="I20" s="310">
        <f>B20</f>
        <v>0</v>
      </c>
      <c r="J20" s="340">
        <f>B20/2</f>
        <v>0</v>
      </c>
      <c r="K20" s="340">
        <f>B20/10</f>
        <v>0</v>
      </c>
      <c r="L20" s="340">
        <f>B20/20</f>
        <v>0</v>
      </c>
      <c r="M20" s="344">
        <f>B20/100</f>
        <v>0</v>
      </c>
      <c r="N20" s="214"/>
    </row>
    <row r="21" ht="18.75" customHeight="1">
      <c r="A21" s="199"/>
      <c r="B21" s="284">
        <v>0.0</v>
      </c>
      <c r="C21" s="287" t="s">
        <v>72</v>
      </c>
      <c r="D21" s="290">
        <f>B21*10000</f>
        <v>0</v>
      </c>
      <c r="E21" s="290">
        <f>B21*1000</f>
        <v>0</v>
      </c>
      <c r="F21" s="290">
        <f>B21*200</f>
        <v>0</v>
      </c>
      <c r="G21" s="290">
        <f>B21*100</f>
        <v>0</v>
      </c>
      <c r="H21" s="290">
        <f>B21*10</f>
        <v>0</v>
      </c>
      <c r="I21" s="290">
        <f>B21/5*10</f>
        <v>0</v>
      </c>
      <c r="J21" s="299">
        <f>B21</f>
        <v>0</v>
      </c>
      <c r="K21" s="299">
        <f>B21/5</f>
        <v>0</v>
      </c>
      <c r="L21" s="299">
        <f>B21/10</f>
        <v>0</v>
      </c>
      <c r="M21" s="304">
        <f>B21/50</f>
        <v>0</v>
      </c>
      <c r="N21" s="214"/>
    </row>
    <row r="22" ht="18.75" customHeight="1">
      <c r="A22" s="199"/>
      <c r="B22" s="306">
        <v>0.0</v>
      </c>
      <c r="C22" s="308" t="s">
        <v>73</v>
      </c>
      <c r="D22" s="310">
        <f>B22*50000</f>
        <v>0</v>
      </c>
      <c r="E22" s="310">
        <f>B22*5000</f>
        <v>0</v>
      </c>
      <c r="F22" s="310">
        <f>B22*1000</f>
        <v>0</v>
      </c>
      <c r="G22" s="310">
        <f>B22*500</f>
        <v>0</v>
      </c>
      <c r="H22" s="310">
        <f>B22*50</f>
        <v>0</v>
      </c>
      <c r="I22" s="310">
        <f>B22*10</f>
        <v>0</v>
      </c>
      <c r="J22" s="340">
        <f>B22/2*10</f>
        <v>0</v>
      </c>
      <c r="K22" s="340">
        <f>B22</f>
        <v>0</v>
      </c>
      <c r="L22" s="340">
        <f>B22/2</f>
        <v>0</v>
      </c>
      <c r="M22" s="344">
        <f>B22/10</f>
        <v>0</v>
      </c>
      <c r="N22" s="214"/>
    </row>
    <row r="23" ht="18.75" customHeight="1">
      <c r="A23" s="199"/>
      <c r="B23" s="284">
        <v>0.0</v>
      </c>
      <c r="C23" s="287" t="s">
        <v>74</v>
      </c>
      <c r="D23" s="290">
        <f>B23*100000</f>
        <v>0</v>
      </c>
      <c r="E23" s="290">
        <f>B23*10000</f>
        <v>0</v>
      </c>
      <c r="F23" s="290">
        <f>B23*2000</f>
        <v>0</v>
      </c>
      <c r="G23" s="290">
        <f>B23*1000</f>
        <v>0</v>
      </c>
      <c r="H23" s="290">
        <f>B23*100</f>
        <v>0</v>
      </c>
      <c r="I23" s="290">
        <f>B23/5*100</f>
        <v>0</v>
      </c>
      <c r="J23" s="299">
        <f>B23*10</f>
        <v>0</v>
      </c>
      <c r="K23" s="299">
        <f>B23/5*10</f>
        <v>0</v>
      </c>
      <c r="L23" s="299">
        <f>B23</f>
        <v>0</v>
      </c>
      <c r="M23" s="304">
        <f>B23/5</f>
        <v>0</v>
      </c>
      <c r="N23" s="214"/>
    </row>
    <row r="24" ht="18.75" customHeight="1">
      <c r="A24" s="199"/>
      <c r="B24" s="413">
        <v>0.0</v>
      </c>
      <c r="C24" s="416" t="s">
        <v>75</v>
      </c>
      <c r="D24" s="421">
        <f>B24*500000</f>
        <v>0</v>
      </c>
      <c r="E24" s="421">
        <f>B24*50000</f>
        <v>0</v>
      </c>
      <c r="F24" s="421">
        <f>B24*10000</f>
        <v>0</v>
      </c>
      <c r="G24" s="421">
        <f>B24*5000</f>
        <v>0</v>
      </c>
      <c r="H24" s="421">
        <f>B24*500</f>
        <v>0</v>
      </c>
      <c r="I24" s="421">
        <f>B24*100</f>
        <v>0</v>
      </c>
      <c r="J24" s="428">
        <f>B24/2*100</f>
        <v>0</v>
      </c>
      <c r="K24" s="428">
        <f>B24*10</f>
        <v>0</v>
      </c>
      <c r="L24" s="428">
        <f>B24/2*10</f>
        <v>0</v>
      </c>
      <c r="M24" s="432">
        <f>B24</f>
        <v>0</v>
      </c>
      <c r="N24" s="214"/>
    </row>
    <row r="25" ht="7.5" customHeight="1">
      <c r="A25" s="199"/>
      <c r="B25" s="199"/>
      <c r="C25" s="19"/>
      <c r="D25" s="19"/>
      <c r="E25" s="19"/>
      <c r="F25" s="19"/>
      <c r="G25" s="19"/>
      <c r="H25" s="19"/>
      <c r="I25" s="19"/>
      <c r="J25" s="42"/>
      <c r="K25" s="42"/>
      <c r="L25" s="42"/>
      <c r="M25" s="42"/>
      <c r="N25" s="214"/>
    </row>
    <row r="26" ht="18.75" customHeight="1">
      <c r="A26" s="199"/>
      <c r="B26" s="435" t="s">
        <v>23</v>
      </c>
      <c r="C26" s="438" t="s">
        <v>76</v>
      </c>
      <c r="D26" s="438" t="s">
        <v>77</v>
      </c>
      <c r="E26" s="440" t="s">
        <v>78</v>
      </c>
      <c r="F26" s="438" t="s">
        <v>11</v>
      </c>
      <c r="G26" s="442" t="s">
        <v>79</v>
      </c>
      <c r="H26" s="444" t="s">
        <v>80</v>
      </c>
      <c r="I26" s="446"/>
      <c r="J26" s="446"/>
      <c r="K26" s="446"/>
      <c r="L26" s="449"/>
      <c r="M26" s="451" t="s">
        <v>81</v>
      </c>
      <c r="N26" s="445"/>
    </row>
    <row r="27" ht="18.75" customHeight="1">
      <c r="A27" s="454">
        <f>IFERROR(VLOOKUP(H27,PartyStorage,2, FALSE),0)</f>
        <v>0</v>
      </c>
      <c r="B27" s="457">
        <f>sum(Ch1_Money)</f>
        <v>0</v>
      </c>
      <c r="C27" s="310" t="s">
        <v>16</v>
      </c>
      <c r="D27" s="310">
        <v>0.02</v>
      </c>
      <c r="E27" s="310"/>
      <c r="F27" s="461" t="s">
        <v>44</v>
      </c>
      <c r="G27" s="463"/>
      <c r="H27" s="465"/>
      <c r="L27" s="203"/>
      <c r="M27" s="468">
        <f t="shared" ref="M27:M28" si="1">IF(ISBLANK(C27),"",IF(ISBLANK(B27),D27,D27*B27))</f>
        <v>0</v>
      </c>
      <c r="N27" s="214" t="str">
        <f>IFERROR(VLOOKUP(F27,Ch1_Storage,2, FALSE),"")</f>
        <v/>
      </c>
    </row>
    <row r="28" ht="18.75" customHeight="1">
      <c r="A28" s="454">
        <f>IFERROR(VLOOKUP(H28,PartyStorage,2, FALSE),0)</f>
        <v>0</v>
      </c>
      <c r="B28" s="473">
        <f>sum(Ch1_Gems)</f>
        <v>0</v>
      </c>
      <c r="C28" s="290" t="s">
        <v>69</v>
      </c>
      <c r="D28" s="290">
        <v>0.02</v>
      </c>
      <c r="E28" s="299"/>
      <c r="F28" s="476" t="s">
        <v>44</v>
      </c>
      <c r="G28" s="478"/>
      <c r="H28" s="480"/>
      <c r="I28" s="482"/>
      <c r="J28" s="482"/>
      <c r="K28" s="482"/>
      <c r="L28" s="485"/>
      <c r="M28" s="487">
        <f t="shared" si="1"/>
        <v>0</v>
      </c>
      <c r="N28" s="214" t="str">
        <f>IFERROR(VLOOKUP(F28,Ch1_Storage,2, FALSE),"")</f>
        <v/>
      </c>
    </row>
    <row r="29" ht="18.75" customHeight="1">
      <c r="A29" s="454">
        <f>IFERROR(VLOOKUP(H29,PartyStorage,2, FALSE),0)</f>
        <v>0</v>
      </c>
      <c r="B29" s="457"/>
      <c r="C29" s="310"/>
      <c r="D29" s="310"/>
      <c r="E29" s="492"/>
      <c r="F29" s="461"/>
      <c r="G29" s="463"/>
      <c r="H29" s="465"/>
      <c r="L29" s="203"/>
      <c r="M29" s="468"/>
      <c r="N29" s="214" t="str">
        <f>IFERROR(VLOOKUP(F29,Ch1_Storage,2, FALSE),"")</f>
        <v/>
      </c>
    </row>
    <row r="30" ht="18.75" customHeight="1">
      <c r="A30" s="454">
        <f>IFERROR(VLOOKUP(H30,PartyStorage,2, FALSE),0)</f>
        <v>0</v>
      </c>
      <c r="B30" s="499"/>
      <c r="C30" s="290"/>
      <c r="D30" s="290"/>
      <c r="E30" s="500"/>
      <c r="F30" s="502"/>
      <c r="G30" s="478"/>
      <c r="H30" s="480"/>
      <c r="L30" s="217"/>
      <c r="M30" s="487" t="str">
        <f t="shared" ref="M30:M208" si="2">IF(ISBLANK(C30),"",IF(ISBLANK(B30),D30,D30*B30))</f>
        <v/>
      </c>
      <c r="N30" s="214" t="str">
        <f>IFERROR(VLOOKUP(F30,Ch1_Storage,2, FALSE),"")</f>
        <v/>
      </c>
    </row>
    <row r="31" ht="18.75" customHeight="1">
      <c r="A31" s="454">
        <f>IFERROR(VLOOKUP(H31,PartyStorage,2, FALSE),0)</f>
        <v>0</v>
      </c>
      <c r="B31" s="457"/>
      <c r="C31" s="310"/>
      <c r="D31" s="310"/>
      <c r="E31" s="492"/>
      <c r="F31" s="509"/>
      <c r="G31" s="463"/>
      <c r="H31" s="465"/>
      <c r="L31" s="203"/>
      <c r="M31" s="468" t="str">
        <f t="shared" si="2"/>
        <v/>
      </c>
      <c r="N31" s="214" t="str">
        <f>IFERROR(VLOOKUP(F31,Ch1_Storage,2, FALSE),"")</f>
        <v/>
      </c>
    </row>
    <row r="32" ht="18.75" customHeight="1">
      <c r="A32" s="454">
        <f>IFERROR(VLOOKUP(H32,PartyStorage,2, FALSE),0)</f>
        <v>0</v>
      </c>
      <c r="B32" s="499"/>
      <c r="C32" s="299"/>
      <c r="D32" s="299"/>
      <c r="E32" s="500"/>
      <c r="F32" s="502"/>
      <c r="G32" s="478"/>
      <c r="H32" s="480"/>
      <c r="L32" s="217"/>
      <c r="M32" s="487" t="str">
        <f t="shared" si="2"/>
        <v/>
      </c>
      <c r="N32" s="214" t="str">
        <f>IFERROR(VLOOKUP(F32,Ch1_Storage,2, FALSE),"")</f>
        <v/>
      </c>
    </row>
    <row r="33" ht="18.75" customHeight="1">
      <c r="A33" s="454">
        <f>IFERROR(VLOOKUP(H33,PartyStorage,2, FALSE),0)</f>
        <v>0</v>
      </c>
      <c r="B33" s="516"/>
      <c r="C33" s="340"/>
      <c r="D33" s="340"/>
      <c r="E33" s="492"/>
      <c r="F33" s="509"/>
      <c r="G33" s="463"/>
      <c r="H33" s="465"/>
      <c r="L33" s="203"/>
      <c r="M33" s="468" t="str">
        <f t="shared" si="2"/>
        <v/>
      </c>
      <c r="N33" s="214" t="str">
        <f>IFERROR(VLOOKUP(F33,Ch1_Storage,2, FALSE),"")</f>
        <v/>
      </c>
    </row>
    <row r="34" ht="18.75" customHeight="1">
      <c r="A34" s="454">
        <f>IFERROR(VLOOKUP(H34,PartyStorage,2, FALSE),0)</f>
        <v>0</v>
      </c>
      <c r="B34" s="499"/>
      <c r="C34" s="299"/>
      <c r="D34" s="299"/>
      <c r="E34" s="500"/>
      <c r="F34" s="502"/>
      <c r="G34" s="478"/>
      <c r="H34" s="480"/>
      <c r="L34" s="217"/>
      <c r="M34" s="487" t="str">
        <f t="shared" si="2"/>
        <v/>
      </c>
      <c r="N34" s="214" t="str">
        <f>IFERROR(VLOOKUP(F34,Ch1_Storage,2, FALSE),"")</f>
        <v/>
      </c>
    </row>
    <row r="35" ht="18.75" customHeight="1">
      <c r="A35" s="454">
        <f>IFERROR(VLOOKUP(H35,PartyStorage,2, FALSE),0)</f>
        <v>0</v>
      </c>
      <c r="B35" s="516"/>
      <c r="C35" s="340"/>
      <c r="D35" s="340"/>
      <c r="E35" s="492"/>
      <c r="F35" s="509"/>
      <c r="G35" s="463"/>
      <c r="H35" s="465"/>
      <c r="L35" s="203"/>
      <c r="M35" s="468" t="str">
        <f t="shared" si="2"/>
        <v/>
      </c>
      <c r="N35" s="214" t="str">
        <f>IFERROR(VLOOKUP(F35,Ch1_Storage,2, FALSE),"")</f>
        <v/>
      </c>
    </row>
    <row r="36" ht="18.75" customHeight="1">
      <c r="A36" s="454">
        <f>IFERROR(VLOOKUP(H36,PartyStorage,2, FALSE),0)</f>
        <v>0</v>
      </c>
      <c r="B36" s="499"/>
      <c r="C36" s="299"/>
      <c r="D36" s="299"/>
      <c r="E36" s="500"/>
      <c r="F36" s="502"/>
      <c r="G36" s="478"/>
      <c r="H36" s="480"/>
      <c r="L36" s="217"/>
      <c r="M36" s="487" t="str">
        <f t="shared" si="2"/>
        <v/>
      </c>
      <c r="N36" s="214" t="str">
        <f>IFERROR(VLOOKUP(F36,Ch1_Storage,2, FALSE),"")</f>
        <v/>
      </c>
    </row>
    <row r="37" ht="18.75" customHeight="1">
      <c r="A37" s="454">
        <f>IFERROR(VLOOKUP(H37,PartyStorage,2, FALSE),0)</f>
        <v>0</v>
      </c>
      <c r="B37" s="516"/>
      <c r="C37" s="340"/>
      <c r="D37" s="340"/>
      <c r="E37" s="492"/>
      <c r="F37" s="509"/>
      <c r="G37" s="463"/>
      <c r="H37" s="465"/>
      <c r="L37" s="203"/>
      <c r="M37" s="468" t="str">
        <f t="shared" si="2"/>
        <v/>
      </c>
      <c r="N37" s="214" t="str">
        <f>IFERROR(VLOOKUP(F37,Ch1_Storage,2, FALSE),"")</f>
        <v/>
      </c>
    </row>
    <row r="38" ht="18.75" customHeight="1">
      <c r="A38" s="454">
        <f>IFERROR(VLOOKUP(H38,PartyStorage,2, FALSE),0)</f>
        <v>0</v>
      </c>
      <c r="B38" s="499"/>
      <c r="C38" s="299"/>
      <c r="D38" s="299"/>
      <c r="E38" s="500"/>
      <c r="F38" s="502"/>
      <c r="G38" s="478"/>
      <c r="H38" s="480"/>
      <c r="L38" s="217"/>
      <c r="M38" s="487" t="str">
        <f t="shared" si="2"/>
        <v/>
      </c>
      <c r="N38" s="214" t="str">
        <f>IFERROR(VLOOKUP(F38,Ch1_Storage,2, FALSE),"")</f>
        <v/>
      </c>
    </row>
    <row r="39" ht="18.75" customHeight="1">
      <c r="A39" s="454">
        <f>IFERROR(VLOOKUP(H39,PartyStorage,2, FALSE),0)</f>
        <v>0</v>
      </c>
      <c r="B39" s="516"/>
      <c r="C39" s="340"/>
      <c r="D39" s="340"/>
      <c r="E39" s="492"/>
      <c r="F39" s="509"/>
      <c r="G39" s="463"/>
      <c r="H39" s="465"/>
      <c r="L39" s="203"/>
      <c r="M39" s="468" t="str">
        <f t="shared" si="2"/>
        <v/>
      </c>
      <c r="N39" s="214" t="str">
        <f>IFERROR(VLOOKUP(F39,Ch1_Storage,2, FALSE),"")</f>
        <v/>
      </c>
    </row>
    <row r="40" ht="18.75" customHeight="1">
      <c r="A40" s="454">
        <f>IFERROR(VLOOKUP(H40,PartyStorage,2, FALSE),0)</f>
        <v>0</v>
      </c>
      <c r="B40" s="499"/>
      <c r="C40" s="299"/>
      <c r="D40" s="299"/>
      <c r="E40" s="500"/>
      <c r="F40" s="502"/>
      <c r="G40" s="478"/>
      <c r="H40" s="480"/>
      <c r="L40" s="217"/>
      <c r="M40" s="487" t="str">
        <f t="shared" si="2"/>
        <v/>
      </c>
      <c r="N40" s="214" t="str">
        <f>IFERROR(VLOOKUP(F40,Ch1_Storage,2, FALSE),"")</f>
        <v/>
      </c>
    </row>
    <row r="41" ht="18.75" customHeight="1">
      <c r="A41" s="454">
        <f>IFERROR(VLOOKUP(H41,PartyStorage,2, FALSE),0)</f>
        <v>0</v>
      </c>
      <c r="B41" s="516"/>
      <c r="C41" s="340"/>
      <c r="D41" s="340"/>
      <c r="E41" s="492"/>
      <c r="F41" s="509"/>
      <c r="G41" s="463"/>
      <c r="H41" s="465"/>
      <c r="L41" s="203"/>
      <c r="M41" s="468" t="str">
        <f t="shared" si="2"/>
        <v/>
      </c>
      <c r="N41" s="214" t="str">
        <f>IFERROR(VLOOKUP(F41,Ch1_Storage,2, FALSE),"")</f>
        <v/>
      </c>
    </row>
    <row r="42" ht="18.75" customHeight="1">
      <c r="A42" s="454">
        <f>IFERROR(VLOOKUP(H42,PartyStorage,2, FALSE),0)</f>
        <v>0</v>
      </c>
      <c r="B42" s="499"/>
      <c r="C42" s="299"/>
      <c r="D42" s="299"/>
      <c r="E42" s="500"/>
      <c r="F42" s="502"/>
      <c r="G42" s="478"/>
      <c r="H42" s="480"/>
      <c r="L42" s="217"/>
      <c r="M42" s="487" t="str">
        <f t="shared" si="2"/>
        <v/>
      </c>
      <c r="N42" s="214" t="str">
        <f>IFERROR(VLOOKUP(F42,Ch1_Storage,2, FALSE),"")</f>
        <v/>
      </c>
    </row>
    <row r="43" ht="18.75" customHeight="1">
      <c r="A43" s="454">
        <f>IFERROR(VLOOKUP(H43,PartyStorage,2, FALSE),0)</f>
        <v>0</v>
      </c>
      <c r="B43" s="516"/>
      <c r="C43" s="340"/>
      <c r="D43" s="340"/>
      <c r="E43" s="492"/>
      <c r="F43" s="509"/>
      <c r="G43" s="463"/>
      <c r="H43" s="465"/>
      <c r="L43" s="203"/>
      <c r="M43" s="468" t="str">
        <f t="shared" si="2"/>
        <v/>
      </c>
      <c r="N43" s="214" t="str">
        <f>IFERROR(VLOOKUP(F43,Ch1_Storage,2, FALSE),"")</f>
        <v/>
      </c>
    </row>
    <row r="44" ht="18.75" customHeight="1">
      <c r="A44" s="454">
        <f>IFERROR(VLOOKUP(H44,PartyStorage,2, FALSE),0)</f>
        <v>0</v>
      </c>
      <c r="B44" s="499"/>
      <c r="C44" s="299"/>
      <c r="D44" s="299"/>
      <c r="E44" s="500"/>
      <c r="F44" s="502"/>
      <c r="G44" s="478"/>
      <c r="H44" s="480"/>
      <c r="L44" s="217"/>
      <c r="M44" s="487" t="str">
        <f t="shared" si="2"/>
        <v/>
      </c>
      <c r="N44" s="214" t="str">
        <f>IFERROR(VLOOKUP(F44,Ch1_Storage,2, FALSE),"")</f>
        <v/>
      </c>
    </row>
    <row r="45" ht="18.75" customHeight="1">
      <c r="A45" s="454">
        <f>IFERROR(VLOOKUP(H45,PartyStorage,2, FALSE),0)</f>
        <v>0</v>
      </c>
      <c r="B45" s="516"/>
      <c r="C45" s="340"/>
      <c r="D45" s="340"/>
      <c r="E45" s="492"/>
      <c r="F45" s="509"/>
      <c r="G45" s="463"/>
      <c r="H45" s="465"/>
      <c r="L45" s="203"/>
      <c r="M45" s="468" t="str">
        <f t="shared" si="2"/>
        <v/>
      </c>
      <c r="N45" s="214" t="str">
        <f>IFERROR(VLOOKUP(F45,Ch1_Storage,2, FALSE),"")</f>
        <v/>
      </c>
    </row>
    <row r="46" ht="18.75" customHeight="1">
      <c r="A46" s="454">
        <f>IFERROR(VLOOKUP(H46,PartyStorage,2, FALSE),0)</f>
        <v>0</v>
      </c>
      <c r="B46" s="499"/>
      <c r="C46" s="299"/>
      <c r="D46" s="299"/>
      <c r="E46" s="500"/>
      <c r="F46" s="502"/>
      <c r="G46" s="478"/>
      <c r="H46" s="480"/>
      <c r="L46" s="217"/>
      <c r="M46" s="487" t="str">
        <f t="shared" si="2"/>
        <v/>
      </c>
      <c r="N46" s="214" t="str">
        <f>IFERROR(VLOOKUP(F46,Ch1_Storage,2, FALSE),"")</f>
        <v/>
      </c>
    </row>
    <row r="47" ht="18.75" customHeight="1">
      <c r="A47" s="454">
        <f>IFERROR(VLOOKUP(H47,PartyStorage,2, FALSE),0)</f>
        <v>0</v>
      </c>
      <c r="B47" s="516"/>
      <c r="C47" s="340"/>
      <c r="D47" s="340"/>
      <c r="E47" s="492"/>
      <c r="F47" s="509"/>
      <c r="G47" s="463"/>
      <c r="H47" s="465"/>
      <c r="L47" s="203"/>
      <c r="M47" s="468" t="str">
        <f t="shared" si="2"/>
        <v/>
      </c>
      <c r="N47" s="214" t="str">
        <f>IFERROR(VLOOKUP(F47,Ch1_Storage,2, FALSE),"")</f>
        <v/>
      </c>
    </row>
    <row r="48" ht="18.75" customHeight="1">
      <c r="A48" s="454">
        <f>IFERROR(VLOOKUP(H48,PartyStorage,2, FALSE),0)</f>
        <v>0</v>
      </c>
      <c r="B48" s="499"/>
      <c r="C48" s="299"/>
      <c r="D48" s="299"/>
      <c r="E48" s="500"/>
      <c r="F48" s="502"/>
      <c r="G48" s="478"/>
      <c r="H48" s="480"/>
      <c r="L48" s="217"/>
      <c r="M48" s="487" t="str">
        <f t="shared" si="2"/>
        <v/>
      </c>
      <c r="N48" s="214" t="str">
        <f>IFERROR(VLOOKUP(F48,Ch1_Storage,2, FALSE),"")</f>
        <v/>
      </c>
    </row>
    <row r="49" ht="18.75" customHeight="1">
      <c r="A49" s="454">
        <f>IFERROR(VLOOKUP(H49,PartyStorage,2, FALSE),0)</f>
        <v>0</v>
      </c>
      <c r="B49" s="516"/>
      <c r="C49" s="340"/>
      <c r="D49" s="340"/>
      <c r="E49" s="492"/>
      <c r="F49" s="509"/>
      <c r="G49" s="463"/>
      <c r="H49" s="465"/>
      <c r="L49" s="203"/>
      <c r="M49" s="468" t="str">
        <f t="shared" si="2"/>
        <v/>
      </c>
      <c r="N49" s="214" t="str">
        <f>IFERROR(VLOOKUP(F49,Ch1_Storage,2, FALSE),"")</f>
        <v/>
      </c>
    </row>
    <row r="50" ht="18.75" customHeight="1">
      <c r="A50" s="454">
        <f>IFERROR(VLOOKUP(H50,PartyStorage,2, FALSE),0)</f>
        <v>0</v>
      </c>
      <c r="B50" s="499"/>
      <c r="C50" s="299"/>
      <c r="D50" s="299"/>
      <c r="E50" s="500"/>
      <c r="F50" s="502"/>
      <c r="G50" s="478"/>
      <c r="H50" s="480"/>
      <c r="L50" s="217"/>
      <c r="M50" s="487" t="str">
        <f t="shared" si="2"/>
        <v/>
      </c>
      <c r="N50" s="214" t="str">
        <f>IFERROR(VLOOKUP(F50,Ch1_Storage,2, FALSE),"")</f>
        <v/>
      </c>
    </row>
    <row r="51" ht="18.75" customHeight="1">
      <c r="A51" s="454">
        <f>IFERROR(VLOOKUP(H51,PartyStorage,2, FALSE),0)</f>
        <v>0</v>
      </c>
      <c r="B51" s="516"/>
      <c r="C51" s="340"/>
      <c r="D51" s="340"/>
      <c r="E51" s="492"/>
      <c r="F51" s="509"/>
      <c r="G51" s="463"/>
      <c r="H51" s="465"/>
      <c r="L51" s="203"/>
      <c r="M51" s="468" t="str">
        <f t="shared" si="2"/>
        <v/>
      </c>
      <c r="N51" s="214" t="str">
        <f>IFERROR(VLOOKUP(F51,Ch1_Storage,2, FALSE),"")</f>
        <v/>
      </c>
    </row>
    <row r="52" ht="18.75" customHeight="1">
      <c r="A52" s="454">
        <f>IFERROR(VLOOKUP(H52,PartyStorage,2, FALSE),0)</f>
        <v>0</v>
      </c>
      <c r="B52" s="499"/>
      <c r="C52" s="299"/>
      <c r="D52" s="299"/>
      <c r="E52" s="500"/>
      <c r="F52" s="502"/>
      <c r="G52" s="478"/>
      <c r="H52" s="480"/>
      <c r="L52" s="217"/>
      <c r="M52" s="487" t="str">
        <f t="shared" si="2"/>
        <v/>
      </c>
      <c r="N52" s="214" t="str">
        <f>IFERROR(VLOOKUP(F52,Ch1_Storage,2, FALSE),"")</f>
        <v/>
      </c>
    </row>
    <row r="53" ht="18.75" customHeight="1">
      <c r="A53" s="454">
        <f>IFERROR(VLOOKUP(H53,PartyStorage,2, FALSE),0)</f>
        <v>0</v>
      </c>
      <c r="B53" s="516"/>
      <c r="C53" s="340"/>
      <c r="D53" s="340"/>
      <c r="E53" s="492"/>
      <c r="F53" s="509"/>
      <c r="G53" s="463"/>
      <c r="H53" s="465"/>
      <c r="L53" s="203"/>
      <c r="M53" s="468" t="str">
        <f t="shared" si="2"/>
        <v/>
      </c>
      <c r="N53" s="214" t="str">
        <f>IFERROR(VLOOKUP(F53,Ch1_Storage,2, FALSE),"")</f>
        <v/>
      </c>
    </row>
    <row r="54" ht="18.75" customHeight="1">
      <c r="A54" s="454">
        <f>IFERROR(VLOOKUP(H54,PartyStorage,2, FALSE),0)</f>
        <v>0</v>
      </c>
      <c r="B54" s="499"/>
      <c r="C54" s="299"/>
      <c r="D54" s="299"/>
      <c r="E54" s="500"/>
      <c r="F54" s="502"/>
      <c r="G54" s="478"/>
      <c r="H54" s="480"/>
      <c r="L54" s="217"/>
      <c r="M54" s="487" t="str">
        <f t="shared" si="2"/>
        <v/>
      </c>
      <c r="N54" s="214" t="str">
        <f>IFERROR(VLOOKUP(F54,Ch1_Storage,2, FALSE),"")</f>
        <v/>
      </c>
    </row>
    <row r="55" ht="18.75" customHeight="1">
      <c r="A55" s="454">
        <f>IFERROR(VLOOKUP(H55,PartyStorage,2, FALSE),0)</f>
        <v>0</v>
      </c>
      <c r="B55" s="516"/>
      <c r="C55" s="340"/>
      <c r="D55" s="340"/>
      <c r="E55" s="492"/>
      <c r="F55" s="509"/>
      <c r="G55" s="463"/>
      <c r="H55" s="465"/>
      <c r="L55" s="203"/>
      <c r="M55" s="468" t="str">
        <f t="shared" si="2"/>
        <v/>
      </c>
      <c r="N55" s="214" t="str">
        <f>IFERROR(VLOOKUP(F55,Ch1_Storage,2, FALSE),"")</f>
        <v/>
      </c>
    </row>
    <row r="56" ht="18.75" customHeight="1">
      <c r="A56" s="454">
        <f>IFERROR(VLOOKUP(H56,PartyStorage,2, FALSE),0)</f>
        <v>0</v>
      </c>
      <c r="B56" s="499"/>
      <c r="C56" s="299"/>
      <c r="D56" s="299"/>
      <c r="E56" s="500"/>
      <c r="F56" s="502"/>
      <c r="G56" s="478"/>
      <c r="H56" s="480"/>
      <c r="L56" s="217"/>
      <c r="M56" s="487" t="str">
        <f t="shared" si="2"/>
        <v/>
      </c>
      <c r="N56" s="214" t="str">
        <f>IFERROR(VLOOKUP(F56,Ch1_Storage,2, FALSE),"")</f>
        <v/>
      </c>
    </row>
    <row r="57" ht="18.75" customHeight="1">
      <c r="A57" s="454">
        <f>IFERROR(VLOOKUP(H57,PartyStorage,2, FALSE),0)</f>
        <v>0</v>
      </c>
      <c r="B57" s="516"/>
      <c r="C57" s="340"/>
      <c r="D57" s="340"/>
      <c r="E57" s="492"/>
      <c r="F57" s="509"/>
      <c r="G57" s="463"/>
      <c r="H57" s="465"/>
      <c r="L57" s="203"/>
      <c r="M57" s="468" t="str">
        <f t="shared" si="2"/>
        <v/>
      </c>
      <c r="N57" s="214" t="str">
        <f>IFERROR(VLOOKUP(F57,Ch1_Storage,2, FALSE),"")</f>
        <v/>
      </c>
    </row>
    <row r="58" ht="18.75" customHeight="1">
      <c r="A58" s="454">
        <f>IFERROR(VLOOKUP(H58,PartyStorage,2, FALSE),0)</f>
        <v>0</v>
      </c>
      <c r="B58" s="499"/>
      <c r="C58" s="299"/>
      <c r="D58" s="299"/>
      <c r="E58" s="500"/>
      <c r="F58" s="502"/>
      <c r="G58" s="478"/>
      <c r="H58" s="480"/>
      <c r="L58" s="217"/>
      <c r="M58" s="487" t="str">
        <f t="shared" si="2"/>
        <v/>
      </c>
      <c r="N58" s="214" t="str">
        <f>IFERROR(VLOOKUP(F58,Ch1_Storage,2, FALSE),"")</f>
        <v/>
      </c>
    </row>
    <row r="59" ht="18.75" customHeight="1">
      <c r="A59" s="454">
        <f>IFERROR(VLOOKUP(H59,PartyStorage,2, FALSE),0)</f>
        <v>0</v>
      </c>
      <c r="B59" s="516"/>
      <c r="C59" s="340"/>
      <c r="D59" s="340"/>
      <c r="E59" s="492"/>
      <c r="F59" s="509"/>
      <c r="G59" s="463"/>
      <c r="H59" s="465"/>
      <c r="L59" s="203"/>
      <c r="M59" s="468" t="str">
        <f t="shared" si="2"/>
        <v/>
      </c>
      <c r="N59" s="214" t="str">
        <f>IFERROR(VLOOKUP(F59,Ch1_Storage,2, FALSE),"")</f>
        <v/>
      </c>
    </row>
    <row r="60" ht="18.75" customHeight="1">
      <c r="A60" s="454">
        <f>IFERROR(VLOOKUP(H60,PartyStorage,2, FALSE),0)</f>
        <v>0</v>
      </c>
      <c r="B60" s="499"/>
      <c r="C60" s="299"/>
      <c r="D60" s="299"/>
      <c r="E60" s="500"/>
      <c r="F60" s="502"/>
      <c r="G60" s="478"/>
      <c r="H60" s="480"/>
      <c r="L60" s="217"/>
      <c r="M60" s="487" t="str">
        <f t="shared" si="2"/>
        <v/>
      </c>
      <c r="N60" s="214" t="str">
        <f>IFERROR(VLOOKUP(F60,Ch1_Storage,2, FALSE),"")</f>
        <v/>
      </c>
    </row>
    <row r="61" ht="18.75" customHeight="1">
      <c r="A61" s="454">
        <f>IFERROR(VLOOKUP(H61,PartyStorage,2, FALSE),0)</f>
        <v>0</v>
      </c>
      <c r="B61" s="516"/>
      <c r="C61" s="340"/>
      <c r="D61" s="340"/>
      <c r="E61" s="492"/>
      <c r="F61" s="509"/>
      <c r="G61" s="463"/>
      <c r="H61" s="465"/>
      <c r="L61" s="203"/>
      <c r="M61" s="468" t="str">
        <f t="shared" si="2"/>
        <v/>
      </c>
      <c r="N61" s="214" t="str">
        <f>IFERROR(VLOOKUP(F61,Ch1_Storage,2, FALSE),"")</f>
        <v/>
      </c>
    </row>
    <row r="62" ht="18.75" customHeight="1">
      <c r="A62" s="454">
        <f>IFERROR(VLOOKUP(H62,PartyStorage,2, FALSE),0)</f>
        <v>0</v>
      </c>
      <c r="B62" s="499"/>
      <c r="C62" s="299"/>
      <c r="D62" s="299"/>
      <c r="E62" s="500"/>
      <c r="F62" s="502"/>
      <c r="G62" s="478"/>
      <c r="H62" s="480"/>
      <c r="L62" s="217"/>
      <c r="M62" s="487" t="str">
        <f t="shared" si="2"/>
        <v/>
      </c>
      <c r="N62" s="214" t="str">
        <f>IFERROR(VLOOKUP(F62,Ch1_Storage,2, FALSE),"")</f>
        <v/>
      </c>
    </row>
    <row r="63" ht="18.75" customHeight="1">
      <c r="A63" s="454">
        <f>IFERROR(VLOOKUP(H63,PartyStorage,2, FALSE),0)</f>
        <v>0</v>
      </c>
      <c r="B63" s="516"/>
      <c r="C63" s="340"/>
      <c r="D63" s="340"/>
      <c r="E63" s="492"/>
      <c r="F63" s="509"/>
      <c r="G63" s="463"/>
      <c r="H63" s="465"/>
      <c r="L63" s="203"/>
      <c r="M63" s="468" t="str">
        <f t="shared" si="2"/>
        <v/>
      </c>
      <c r="N63" s="214" t="str">
        <f>IFERROR(VLOOKUP(F63,Ch1_Storage,2, FALSE),"")</f>
        <v/>
      </c>
    </row>
    <row r="64" ht="18.75" customHeight="1">
      <c r="A64" s="454">
        <f>IFERROR(VLOOKUP(H64,PartyStorage,2, FALSE),0)</f>
        <v>0</v>
      </c>
      <c r="B64" s="499"/>
      <c r="C64" s="299"/>
      <c r="D64" s="299"/>
      <c r="E64" s="500"/>
      <c r="F64" s="502"/>
      <c r="G64" s="478"/>
      <c r="H64" s="480"/>
      <c r="L64" s="217"/>
      <c r="M64" s="487" t="str">
        <f t="shared" si="2"/>
        <v/>
      </c>
      <c r="N64" s="214" t="str">
        <f>IFERROR(VLOOKUP(F64,Ch1_Storage,2, FALSE),"")</f>
        <v/>
      </c>
    </row>
    <row r="65" ht="18.75" customHeight="1">
      <c r="A65" s="454">
        <f>IFERROR(VLOOKUP(H65,PartyStorage,2, FALSE),0)</f>
        <v>0</v>
      </c>
      <c r="B65" s="516"/>
      <c r="C65" s="340"/>
      <c r="D65" s="340"/>
      <c r="E65" s="492"/>
      <c r="F65" s="509"/>
      <c r="G65" s="463"/>
      <c r="H65" s="465"/>
      <c r="L65" s="203"/>
      <c r="M65" s="468" t="str">
        <f t="shared" si="2"/>
        <v/>
      </c>
      <c r="N65" s="214" t="str">
        <f>IFERROR(VLOOKUP(F65,Ch1_Storage,2, FALSE),"")</f>
        <v/>
      </c>
    </row>
    <row r="66" ht="18.75" customHeight="1">
      <c r="A66" s="454">
        <f>IFERROR(VLOOKUP(H66,PartyStorage,2, FALSE),0)</f>
        <v>0</v>
      </c>
      <c r="B66" s="499"/>
      <c r="C66" s="299"/>
      <c r="D66" s="299"/>
      <c r="E66" s="500"/>
      <c r="F66" s="502"/>
      <c r="G66" s="478"/>
      <c r="H66" s="480"/>
      <c r="L66" s="217"/>
      <c r="M66" s="487" t="str">
        <f t="shared" si="2"/>
        <v/>
      </c>
      <c r="N66" s="214" t="str">
        <f>IFERROR(VLOOKUP(F66,Ch1_Storage,2, FALSE),"")</f>
        <v/>
      </c>
    </row>
    <row r="67" ht="18.75" customHeight="1">
      <c r="A67" s="454">
        <f>IFERROR(VLOOKUP(H67,PartyStorage,2, FALSE),0)</f>
        <v>0</v>
      </c>
      <c r="B67" s="516"/>
      <c r="C67" s="340"/>
      <c r="D67" s="340"/>
      <c r="E67" s="492"/>
      <c r="F67" s="509"/>
      <c r="G67" s="463"/>
      <c r="H67" s="465"/>
      <c r="L67" s="203"/>
      <c r="M67" s="468" t="str">
        <f t="shared" si="2"/>
        <v/>
      </c>
      <c r="N67" s="214" t="str">
        <f>IFERROR(VLOOKUP(F67,Ch1_Storage,2, FALSE),"")</f>
        <v/>
      </c>
    </row>
    <row r="68" ht="18.75" customHeight="1">
      <c r="A68" s="454">
        <f>IFERROR(VLOOKUP(H68,PartyStorage,2, FALSE),0)</f>
        <v>0</v>
      </c>
      <c r="B68" s="499"/>
      <c r="C68" s="299"/>
      <c r="D68" s="299"/>
      <c r="E68" s="500"/>
      <c r="F68" s="502"/>
      <c r="G68" s="478"/>
      <c r="H68" s="480"/>
      <c r="L68" s="217"/>
      <c r="M68" s="487" t="str">
        <f t="shared" si="2"/>
        <v/>
      </c>
      <c r="N68" s="214" t="str">
        <f>IFERROR(VLOOKUP(F68,Ch1_Storage,2, FALSE),"")</f>
        <v/>
      </c>
    </row>
    <row r="69" ht="18.75" customHeight="1">
      <c r="A69" s="454">
        <f>IFERROR(VLOOKUP(H69,PartyStorage,2, FALSE),0)</f>
        <v>0</v>
      </c>
      <c r="B69" s="516"/>
      <c r="C69" s="340"/>
      <c r="D69" s="340"/>
      <c r="E69" s="492"/>
      <c r="F69" s="509"/>
      <c r="G69" s="463"/>
      <c r="H69" s="465"/>
      <c r="L69" s="203"/>
      <c r="M69" s="468" t="str">
        <f t="shared" si="2"/>
        <v/>
      </c>
      <c r="N69" s="214" t="str">
        <f>IFERROR(VLOOKUP(F69,Ch1_Storage,2, FALSE),"")</f>
        <v/>
      </c>
    </row>
    <row r="70" ht="18.75" customHeight="1">
      <c r="A70" s="454">
        <f>IFERROR(VLOOKUP(H70,PartyStorage,2, FALSE),0)</f>
        <v>0</v>
      </c>
      <c r="B70" s="499"/>
      <c r="C70" s="299"/>
      <c r="D70" s="299"/>
      <c r="E70" s="500"/>
      <c r="F70" s="502"/>
      <c r="G70" s="478"/>
      <c r="H70" s="480"/>
      <c r="L70" s="217"/>
      <c r="M70" s="487" t="str">
        <f t="shared" si="2"/>
        <v/>
      </c>
      <c r="N70" s="214" t="str">
        <f>IFERROR(VLOOKUP(F70,Ch1_Storage,2, FALSE),"")</f>
        <v/>
      </c>
    </row>
    <row r="71" ht="18.75" customHeight="1">
      <c r="A71" s="454">
        <f>IFERROR(VLOOKUP(H71,PartyStorage,2, FALSE),0)</f>
        <v>0</v>
      </c>
      <c r="B71" s="516"/>
      <c r="C71" s="340"/>
      <c r="D71" s="340"/>
      <c r="E71" s="492"/>
      <c r="F71" s="509"/>
      <c r="G71" s="463"/>
      <c r="H71" s="465"/>
      <c r="L71" s="203"/>
      <c r="M71" s="468" t="str">
        <f t="shared" si="2"/>
        <v/>
      </c>
      <c r="N71" s="214" t="str">
        <f>IFERROR(VLOOKUP(F71,Ch1_Storage,2, FALSE),"")</f>
        <v/>
      </c>
    </row>
    <row r="72" ht="18.75" customHeight="1">
      <c r="A72" s="454">
        <f>IFERROR(VLOOKUP(H72,PartyStorage,2, FALSE),0)</f>
        <v>0</v>
      </c>
      <c r="B72" s="499"/>
      <c r="C72" s="299"/>
      <c r="D72" s="299"/>
      <c r="E72" s="500"/>
      <c r="F72" s="502"/>
      <c r="G72" s="478"/>
      <c r="H72" s="480"/>
      <c r="L72" s="217"/>
      <c r="M72" s="487" t="str">
        <f t="shared" si="2"/>
        <v/>
      </c>
      <c r="N72" s="214" t="str">
        <f>IFERROR(VLOOKUP(F72,Ch1_Storage,2, FALSE),"")</f>
        <v/>
      </c>
    </row>
    <row r="73" ht="18.75" customHeight="1">
      <c r="A73" s="454">
        <f>IFERROR(VLOOKUP(H73,PartyStorage,2, FALSE),0)</f>
        <v>0</v>
      </c>
      <c r="B73" s="516"/>
      <c r="C73" s="340"/>
      <c r="D73" s="340"/>
      <c r="E73" s="492"/>
      <c r="F73" s="509"/>
      <c r="G73" s="463"/>
      <c r="H73" s="465"/>
      <c r="L73" s="203"/>
      <c r="M73" s="468" t="str">
        <f t="shared" si="2"/>
        <v/>
      </c>
      <c r="N73" s="214" t="str">
        <f>IFERROR(VLOOKUP(F73,Ch1_Storage,2, FALSE),"")</f>
        <v/>
      </c>
    </row>
    <row r="74" ht="18.75" customHeight="1">
      <c r="A74" s="454">
        <f>IFERROR(VLOOKUP(H74,PartyStorage,2, FALSE),0)</f>
        <v>0</v>
      </c>
      <c r="B74" s="499"/>
      <c r="C74" s="299"/>
      <c r="D74" s="299"/>
      <c r="E74" s="500"/>
      <c r="F74" s="502"/>
      <c r="G74" s="478"/>
      <c r="H74" s="480"/>
      <c r="L74" s="217"/>
      <c r="M74" s="487" t="str">
        <f t="shared" si="2"/>
        <v/>
      </c>
      <c r="N74" s="214" t="str">
        <f>IFERROR(VLOOKUP(F74,Ch1_Storage,2, FALSE),"")</f>
        <v/>
      </c>
    </row>
    <row r="75" ht="18.75" customHeight="1">
      <c r="A75" s="454">
        <f>IFERROR(VLOOKUP(H75,PartyStorage,2, FALSE),0)</f>
        <v>0</v>
      </c>
      <c r="B75" s="516"/>
      <c r="C75" s="340"/>
      <c r="D75" s="340"/>
      <c r="E75" s="492"/>
      <c r="F75" s="509"/>
      <c r="G75" s="463"/>
      <c r="H75" s="465"/>
      <c r="L75" s="203"/>
      <c r="M75" s="468" t="str">
        <f t="shared" si="2"/>
        <v/>
      </c>
      <c r="N75" s="214" t="str">
        <f>IFERROR(VLOOKUP(F75,Ch1_Storage,2, FALSE),"")</f>
        <v/>
      </c>
    </row>
    <row r="76" ht="18.75" customHeight="1">
      <c r="A76" s="454">
        <f>IFERROR(VLOOKUP(H76,PartyStorage,2, FALSE),0)</f>
        <v>0</v>
      </c>
      <c r="B76" s="499"/>
      <c r="C76" s="299"/>
      <c r="D76" s="299"/>
      <c r="E76" s="500"/>
      <c r="F76" s="502"/>
      <c r="G76" s="478"/>
      <c r="H76" s="480"/>
      <c r="L76" s="217"/>
      <c r="M76" s="487" t="str">
        <f t="shared" si="2"/>
        <v/>
      </c>
      <c r="N76" s="214" t="str">
        <f>IFERROR(VLOOKUP(F76,Ch1_Storage,2, FALSE),"")</f>
        <v/>
      </c>
    </row>
    <row r="77" ht="18.75" customHeight="1">
      <c r="A77" s="454">
        <f>IFERROR(VLOOKUP(H77,PartyStorage,2, FALSE),0)</f>
        <v>0</v>
      </c>
      <c r="B77" s="516"/>
      <c r="C77" s="340"/>
      <c r="D77" s="340"/>
      <c r="E77" s="492"/>
      <c r="F77" s="509"/>
      <c r="G77" s="463"/>
      <c r="H77" s="465"/>
      <c r="L77" s="203"/>
      <c r="M77" s="468" t="str">
        <f t="shared" si="2"/>
        <v/>
      </c>
      <c r="N77" s="214" t="str">
        <f>IFERROR(VLOOKUP(F77,Ch1_Storage,2, FALSE),"")</f>
        <v/>
      </c>
    </row>
    <row r="78" ht="18.75" customHeight="1">
      <c r="A78" s="454">
        <f>IFERROR(VLOOKUP(H78,PartyStorage,2, FALSE),0)</f>
        <v>0</v>
      </c>
      <c r="B78" s="499"/>
      <c r="C78" s="299"/>
      <c r="D78" s="299"/>
      <c r="E78" s="500"/>
      <c r="F78" s="502"/>
      <c r="G78" s="478"/>
      <c r="H78" s="480"/>
      <c r="L78" s="217"/>
      <c r="M78" s="487" t="str">
        <f t="shared" si="2"/>
        <v/>
      </c>
      <c r="N78" s="214" t="str">
        <f>IFERROR(VLOOKUP(F78,Ch1_Storage,2, FALSE),"")</f>
        <v/>
      </c>
    </row>
    <row r="79" ht="18.75" customHeight="1">
      <c r="A79" s="454">
        <f>IFERROR(VLOOKUP(H79,PartyStorage,2, FALSE),0)</f>
        <v>0</v>
      </c>
      <c r="B79" s="516"/>
      <c r="C79" s="340"/>
      <c r="D79" s="340"/>
      <c r="E79" s="492"/>
      <c r="F79" s="509"/>
      <c r="G79" s="463"/>
      <c r="H79" s="465"/>
      <c r="L79" s="203"/>
      <c r="M79" s="468" t="str">
        <f t="shared" si="2"/>
        <v/>
      </c>
      <c r="N79" s="214" t="str">
        <f>IFERROR(VLOOKUP(F79,Ch1_Storage,2, FALSE),"")</f>
        <v/>
      </c>
    </row>
    <row r="80" ht="18.75" customHeight="1">
      <c r="A80" s="454">
        <f>IFERROR(VLOOKUP(H80,PartyStorage,2, FALSE),0)</f>
        <v>0</v>
      </c>
      <c r="B80" s="499"/>
      <c r="C80" s="299"/>
      <c r="D80" s="299"/>
      <c r="E80" s="500"/>
      <c r="F80" s="502"/>
      <c r="G80" s="478"/>
      <c r="H80" s="480"/>
      <c r="L80" s="217"/>
      <c r="M80" s="487" t="str">
        <f t="shared" si="2"/>
        <v/>
      </c>
      <c r="N80" s="214" t="str">
        <f>IFERROR(VLOOKUP(F80,Ch1_Storage,2, FALSE),"")</f>
        <v/>
      </c>
    </row>
    <row r="81" ht="18.75" customHeight="1">
      <c r="A81" s="454">
        <f>IFERROR(VLOOKUP(H81,PartyStorage,2, FALSE),0)</f>
        <v>0</v>
      </c>
      <c r="B81" s="516"/>
      <c r="C81" s="340"/>
      <c r="D81" s="340"/>
      <c r="E81" s="492"/>
      <c r="F81" s="509"/>
      <c r="G81" s="463"/>
      <c r="H81" s="465"/>
      <c r="L81" s="203"/>
      <c r="M81" s="468" t="str">
        <f t="shared" si="2"/>
        <v/>
      </c>
      <c r="N81" s="214" t="str">
        <f>IFERROR(VLOOKUP(F81,Ch1_Storage,2, FALSE),"")</f>
        <v/>
      </c>
    </row>
    <row r="82" ht="18.75" customHeight="1">
      <c r="A82" s="454">
        <f>IFERROR(VLOOKUP(H82,PartyStorage,2, FALSE),0)</f>
        <v>0</v>
      </c>
      <c r="B82" s="499"/>
      <c r="C82" s="299"/>
      <c r="D82" s="299"/>
      <c r="E82" s="500"/>
      <c r="F82" s="502"/>
      <c r="G82" s="478"/>
      <c r="H82" s="480"/>
      <c r="L82" s="217"/>
      <c r="M82" s="487" t="str">
        <f t="shared" si="2"/>
        <v/>
      </c>
      <c r="N82" s="214" t="str">
        <f>IFERROR(VLOOKUP(F82,Ch1_Storage,2, FALSE),"")</f>
        <v/>
      </c>
    </row>
    <row r="83" ht="18.75" customHeight="1">
      <c r="A83" s="454">
        <f>IFERROR(VLOOKUP(H83,PartyStorage,2, FALSE),0)</f>
        <v>0</v>
      </c>
      <c r="B83" s="516"/>
      <c r="C83" s="340"/>
      <c r="D83" s="340"/>
      <c r="E83" s="492"/>
      <c r="F83" s="509"/>
      <c r="G83" s="463"/>
      <c r="H83" s="465"/>
      <c r="L83" s="203"/>
      <c r="M83" s="468" t="str">
        <f t="shared" si="2"/>
        <v/>
      </c>
      <c r="N83" s="214" t="str">
        <f>IFERROR(VLOOKUP(F83,Ch1_Storage,2, FALSE),"")</f>
        <v/>
      </c>
    </row>
    <row r="84" ht="18.75" customHeight="1">
      <c r="A84" s="454">
        <f>IFERROR(VLOOKUP(H84,PartyStorage,2, FALSE),0)</f>
        <v>0</v>
      </c>
      <c r="B84" s="499"/>
      <c r="C84" s="299"/>
      <c r="D84" s="299"/>
      <c r="E84" s="500"/>
      <c r="F84" s="502"/>
      <c r="G84" s="478"/>
      <c r="H84" s="480"/>
      <c r="L84" s="217"/>
      <c r="M84" s="487" t="str">
        <f t="shared" si="2"/>
        <v/>
      </c>
      <c r="N84" s="214" t="str">
        <f>IFERROR(VLOOKUP(F84,Ch1_Storage,2, FALSE),"")</f>
        <v/>
      </c>
    </row>
    <row r="85" ht="18.75" customHeight="1">
      <c r="A85" s="454">
        <f>IFERROR(VLOOKUP(H85,PartyStorage,2, FALSE),0)</f>
        <v>0</v>
      </c>
      <c r="B85" s="516"/>
      <c r="C85" s="340"/>
      <c r="D85" s="340"/>
      <c r="E85" s="492"/>
      <c r="F85" s="509"/>
      <c r="G85" s="463"/>
      <c r="H85" s="465"/>
      <c r="L85" s="203"/>
      <c r="M85" s="468" t="str">
        <f t="shared" si="2"/>
        <v/>
      </c>
      <c r="N85" s="214" t="str">
        <f>IFERROR(VLOOKUP(F85,Ch1_Storage,2, FALSE),"")</f>
        <v/>
      </c>
    </row>
    <row r="86" ht="18.75" customHeight="1">
      <c r="A86" s="454">
        <f>IFERROR(VLOOKUP(H86,PartyStorage,2, FALSE),0)</f>
        <v>0</v>
      </c>
      <c r="B86" s="499"/>
      <c r="C86" s="299"/>
      <c r="D86" s="299"/>
      <c r="E86" s="500"/>
      <c r="F86" s="502"/>
      <c r="G86" s="478"/>
      <c r="H86" s="480"/>
      <c r="L86" s="217"/>
      <c r="M86" s="487" t="str">
        <f t="shared" si="2"/>
        <v/>
      </c>
      <c r="N86" s="214" t="str">
        <f>IFERROR(VLOOKUP(F86,Ch1_Storage,2, FALSE),"")</f>
        <v/>
      </c>
    </row>
    <row r="87" ht="18.75" customHeight="1">
      <c r="A87" s="454">
        <f>IFERROR(VLOOKUP(H87,PartyStorage,2, FALSE),0)</f>
        <v>0</v>
      </c>
      <c r="B87" s="516"/>
      <c r="C87" s="340"/>
      <c r="D87" s="340"/>
      <c r="E87" s="492"/>
      <c r="F87" s="509"/>
      <c r="G87" s="463"/>
      <c r="H87" s="465"/>
      <c r="L87" s="203"/>
      <c r="M87" s="468" t="str">
        <f t="shared" si="2"/>
        <v/>
      </c>
      <c r="N87" s="214" t="str">
        <f>IFERROR(VLOOKUP(F87,Ch1_Storage,2, FALSE),"")</f>
        <v/>
      </c>
    </row>
    <row r="88" ht="18.75" customHeight="1">
      <c r="A88" s="454">
        <f>IFERROR(VLOOKUP(H88,PartyStorage,2, FALSE),0)</f>
        <v>0</v>
      </c>
      <c r="B88" s="499"/>
      <c r="C88" s="299"/>
      <c r="D88" s="299"/>
      <c r="E88" s="500"/>
      <c r="F88" s="502"/>
      <c r="G88" s="478"/>
      <c r="H88" s="480"/>
      <c r="L88" s="217"/>
      <c r="M88" s="487" t="str">
        <f t="shared" si="2"/>
        <v/>
      </c>
      <c r="N88" s="214" t="str">
        <f>IFERROR(VLOOKUP(F88,Ch1_Storage,2, FALSE),"")</f>
        <v/>
      </c>
    </row>
    <row r="89" ht="18.75" customHeight="1">
      <c r="A89" s="454">
        <f>IFERROR(VLOOKUP(H89,PartyStorage,2, FALSE),0)</f>
        <v>0</v>
      </c>
      <c r="B89" s="516"/>
      <c r="C89" s="340"/>
      <c r="D89" s="340"/>
      <c r="E89" s="492"/>
      <c r="F89" s="509"/>
      <c r="G89" s="463"/>
      <c r="H89" s="465"/>
      <c r="L89" s="203"/>
      <c r="M89" s="468" t="str">
        <f t="shared" si="2"/>
        <v/>
      </c>
      <c r="N89" s="214" t="str">
        <f>IFERROR(VLOOKUP(F89,Ch1_Storage,2, FALSE),"")</f>
        <v/>
      </c>
    </row>
    <row r="90" ht="18.75" customHeight="1">
      <c r="A90" s="454">
        <f>IFERROR(VLOOKUP(H90,PartyStorage,2, FALSE),0)</f>
        <v>0</v>
      </c>
      <c r="B90" s="499"/>
      <c r="C90" s="299"/>
      <c r="D90" s="299"/>
      <c r="E90" s="500"/>
      <c r="F90" s="502"/>
      <c r="G90" s="478"/>
      <c r="H90" s="480"/>
      <c r="L90" s="217"/>
      <c r="M90" s="487" t="str">
        <f t="shared" si="2"/>
        <v/>
      </c>
      <c r="N90" s="214" t="str">
        <f>IFERROR(VLOOKUP(F90,Ch1_Storage,2, FALSE),"")</f>
        <v/>
      </c>
    </row>
    <row r="91" ht="18.75" customHeight="1">
      <c r="A91" s="454">
        <f>IFERROR(VLOOKUP(H91,PartyStorage,2, FALSE),0)</f>
        <v>0</v>
      </c>
      <c r="B91" s="516"/>
      <c r="C91" s="340"/>
      <c r="D91" s="340"/>
      <c r="E91" s="492"/>
      <c r="F91" s="509"/>
      <c r="G91" s="463"/>
      <c r="H91" s="465"/>
      <c r="L91" s="203"/>
      <c r="M91" s="468" t="str">
        <f t="shared" si="2"/>
        <v/>
      </c>
      <c r="N91" s="214" t="str">
        <f>IFERROR(VLOOKUP(F91,Ch1_Storage,2, FALSE),"")</f>
        <v/>
      </c>
    </row>
    <row r="92" ht="18.75" customHeight="1">
      <c r="A92" s="454">
        <f>IFERROR(VLOOKUP(H92,PartyStorage,2, FALSE),0)</f>
        <v>0</v>
      </c>
      <c r="B92" s="499"/>
      <c r="C92" s="299"/>
      <c r="D92" s="299"/>
      <c r="E92" s="500"/>
      <c r="F92" s="502"/>
      <c r="G92" s="478"/>
      <c r="H92" s="480"/>
      <c r="L92" s="217"/>
      <c r="M92" s="487" t="str">
        <f t="shared" si="2"/>
        <v/>
      </c>
      <c r="N92" s="214" t="str">
        <f>IFERROR(VLOOKUP(F92,Ch1_Storage,2, FALSE),"")</f>
        <v/>
      </c>
    </row>
    <row r="93" ht="18.75" customHeight="1">
      <c r="A93" s="454">
        <f>IFERROR(VLOOKUP(H93,PartyStorage,2, FALSE),0)</f>
        <v>0</v>
      </c>
      <c r="B93" s="516"/>
      <c r="C93" s="340"/>
      <c r="D93" s="340"/>
      <c r="E93" s="492"/>
      <c r="F93" s="509"/>
      <c r="G93" s="463"/>
      <c r="H93" s="465"/>
      <c r="L93" s="203"/>
      <c r="M93" s="468" t="str">
        <f t="shared" si="2"/>
        <v/>
      </c>
      <c r="N93" s="214" t="str">
        <f>IFERROR(VLOOKUP(F93,Ch1_Storage,2, FALSE),"")</f>
        <v/>
      </c>
    </row>
    <row r="94" ht="18.75" customHeight="1">
      <c r="A94" s="454">
        <f>IFERROR(VLOOKUP(H94,PartyStorage,2, FALSE),0)</f>
        <v>0</v>
      </c>
      <c r="B94" s="499"/>
      <c r="C94" s="299"/>
      <c r="D94" s="299"/>
      <c r="E94" s="500"/>
      <c r="F94" s="502"/>
      <c r="G94" s="478"/>
      <c r="H94" s="480"/>
      <c r="L94" s="217"/>
      <c r="M94" s="487" t="str">
        <f t="shared" si="2"/>
        <v/>
      </c>
      <c r="N94" s="214" t="str">
        <f>IFERROR(VLOOKUP(F94,Ch1_Storage,2, FALSE),"")</f>
        <v/>
      </c>
    </row>
    <row r="95" ht="18.75" customHeight="1">
      <c r="A95" s="454">
        <f>IFERROR(VLOOKUP(H95,PartyStorage,2, FALSE),0)</f>
        <v>0</v>
      </c>
      <c r="B95" s="516"/>
      <c r="C95" s="340"/>
      <c r="D95" s="340"/>
      <c r="E95" s="492"/>
      <c r="F95" s="509"/>
      <c r="G95" s="463"/>
      <c r="H95" s="465"/>
      <c r="L95" s="203"/>
      <c r="M95" s="468" t="str">
        <f t="shared" si="2"/>
        <v/>
      </c>
      <c r="N95" s="214" t="str">
        <f>IFERROR(VLOOKUP(F95,Ch1_Storage,2, FALSE),"")</f>
        <v/>
      </c>
    </row>
    <row r="96" ht="18.75" customHeight="1">
      <c r="A96" s="454">
        <f>IFERROR(VLOOKUP(H96,PartyStorage,2, FALSE),0)</f>
        <v>0</v>
      </c>
      <c r="B96" s="499"/>
      <c r="C96" s="299"/>
      <c r="D96" s="299"/>
      <c r="E96" s="500"/>
      <c r="F96" s="502"/>
      <c r="G96" s="478"/>
      <c r="H96" s="480"/>
      <c r="L96" s="217"/>
      <c r="M96" s="487" t="str">
        <f t="shared" si="2"/>
        <v/>
      </c>
      <c r="N96" s="214" t="str">
        <f>IFERROR(VLOOKUP(F96,Ch1_Storage,2, FALSE),"")</f>
        <v/>
      </c>
    </row>
    <row r="97" ht="18.75" customHeight="1">
      <c r="A97" s="454">
        <f>IFERROR(VLOOKUP(H97,PartyStorage,2, FALSE),0)</f>
        <v>0</v>
      </c>
      <c r="B97" s="516"/>
      <c r="C97" s="340"/>
      <c r="D97" s="340"/>
      <c r="E97" s="492"/>
      <c r="F97" s="509"/>
      <c r="G97" s="463"/>
      <c r="H97" s="465"/>
      <c r="L97" s="203"/>
      <c r="M97" s="468" t="str">
        <f t="shared" si="2"/>
        <v/>
      </c>
      <c r="N97" s="214" t="str">
        <f>IFERROR(VLOOKUP(F97,Ch1_Storage,2, FALSE),"")</f>
        <v/>
      </c>
    </row>
    <row r="98" ht="18.75" customHeight="1">
      <c r="A98" s="454">
        <f>IFERROR(VLOOKUP(H98,PartyStorage,2, FALSE),0)</f>
        <v>0</v>
      </c>
      <c r="B98" s="499"/>
      <c r="C98" s="299"/>
      <c r="D98" s="299"/>
      <c r="E98" s="500"/>
      <c r="F98" s="502"/>
      <c r="G98" s="478"/>
      <c r="H98" s="480"/>
      <c r="L98" s="217"/>
      <c r="M98" s="487" t="str">
        <f t="shared" si="2"/>
        <v/>
      </c>
      <c r="N98" s="214" t="str">
        <f>IFERROR(VLOOKUP(F98,Ch1_Storage,2, FALSE),"")</f>
        <v/>
      </c>
    </row>
    <row r="99" ht="18.75" customHeight="1">
      <c r="A99" s="454">
        <f>IFERROR(VLOOKUP(H99,PartyStorage,2, FALSE),0)</f>
        <v>0</v>
      </c>
      <c r="B99" s="516"/>
      <c r="C99" s="340"/>
      <c r="D99" s="340"/>
      <c r="E99" s="492"/>
      <c r="F99" s="509"/>
      <c r="G99" s="463"/>
      <c r="H99" s="465"/>
      <c r="L99" s="203"/>
      <c r="M99" s="468" t="str">
        <f t="shared" si="2"/>
        <v/>
      </c>
      <c r="N99" s="214" t="str">
        <f>IFERROR(VLOOKUP(F99,Ch1_Storage,2, FALSE),"")</f>
        <v/>
      </c>
    </row>
    <row r="100" ht="18.75" customHeight="1">
      <c r="A100" s="454">
        <f>IFERROR(VLOOKUP(H100,PartyStorage,2, FALSE),0)</f>
        <v>0</v>
      </c>
      <c r="B100" s="499"/>
      <c r="C100" s="299"/>
      <c r="D100" s="299"/>
      <c r="E100" s="500"/>
      <c r="F100" s="502"/>
      <c r="G100" s="478"/>
      <c r="H100" s="480"/>
      <c r="L100" s="217"/>
      <c r="M100" s="487" t="str">
        <f t="shared" si="2"/>
        <v/>
      </c>
      <c r="N100" s="214" t="str">
        <f>IFERROR(VLOOKUP(F100,Ch1_Storage,2, FALSE),"")</f>
        <v/>
      </c>
    </row>
    <row r="101" ht="18.75" customHeight="1">
      <c r="A101" s="454">
        <f>IFERROR(VLOOKUP(H101,PartyStorage,2, FALSE),0)</f>
        <v>0</v>
      </c>
      <c r="B101" s="516"/>
      <c r="C101" s="340"/>
      <c r="D101" s="340"/>
      <c r="E101" s="492"/>
      <c r="F101" s="509"/>
      <c r="G101" s="463"/>
      <c r="H101" s="465"/>
      <c r="L101" s="203"/>
      <c r="M101" s="468" t="str">
        <f t="shared" si="2"/>
        <v/>
      </c>
      <c r="N101" s="214" t="str">
        <f>IFERROR(VLOOKUP(F101,Ch1_Storage,2, FALSE),"")</f>
        <v/>
      </c>
    </row>
    <row r="102" ht="18.75" customHeight="1">
      <c r="A102" s="454">
        <f>IFERROR(VLOOKUP(H102,PartyStorage,2, FALSE),0)</f>
        <v>0</v>
      </c>
      <c r="B102" s="499"/>
      <c r="C102" s="299"/>
      <c r="D102" s="299"/>
      <c r="E102" s="500"/>
      <c r="F102" s="502"/>
      <c r="G102" s="478"/>
      <c r="H102" s="480"/>
      <c r="L102" s="217"/>
      <c r="M102" s="487" t="str">
        <f t="shared" si="2"/>
        <v/>
      </c>
      <c r="N102" s="214" t="str">
        <f>IFERROR(VLOOKUP(F102,Ch1_Storage,2, FALSE),"")</f>
        <v/>
      </c>
    </row>
    <row r="103" ht="18.75" customHeight="1">
      <c r="A103" s="454">
        <f>IFERROR(VLOOKUP(H103,PartyStorage,2, FALSE),0)</f>
        <v>0</v>
      </c>
      <c r="B103" s="516"/>
      <c r="C103" s="340"/>
      <c r="D103" s="340"/>
      <c r="E103" s="492"/>
      <c r="F103" s="509"/>
      <c r="G103" s="463"/>
      <c r="H103" s="465"/>
      <c r="L103" s="203"/>
      <c r="M103" s="468" t="str">
        <f t="shared" si="2"/>
        <v/>
      </c>
      <c r="N103" s="214" t="str">
        <f>IFERROR(VLOOKUP(F103,Ch1_Storage,2, FALSE),"")</f>
        <v/>
      </c>
    </row>
    <row r="104" ht="18.75" customHeight="1">
      <c r="A104" s="454">
        <f>IFERROR(VLOOKUP(H104,PartyStorage,2, FALSE),0)</f>
        <v>0</v>
      </c>
      <c r="B104" s="499"/>
      <c r="C104" s="299"/>
      <c r="D104" s="299"/>
      <c r="E104" s="500"/>
      <c r="F104" s="502"/>
      <c r="G104" s="478"/>
      <c r="H104" s="480"/>
      <c r="L104" s="217"/>
      <c r="M104" s="487" t="str">
        <f t="shared" si="2"/>
        <v/>
      </c>
      <c r="N104" s="214" t="str">
        <f>IFERROR(VLOOKUP(F104,Ch1_Storage,2, FALSE),"")</f>
        <v/>
      </c>
    </row>
    <row r="105" ht="18.75" customHeight="1">
      <c r="A105" s="454">
        <f>IFERROR(VLOOKUP(H105,PartyStorage,2, FALSE),0)</f>
        <v>0</v>
      </c>
      <c r="B105" s="516"/>
      <c r="C105" s="340"/>
      <c r="D105" s="340"/>
      <c r="E105" s="492"/>
      <c r="F105" s="509"/>
      <c r="G105" s="463"/>
      <c r="H105" s="465"/>
      <c r="L105" s="203"/>
      <c r="M105" s="468" t="str">
        <f t="shared" si="2"/>
        <v/>
      </c>
      <c r="N105" s="214" t="str">
        <f>IFERROR(VLOOKUP(F105,Ch1_Storage,2, FALSE),"")</f>
        <v/>
      </c>
    </row>
    <row r="106" ht="18.75" customHeight="1">
      <c r="A106" s="454">
        <f>IFERROR(VLOOKUP(H106,PartyStorage,2, FALSE),0)</f>
        <v>0</v>
      </c>
      <c r="B106" s="499"/>
      <c r="C106" s="299"/>
      <c r="D106" s="299"/>
      <c r="E106" s="500"/>
      <c r="F106" s="502"/>
      <c r="G106" s="478"/>
      <c r="H106" s="480"/>
      <c r="L106" s="217"/>
      <c r="M106" s="487" t="str">
        <f t="shared" si="2"/>
        <v/>
      </c>
      <c r="N106" s="214" t="str">
        <f>IFERROR(VLOOKUP(F106,Ch1_Storage,2, FALSE),"")</f>
        <v/>
      </c>
    </row>
    <row r="107" ht="18.75" customHeight="1">
      <c r="A107" s="454">
        <f>IFERROR(VLOOKUP(H107,PartyStorage,2, FALSE),0)</f>
        <v>0</v>
      </c>
      <c r="B107" s="516"/>
      <c r="C107" s="340"/>
      <c r="D107" s="340"/>
      <c r="E107" s="492"/>
      <c r="F107" s="509"/>
      <c r="G107" s="463"/>
      <c r="H107" s="465"/>
      <c r="L107" s="203"/>
      <c r="M107" s="468" t="str">
        <f t="shared" si="2"/>
        <v/>
      </c>
      <c r="N107" s="214" t="str">
        <f>IFERROR(VLOOKUP(F107,Ch1_Storage,2, FALSE),"")</f>
        <v/>
      </c>
    </row>
    <row r="108" ht="18.75" customHeight="1">
      <c r="A108" s="454">
        <f>IFERROR(VLOOKUP(H108,PartyStorage,2, FALSE),0)</f>
        <v>0</v>
      </c>
      <c r="B108" s="499"/>
      <c r="C108" s="299"/>
      <c r="D108" s="299"/>
      <c r="E108" s="500"/>
      <c r="F108" s="502"/>
      <c r="G108" s="478"/>
      <c r="H108" s="480"/>
      <c r="L108" s="217"/>
      <c r="M108" s="487" t="str">
        <f t="shared" si="2"/>
        <v/>
      </c>
      <c r="N108" s="214" t="str">
        <f>IFERROR(VLOOKUP(F108,Ch1_Storage,2, FALSE),"")</f>
        <v/>
      </c>
    </row>
    <row r="109" ht="18.75" customHeight="1">
      <c r="A109" s="454">
        <f>IFERROR(VLOOKUP(H109,PartyStorage,2, FALSE),0)</f>
        <v>0</v>
      </c>
      <c r="B109" s="516"/>
      <c r="C109" s="340"/>
      <c r="D109" s="340"/>
      <c r="E109" s="492"/>
      <c r="F109" s="509"/>
      <c r="G109" s="463"/>
      <c r="H109" s="465"/>
      <c r="L109" s="203"/>
      <c r="M109" s="468" t="str">
        <f t="shared" si="2"/>
        <v/>
      </c>
      <c r="N109" s="214" t="str">
        <f>IFERROR(VLOOKUP(F109,Ch1_Storage,2, FALSE),"")</f>
        <v/>
      </c>
    </row>
    <row r="110" ht="18.75" customHeight="1">
      <c r="A110" s="454">
        <f>IFERROR(VLOOKUP(H110,PartyStorage,2, FALSE),0)</f>
        <v>0</v>
      </c>
      <c r="B110" s="499"/>
      <c r="C110" s="299"/>
      <c r="D110" s="299"/>
      <c r="E110" s="500"/>
      <c r="F110" s="502"/>
      <c r="G110" s="478"/>
      <c r="H110" s="480"/>
      <c r="L110" s="217"/>
      <c r="M110" s="487" t="str">
        <f t="shared" si="2"/>
        <v/>
      </c>
      <c r="N110" s="214" t="str">
        <f>IFERROR(VLOOKUP(F110,Ch1_Storage,2, FALSE),"")</f>
        <v/>
      </c>
    </row>
    <row r="111" ht="18.75" customHeight="1">
      <c r="A111" s="454">
        <f>IFERROR(VLOOKUP(H111,PartyStorage,2, FALSE),0)</f>
        <v>0</v>
      </c>
      <c r="B111" s="516"/>
      <c r="C111" s="340"/>
      <c r="D111" s="340"/>
      <c r="E111" s="492"/>
      <c r="F111" s="509"/>
      <c r="G111" s="463"/>
      <c r="H111" s="465"/>
      <c r="L111" s="203"/>
      <c r="M111" s="468" t="str">
        <f t="shared" si="2"/>
        <v/>
      </c>
      <c r="N111" s="214" t="str">
        <f>IFERROR(VLOOKUP(F111,Ch1_Storage,2, FALSE),"")</f>
        <v/>
      </c>
    </row>
    <row r="112" ht="18.75" customHeight="1">
      <c r="A112" s="454">
        <f>IFERROR(VLOOKUP(H112,PartyStorage,2, FALSE),0)</f>
        <v>0</v>
      </c>
      <c r="B112" s="499"/>
      <c r="C112" s="299"/>
      <c r="D112" s="299"/>
      <c r="E112" s="500"/>
      <c r="F112" s="502"/>
      <c r="G112" s="478"/>
      <c r="H112" s="480"/>
      <c r="L112" s="217"/>
      <c r="M112" s="487" t="str">
        <f t="shared" si="2"/>
        <v/>
      </c>
      <c r="N112" s="214" t="str">
        <f>IFERROR(VLOOKUP(F112,Ch1_Storage,2, FALSE),"")</f>
        <v/>
      </c>
    </row>
    <row r="113" ht="18.75" customHeight="1">
      <c r="A113" s="454">
        <f>IFERROR(VLOOKUP(H113,PartyStorage,2, FALSE),0)</f>
        <v>0</v>
      </c>
      <c r="B113" s="516"/>
      <c r="C113" s="340"/>
      <c r="D113" s="340"/>
      <c r="E113" s="492"/>
      <c r="F113" s="509"/>
      <c r="G113" s="463"/>
      <c r="H113" s="465"/>
      <c r="L113" s="203"/>
      <c r="M113" s="468" t="str">
        <f t="shared" si="2"/>
        <v/>
      </c>
      <c r="N113" s="214" t="str">
        <f>IFERROR(VLOOKUP(F113,Ch1_Storage,2, FALSE),"")</f>
        <v/>
      </c>
    </row>
    <row r="114" ht="18.75" customHeight="1">
      <c r="A114" s="454">
        <f>IFERROR(VLOOKUP(H114,PartyStorage,2, FALSE),0)</f>
        <v>0</v>
      </c>
      <c r="B114" s="499"/>
      <c r="C114" s="299"/>
      <c r="D114" s="299"/>
      <c r="E114" s="500"/>
      <c r="F114" s="502"/>
      <c r="G114" s="478"/>
      <c r="H114" s="480"/>
      <c r="L114" s="217"/>
      <c r="M114" s="487" t="str">
        <f t="shared" si="2"/>
        <v/>
      </c>
      <c r="N114" s="214" t="str">
        <f>IFERROR(VLOOKUP(F114,Ch1_Storage,2, FALSE),"")</f>
        <v/>
      </c>
    </row>
    <row r="115" ht="18.75" customHeight="1">
      <c r="A115" s="454">
        <f>IFERROR(VLOOKUP(H115,PartyStorage,2, FALSE),0)</f>
        <v>0</v>
      </c>
      <c r="B115" s="516"/>
      <c r="C115" s="340"/>
      <c r="D115" s="340"/>
      <c r="E115" s="492"/>
      <c r="F115" s="509"/>
      <c r="G115" s="463"/>
      <c r="H115" s="465"/>
      <c r="L115" s="203"/>
      <c r="M115" s="468" t="str">
        <f t="shared" si="2"/>
        <v/>
      </c>
      <c r="N115" s="214" t="str">
        <f>IFERROR(VLOOKUP(F115,Ch1_Storage,2, FALSE),"")</f>
        <v/>
      </c>
    </row>
    <row r="116" ht="18.75" customHeight="1">
      <c r="A116" s="454">
        <f>IFERROR(VLOOKUP(H116,PartyStorage,2, FALSE),0)</f>
        <v>0</v>
      </c>
      <c r="B116" s="499"/>
      <c r="C116" s="299"/>
      <c r="D116" s="299"/>
      <c r="E116" s="500"/>
      <c r="F116" s="502"/>
      <c r="G116" s="478"/>
      <c r="H116" s="480"/>
      <c r="L116" s="217"/>
      <c r="M116" s="487" t="str">
        <f t="shared" si="2"/>
        <v/>
      </c>
      <c r="N116" s="214" t="str">
        <f>IFERROR(VLOOKUP(F116,Ch1_Storage,2, FALSE),"")</f>
        <v/>
      </c>
    </row>
    <row r="117" ht="18.75" customHeight="1">
      <c r="A117" s="454">
        <f>IFERROR(VLOOKUP(H117,PartyStorage,2, FALSE),0)</f>
        <v>0</v>
      </c>
      <c r="B117" s="516"/>
      <c r="C117" s="340"/>
      <c r="D117" s="340"/>
      <c r="E117" s="492"/>
      <c r="F117" s="509"/>
      <c r="G117" s="463"/>
      <c r="H117" s="465"/>
      <c r="L117" s="203"/>
      <c r="M117" s="468" t="str">
        <f t="shared" si="2"/>
        <v/>
      </c>
      <c r="N117" s="214" t="str">
        <f>IFERROR(VLOOKUP(F117,Ch1_Storage,2, FALSE),"")</f>
        <v/>
      </c>
    </row>
    <row r="118" ht="18.75" customHeight="1">
      <c r="A118" s="454">
        <f>IFERROR(VLOOKUP(H118,PartyStorage,2, FALSE),0)</f>
        <v>0</v>
      </c>
      <c r="B118" s="499"/>
      <c r="C118" s="299"/>
      <c r="D118" s="299"/>
      <c r="E118" s="500"/>
      <c r="F118" s="502"/>
      <c r="G118" s="478"/>
      <c r="H118" s="480"/>
      <c r="L118" s="217"/>
      <c r="M118" s="487" t="str">
        <f t="shared" si="2"/>
        <v/>
      </c>
      <c r="N118" s="214" t="str">
        <f>IFERROR(VLOOKUP(F118,Ch1_Storage,2, FALSE),"")</f>
        <v/>
      </c>
    </row>
    <row r="119" ht="18.75" customHeight="1">
      <c r="A119" s="454">
        <f>IFERROR(VLOOKUP(H119,PartyStorage,2, FALSE),0)</f>
        <v>0</v>
      </c>
      <c r="B119" s="516"/>
      <c r="C119" s="340"/>
      <c r="D119" s="340"/>
      <c r="E119" s="492"/>
      <c r="F119" s="509"/>
      <c r="G119" s="463"/>
      <c r="H119" s="465"/>
      <c r="L119" s="203"/>
      <c r="M119" s="468" t="str">
        <f t="shared" si="2"/>
        <v/>
      </c>
      <c r="N119" s="214" t="str">
        <f>IFERROR(VLOOKUP(F119,Ch1_Storage,2, FALSE),"")</f>
        <v/>
      </c>
    </row>
    <row r="120" ht="18.75" customHeight="1">
      <c r="A120" s="454">
        <f>IFERROR(VLOOKUP(H120,PartyStorage,2, FALSE),0)</f>
        <v>0</v>
      </c>
      <c r="B120" s="499"/>
      <c r="C120" s="299"/>
      <c r="D120" s="299"/>
      <c r="E120" s="500"/>
      <c r="F120" s="502"/>
      <c r="G120" s="478"/>
      <c r="H120" s="480"/>
      <c r="L120" s="217"/>
      <c r="M120" s="487" t="str">
        <f t="shared" si="2"/>
        <v/>
      </c>
      <c r="N120" s="214" t="str">
        <f>IFERROR(VLOOKUP(F120,Ch1_Storage,2, FALSE),"")</f>
        <v/>
      </c>
    </row>
    <row r="121" ht="18.75" customHeight="1">
      <c r="A121" s="454">
        <f>IFERROR(VLOOKUP(H121,PartyStorage,2, FALSE),0)</f>
        <v>0</v>
      </c>
      <c r="B121" s="516"/>
      <c r="C121" s="340"/>
      <c r="D121" s="340"/>
      <c r="E121" s="492"/>
      <c r="F121" s="509"/>
      <c r="G121" s="463"/>
      <c r="H121" s="465"/>
      <c r="L121" s="203"/>
      <c r="M121" s="468" t="str">
        <f t="shared" si="2"/>
        <v/>
      </c>
      <c r="N121" s="214" t="str">
        <f>IFERROR(VLOOKUP(F121,Ch1_Storage,2, FALSE),"")</f>
        <v/>
      </c>
    </row>
    <row r="122" ht="18.75" customHeight="1">
      <c r="A122" s="454">
        <f>IFERROR(VLOOKUP(H122,PartyStorage,2, FALSE),0)</f>
        <v>0</v>
      </c>
      <c r="B122" s="499"/>
      <c r="C122" s="299"/>
      <c r="D122" s="299"/>
      <c r="E122" s="500"/>
      <c r="F122" s="502"/>
      <c r="G122" s="478"/>
      <c r="H122" s="480"/>
      <c r="L122" s="217"/>
      <c r="M122" s="487" t="str">
        <f t="shared" si="2"/>
        <v/>
      </c>
      <c r="N122" s="214" t="str">
        <f>IFERROR(VLOOKUP(F122,Ch1_Storage,2, FALSE),"")</f>
        <v/>
      </c>
    </row>
    <row r="123" ht="18.75" customHeight="1">
      <c r="A123" s="454">
        <f>IFERROR(VLOOKUP(H123,PartyStorage,2, FALSE),0)</f>
        <v>0</v>
      </c>
      <c r="B123" s="516"/>
      <c r="C123" s="340"/>
      <c r="D123" s="340"/>
      <c r="E123" s="492"/>
      <c r="F123" s="509"/>
      <c r="G123" s="463"/>
      <c r="H123" s="465"/>
      <c r="L123" s="203"/>
      <c r="M123" s="468" t="str">
        <f t="shared" si="2"/>
        <v/>
      </c>
      <c r="N123" s="214" t="str">
        <f>IFERROR(VLOOKUP(F123,Ch1_Storage,2, FALSE),"")</f>
        <v/>
      </c>
    </row>
    <row r="124" ht="18.75" customHeight="1">
      <c r="A124" s="454">
        <f>IFERROR(VLOOKUP(H124,PartyStorage,2, FALSE),0)</f>
        <v>0</v>
      </c>
      <c r="B124" s="499"/>
      <c r="C124" s="299"/>
      <c r="D124" s="299"/>
      <c r="E124" s="500"/>
      <c r="F124" s="502"/>
      <c r="G124" s="478"/>
      <c r="H124" s="480"/>
      <c r="L124" s="217"/>
      <c r="M124" s="487" t="str">
        <f t="shared" si="2"/>
        <v/>
      </c>
      <c r="N124" s="214" t="str">
        <f>IFERROR(VLOOKUP(F124,Ch1_Storage,2, FALSE),"")</f>
        <v/>
      </c>
    </row>
    <row r="125" ht="18.75" customHeight="1">
      <c r="A125" s="454">
        <f>IFERROR(VLOOKUP(H125,PartyStorage,2, FALSE),0)</f>
        <v>0</v>
      </c>
      <c r="B125" s="516"/>
      <c r="C125" s="340"/>
      <c r="D125" s="340"/>
      <c r="E125" s="492"/>
      <c r="F125" s="509"/>
      <c r="G125" s="463"/>
      <c r="H125" s="465"/>
      <c r="L125" s="203"/>
      <c r="M125" s="468" t="str">
        <f t="shared" si="2"/>
        <v/>
      </c>
      <c r="N125" s="214" t="str">
        <f>IFERROR(VLOOKUP(F125,Ch1_Storage,2, FALSE),"")</f>
        <v/>
      </c>
    </row>
    <row r="126" ht="18.75" customHeight="1">
      <c r="A126" s="454">
        <f>IFERROR(VLOOKUP(H126,PartyStorage,2, FALSE),0)</f>
        <v>0</v>
      </c>
      <c r="B126" s="499"/>
      <c r="C126" s="299"/>
      <c r="D126" s="299"/>
      <c r="E126" s="500"/>
      <c r="F126" s="502"/>
      <c r="G126" s="478"/>
      <c r="H126" s="480"/>
      <c r="L126" s="217"/>
      <c r="M126" s="487" t="str">
        <f t="shared" si="2"/>
        <v/>
      </c>
      <c r="N126" s="214" t="str">
        <f>IFERROR(VLOOKUP(F126,Ch1_Storage,2, FALSE),"")</f>
        <v/>
      </c>
    </row>
    <row r="127" ht="18.75" customHeight="1">
      <c r="A127" s="454">
        <f>IFERROR(VLOOKUP(H127,PartyStorage,2, FALSE),0)</f>
        <v>0</v>
      </c>
      <c r="B127" s="516"/>
      <c r="C127" s="340"/>
      <c r="D127" s="340"/>
      <c r="E127" s="492"/>
      <c r="F127" s="509"/>
      <c r="G127" s="463"/>
      <c r="H127" s="465"/>
      <c r="L127" s="203"/>
      <c r="M127" s="468" t="str">
        <f t="shared" si="2"/>
        <v/>
      </c>
      <c r="N127" s="214" t="str">
        <f>IFERROR(VLOOKUP(F127,Ch1_Storage,2, FALSE),"")</f>
        <v/>
      </c>
    </row>
    <row r="128" ht="18.75" customHeight="1">
      <c r="A128" s="454">
        <f>IFERROR(VLOOKUP(H128,PartyStorage,2, FALSE),0)</f>
        <v>0</v>
      </c>
      <c r="B128" s="499"/>
      <c r="C128" s="299"/>
      <c r="D128" s="299"/>
      <c r="E128" s="500"/>
      <c r="F128" s="502"/>
      <c r="G128" s="478"/>
      <c r="H128" s="480"/>
      <c r="L128" s="217"/>
      <c r="M128" s="487" t="str">
        <f t="shared" si="2"/>
        <v/>
      </c>
      <c r="N128" s="214" t="str">
        <f>IFERROR(VLOOKUP(F128,Ch1_Storage,2, FALSE),"")</f>
        <v/>
      </c>
    </row>
    <row r="129" ht="18.75" customHeight="1">
      <c r="A129" s="454">
        <f>IFERROR(VLOOKUP(H129,PartyStorage,2, FALSE),0)</f>
        <v>0</v>
      </c>
      <c r="B129" s="516"/>
      <c r="C129" s="340"/>
      <c r="D129" s="340"/>
      <c r="E129" s="492"/>
      <c r="F129" s="509"/>
      <c r="G129" s="463"/>
      <c r="H129" s="465"/>
      <c r="L129" s="203"/>
      <c r="M129" s="468" t="str">
        <f t="shared" si="2"/>
        <v/>
      </c>
      <c r="N129" s="214" t="str">
        <f>IFERROR(VLOOKUP(F129,Ch1_Storage,2, FALSE),"")</f>
        <v/>
      </c>
    </row>
    <row r="130" ht="18.75" customHeight="1">
      <c r="A130" s="454">
        <f>IFERROR(VLOOKUP(H130,PartyStorage,2, FALSE),0)</f>
        <v>0</v>
      </c>
      <c r="B130" s="499"/>
      <c r="C130" s="299"/>
      <c r="D130" s="299"/>
      <c r="E130" s="500"/>
      <c r="F130" s="502"/>
      <c r="G130" s="478"/>
      <c r="H130" s="480"/>
      <c r="L130" s="217"/>
      <c r="M130" s="487" t="str">
        <f t="shared" si="2"/>
        <v/>
      </c>
      <c r="N130" s="214" t="str">
        <f>IFERROR(VLOOKUP(F130,Ch1_Storage,2, FALSE),"")</f>
        <v/>
      </c>
    </row>
    <row r="131" ht="18.75" customHeight="1">
      <c r="A131" s="454">
        <f>IFERROR(VLOOKUP(H131,PartyStorage,2, FALSE),0)</f>
        <v>0</v>
      </c>
      <c r="B131" s="516"/>
      <c r="C131" s="340"/>
      <c r="D131" s="340"/>
      <c r="E131" s="492"/>
      <c r="F131" s="509"/>
      <c r="G131" s="463"/>
      <c r="H131" s="465"/>
      <c r="L131" s="203"/>
      <c r="M131" s="468" t="str">
        <f t="shared" si="2"/>
        <v/>
      </c>
      <c r="N131" s="214" t="str">
        <f>IFERROR(VLOOKUP(F131,Ch1_Storage,2, FALSE),"")</f>
        <v/>
      </c>
    </row>
    <row r="132" ht="18.75" customHeight="1">
      <c r="A132" s="454">
        <f>IFERROR(VLOOKUP(H132,PartyStorage,2, FALSE),0)</f>
        <v>0</v>
      </c>
      <c r="B132" s="499"/>
      <c r="C132" s="299"/>
      <c r="D132" s="299"/>
      <c r="E132" s="500"/>
      <c r="F132" s="502"/>
      <c r="G132" s="478"/>
      <c r="H132" s="480"/>
      <c r="L132" s="217"/>
      <c r="M132" s="487" t="str">
        <f t="shared" si="2"/>
        <v/>
      </c>
      <c r="N132" s="214" t="str">
        <f>IFERROR(VLOOKUP(F132,Ch1_Storage,2, FALSE),"")</f>
        <v/>
      </c>
    </row>
    <row r="133" ht="18.75" customHeight="1">
      <c r="A133" s="454">
        <f>IFERROR(VLOOKUP(H133,PartyStorage,2, FALSE),0)</f>
        <v>0</v>
      </c>
      <c r="B133" s="516"/>
      <c r="C133" s="340"/>
      <c r="D133" s="340"/>
      <c r="E133" s="492"/>
      <c r="F133" s="509"/>
      <c r="G133" s="463"/>
      <c r="H133" s="465"/>
      <c r="L133" s="203"/>
      <c r="M133" s="468" t="str">
        <f t="shared" si="2"/>
        <v/>
      </c>
      <c r="N133" s="214" t="str">
        <f>IFERROR(VLOOKUP(F133,Ch1_Storage,2, FALSE),"")</f>
        <v/>
      </c>
    </row>
    <row r="134" ht="18.75" customHeight="1">
      <c r="A134" s="454">
        <f>IFERROR(VLOOKUP(H134,PartyStorage,2, FALSE),0)</f>
        <v>0</v>
      </c>
      <c r="B134" s="499"/>
      <c r="C134" s="299"/>
      <c r="D134" s="299"/>
      <c r="E134" s="500"/>
      <c r="F134" s="502"/>
      <c r="G134" s="478"/>
      <c r="H134" s="480"/>
      <c r="L134" s="217"/>
      <c r="M134" s="487" t="str">
        <f t="shared" si="2"/>
        <v/>
      </c>
      <c r="N134" s="214" t="str">
        <f>IFERROR(VLOOKUP(F134,Ch1_Storage,2, FALSE),"")</f>
        <v/>
      </c>
    </row>
    <row r="135" ht="18.75" customHeight="1">
      <c r="A135" s="454">
        <f>IFERROR(VLOOKUP(H135,PartyStorage,2, FALSE),0)</f>
        <v>0</v>
      </c>
      <c r="B135" s="516"/>
      <c r="C135" s="340"/>
      <c r="D135" s="340"/>
      <c r="E135" s="492"/>
      <c r="F135" s="509"/>
      <c r="G135" s="463"/>
      <c r="H135" s="465"/>
      <c r="L135" s="203"/>
      <c r="M135" s="468" t="str">
        <f t="shared" si="2"/>
        <v/>
      </c>
      <c r="N135" s="214" t="str">
        <f>IFERROR(VLOOKUP(F135,Ch1_Storage,2, FALSE),"")</f>
        <v/>
      </c>
    </row>
    <row r="136" ht="18.75" customHeight="1">
      <c r="A136" s="454">
        <f>IFERROR(VLOOKUP(H136,PartyStorage,2, FALSE),0)</f>
        <v>0</v>
      </c>
      <c r="B136" s="499"/>
      <c r="C136" s="299"/>
      <c r="D136" s="299"/>
      <c r="E136" s="500"/>
      <c r="F136" s="502"/>
      <c r="G136" s="478"/>
      <c r="H136" s="480"/>
      <c r="L136" s="217"/>
      <c r="M136" s="487" t="str">
        <f t="shared" si="2"/>
        <v/>
      </c>
      <c r="N136" s="214" t="str">
        <f>IFERROR(VLOOKUP(F136,Ch1_Storage,2, FALSE),"")</f>
        <v/>
      </c>
    </row>
    <row r="137" ht="18.75" customHeight="1">
      <c r="A137" s="454">
        <f>IFERROR(VLOOKUP(H137,PartyStorage,2, FALSE),0)</f>
        <v>0</v>
      </c>
      <c r="B137" s="516"/>
      <c r="C137" s="340"/>
      <c r="D137" s="340"/>
      <c r="E137" s="492"/>
      <c r="F137" s="509"/>
      <c r="G137" s="463"/>
      <c r="H137" s="465"/>
      <c r="L137" s="203"/>
      <c r="M137" s="468" t="str">
        <f t="shared" si="2"/>
        <v/>
      </c>
      <c r="N137" s="214" t="str">
        <f>IFERROR(VLOOKUP(F137,Ch1_Storage,2, FALSE),"")</f>
        <v/>
      </c>
    </row>
    <row r="138" ht="18.75" customHeight="1">
      <c r="A138" s="454">
        <f>IFERROR(VLOOKUP(H138,PartyStorage,2, FALSE),0)</f>
        <v>0</v>
      </c>
      <c r="B138" s="499"/>
      <c r="C138" s="299"/>
      <c r="D138" s="299"/>
      <c r="E138" s="500"/>
      <c r="F138" s="502"/>
      <c r="G138" s="478"/>
      <c r="H138" s="480"/>
      <c r="L138" s="217"/>
      <c r="M138" s="487" t="str">
        <f t="shared" si="2"/>
        <v/>
      </c>
      <c r="N138" s="214" t="str">
        <f>IFERROR(VLOOKUP(F138,Ch1_Storage,2, FALSE),"")</f>
        <v/>
      </c>
    </row>
    <row r="139" ht="18.75" customHeight="1">
      <c r="A139" s="454">
        <f>IFERROR(VLOOKUP(H139,PartyStorage,2, FALSE),0)</f>
        <v>0</v>
      </c>
      <c r="B139" s="516"/>
      <c r="C139" s="340"/>
      <c r="D139" s="340"/>
      <c r="E139" s="492"/>
      <c r="F139" s="509"/>
      <c r="G139" s="463"/>
      <c r="H139" s="465"/>
      <c r="L139" s="203"/>
      <c r="M139" s="468" t="str">
        <f t="shared" si="2"/>
        <v/>
      </c>
      <c r="N139" s="214" t="str">
        <f>IFERROR(VLOOKUP(F139,Ch1_Storage,2, FALSE),"")</f>
        <v/>
      </c>
    </row>
    <row r="140" ht="18.75" customHeight="1">
      <c r="A140" s="454">
        <f>IFERROR(VLOOKUP(H140,PartyStorage,2, FALSE),0)</f>
        <v>0</v>
      </c>
      <c r="B140" s="499"/>
      <c r="C140" s="299"/>
      <c r="D140" s="299"/>
      <c r="E140" s="500"/>
      <c r="F140" s="502"/>
      <c r="G140" s="478"/>
      <c r="H140" s="480"/>
      <c r="L140" s="217"/>
      <c r="M140" s="487" t="str">
        <f t="shared" si="2"/>
        <v/>
      </c>
      <c r="N140" s="214" t="str">
        <f>IFERROR(VLOOKUP(F140,Ch1_Storage,2, FALSE),"")</f>
        <v/>
      </c>
    </row>
    <row r="141" ht="18.75" customHeight="1">
      <c r="A141" s="454">
        <f>IFERROR(VLOOKUP(H141,PartyStorage,2, FALSE),0)</f>
        <v>0</v>
      </c>
      <c r="B141" s="516"/>
      <c r="C141" s="340"/>
      <c r="D141" s="340"/>
      <c r="E141" s="492"/>
      <c r="F141" s="509"/>
      <c r="G141" s="463"/>
      <c r="H141" s="465"/>
      <c r="L141" s="203"/>
      <c r="M141" s="468" t="str">
        <f t="shared" si="2"/>
        <v/>
      </c>
      <c r="N141" s="214" t="str">
        <f>IFERROR(VLOOKUP(F141,Ch1_Storage,2, FALSE),"")</f>
        <v/>
      </c>
    </row>
    <row r="142" ht="18.75" customHeight="1">
      <c r="A142" s="454">
        <f>IFERROR(VLOOKUP(H142,PartyStorage,2, FALSE),0)</f>
        <v>0</v>
      </c>
      <c r="B142" s="499"/>
      <c r="C142" s="299"/>
      <c r="D142" s="299"/>
      <c r="E142" s="500"/>
      <c r="F142" s="502"/>
      <c r="G142" s="478"/>
      <c r="H142" s="480"/>
      <c r="L142" s="217"/>
      <c r="M142" s="487" t="str">
        <f t="shared" si="2"/>
        <v/>
      </c>
      <c r="N142" s="214" t="str">
        <f>IFERROR(VLOOKUP(F142,Ch1_Storage,2, FALSE),"")</f>
        <v/>
      </c>
    </row>
    <row r="143" ht="18.75" customHeight="1">
      <c r="A143" s="454">
        <f>IFERROR(VLOOKUP(H143,PartyStorage,2, FALSE),0)</f>
        <v>0</v>
      </c>
      <c r="B143" s="516"/>
      <c r="C143" s="340"/>
      <c r="D143" s="340"/>
      <c r="E143" s="492"/>
      <c r="F143" s="509"/>
      <c r="G143" s="463"/>
      <c r="H143" s="465"/>
      <c r="L143" s="203"/>
      <c r="M143" s="468" t="str">
        <f t="shared" si="2"/>
        <v/>
      </c>
      <c r="N143" s="214" t="str">
        <f>IFERROR(VLOOKUP(F143,Ch1_Storage,2, FALSE),"")</f>
        <v/>
      </c>
    </row>
    <row r="144" ht="18.75" customHeight="1">
      <c r="A144" s="454">
        <f>IFERROR(VLOOKUP(H144,PartyStorage,2, FALSE),0)</f>
        <v>0</v>
      </c>
      <c r="B144" s="499"/>
      <c r="C144" s="299"/>
      <c r="D144" s="299"/>
      <c r="E144" s="500"/>
      <c r="F144" s="502"/>
      <c r="G144" s="478"/>
      <c r="H144" s="480"/>
      <c r="L144" s="217"/>
      <c r="M144" s="487" t="str">
        <f t="shared" si="2"/>
        <v/>
      </c>
      <c r="N144" s="214" t="str">
        <f>IFERROR(VLOOKUP(F144,Ch1_Storage,2, FALSE),"")</f>
        <v/>
      </c>
    </row>
    <row r="145" ht="18.75" customHeight="1">
      <c r="A145" s="454">
        <f>IFERROR(VLOOKUP(H145,PartyStorage,2, FALSE),0)</f>
        <v>0</v>
      </c>
      <c r="B145" s="516"/>
      <c r="C145" s="340"/>
      <c r="D145" s="340"/>
      <c r="E145" s="492"/>
      <c r="F145" s="509"/>
      <c r="G145" s="463"/>
      <c r="H145" s="465"/>
      <c r="L145" s="203"/>
      <c r="M145" s="468" t="str">
        <f t="shared" si="2"/>
        <v/>
      </c>
      <c r="N145" s="214" t="str">
        <f>IFERROR(VLOOKUP(F145,Ch1_Storage,2, FALSE),"")</f>
        <v/>
      </c>
    </row>
    <row r="146" ht="18.75" customHeight="1">
      <c r="A146" s="454">
        <f>IFERROR(VLOOKUP(H146,PartyStorage,2, FALSE),0)</f>
        <v>0</v>
      </c>
      <c r="B146" s="499"/>
      <c r="C146" s="299"/>
      <c r="D146" s="299"/>
      <c r="E146" s="500"/>
      <c r="F146" s="502"/>
      <c r="G146" s="478"/>
      <c r="H146" s="480"/>
      <c r="L146" s="217"/>
      <c r="M146" s="487" t="str">
        <f t="shared" si="2"/>
        <v/>
      </c>
      <c r="N146" s="214" t="str">
        <f>IFERROR(VLOOKUP(F146,Ch1_Storage,2, FALSE),"")</f>
        <v/>
      </c>
    </row>
    <row r="147" ht="18.75" customHeight="1">
      <c r="A147" s="454">
        <f>IFERROR(VLOOKUP(H147,PartyStorage,2, FALSE),0)</f>
        <v>0</v>
      </c>
      <c r="B147" s="516"/>
      <c r="C147" s="340"/>
      <c r="D147" s="340"/>
      <c r="E147" s="492"/>
      <c r="F147" s="509"/>
      <c r="G147" s="463"/>
      <c r="H147" s="465"/>
      <c r="L147" s="203"/>
      <c r="M147" s="468" t="str">
        <f t="shared" si="2"/>
        <v/>
      </c>
      <c r="N147" s="214" t="str">
        <f>IFERROR(VLOOKUP(F147,Ch1_Storage,2, FALSE),"")</f>
        <v/>
      </c>
    </row>
    <row r="148" ht="18.75" customHeight="1">
      <c r="A148" s="454">
        <f>IFERROR(VLOOKUP(H148,PartyStorage,2, FALSE),0)</f>
        <v>0</v>
      </c>
      <c r="B148" s="499"/>
      <c r="C148" s="299"/>
      <c r="D148" s="299"/>
      <c r="E148" s="500"/>
      <c r="F148" s="502"/>
      <c r="G148" s="478"/>
      <c r="H148" s="480"/>
      <c r="L148" s="217"/>
      <c r="M148" s="487" t="str">
        <f t="shared" si="2"/>
        <v/>
      </c>
      <c r="N148" s="214" t="str">
        <f>IFERROR(VLOOKUP(F148,Ch1_Storage,2, FALSE),"")</f>
        <v/>
      </c>
    </row>
    <row r="149" ht="18.75" customHeight="1">
      <c r="A149" s="454">
        <f>IFERROR(VLOOKUP(H149,PartyStorage,2, FALSE),0)</f>
        <v>0</v>
      </c>
      <c r="B149" s="516"/>
      <c r="C149" s="340"/>
      <c r="D149" s="340"/>
      <c r="E149" s="492"/>
      <c r="F149" s="509"/>
      <c r="G149" s="463"/>
      <c r="H149" s="465"/>
      <c r="L149" s="203"/>
      <c r="M149" s="468" t="str">
        <f t="shared" si="2"/>
        <v/>
      </c>
      <c r="N149" s="214" t="str">
        <f>IFERROR(VLOOKUP(F149,Ch1_Storage,2, FALSE),"")</f>
        <v/>
      </c>
    </row>
    <row r="150" ht="18.75" customHeight="1">
      <c r="A150" s="454">
        <f>IFERROR(VLOOKUP(H150,PartyStorage,2, FALSE),0)</f>
        <v>0</v>
      </c>
      <c r="B150" s="499"/>
      <c r="C150" s="299"/>
      <c r="D150" s="299"/>
      <c r="E150" s="500"/>
      <c r="F150" s="502"/>
      <c r="G150" s="478"/>
      <c r="H150" s="480"/>
      <c r="L150" s="217"/>
      <c r="M150" s="487" t="str">
        <f t="shared" si="2"/>
        <v/>
      </c>
      <c r="N150" s="214" t="str">
        <f>IFERROR(VLOOKUP(F150,Ch1_Storage,2, FALSE),"")</f>
        <v/>
      </c>
    </row>
    <row r="151" ht="18.75" customHeight="1">
      <c r="A151" s="454">
        <f>IFERROR(VLOOKUP(H151,PartyStorage,2, FALSE),0)</f>
        <v>0</v>
      </c>
      <c r="B151" s="516"/>
      <c r="C151" s="340"/>
      <c r="D151" s="340"/>
      <c r="E151" s="492"/>
      <c r="F151" s="509"/>
      <c r="G151" s="463"/>
      <c r="H151" s="465"/>
      <c r="L151" s="203"/>
      <c r="M151" s="468" t="str">
        <f t="shared" si="2"/>
        <v/>
      </c>
      <c r="N151" s="214" t="str">
        <f>IFERROR(VLOOKUP(F151,Ch1_Storage,2, FALSE),"")</f>
        <v/>
      </c>
    </row>
    <row r="152" ht="18.75" customHeight="1">
      <c r="A152" s="454">
        <f>IFERROR(VLOOKUP(H152,PartyStorage,2, FALSE),0)</f>
        <v>0</v>
      </c>
      <c r="B152" s="499"/>
      <c r="C152" s="299"/>
      <c r="D152" s="299"/>
      <c r="E152" s="500"/>
      <c r="F152" s="502"/>
      <c r="G152" s="478"/>
      <c r="H152" s="480"/>
      <c r="L152" s="217"/>
      <c r="M152" s="487" t="str">
        <f t="shared" si="2"/>
        <v/>
      </c>
      <c r="N152" s="214" t="str">
        <f>IFERROR(VLOOKUP(F152,Ch1_Storage,2, FALSE),"")</f>
        <v/>
      </c>
    </row>
    <row r="153" ht="18.75" customHeight="1">
      <c r="A153" s="454">
        <f>IFERROR(VLOOKUP(H153,PartyStorage,2, FALSE),0)</f>
        <v>0</v>
      </c>
      <c r="B153" s="516"/>
      <c r="C153" s="340"/>
      <c r="D153" s="340"/>
      <c r="E153" s="492"/>
      <c r="F153" s="509"/>
      <c r="G153" s="463"/>
      <c r="H153" s="465"/>
      <c r="L153" s="203"/>
      <c r="M153" s="468" t="str">
        <f t="shared" si="2"/>
        <v/>
      </c>
      <c r="N153" s="214" t="str">
        <f>IFERROR(VLOOKUP(F153,Ch1_Storage,2, FALSE),"")</f>
        <v/>
      </c>
    </row>
    <row r="154" ht="18.75" customHeight="1">
      <c r="A154" s="454">
        <f>IFERROR(VLOOKUP(H154,PartyStorage,2, FALSE),0)</f>
        <v>0</v>
      </c>
      <c r="B154" s="499"/>
      <c r="C154" s="299"/>
      <c r="D154" s="299"/>
      <c r="E154" s="500"/>
      <c r="F154" s="502"/>
      <c r="G154" s="478"/>
      <c r="H154" s="480"/>
      <c r="L154" s="217"/>
      <c r="M154" s="487" t="str">
        <f t="shared" si="2"/>
        <v/>
      </c>
      <c r="N154" s="214" t="str">
        <f>IFERROR(VLOOKUP(F154,Ch1_Storage,2, FALSE),"")</f>
        <v/>
      </c>
    </row>
    <row r="155" ht="18.75" customHeight="1">
      <c r="A155" s="454">
        <f>IFERROR(VLOOKUP(H155,PartyStorage,2, FALSE),0)</f>
        <v>0</v>
      </c>
      <c r="B155" s="516"/>
      <c r="C155" s="340"/>
      <c r="D155" s="340"/>
      <c r="E155" s="492"/>
      <c r="F155" s="509"/>
      <c r="G155" s="463"/>
      <c r="H155" s="465"/>
      <c r="L155" s="203"/>
      <c r="M155" s="468" t="str">
        <f t="shared" si="2"/>
        <v/>
      </c>
      <c r="N155" s="214" t="str">
        <f>IFERROR(VLOOKUP(F155,Ch1_Storage,2, FALSE),"")</f>
        <v/>
      </c>
    </row>
    <row r="156" ht="18.75" customHeight="1">
      <c r="A156" s="454">
        <f>IFERROR(VLOOKUP(H156,PartyStorage,2, FALSE),0)</f>
        <v>0</v>
      </c>
      <c r="B156" s="499"/>
      <c r="C156" s="299"/>
      <c r="D156" s="299"/>
      <c r="E156" s="500"/>
      <c r="F156" s="502"/>
      <c r="G156" s="478"/>
      <c r="H156" s="480"/>
      <c r="L156" s="217"/>
      <c r="M156" s="487" t="str">
        <f t="shared" si="2"/>
        <v/>
      </c>
      <c r="N156" s="214" t="str">
        <f>IFERROR(VLOOKUP(F156,Ch1_Storage,2, FALSE),"")</f>
        <v/>
      </c>
    </row>
    <row r="157" ht="18.75" customHeight="1">
      <c r="A157" s="454">
        <f>IFERROR(VLOOKUP(H157,PartyStorage,2, FALSE),0)</f>
        <v>0</v>
      </c>
      <c r="B157" s="516"/>
      <c r="C157" s="340"/>
      <c r="D157" s="340"/>
      <c r="E157" s="492"/>
      <c r="F157" s="509"/>
      <c r="G157" s="463"/>
      <c r="H157" s="465"/>
      <c r="L157" s="203"/>
      <c r="M157" s="468" t="str">
        <f t="shared" si="2"/>
        <v/>
      </c>
      <c r="N157" s="214" t="str">
        <f>IFERROR(VLOOKUP(F157,Ch1_Storage,2, FALSE),"")</f>
        <v/>
      </c>
    </row>
    <row r="158" ht="18.75" customHeight="1">
      <c r="A158" s="454">
        <f>IFERROR(VLOOKUP(H158,PartyStorage,2, FALSE),0)</f>
        <v>0</v>
      </c>
      <c r="B158" s="499"/>
      <c r="C158" s="299"/>
      <c r="D158" s="299"/>
      <c r="E158" s="500"/>
      <c r="F158" s="502"/>
      <c r="G158" s="478"/>
      <c r="H158" s="480"/>
      <c r="L158" s="217"/>
      <c r="M158" s="487" t="str">
        <f t="shared" si="2"/>
        <v/>
      </c>
      <c r="N158" s="214" t="str">
        <f>IFERROR(VLOOKUP(F158,Ch1_Storage,2, FALSE),"")</f>
        <v/>
      </c>
    </row>
    <row r="159" ht="18.75" customHeight="1">
      <c r="A159" s="454">
        <f>IFERROR(VLOOKUP(H159,PartyStorage,2, FALSE),0)</f>
        <v>0</v>
      </c>
      <c r="B159" s="516"/>
      <c r="C159" s="340"/>
      <c r="D159" s="340"/>
      <c r="E159" s="492"/>
      <c r="F159" s="509"/>
      <c r="G159" s="463"/>
      <c r="H159" s="465"/>
      <c r="L159" s="203"/>
      <c r="M159" s="468" t="str">
        <f t="shared" si="2"/>
        <v/>
      </c>
      <c r="N159" s="214" t="str">
        <f>IFERROR(VLOOKUP(F159,Ch1_Storage,2, FALSE),"")</f>
        <v/>
      </c>
    </row>
    <row r="160" ht="18.75" customHeight="1">
      <c r="A160" s="454">
        <f>IFERROR(VLOOKUP(H160,PartyStorage,2, FALSE),0)</f>
        <v>0</v>
      </c>
      <c r="B160" s="499"/>
      <c r="C160" s="299"/>
      <c r="D160" s="299"/>
      <c r="E160" s="500"/>
      <c r="F160" s="502"/>
      <c r="G160" s="478"/>
      <c r="H160" s="480"/>
      <c r="L160" s="217"/>
      <c r="M160" s="487" t="str">
        <f t="shared" si="2"/>
        <v/>
      </c>
      <c r="N160" s="214" t="str">
        <f>IFERROR(VLOOKUP(F160,Ch1_Storage,2, FALSE),"")</f>
        <v/>
      </c>
    </row>
    <row r="161" ht="18.75" customHeight="1">
      <c r="A161" s="454">
        <f>IFERROR(VLOOKUP(H161,PartyStorage,2, FALSE),0)</f>
        <v>0</v>
      </c>
      <c r="B161" s="516"/>
      <c r="C161" s="340"/>
      <c r="D161" s="340"/>
      <c r="E161" s="492"/>
      <c r="F161" s="509"/>
      <c r="G161" s="463"/>
      <c r="H161" s="465"/>
      <c r="L161" s="203"/>
      <c r="M161" s="468" t="str">
        <f t="shared" si="2"/>
        <v/>
      </c>
      <c r="N161" s="214" t="str">
        <f>IFERROR(VLOOKUP(F161,Ch1_Storage,2, FALSE),"")</f>
        <v/>
      </c>
    </row>
    <row r="162" ht="18.75" customHeight="1">
      <c r="A162" s="454">
        <f>IFERROR(VLOOKUP(H162,PartyStorage,2, FALSE),0)</f>
        <v>0</v>
      </c>
      <c r="B162" s="499"/>
      <c r="C162" s="299"/>
      <c r="D162" s="299"/>
      <c r="E162" s="500"/>
      <c r="F162" s="502"/>
      <c r="G162" s="478"/>
      <c r="H162" s="480"/>
      <c r="L162" s="217"/>
      <c r="M162" s="487" t="str">
        <f t="shared" si="2"/>
        <v/>
      </c>
      <c r="N162" s="214" t="str">
        <f>IFERROR(VLOOKUP(F162,Ch1_Storage,2, FALSE),"")</f>
        <v/>
      </c>
    </row>
    <row r="163" ht="18.75" customHeight="1">
      <c r="A163" s="454">
        <f>IFERROR(VLOOKUP(H163,PartyStorage,2, FALSE),0)</f>
        <v>0</v>
      </c>
      <c r="B163" s="516"/>
      <c r="C163" s="340"/>
      <c r="D163" s="340"/>
      <c r="E163" s="492"/>
      <c r="F163" s="509"/>
      <c r="G163" s="463"/>
      <c r="H163" s="465"/>
      <c r="L163" s="203"/>
      <c r="M163" s="468" t="str">
        <f t="shared" si="2"/>
        <v/>
      </c>
      <c r="N163" s="214" t="str">
        <f>IFERROR(VLOOKUP(F163,Ch1_Storage,2, FALSE),"")</f>
        <v/>
      </c>
    </row>
    <row r="164" ht="18.75" customHeight="1">
      <c r="A164" s="454">
        <f>IFERROR(VLOOKUP(H164,PartyStorage,2, FALSE),0)</f>
        <v>0</v>
      </c>
      <c r="B164" s="499"/>
      <c r="C164" s="299"/>
      <c r="D164" s="299"/>
      <c r="E164" s="500"/>
      <c r="F164" s="502"/>
      <c r="G164" s="478"/>
      <c r="H164" s="480"/>
      <c r="L164" s="217"/>
      <c r="M164" s="487" t="str">
        <f t="shared" si="2"/>
        <v/>
      </c>
      <c r="N164" s="214" t="str">
        <f>IFERROR(VLOOKUP(F164,Ch1_Storage,2, FALSE),"")</f>
        <v/>
      </c>
    </row>
    <row r="165" ht="18.75" customHeight="1">
      <c r="A165" s="454">
        <f>IFERROR(VLOOKUP(H165,PartyStorage,2, FALSE),0)</f>
        <v>0</v>
      </c>
      <c r="B165" s="516"/>
      <c r="C165" s="340"/>
      <c r="D165" s="340"/>
      <c r="E165" s="492"/>
      <c r="F165" s="509"/>
      <c r="G165" s="463"/>
      <c r="H165" s="465"/>
      <c r="L165" s="203"/>
      <c r="M165" s="468" t="str">
        <f t="shared" si="2"/>
        <v/>
      </c>
      <c r="N165" s="214" t="str">
        <f>IFERROR(VLOOKUP(F165,Ch1_Storage,2, FALSE),"")</f>
        <v/>
      </c>
    </row>
    <row r="166" ht="18.75" customHeight="1">
      <c r="A166" s="454">
        <f>IFERROR(VLOOKUP(H166,PartyStorage,2, FALSE),0)</f>
        <v>0</v>
      </c>
      <c r="B166" s="499"/>
      <c r="C166" s="299"/>
      <c r="D166" s="299"/>
      <c r="E166" s="500"/>
      <c r="F166" s="502"/>
      <c r="G166" s="478"/>
      <c r="H166" s="480"/>
      <c r="L166" s="217"/>
      <c r="M166" s="487" t="str">
        <f t="shared" si="2"/>
        <v/>
      </c>
      <c r="N166" s="214" t="str">
        <f>IFERROR(VLOOKUP(F166,Ch1_Storage,2, FALSE),"")</f>
        <v/>
      </c>
    </row>
    <row r="167" ht="18.75" customHeight="1">
      <c r="A167" s="454">
        <f>IFERROR(VLOOKUP(H167,PartyStorage,2, FALSE),0)</f>
        <v>0</v>
      </c>
      <c r="B167" s="516"/>
      <c r="C167" s="340"/>
      <c r="D167" s="340"/>
      <c r="E167" s="492"/>
      <c r="F167" s="509"/>
      <c r="G167" s="463"/>
      <c r="H167" s="465"/>
      <c r="L167" s="203"/>
      <c r="M167" s="468" t="str">
        <f t="shared" si="2"/>
        <v/>
      </c>
      <c r="N167" s="214" t="str">
        <f>IFERROR(VLOOKUP(F167,Ch1_Storage,2, FALSE),"")</f>
        <v/>
      </c>
    </row>
    <row r="168" ht="18.75" customHeight="1">
      <c r="A168" s="454">
        <f>IFERROR(VLOOKUP(H168,PartyStorage,2, FALSE),0)</f>
        <v>0</v>
      </c>
      <c r="B168" s="499"/>
      <c r="C168" s="299"/>
      <c r="D168" s="299"/>
      <c r="E168" s="500"/>
      <c r="F168" s="502"/>
      <c r="G168" s="478"/>
      <c r="H168" s="480"/>
      <c r="L168" s="217"/>
      <c r="M168" s="487" t="str">
        <f t="shared" si="2"/>
        <v/>
      </c>
      <c r="N168" s="214" t="str">
        <f>IFERROR(VLOOKUP(F168,Ch1_Storage,2, FALSE),"")</f>
        <v/>
      </c>
    </row>
    <row r="169" ht="18.75" customHeight="1">
      <c r="A169" s="454">
        <f>IFERROR(VLOOKUP(H169,PartyStorage,2, FALSE),0)</f>
        <v>0</v>
      </c>
      <c r="B169" s="516"/>
      <c r="C169" s="340"/>
      <c r="D169" s="340"/>
      <c r="E169" s="492"/>
      <c r="F169" s="509"/>
      <c r="G169" s="463"/>
      <c r="H169" s="465"/>
      <c r="L169" s="203"/>
      <c r="M169" s="468" t="str">
        <f t="shared" si="2"/>
        <v/>
      </c>
      <c r="N169" s="214" t="str">
        <f>IFERROR(VLOOKUP(F169,Ch1_Storage,2, FALSE),"")</f>
        <v/>
      </c>
    </row>
    <row r="170" ht="18.75" customHeight="1">
      <c r="A170" s="454">
        <f>IFERROR(VLOOKUP(H170,PartyStorage,2, FALSE),0)</f>
        <v>0</v>
      </c>
      <c r="B170" s="499"/>
      <c r="C170" s="299"/>
      <c r="D170" s="299"/>
      <c r="E170" s="500"/>
      <c r="F170" s="502"/>
      <c r="G170" s="478"/>
      <c r="H170" s="480"/>
      <c r="L170" s="217"/>
      <c r="M170" s="487" t="str">
        <f t="shared" si="2"/>
        <v/>
      </c>
      <c r="N170" s="214" t="str">
        <f>IFERROR(VLOOKUP(F170,Ch1_Storage,2, FALSE),"")</f>
        <v/>
      </c>
    </row>
    <row r="171" ht="18.75" customHeight="1">
      <c r="A171" s="454">
        <f>IFERROR(VLOOKUP(H171,PartyStorage,2, FALSE),0)</f>
        <v>0</v>
      </c>
      <c r="B171" s="516"/>
      <c r="C171" s="340"/>
      <c r="D171" s="340"/>
      <c r="E171" s="492"/>
      <c r="F171" s="509"/>
      <c r="G171" s="463"/>
      <c r="H171" s="465"/>
      <c r="L171" s="203"/>
      <c r="M171" s="468" t="str">
        <f t="shared" si="2"/>
        <v/>
      </c>
      <c r="N171" s="214" t="str">
        <f>IFERROR(VLOOKUP(F171,Ch1_Storage,2, FALSE),"")</f>
        <v/>
      </c>
    </row>
    <row r="172" ht="18.75" customHeight="1">
      <c r="A172" s="454">
        <f>IFERROR(VLOOKUP(H172,PartyStorage,2, FALSE),0)</f>
        <v>0</v>
      </c>
      <c r="B172" s="499"/>
      <c r="C172" s="299"/>
      <c r="D172" s="299"/>
      <c r="E172" s="500"/>
      <c r="F172" s="502"/>
      <c r="G172" s="478"/>
      <c r="H172" s="480"/>
      <c r="L172" s="217"/>
      <c r="M172" s="487" t="str">
        <f t="shared" si="2"/>
        <v/>
      </c>
      <c r="N172" s="214" t="str">
        <f>IFERROR(VLOOKUP(F172,Ch1_Storage,2, FALSE),"")</f>
        <v/>
      </c>
    </row>
    <row r="173" ht="18.75" customHeight="1">
      <c r="A173" s="454">
        <f>IFERROR(VLOOKUP(H173,PartyStorage,2, FALSE),0)</f>
        <v>0</v>
      </c>
      <c r="B173" s="516"/>
      <c r="C173" s="340"/>
      <c r="D173" s="340"/>
      <c r="E173" s="492"/>
      <c r="F173" s="509"/>
      <c r="G173" s="463"/>
      <c r="H173" s="465"/>
      <c r="L173" s="203"/>
      <c r="M173" s="468" t="str">
        <f t="shared" si="2"/>
        <v/>
      </c>
      <c r="N173" s="214" t="str">
        <f>IFERROR(VLOOKUP(F173,Ch1_Storage,2, FALSE),"")</f>
        <v/>
      </c>
    </row>
    <row r="174" ht="18.75" customHeight="1">
      <c r="A174" s="454">
        <f>IFERROR(VLOOKUP(H174,PartyStorage,2, FALSE),0)</f>
        <v>0</v>
      </c>
      <c r="B174" s="499"/>
      <c r="C174" s="299"/>
      <c r="D174" s="299"/>
      <c r="E174" s="500"/>
      <c r="F174" s="502"/>
      <c r="G174" s="478"/>
      <c r="H174" s="480"/>
      <c r="L174" s="217"/>
      <c r="M174" s="487" t="str">
        <f t="shared" si="2"/>
        <v/>
      </c>
      <c r="N174" s="214" t="str">
        <f>IFERROR(VLOOKUP(F174,Ch1_Storage,2, FALSE),"")</f>
        <v/>
      </c>
    </row>
    <row r="175" ht="18.75" customHeight="1">
      <c r="A175" s="454">
        <f>IFERROR(VLOOKUP(H175,PartyStorage,2, FALSE),0)</f>
        <v>0</v>
      </c>
      <c r="B175" s="516"/>
      <c r="C175" s="340"/>
      <c r="D175" s="340"/>
      <c r="E175" s="492"/>
      <c r="F175" s="509"/>
      <c r="G175" s="463"/>
      <c r="H175" s="465"/>
      <c r="L175" s="203"/>
      <c r="M175" s="468" t="str">
        <f t="shared" si="2"/>
        <v/>
      </c>
      <c r="N175" s="214" t="str">
        <f>IFERROR(VLOOKUP(F175,Ch1_Storage,2, FALSE),"")</f>
        <v/>
      </c>
    </row>
    <row r="176" ht="18.75" customHeight="1">
      <c r="A176" s="454">
        <f>IFERROR(VLOOKUP(H176,PartyStorage,2, FALSE),0)</f>
        <v>0</v>
      </c>
      <c r="B176" s="499"/>
      <c r="C176" s="299"/>
      <c r="D176" s="299"/>
      <c r="E176" s="500"/>
      <c r="F176" s="502"/>
      <c r="G176" s="478"/>
      <c r="H176" s="480"/>
      <c r="L176" s="217"/>
      <c r="M176" s="487" t="str">
        <f t="shared" si="2"/>
        <v/>
      </c>
      <c r="N176" s="214" t="str">
        <f>IFERROR(VLOOKUP(F176,Ch1_Storage,2, FALSE),"")</f>
        <v/>
      </c>
    </row>
    <row r="177" ht="18.75" customHeight="1">
      <c r="A177" s="454">
        <f>IFERROR(VLOOKUP(H177,PartyStorage,2, FALSE),0)</f>
        <v>0</v>
      </c>
      <c r="B177" s="516"/>
      <c r="C177" s="340"/>
      <c r="D177" s="340"/>
      <c r="E177" s="492"/>
      <c r="F177" s="509"/>
      <c r="G177" s="463"/>
      <c r="H177" s="465"/>
      <c r="L177" s="203"/>
      <c r="M177" s="468" t="str">
        <f t="shared" si="2"/>
        <v/>
      </c>
      <c r="N177" s="214" t="str">
        <f>IFERROR(VLOOKUP(F177,Ch1_Storage,2, FALSE),"")</f>
        <v/>
      </c>
    </row>
    <row r="178" ht="18.75" customHeight="1">
      <c r="A178" s="454">
        <f>IFERROR(VLOOKUP(H178,PartyStorage,2, FALSE),0)</f>
        <v>0</v>
      </c>
      <c r="B178" s="499"/>
      <c r="C178" s="299"/>
      <c r="D178" s="299"/>
      <c r="E178" s="500"/>
      <c r="F178" s="502"/>
      <c r="G178" s="478"/>
      <c r="H178" s="480"/>
      <c r="L178" s="217"/>
      <c r="M178" s="487" t="str">
        <f t="shared" si="2"/>
        <v/>
      </c>
      <c r="N178" s="214" t="str">
        <f>IFERROR(VLOOKUP(F178,Ch1_Storage,2, FALSE),"")</f>
        <v/>
      </c>
    </row>
    <row r="179" ht="18.75" customHeight="1">
      <c r="A179" s="454">
        <f>IFERROR(VLOOKUP(H179,PartyStorage,2, FALSE),0)</f>
        <v>0</v>
      </c>
      <c r="B179" s="516"/>
      <c r="C179" s="340"/>
      <c r="D179" s="340"/>
      <c r="E179" s="492"/>
      <c r="F179" s="509"/>
      <c r="G179" s="463"/>
      <c r="H179" s="465"/>
      <c r="L179" s="203"/>
      <c r="M179" s="468" t="str">
        <f t="shared" si="2"/>
        <v/>
      </c>
      <c r="N179" s="214" t="str">
        <f>IFERROR(VLOOKUP(F179,Ch1_Storage,2, FALSE),"")</f>
        <v/>
      </c>
    </row>
    <row r="180" ht="18.75" customHeight="1">
      <c r="A180" s="454">
        <f>IFERROR(VLOOKUP(H180,PartyStorage,2, FALSE),0)</f>
        <v>0</v>
      </c>
      <c r="B180" s="499"/>
      <c r="C180" s="299"/>
      <c r="D180" s="299"/>
      <c r="E180" s="500"/>
      <c r="F180" s="502"/>
      <c r="G180" s="478"/>
      <c r="H180" s="480"/>
      <c r="L180" s="217"/>
      <c r="M180" s="487" t="str">
        <f t="shared" si="2"/>
        <v/>
      </c>
      <c r="N180" s="214" t="str">
        <f>IFERROR(VLOOKUP(F180,Ch1_Storage,2, FALSE),"")</f>
        <v/>
      </c>
    </row>
    <row r="181" ht="18.75" customHeight="1">
      <c r="A181" s="454">
        <f>IFERROR(VLOOKUP(H181,PartyStorage,2, FALSE),0)</f>
        <v>0</v>
      </c>
      <c r="B181" s="516"/>
      <c r="C181" s="340"/>
      <c r="D181" s="340"/>
      <c r="E181" s="492"/>
      <c r="F181" s="509"/>
      <c r="G181" s="463"/>
      <c r="H181" s="465"/>
      <c r="L181" s="203"/>
      <c r="M181" s="468" t="str">
        <f t="shared" si="2"/>
        <v/>
      </c>
      <c r="N181" s="214" t="str">
        <f>IFERROR(VLOOKUP(F181,Ch1_Storage,2, FALSE),"")</f>
        <v/>
      </c>
    </row>
    <row r="182" ht="18.75" customHeight="1">
      <c r="A182" s="454">
        <f>IFERROR(VLOOKUP(H182,PartyStorage,2, FALSE),0)</f>
        <v>0</v>
      </c>
      <c r="B182" s="499"/>
      <c r="C182" s="299"/>
      <c r="D182" s="299"/>
      <c r="E182" s="500"/>
      <c r="F182" s="502"/>
      <c r="G182" s="478"/>
      <c r="H182" s="480"/>
      <c r="L182" s="217"/>
      <c r="M182" s="487" t="str">
        <f t="shared" si="2"/>
        <v/>
      </c>
      <c r="N182" s="214" t="str">
        <f>IFERROR(VLOOKUP(F182,Ch1_Storage,2, FALSE),"")</f>
        <v/>
      </c>
    </row>
    <row r="183" ht="18.75" customHeight="1">
      <c r="A183" s="454">
        <f>IFERROR(VLOOKUP(H183,PartyStorage,2, FALSE),0)</f>
        <v>0</v>
      </c>
      <c r="B183" s="516"/>
      <c r="C183" s="340"/>
      <c r="D183" s="340"/>
      <c r="E183" s="492"/>
      <c r="F183" s="509"/>
      <c r="G183" s="463"/>
      <c r="H183" s="465"/>
      <c r="L183" s="203"/>
      <c r="M183" s="468" t="str">
        <f t="shared" si="2"/>
        <v/>
      </c>
      <c r="N183" s="214" t="str">
        <f>IFERROR(VLOOKUP(F183,Ch1_Storage,2, FALSE),"")</f>
        <v/>
      </c>
    </row>
    <row r="184" ht="18.75" customHeight="1">
      <c r="A184" s="454">
        <f>IFERROR(VLOOKUP(H184,PartyStorage,2, FALSE),0)</f>
        <v>0</v>
      </c>
      <c r="B184" s="499"/>
      <c r="C184" s="299"/>
      <c r="D184" s="299"/>
      <c r="E184" s="500"/>
      <c r="F184" s="502"/>
      <c r="G184" s="478"/>
      <c r="H184" s="480"/>
      <c r="L184" s="217"/>
      <c r="M184" s="487" t="str">
        <f t="shared" si="2"/>
        <v/>
      </c>
      <c r="N184" s="214" t="str">
        <f>IFERROR(VLOOKUP(F184,Ch1_Storage,2, FALSE),"")</f>
        <v/>
      </c>
    </row>
    <row r="185" ht="18.75" customHeight="1">
      <c r="A185" s="454">
        <f>IFERROR(VLOOKUP(H185,PartyStorage,2, FALSE),0)</f>
        <v>0</v>
      </c>
      <c r="B185" s="516"/>
      <c r="C185" s="340"/>
      <c r="D185" s="340"/>
      <c r="E185" s="492"/>
      <c r="F185" s="509"/>
      <c r="G185" s="463"/>
      <c r="H185" s="465"/>
      <c r="L185" s="203"/>
      <c r="M185" s="468" t="str">
        <f t="shared" si="2"/>
        <v/>
      </c>
      <c r="N185" s="214" t="str">
        <f>IFERROR(VLOOKUP(F185,Ch1_Storage,2, FALSE),"")</f>
        <v/>
      </c>
    </row>
    <row r="186" ht="18.75" customHeight="1">
      <c r="A186" s="454">
        <f>IFERROR(VLOOKUP(H186,PartyStorage,2, FALSE),0)</f>
        <v>0</v>
      </c>
      <c r="B186" s="499"/>
      <c r="C186" s="299"/>
      <c r="D186" s="299"/>
      <c r="E186" s="500"/>
      <c r="F186" s="502"/>
      <c r="G186" s="478"/>
      <c r="H186" s="480"/>
      <c r="L186" s="217"/>
      <c r="M186" s="487" t="str">
        <f t="shared" si="2"/>
        <v/>
      </c>
      <c r="N186" s="214" t="str">
        <f>IFERROR(VLOOKUP(F186,Ch1_Storage,2, FALSE),"")</f>
        <v/>
      </c>
    </row>
    <row r="187" ht="18.75" customHeight="1">
      <c r="A187" s="454">
        <f>IFERROR(VLOOKUP(H187,PartyStorage,2, FALSE),0)</f>
        <v>0</v>
      </c>
      <c r="B187" s="516"/>
      <c r="C187" s="340"/>
      <c r="D187" s="340"/>
      <c r="E187" s="492"/>
      <c r="F187" s="509"/>
      <c r="G187" s="463"/>
      <c r="H187" s="465"/>
      <c r="L187" s="203"/>
      <c r="M187" s="468" t="str">
        <f t="shared" si="2"/>
        <v/>
      </c>
      <c r="N187" s="214" t="str">
        <f>IFERROR(VLOOKUP(F187,Ch1_Storage,2, FALSE),"")</f>
        <v/>
      </c>
    </row>
    <row r="188" ht="18.75" customHeight="1">
      <c r="A188" s="454">
        <f>IFERROR(VLOOKUP(H188,PartyStorage,2, FALSE),0)</f>
        <v>0</v>
      </c>
      <c r="B188" s="499"/>
      <c r="C188" s="299"/>
      <c r="D188" s="299"/>
      <c r="E188" s="500"/>
      <c r="F188" s="502"/>
      <c r="G188" s="478"/>
      <c r="H188" s="480"/>
      <c r="L188" s="217"/>
      <c r="M188" s="487" t="str">
        <f t="shared" si="2"/>
        <v/>
      </c>
      <c r="N188" s="214" t="str">
        <f>IFERROR(VLOOKUP(F188,Ch1_Storage,2, FALSE),"")</f>
        <v/>
      </c>
    </row>
    <row r="189" ht="18.75" customHeight="1">
      <c r="A189" s="454">
        <f>IFERROR(VLOOKUP(H189,PartyStorage,2, FALSE),0)</f>
        <v>0</v>
      </c>
      <c r="B189" s="516"/>
      <c r="C189" s="340"/>
      <c r="D189" s="340"/>
      <c r="E189" s="492"/>
      <c r="F189" s="509"/>
      <c r="G189" s="463"/>
      <c r="H189" s="465"/>
      <c r="L189" s="203"/>
      <c r="M189" s="468" t="str">
        <f t="shared" si="2"/>
        <v/>
      </c>
      <c r="N189" s="214" t="str">
        <f>IFERROR(VLOOKUP(F189,Ch1_Storage,2, FALSE),"")</f>
        <v/>
      </c>
    </row>
    <row r="190" ht="18.75" customHeight="1">
      <c r="A190" s="454">
        <f>IFERROR(VLOOKUP(H190,PartyStorage,2, FALSE),0)</f>
        <v>0</v>
      </c>
      <c r="B190" s="499"/>
      <c r="C190" s="299"/>
      <c r="D190" s="299"/>
      <c r="E190" s="500"/>
      <c r="F190" s="502"/>
      <c r="G190" s="478"/>
      <c r="H190" s="480"/>
      <c r="L190" s="217"/>
      <c r="M190" s="487" t="str">
        <f t="shared" si="2"/>
        <v/>
      </c>
      <c r="N190" s="214" t="str">
        <f>IFERROR(VLOOKUP(F190,Ch1_Storage,2, FALSE),"")</f>
        <v/>
      </c>
    </row>
    <row r="191" ht="18.75" customHeight="1">
      <c r="A191" s="454">
        <f>IFERROR(VLOOKUP(H191,PartyStorage,2, FALSE),0)</f>
        <v>0</v>
      </c>
      <c r="B191" s="516"/>
      <c r="C191" s="340"/>
      <c r="D191" s="340"/>
      <c r="E191" s="492"/>
      <c r="F191" s="509"/>
      <c r="G191" s="463"/>
      <c r="H191" s="465"/>
      <c r="L191" s="203"/>
      <c r="M191" s="468" t="str">
        <f t="shared" si="2"/>
        <v/>
      </c>
      <c r="N191" s="214" t="str">
        <f>IFERROR(VLOOKUP(F191,Ch1_Storage,2, FALSE),"")</f>
        <v/>
      </c>
    </row>
    <row r="192" ht="18.75" customHeight="1">
      <c r="A192" s="454">
        <f>IFERROR(VLOOKUP(H192,PartyStorage,2, FALSE),0)</f>
        <v>0</v>
      </c>
      <c r="B192" s="499"/>
      <c r="C192" s="299"/>
      <c r="D192" s="299"/>
      <c r="E192" s="500"/>
      <c r="F192" s="502"/>
      <c r="G192" s="478"/>
      <c r="H192" s="480"/>
      <c r="L192" s="217"/>
      <c r="M192" s="487" t="str">
        <f t="shared" si="2"/>
        <v/>
      </c>
      <c r="N192" s="214" t="str">
        <f>IFERROR(VLOOKUP(F192,Ch1_Storage,2, FALSE),"")</f>
        <v/>
      </c>
    </row>
    <row r="193" ht="18.75" customHeight="1">
      <c r="A193" s="454">
        <f>IFERROR(VLOOKUP(H193,PartyStorage,2, FALSE),0)</f>
        <v>0</v>
      </c>
      <c r="B193" s="516"/>
      <c r="C193" s="340"/>
      <c r="D193" s="340"/>
      <c r="E193" s="492"/>
      <c r="F193" s="509"/>
      <c r="G193" s="463"/>
      <c r="H193" s="465"/>
      <c r="L193" s="203"/>
      <c r="M193" s="468" t="str">
        <f t="shared" si="2"/>
        <v/>
      </c>
      <c r="N193" s="214" t="str">
        <f>IFERROR(VLOOKUP(F193,Ch1_Storage,2, FALSE),"")</f>
        <v/>
      </c>
    </row>
    <row r="194" ht="18.75" customHeight="1">
      <c r="A194" s="454">
        <f>IFERROR(VLOOKUP(H194,PartyStorage,2, FALSE),0)</f>
        <v>0</v>
      </c>
      <c r="B194" s="499"/>
      <c r="C194" s="299"/>
      <c r="D194" s="299"/>
      <c r="E194" s="500"/>
      <c r="F194" s="502"/>
      <c r="G194" s="478"/>
      <c r="H194" s="480"/>
      <c r="L194" s="217"/>
      <c r="M194" s="487" t="str">
        <f t="shared" si="2"/>
        <v/>
      </c>
      <c r="N194" s="214" t="str">
        <f>IFERROR(VLOOKUP(F194,Ch1_Storage,2, FALSE),"")</f>
        <v/>
      </c>
    </row>
    <row r="195" ht="18.75" customHeight="1">
      <c r="A195" s="454">
        <f>IFERROR(VLOOKUP(H195,PartyStorage,2, FALSE),0)</f>
        <v>0</v>
      </c>
      <c r="B195" s="516"/>
      <c r="C195" s="340"/>
      <c r="D195" s="340"/>
      <c r="E195" s="492"/>
      <c r="F195" s="509"/>
      <c r="G195" s="463"/>
      <c r="H195" s="465"/>
      <c r="L195" s="203"/>
      <c r="M195" s="468" t="str">
        <f t="shared" si="2"/>
        <v/>
      </c>
      <c r="N195" s="214" t="str">
        <f>IFERROR(VLOOKUP(F195,Ch1_Storage,2, FALSE),"")</f>
        <v/>
      </c>
    </row>
    <row r="196" ht="18.75" customHeight="1">
      <c r="A196" s="454">
        <f>IFERROR(VLOOKUP(H196,PartyStorage,2, FALSE),0)</f>
        <v>0</v>
      </c>
      <c r="B196" s="499"/>
      <c r="C196" s="299"/>
      <c r="D196" s="299"/>
      <c r="E196" s="500"/>
      <c r="F196" s="502"/>
      <c r="G196" s="478"/>
      <c r="H196" s="480"/>
      <c r="L196" s="217"/>
      <c r="M196" s="487" t="str">
        <f t="shared" si="2"/>
        <v/>
      </c>
      <c r="N196" s="214" t="str">
        <f>IFERROR(VLOOKUP(F196,Ch1_Storage,2, FALSE),"")</f>
        <v/>
      </c>
    </row>
    <row r="197" ht="18.75" customHeight="1">
      <c r="A197" s="454">
        <f>IFERROR(VLOOKUP(H197,PartyStorage,2, FALSE),0)</f>
        <v>0</v>
      </c>
      <c r="B197" s="516"/>
      <c r="C197" s="340"/>
      <c r="D197" s="340"/>
      <c r="E197" s="492"/>
      <c r="F197" s="509"/>
      <c r="G197" s="463"/>
      <c r="H197" s="465"/>
      <c r="L197" s="203"/>
      <c r="M197" s="468" t="str">
        <f t="shared" si="2"/>
        <v/>
      </c>
      <c r="N197" s="214" t="str">
        <f>IFERROR(VLOOKUP(F197,Ch1_Storage,2, FALSE),"")</f>
        <v/>
      </c>
    </row>
    <row r="198" ht="18.75" customHeight="1">
      <c r="A198" s="454">
        <f>IFERROR(VLOOKUP(H198,PartyStorage,2, FALSE),0)</f>
        <v>0</v>
      </c>
      <c r="B198" s="499"/>
      <c r="C198" s="299"/>
      <c r="D198" s="299"/>
      <c r="E198" s="500"/>
      <c r="F198" s="502"/>
      <c r="G198" s="478"/>
      <c r="H198" s="480"/>
      <c r="L198" s="217"/>
      <c r="M198" s="487" t="str">
        <f t="shared" si="2"/>
        <v/>
      </c>
      <c r="N198" s="214" t="str">
        <f>IFERROR(VLOOKUP(F198,Ch1_Storage,2, FALSE),"")</f>
        <v/>
      </c>
    </row>
    <row r="199" ht="18.75" customHeight="1">
      <c r="A199" s="454">
        <f>IFERROR(VLOOKUP(H199,PartyStorage,2, FALSE),0)</f>
        <v>0</v>
      </c>
      <c r="B199" s="516"/>
      <c r="C199" s="340"/>
      <c r="D199" s="340"/>
      <c r="E199" s="492"/>
      <c r="F199" s="509"/>
      <c r="G199" s="463"/>
      <c r="H199" s="465"/>
      <c r="L199" s="203"/>
      <c r="M199" s="468" t="str">
        <f t="shared" si="2"/>
        <v/>
      </c>
      <c r="N199" s="214" t="str">
        <f>IFERROR(VLOOKUP(F199,Ch1_Storage,2, FALSE),"")</f>
        <v/>
      </c>
    </row>
    <row r="200" ht="18.75" customHeight="1">
      <c r="A200" s="454">
        <f>IFERROR(VLOOKUP(H200,PartyStorage,2, FALSE),0)</f>
        <v>0</v>
      </c>
      <c r="B200" s="499"/>
      <c r="C200" s="299"/>
      <c r="D200" s="299"/>
      <c r="E200" s="500"/>
      <c r="F200" s="502"/>
      <c r="G200" s="478"/>
      <c r="H200" s="480"/>
      <c r="L200" s="217"/>
      <c r="M200" s="487" t="str">
        <f t="shared" si="2"/>
        <v/>
      </c>
      <c r="N200" s="214" t="str">
        <f>IFERROR(VLOOKUP(F200,Ch1_Storage,2, FALSE),"")</f>
        <v/>
      </c>
    </row>
    <row r="201" ht="18.75" customHeight="1">
      <c r="A201" s="454">
        <f>IFERROR(VLOOKUP(H201,PartyStorage,2, FALSE),0)</f>
        <v>0</v>
      </c>
      <c r="B201" s="516"/>
      <c r="C201" s="340"/>
      <c r="D201" s="340"/>
      <c r="E201" s="492"/>
      <c r="F201" s="509"/>
      <c r="G201" s="463"/>
      <c r="H201" s="465"/>
      <c r="L201" s="203"/>
      <c r="M201" s="468" t="str">
        <f t="shared" si="2"/>
        <v/>
      </c>
      <c r="N201" s="214" t="str">
        <f>IFERROR(VLOOKUP(F201,Ch1_Storage,2, FALSE),"")</f>
        <v/>
      </c>
    </row>
    <row r="202" ht="18.75" customHeight="1">
      <c r="A202" s="454">
        <f>IFERROR(VLOOKUP(H202,PartyStorage,2, FALSE),0)</f>
        <v>0</v>
      </c>
      <c r="B202" s="499"/>
      <c r="C202" s="299"/>
      <c r="D202" s="299"/>
      <c r="E202" s="500"/>
      <c r="F202" s="502"/>
      <c r="G202" s="478"/>
      <c r="H202" s="480"/>
      <c r="L202" s="217"/>
      <c r="M202" s="487" t="str">
        <f t="shared" si="2"/>
        <v/>
      </c>
      <c r="N202" s="214" t="str">
        <f>IFERROR(VLOOKUP(F202,Ch1_Storage,2, FALSE),"")</f>
        <v/>
      </c>
    </row>
    <row r="203" ht="18.75" customHeight="1">
      <c r="A203" s="454">
        <f>IFERROR(VLOOKUP(H203,PartyStorage,2, FALSE),0)</f>
        <v>0</v>
      </c>
      <c r="B203" s="516"/>
      <c r="C203" s="340"/>
      <c r="D203" s="340"/>
      <c r="E203" s="492"/>
      <c r="F203" s="509"/>
      <c r="G203" s="463"/>
      <c r="H203" s="465"/>
      <c r="L203" s="203"/>
      <c r="M203" s="468" t="str">
        <f t="shared" si="2"/>
        <v/>
      </c>
      <c r="N203" s="214" t="str">
        <f>IFERROR(VLOOKUP(F203,Ch1_Storage,2, FALSE),"")</f>
        <v/>
      </c>
    </row>
    <row r="204" ht="18.75" customHeight="1">
      <c r="A204" s="454">
        <f>IFERROR(VLOOKUP(H204,PartyStorage,2, FALSE),0)</f>
        <v>0</v>
      </c>
      <c r="B204" s="499"/>
      <c r="C204" s="299"/>
      <c r="D204" s="299"/>
      <c r="E204" s="500"/>
      <c r="F204" s="502"/>
      <c r="G204" s="478"/>
      <c r="H204" s="480"/>
      <c r="L204" s="217"/>
      <c r="M204" s="487" t="str">
        <f t="shared" si="2"/>
        <v/>
      </c>
      <c r="N204" s="214" t="str">
        <f>IFERROR(VLOOKUP(F204,Ch1_Storage,2, FALSE),"")</f>
        <v/>
      </c>
    </row>
    <row r="205" ht="18.75" customHeight="1">
      <c r="A205" s="454">
        <f>IFERROR(VLOOKUP(H205,PartyStorage,2, FALSE),0)</f>
        <v>0</v>
      </c>
      <c r="B205" s="516"/>
      <c r="C205" s="340"/>
      <c r="D205" s="340"/>
      <c r="E205" s="492"/>
      <c r="F205" s="509"/>
      <c r="G205" s="463"/>
      <c r="H205" s="465"/>
      <c r="L205" s="203"/>
      <c r="M205" s="468" t="str">
        <f t="shared" si="2"/>
        <v/>
      </c>
      <c r="N205" s="214" t="str">
        <f>IFERROR(VLOOKUP(F205,Ch1_Storage,2, FALSE),"")</f>
        <v/>
      </c>
    </row>
    <row r="206" ht="18.75" customHeight="1">
      <c r="A206" s="454">
        <f>IFERROR(VLOOKUP(H206,PartyStorage,2, FALSE),0)</f>
        <v>0</v>
      </c>
      <c r="B206" s="499"/>
      <c r="C206" s="299"/>
      <c r="D206" s="299"/>
      <c r="E206" s="500"/>
      <c r="F206" s="502"/>
      <c r="G206" s="478"/>
      <c r="H206" s="480"/>
      <c r="L206" s="217"/>
      <c r="M206" s="487" t="str">
        <f t="shared" si="2"/>
        <v/>
      </c>
      <c r="N206" s="214" t="str">
        <f>IFERROR(VLOOKUP(F206,Ch1_Storage,2, FALSE),"")</f>
        <v/>
      </c>
    </row>
    <row r="207" ht="18.75" customHeight="1">
      <c r="A207" s="454">
        <f>IFERROR(VLOOKUP(H207,PartyStorage,2, FALSE),0)</f>
        <v>0</v>
      </c>
      <c r="B207" s="516"/>
      <c r="C207" s="340"/>
      <c r="D207" s="340"/>
      <c r="E207" s="492"/>
      <c r="F207" s="509"/>
      <c r="G207" s="463"/>
      <c r="H207" s="465"/>
      <c r="L207" s="203"/>
      <c r="M207" s="468" t="str">
        <f t="shared" si="2"/>
        <v/>
      </c>
      <c r="N207" s="214" t="str">
        <f>IFERROR(VLOOKUP(F207,Ch1_Storage,2, FALSE),"")</f>
        <v/>
      </c>
    </row>
    <row r="208" ht="18.75" customHeight="1">
      <c r="A208" s="454">
        <f>IFERROR(VLOOKUP(H208,PartyStorage,2, FALSE),0)</f>
        <v>0</v>
      </c>
      <c r="B208" s="606"/>
      <c r="C208" s="358"/>
      <c r="D208" s="358"/>
      <c r="E208" s="607"/>
      <c r="F208" s="608"/>
      <c r="G208" s="609"/>
      <c r="H208" s="610"/>
      <c r="I208" s="611"/>
      <c r="J208" s="611"/>
      <c r="K208" s="611"/>
      <c r="L208" s="612"/>
      <c r="M208" s="613" t="str">
        <f t="shared" si="2"/>
        <v/>
      </c>
      <c r="N208" s="214" t="str">
        <f>IFERROR(VLOOKUP(F208,Ch1_Storage,2, FALSE),"")</f>
        <v/>
      </c>
    </row>
    <row r="209" ht="7.5" customHeight="1">
      <c r="A209" s="29"/>
      <c r="B209" s="42"/>
      <c r="C209" s="42"/>
      <c r="D209" s="42"/>
      <c r="E209" s="42"/>
      <c r="F209" s="42"/>
      <c r="G209" s="42"/>
      <c r="H209" s="42"/>
      <c r="I209" s="42"/>
      <c r="J209" s="42"/>
      <c r="K209" s="42"/>
      <c r="L209" s="42"/>
      <c r="M209" s="42"/>
      <c r="N209" s="214"/>
    </row>
  </sheetData>
  <mergeCells count="197">
    <mergeCell ref="H66:L66"/>
    <mergeCell ref="H67:L67"/>
    <mergeCell ref="H51:L51"/>
    <mergeCell ref="H52:L52"/>
    <mergeCell ref="H68:L68"/>
    <mergeCell ref="H69:L69"/>
    <mergeCell ref="H61:L61"/>
    <mergeCell ref="H62:L62"/>
    <mergeCell ref="H63:L63"/>
    <mergeCell ref="H84:L84"/>
    <mergeCell ref="H85:L85"/>
    <mergeCell ref="H73:L73"/>
    <mergeCell ref="H74:L74"/>
    <mergeCell ref="H86:L86"/>
    <mergeCell ref="H87:L87"/>
    <mergeCell ref="H79:L79"/>
    <mergeCell ref="H80:L80"/>
    <mergeCell ref="H81:L81"/>
    <mergeCell ref="H27:L27"/>
    <mergeCell ref="K4:L4"/>
    <mergeCell ref="K7:L7"/>
    <mergeCell ref="K6:L6"/>
    <mergeCell ref="K5:L5"/>
    <mergeCell ref="K2:M2"/>
    <mergeCell ref="K3:L3"/>
    <mergeCell ref="I2:J7"/>
    <mergeCell ref="B3:C3"/>
    <mergeCell ref="B2:D2"/>
    <mergeCell ref="B4:C4"/>
    <mergeCell ref="E2:F7"/>
    <mergeCell ref="B7:C7"/>
    <mergeCell ref="B6:C6"/>
    <mergeCell ref="B9:C9"/>
    <mergeCell ref="B17:C17"/>
    <mergeCell ref="B5:C5"/>
    <mergeCell ref="H40:L40"/>
    <mergeCell ref="H41:L41"/>
    <mergeCell ref="H42:L42"/>
    <mergeCell ref="H43:L43"/>
    <mergeCell ref="H112:L112"/>
    <mergeCell ref="H113:L113"/>
    <mergeCell ref="H102:L102"/>
    <mergeCell ref="H103:L103"/>
    <mergeCell ref="H101:L101"/>
    <mergeCell ref="H82:L82"/>
    <mergeCell ref="H83:L83"/>
    <mergeCell ref="H88:L88"/>
    <mergeCell ref="H89:L89"/>
    <mergeCell ref="H90:L90"/>
    <mergeCell ref="H91:L91"/>
    <mergeCell ref="H92:L92"/>
    <mergeCell ref="H93:L93"/>
    <mergeCell ref="H140:L140"/>
    <mergeCell ref="H141:L141"/>
    <mergeCell ref="H144:L144"/>
    <mergeCell ref="H145:L145"/>
    <mergeCell ref="H122:L122"/>
    <mergeCell ref="H123:L123"/>
    <mergeCell ref="H124:L124"/>
    <mergeCell ref="H125:L125"/>
    <mergeCell ref="H126:L126"/>
    <mergeCell ref="H127:L127"/>
    <mergeCell ref="H128:L128"/>
    <mergeCell ref="H129:L129"/>
    <mergeCell ref="H130:L130"/>
    <mergeCell ref="H131:L131"/>
    <mergeCell ref="H183:L183"/>
    <mergeCell ref="H184:L184"/>
    <mergeCell ref="H185:L185"/>
    <mergeCell ref="H186:L186"/>
    <mergeCell ref="H187:L187"/>
    <mergeCell ref="H188:L188"/>
    <mergeCell ref="H189:L189"/>
    <mergeCell ref="H180:L180"/>
    <mergeCell ref="H181:L181"/>
    <mergeCell ref="H182:L182"/>
    <mergeCell ref="H177:L177"/>
    <mergeCell ref="H178:L178"/>
    <mergeCell ref="H179:L179"/>
    <mergeCell ref="H139:L139"/>
    <mergeCell ref="H143:L143"/>
    <mergeCell ref="H142:L142"/>
    <mergeCell ref="H147:L147"/>
    <mergeCell ref="H148:L148"/>
    <mergeCell ref="H149:L149"/>
    <mergeCell ref="H120:L120"/>
    <mergeCell ref="H121:L121"/>
    <mergeCell ref="H138:L138"/>
    <mergeCell ref="H135:L135"/>
    <mergeCell ref="H146:L146"/>
    <mergeCell ref="H153:L153"/>
    <mergeCell ref="H152:L152"/>
    <mergeCell ref="H190:L190"/>
    <mergeCell ref="H191:L191"/>
    <mergeCell ref="H192:L192"/>
    <mergeCell ref="H193:L193"/>
    <mergeCell ref="H194:L194"/>
    <mergeCell ref="H195:L195"/>
    <mergeCell ref="H196:L196"/>
    <mergeCell ref="H150:L150"/>
    <mergeCell ref="H151:L151"/>
    <mergeCell ref="H154:L154"/>
    <mergeCell ref="H155:L155"/>
    <mergeCell ref="H156:L156"/>
    <mergeCell ref="H157:L157"/>
    <mergeCell ref="H158:L158"/>
    <mergeCell ref="H204:L204"/>
    <mergeCell ref="H205:L205"/>
    <mergeCell ref="H206:L206"/>
    <mergeCell ref="H207:L207"/>
    <mergeCell ref="H208:L208"/>
    <mergeCell ref="H197:L197"/>
    <mergeCell ref="H198:L198"/>
    <mergeCell ref="H199:L199"/>
    <mergeCell ref="H200:L200"/>
    <mergeCell ref="H201:L201"/>
    <mergeCell ref="H202:L202"/>
    <mergeCell ref="H203:L203"/>
    <mergeCell ref="H99:L99"/>
    <mergeCell ref="H100:L100"/>
    <mergeCell ref="H104:L104"/>
    <mergeCell ref="H105:L105"/>
    <mergeCell ref="H94:L94"/>
    <mergeCell ref="H95:L95"/>
    <mergeCell ref="H96:L96"/>
    <mergeCell ref="H97:L97"/>
    <mergeCell ref="H98:L98"/>
    <mergeCell ref="H31:L31"/>
    <mergeCell ref="H32:L32"/>
    <mergeCell ref="H33:L33"/>
    <mergeCell ref="H34:L34"/>
    <mergeCell ref="H35:L35"/>
    <mergeCell ref="H36:L36"/>
    <mergeCell ref="H29:L29"/>
    <mergeCell ref="H30:L30"/>
    <mergeCell ref="H44:L44"/>
    <mergeCell ref="H45:L45"/>
    <mergeCell ref="H37:L37"/>
    <mergeCell ref="H38:L38"/>
    <mergeCell ref="H39:L39"/>
    <mergeCell ref="H114:L114"/>
    <mergeCell ref="H115:L115"/>
    <mergeCell ref="H110:L110"/>
    <mergeCell ref="H109:L109"/>
    <mergeCell ref="H116:L116"/>
    <mergeCell ref="H117:L117"/>
    <mergeCell ref="H136:L136"/>
    <mergeCell ref="H132:L132"/>
    <mergeCell ref="H133:L133"/>
    <mergeCell ref="H134:L134"/>
    <mergeCell ref="H137:L137"/>
    <mergeCell ref="H106:L106"/>
    <mergeCell ref="H107:L107"/>
    <mergeCell ref="H108:L108"/>
    <mergeCell ref="H111:L111"/>
    <mergeCell ref="H119:L119"/>
    <mergeCell ref="H118:L118"/>
    <mergeCell ref="H53:L53"/>
    <mergeCell ref="H54:L54"/>
    <mergeCell ref="H55:L55"/>
    <mergeCell ref="H56:L56"/>
    <mergeCell ref="H57:L57"/>
    <mergeCell ref="H58:L58"/>
    <mergeCell ref="H46:L46"/>
    <mergeCell ref="H47:L47"/>
    <mergeCell ref="H48:L48"/>
    <mergeCell ref="H49:L49"/>
    <mergeCell ref="H50:L50"/>
    <mergeCell ref="H59:L59"/>
    <mergeCell ref="H60:L60"/>
    <mergeCell ref="H75:L75"/>
    <mergeCell ref="H76:L76"/>
    <mergeCell ref="H64:L64"/>
    <mergeCell ref="H65:L65"/>
    <mergeCell ref="H77:L77"/>
    <mergeCell ref="H78:L78"/>
    <mergeCell ref="H70:L70"/>
    <mergeCell ref="H71:L71"/>
    <mergeCell ref="H72:L72"/>
    <mergeCell ref="H166:L166"/>
    <mergeCell ref="H167:L167"/>
    <mergeCell ref="H159:L159"/>
    <mergeCell ref="H160:L160"/>
    <mergeCell ref="H161:L161"/>
    <mergeCell ref="H162:L162"/>
    <mergeCell ref="H163:L163"/>
    <mergeCell ref="H164:L164"/>
    <mergeCell ref="H165:L165"/>
    <mergeCell ref="H175:L175"/>
    <mergeCell ref="H176:L176"/>
    <mergeCell ref="H168:L168"/>
    <mergeCell ref="H169:L169"/>
    <mergeCell ref="H170:L170"/>
    <mergeCell ref="H171:L171"/>
    <mergeCell ref="H172:L172"/>
    <mergeCell ref="H173:L173"/>
    <mergeCell ref="H174:L174"/>
  </mergeCells>
  <conditionalFormatting sqref="F27:F208">
    <cfRule type="expression" dxfId="0" priority="1">
      <formula>AND(AND(NOT(ISBLANK(C27)), ISBLANK(F27)), ISBLANK(H27))</formula>
    </cfRule>
  </conditionalFormatting>
  <conditionalFormatting sqref="F27:F208">
    <cfRule type="expression" dxfId="0" priority="2">
      <formula>AND(AND(NOT(ISBLANK(C27)), ISBLANK(F27)), ISBLANK(G27))</formula>
    </cfRule>
  </conditionalFormatting>
  <conditionalFormatting sqref="K2:M2">
    <cfRule type="expression" dxfId="5" priority="3">
      <formula>IF($N$2="",true,false)</formula>
    </cfRule>
  </conditionalFormatting>
  <conditionalFormatting sqref="K3:M7">
    <cfRule type="expression" dxfId="6" priority="4">
      <formula>IF($N$2="",true,false)</formula>
    </cfRule>
  </conditionalFormatting>
  <dataValidations>
    <dataValidation type="list" allowBlank="1" sqref="G27:G208">
      <formula1>"Mundane,Magic,Attunement"</formula1>
    </dataValidation>
    <dataValidation type="list" allowBlank="1" showInputMessage="1" showErrorMessage="1" prompt="Click and enter a value from range Reference!A99:A140" sqref="F27:F208">
      <formula1>Reference!$A$99:$A$140</formula1>
    </dataValidation>
  </dataValidations>
  <hyperlinks>
    <hyperlink r:id="rId2" ref="E1"/>
    <hyperlink r:id="rId3" ref="I1"/>
  </hyperlinks>
  <drawing r:id="rId4"/>
  <legacyDrawing r:id="rId5"/>
  <tableParts count="1">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45F06"/>
  </sheetPr>
  <sheetViews>
    <sheetView showGridLines="0" workbookViewId="0"/>
  </sheetViews>
  <sheetFormatPr customHeight="1" defaultColWidth="14.43" defaultRowHeight="15.75"/>
  <cols>
    <col customWidth="1" min="1" max="1" width="1.57"/>
    <col customWidth="1" min="2" max="2" width="5.86"/>
    <col customWidth="1" min="3" max="3" width="21.57"/>
    <col customWidth="1" min="4" max="13" width="15.86"/>
    <col customWidth="1" min="14" max="14" width="1.57"/>
    <col hidden="1" min="15" max="28" width="14.43"/>
  </cols>
  <sheetData>
    <row r="1" ht="7.5" customHeight="1">
      <c r="A1" s="170" t="str">
        <f>Ch2_Name&amp;"'s Inventory"</f>
        <v>Character 2's Inventory</v>
      </c>
      <c r="B1" s="172"/>
      <c r="C1" s="174"/>
      <c r="D1" s="174"/>
      <c r="E1" s="4" t="s">
        <v>52</v>
      </c>
      <c r="F1" s="174"/>
      <c r="G1" s="176"/>
      <c r="H1" s="176"/>
      <c r="I1" s="179" t="s">
        <v>53</v>
      </c>
      <c r="J1" s="181"/>
      <c r="K1" s="176"/>
      <c r="L1" s="176"/>
      <c r="M1" s="176"/>
      <c r="N1" s="43"/>
      <c r="O1" s="176"/>
      <c r="P1" s="176"/>
      <c r="Q1" s="176"/>
      <c r="R1" s="176"/>
      <c r="S1" s="176"/>
      <c r="T1" s="176"/>
      <c r="U1" s="176"/>
      <c r="V1" s="176"/>
      <c r="W1" s="176"/>
      <c r="X1" s="176"/>
      <c r="Y1" s="176"/>
      <c r="Z1" s="176"/>
      <c r="AA1" s="176"/>
      <c r="AB1" s="176"/>
    </row>
    <row r="2" ht="18.75" customHeight="1">
      <c r="A2" s="533">
        <f>IF(ISBLANK(Ch2_Size),"",VLOOKUP(Ch2_Size,SizeMultipliers,2, FALSE))</f>
        <v>1</v>
      </c>
      <c r="B2" s="534" t="s">
        <v>56</v>
      </c>
      <c r="C2" s="535"/>
      <c r="D2" s="536"/>
      <c r="E2" s="537" t="str">
        <f>IMAGE(E1,1)</f>
        <v/>
      </c>
      <c r="G2" s="538" t="s">
        <v>57</v>
      </c>
      <c r="H2" s="539"/>
      <c r="I2" s="194" t="str">
        <f>IMAGE(I1,1)</f>
        <v/>
      </c>
      <c r="K2" s="534" t="str">
        <f>IF(ISBLANK(Ch2_MountName),"Mount",Ch2_MountName)&amp;"'s Encumbrance"</f>
        <v>Mount's Encumbrance</v>
      </c>
      <c r="L2" s="36"/>
      <c r="M2" s="540"/>
      <c r="N2" s="541" t="str">
        <f>IF(ISBLANK(Ch2_MountSize),"",VLOOKUP(Ch2_MountSize,SizeMultipliers,2, FALSE))</f>
        <v/>
      </c>
    </row>
    <row r="3" ht="18.75" customHeight="1">
      <c r="A3" s="48"/>
      <c r="B3" s="201" t="s">
        <v>60</v>
      </c>
      <c r="C3" s="542"/>
      <c r="D3" s="543">
        <f>Ch2_Str*Ch2_SizeMultiplier*5</f>
        <v>50</v>
      </c>
      <c r="G3" s="544" t="s">
        <v>61</v>
      </c>
      <c r="H3" s="545">
        <v>0.0</v>
      </c>
      <c r="K3" s="210" t="s">
        <v>60</v>
      </c>
      <c r="L3" s="542"/>
      <c r="M3" s="543">
        <f>Ch2_MountStr*Ch2_MountSizeMult*5</f>
        <v>0</v>
      </c>
      <c r="N3" s="214"/>
    </row>
    <row r="4" ht="18.75" customHeight="1">
      <c r="A4" s="48"/>
      <c r="B4" s="546" t="s">
        <v>64</v>
      </c>
      <c r="C4" s="547"/>
      <c r="D4" s="548">
        <f>Ch2_Str*Ch2_SizeMultiplier*10</f>
        <v>100</v>
      </c>
      <c r="G4" s="549" t="s">
        <v>65</v>
      </c>
      <c r="H4" s="545">
        <f>(VLOOKUP(ADD(Ch2_Level,1),XPTable_v,2))-Ch2_XP</f>
        <v>300</v>
      </c>
      <c r="K4" s="550" t="s">
        <v>64</v>
      </c>
      <c r="L4" s="547"/>
      <c r="M4" s="548">
        <f>Ch2_MountStr*Ch2_MountSizeMult*10</f>
        <v>0</v>
      </c>
      <c r="N4" s="214"/>
    </row>
    <row r="5" ht="18.75" customHeight="1">
      <c r="A5" s="48"/>
      <c r="B5" s="201" t="s">
        <v>7</v>
      </c>
      <c r="C5" s="542"/>
      <c r="D5" s="543">
        <f>Ch2_Str*Ch2_SizeMultiplier*15</f>
        <v>150</v>
      </c>
      <c r="G5" s="551" t="s">
        <v>67</v>
      </c>
      <c r="H5" s="552">
        <f>MATCH(Ch2_XP,XPTable_m,2)</f>
        <v>1</v>
      </c>
      <c r="K5" s="210" t="s">
        <v>7</v>
      </c>
      <c r="L5" s="542"/>
      <c r="M5" s="543">
        <f>Ch2_MountStr*Ch2_MountSizeMult*15</f>
        <v>0</v>
      </c>
      <c r="N5" s="214"/>
    </row>
    <row r="6" ht="18.75" customHeight="1">
      <c r="A6" s="48"/>
      <c r="B6" s="546" t="s">
        <v>68</v>
      </c>
      <c r="C6" s="547"/>
      <c r="D6" s="548">
        <f>Ch2_Str*Ch2_SizeMultiplier*30</f>
        <v>300</v>
      </c>
      <c r="G6" s="29"/>
      <c r="H6" s="29"/>
      <c r="K6" s="550" t="s">
        <v>68</v>
      </c>
      <c r="L6" s="547"/>
      <c r="M6" s="548">
        <f>Ch2_MountStr*Ch2_MountSizeMult*30</f>
        <v>0</v>
      </c>
      <c r="N6" s="214"/>
    </row>
    <row r="7" ht="18.75" customHeight="1">
      <c r="A7" s="48"/>
      <c r="B7" s="234" t="s">
        <v>45</v>
      </c>
      <c r="C7" s="553"/>
      <c r="D7" s="554">
        <f t="array" ref="D7">SUMIF(Ch2_EquipStatus,"=yes",Ch2_InventoryWeights)</f>
        <v>0</v>
      </c>
      <c r="G7" s="29"/>
      <c r="H7" s="29"/>
      <c r="K7" s="240" t="s">
        <v>45</v>
      </c>
      <c r="L7" s="553"/>
      <c r="M7" s="555">
        <f t="array" ref="M7">SUMIF(Ch2_EquipStatus,"=mount",Ch2_InventoryWeights)+Ch2_Weight+D7</f>
        <v>0</v>
      </c>
      <c r="N7" s="214"/>
    </row>
    <row r="8" ht="7.5" customHeight="1">
      <c r="A8" s="48"/>
      <c r="B8" s="255"/>
      <c r="C8" s="257"/>
      <c r="D8" s="258"/>
      <c r="E8" s="257"/>
      <c r="F8" s="257"/>
      <c r="G8" s="257"/>
      <c r="H8" s="257"/>
      <c r="I8" s="259"/>
      <c r="J8" s="261"/>
      <c r="K8" s="261"/>
      <c r="L8" s="261"/>
      <c r="M8" s="261"/>
      <c r="N8" s="214"/>
    </row>
    <row r="9" ht="18.75" customHeight="1">
      <c r="A9" s="48"/>
      <c r="B9" s="556" t="s">
        <v>16</v>
      </c>
      <c r="C9" s="557"/>
      <c r="D9" s="558" t="s">
        <v>17</v>
      </c>
      <c r="E9" s="559"/>
      <c r="F9" s="559"/>
      <c r="G9" s="559"/>
      <c r="H9" s="559"/>
      <c r="I9" s="560"/>
      <c r="J9" s="561"/>
      <c r="K9" s="561"/>
      <c r="L9" s="561"/>
      <c r="M9" s="562"/>
      <c r="N9" s="214"/>
    </row>
    <row r="10" ht="18.75" customHeight="1">
      <c r="A10" s="48"/>
      <c r="B10" s="563" t="s">
        <v>23</v>
      </c>
      <c r="C10" s="564" t="s">
        <v>10</v>
      </c>
      <c r="D10" s="564" t="s">
        <v>24</v>
      </c>
      <c r="E10" s="564" t="s">
        <v>25</v>
      </c>
      <c r="F10" s="564" t="s">
        <v>26</v>
      </c>
      <c r="G10" s="564" t="s">
        <v>27</v>
      </c>
      <c r="H10" s="564" t="s">
        <v>28</v>
      </c>
      <c r="I10" s="564" t="s">
        <v>29</v>
      </c>
      <c r="J10" s="564" t="s">
        <v>30</v>
      </c>
      <c r="K10" s="564" t="s">
        <v>31</v>
      </c>
      <c r="L10" s="564" t="s">
        <v>32</v>
      </c>
      <c r="M10" s="565" t="s">
        <v>33</v>
      </c>
      <c r="N10" s="198"/>
    </row>
    <row r="11" ht="18.75" customHeight="1">
      <c r="A11" s="48"/>
      <c r="B11" s="566">
        <v>0.0</v>
      </c>
      <c r="C11" s="567" t="s">
        <v>36</v>
      </c>
      <c r="D11" s="568">
        <f>B11</f>
        <v>0</v>
      </c>
      <c r="E11" s="568">
        <f>B11/10</f>
        <v>0</v>
      </c>
      <c r="F11" s="568">
        <f>B11/50</f>
        <v>0</v>
      </c>
      <c r="G11" s="568">
        <f>B11/100</f>
        <v>0</v>
      </c>
      <c r="H11" s="568">
        <f>B11/1000</f>
        <v>0</v>
      </c>
      <c r="I11" s="570">
        <f>B11/5000</f>
        <v>0</v>
      </c>
      <c r="J11" s="571">
        <f>B11/10000</f>
        <v>0</v>
      </c>
      <c r="K11" s="571">
        <f>B11/50000</f>
        <v>0</v>
      </c>
      <c r="L11" s="571">
        <f>B11/100000</f>
        <v>0</v>
      </c>
      <c r="M11" s="572">
        <f>B11/500000</f>
        <v>0</v>
      </c>
      <c r="N11" s="214"/>
    </row>
    <row r="12" ht="18.75" customHeight="1">
      <c r="A12" s="48"/>
      <c r="B12" s="566">
        <v>0.0</v>
      </c>
      <c r="C12" s="567" t="s">
        <v>50</v>
      </c>
      <c r="D12" s="568">
        <f>B12*10</f>
        <v>0</v>
      </c>
      <c r="E12" s="568">
        <f>B12</f>
        <v>0</v>
      </c>
      <c r="F12" s="568">
        <f>B12/5</f>
        <v>0</v>
      </c>
      <c r="G12" s="568">
        <f>B12/10</f>
        <v>0</v>
      </c>
      <c r="H12" s="568">
        <f>B12/100</f>
        <v>0</v>
      </c>
      <c r="I12" s="568">
        <f>B12/500</f>
        <v>0</v>
      </c>
      <c r="J12" s="568">
        <f>B12/1000</f>
        <v>0</v>
      </c>
      <c r="K12" s="568">
        <f>B12/5000</f>
        <v>0</v>
      </c>
      <c r="L12" s="568">
        <f>B12/10000</f>
        <v>0</v>
      </c>
      <c r="M12" s="573">
        <f>B12/50000</f>
        <v>0</v>
      </c>
      <c r="N12" s="214"/>
    </row>
    <row r="13" ht="18.75" customHeight="1">
      <c r="A13" s="48"/>
      <c r="B13" s="566">
        <v>0.0</v>
      </c>
      <c r="C13" s="567" t="s">
        <v>54</v>
      </c>
      <c r="D13" s="568">
        <f>B13*50</f>
        <v>0</v>
      </c>
      <c r="E13" s="568">
        <f>B13*5</f>
        <v>0</v>
      </c>
      <c r="F13" s="568">
        <f>B13</f>
        <v>0</v>
      </c>
      <c r="G13" s="568">
        <f>B13/2</f>
        <v>0</v>
      </c>
      <c r="H13" s="568">
        <f>B13/20</f>
        <v>0</v>
      </c>
      <c r="I13" s="568">
        <f>B13/100</f>
        <v>0</v>
      </c>
      <c r="J13" s="571">
        <f>B13/200</f>
        <v>0</v>
      </c>
      <c r="K13" s="571">
        <f>B13/1000</f>
        <v>0</v>
      </c>
      <c r="L13" s="571">
        <f>B13/2000</f>
        <v>0</v>
      </c>
      <c r="M13" s="572">
        <f>B13/10000</f>
        <v>0</v>
      </c>
      <c r="N13" s="214"/>
    </row>
    <row r="14" ht="18.75" customHeight="1">
      <c r="A14" s="48"/>
      <c r="B14" s="566">
        <v>0.0</v>
      </c>
      <c r="C14" s="567" t="s">
        <v>59</v>
      </c>
      <c r="D14" s="568">
        <f>B14*100</f>
        <v>0</v>
      </c>
      <c r="E14" s="568">
        <f>B14*10</f>
        <v>0</v>
      </c>
      <c r="F14" s="568">
        <f>B14*2</f>
        <v>0</v>
      </c>
      <c r="G14" s="568">
        <f>B14</f>
        <v>0</v>
      </c>
      <c r="H14" s="568">
        <f>B14/10</f>
        <v>0</v>
      </c>
      <c r="I14" s="568">
        <f>B14/50</f>
        <v>0</v>
      </c>
      <c r="J14" s="571">
        <f>B14/100</f>
        <v>0</v>
      </c>
      <c r="K14" s="571">
        <f>B14/500</f>
        <v>0</v>
      </c>
      <c r="L14" s="571">
        <f>B14/1000</f>
        <v>0</v>
      </c>
      <c r="M14" s="572">
        <f>B14/5000</f>
        <v>0</v>
      </c>
      <c r="N14" s="214"/>
    </row>
    <row r="15" ht="18.75" customHeight="1">
      <c r="A15" s="48"/>
      <c r="B15" s="574">
        <v>0.0</v>
      </c>
      <c r="C15" s="575" t="s">
        <v>63</v>
      </c>
      <c r="D15" s="576">
        <f>B15*1000</f>
        <v>0</v>
      </c>
      <c r="E15" s="576">
        <f>B15*100</f>
        <v>0</v>
      </c>
      <c r="F15" s="576">
        <f>B15*20</f>
        <v>0</v>
      </c>
      <c r="G15" s="576">
        <f>B15*10</f>
        <v>0</v>
      </c>
      <c r="H15" s="576">
        <f>B15*1</f>
        <v>0</v>
      </c>
      <c r="I15" s="576">
        <f>B15/5</f>
        <v>0</v>
      </c>
      <c r="J15" s="578">
        <f>B15/10</f>
        <v>0</v>
      </c>
      <c r="K15" s="578">
        <f>B15/50</f>
        <v>0</v>
      </c>
      <c r="L15" s="578">
        <f>B15/100</f>
        <v>0</v>
      </c>
      <c r="M15" s="579">
        <f>B15/500</f>
        <v>0</v>
      </c>
      <c r="N15" s="214"/>
    </row>
    <row r="16" ht="7.5" customHeight="1">
      <c r="A16" s="48"/>
      <c r="B16" s="265"/>
      <c r="C16" s="267"/>
      <c r="D16" s="267"/>
      <c r="E16" s="267"/>
      <c r="F16" s="267"/>
      <c r="G16" s="267"/>
      <c r="H16" s="267"/>
      <c r="I16" s="267"/>
      <c r="J16" s="269"/>
      <c r="K16" s="269"/>
      <c r="L16" s="269"/>
      <c r="M16" s="269"/>
      <c r="N16" s="272"/>
      <c r="O16" s="233"/>
      <c r="P16" s="233"/>
      <c r="Q16" s="233"/>
      <c r="R16" s="233"/>
      <c r="S16" s="233"/>
      <c r="T16" s="233"/>
      <c r="U16" s="233"/>
      <c r="V16" s="233"/>
      <c r="W16" s="233"/>
      <c r="X16" s="233"/>
      <c r="Y16" s="233"/>
      <c r="Z16" s="233"/>
      <c r="AA16" s="233"/>
      <c r="AB16" s="233"/>
    </row>
    <row r="17" ht="18.75" customHeight="1">
      <c r="A17" s="48"/>
      <c r="B17" s="556" t="s">
        <v>69</v>
      </c>
      <c r="C17" s="559"/>
      <c r="D17" s="558" t="s">
        <v>17</v>
      </c>
      <c r="E17" s="559"/>
      <c r="F17" s="559"/>
      <c r="G17" s="559"/>
      <c r="H17" s="559"/>
      <c r="I17" s="559"/>
      <c r="J17" s="561"/>
      <c r="K17" s="561"/>
      <c r="L17" s="561"/>
      <c r="M17" s="562"/>
      <c r="N17" s="214"/>
    </row>
    <row r="18" ht="18.75" customHeight="1">
      <c r="A18" s="48"/>
      <c r="B18" s="563" t="s">
        <v>23</v>
      </c>
      <c r="C18" s="564" t="s">
        <v>10</v>
      </c>
      <c r="D18" s="564" t="s">
        <v>24</v>
      </c>
      <c r="E18" s="564" t="s">
        <v>25</v>
      </c>
      <c r="F18" s="564" t="s">
        <v>26</v>
      </c>
      <c r="G18" s="564" t="s">
        <v>27</v>
      </c>
      <c r="H18" s="564" t="s">
        <v>28</v>
      </c>
      <c r="I18" s="564" t="s">
        <v>29</v>
      </c>
      <c r="J18" s="564" t="s">
        <v>30</v>
      </c>
      <c r="K18" s="564" t="s">
        <v>31</v>
      </c>
      <c r="L18" s="564" t="s">
        <v>32</v>
      </c>
      <c r="M18" s="565" t="s">
        <v>33</v>
      </c>
      <c r="N18" s="214"/>
    </row>
    <row r="19" ht="18.75" customHeight="1">
      <c r="A19" s="48"/>
      <c r="B19" s="566">
        <v>0.0</v>
      </c>
      <c r="C19" s="567" t="s">
        <v>70</v>
      </c>
      <c r="D19" s="568">
        <f>B19*1000</f>
        <v>0</v>
      </c>
      <c r="E19" s="568">
        <f>B19*100</f>
        <v>0</v>
      </c>
      <c r="F19" s="568">
        <f>B19*20</f>
        <v>0</v>
      </c>
      <c r="G19" s="568">
        <f>B19*10</f>
        <v>0</v>
      </c>
      <c r="H19" s="568">
        <f>B19*1</f>
        <v>0</v>
      </c>
      <c r="I19" s="568">
        <f>B19/5</f>
        <v>0</v>
      </c>
      <c r="J19" s="571">
        <f>B19/10</f>
        <v>0</v>
      </c>
      <c r="K19" s="571">
        <f>B19/50</f>
        <v>0</v>
      </c>
      <c r="L19" s="571">
        <f>B19/100</f>
        <v>0</v>
      </c>
      <c r="M19" s="572">
        <f>B19/500</f>
        <v>0</v>
      </c>
      <c r="N19" s="214"/>
    </row>
    <row r="20" ht="18.75" customHeight="1">
      <c r="A20" s="48"/>
      <c r="B20" s="566">
        <v>0.0</v>
      </c>
      <c r="C20" s="567" t="s">
        <v>71</v>
      </c>
      <c r="D20" s="568">
        <f>B20*5000</f>
        <v>0</v>
      </c>
      <c r="E20" s="568">
        <f>B20*500</f>
        <v>0</v>
      </c>
      <c r="F20" s="568">
        <f>B20*100</f>
        <v>0</v>
      </c>
      <c r="G20" s="568">
        <f>B20*50</f>
        <v>0</v>
      </c>
      <c r="H20" s="568">
        <f>B20*5</f>
        <v>0</v>
      </c>
      <c r="I20" s="568">
        <f>B20</f>
        <v>0</v>
      </c>
      <c r="J20" s="571">
        <f>B20/2</f>
        <v>0</v>
      </c>
      <c r="K20" s="571">
        <f>B20/10</f>
        <v>0</v>
      </c>
      <c r="L20" s="571">
        <f>B20/20</f>
        <v>0</v>
      </c>
      <c r="M20" s="572">
        <f>B20/100</f>
        <v>0</v>
      </c>
      <c r="N20" s="214"/>
    </row>
    <row r="21" ht="18.75" customHeight="1">
      <c r="A21" s="48"/>
      <c r="B21" s="566">
        <v>0.0</v>
      </c>
      <c r="C21" s="567" t="s">
        <v>72</v>
      </c>
      <c r="D21" s="568">
        <f>B21*10000</f>
        <v>0</v>
      </c>
      <c r="E21" s="568">
        <f>B21*1000</f>
        <v>0</v>
      </c>
      <c r="F21" s="568">
        <f>B21*200</f>
        <v>0</v>
      </c>
      <c r="G21" s="568">
        <f>B21*100</f>
        <v>0</v>
      </c>
      <c r="H21" s="568">
        <f>B21*10</f>
        <v>0</v>
      </c>
      <c r="I21" s="568">
        <f>B21/5*10</f>
        <v>0</v>
      </c>
      <c r="J21" s="571">
        <f>B21</f>
        <v>0</v>
      </c>
      <c r="K21" s="571">
        <f>B21/5</f>
        <v>0</v>
      </c>
      <c r="L21" s="571">
        <f>B21/10</f>
        <v>0</v>
      </c>
      <c r="M21" s="572">
        <f>B21/50</f>
        <v>0</v>
      </c>
      <c r="N21" s="214"/>
    </row>
    <row r="22" ht="18.75" customHeight="1">
      <c r="A22" s="48"/>
      <c r="B22" s="566">
        <v>0.0</v>
      </c>
      <c r="C22" s="567" t="s">
        <v>73</v>
      </c>
      <c r="D22" s="568">
        <f>B22*50000</f>
        <v>0</v>
      </c>
      <c r="E22" s="568">
        <f>B22*5000</f>
        <v>0</v>
      </c>
      <c r="F22" s="568">
        <f>B22*1000</f>
        <v>0</v>
      </c>
      <c r="G22" s="568">
        <f>B22*500</f>
        <v>0</v>
      </c>
      <c r="H22" s="568">
        <f>B22*50</f>
        <v>0</v>
      </c>
      <c r="I22" s="568">
        <f>B22*10</f>
        <v>0</v>
      </c>
      <c r="J22" s="571">
        <f>B22/2*10</f>
        <v>0</v>
      </c>
      <c r="K22" s="571">
        <f>B22</f>
        <v>0</v>
      </c>
      <c r="L22" s="571">
        <f>B22/2</f>
        <v>0</v>
      </c>
      <c r="M22" s="572">
        <f>B22/10</f>
        <v>0</v>
      </c>
      <c r="N22" s="214"/>
    </row>
    <row r="23" ht="18.75" customHeight="1">
      <c r="A23" s="48"/>
      <c r="B23" s="566">
        <v>0.0</v>
      </c>
      <c r="C23" s="567" t="s">
        <v>74</v>
      </c>
      <c r="D23" s="568">
        <f>B23*100000</f>
        <v>0</v>
      </c>
      <c r="E23" s="568">
        <f>B23*10000</f>
        <v>0</v>
      </c>
      <c r="F23" s="568">
        <f>B23*2000</f>
        <v>0</v>
      </c>
      <c r="G23" s="568">
        <f>B23*1000</f>
        <v>0</v>
      </c>
      <c r="H23" s="568">
        <f>B23*100</f>
        <v>0</v>
      </c>
      <c r="I23" s="568">
        <f>B23/5*100</f>
        <v>0</v>
      </c>
      <c r="J23" s="571">
        <f>B23*10</f>
        <v>0</v>
      </c>
      <c r="K23" s="571">
        <f>B23/5*10</f>
        <v>0</v>
      </c>
      <c r="L23" s="571">
        <f>B23</f>
        <v>0</v>
      </c>
      <c r="M23" s="572">
        <f>B23/5</f>
        <v>0</v>
      </c>
      <c r="N23" s="214"/>
    </row>
    <row r="24" ht="18.75" customHeight="1">
      <c r="A24" s="48"/>
      <c r="B24" s="574">
        <v>0.0</v>
      </c>
      <c r="C24" s="575" t="s">
        <v>75</v>
      </c>
      <c r="D24" s="576">
        <f>B24*500000</f>
        <v>0</v>
      </c>
      <c r="E24" s="576">
        <f>B24*50000</f>
        <v>0</v>
      </c>
      <c r="F24" s="576">
        <f>B24*10000</f>
        <v>0</v>
      </c>
      <c r="G24" s="576">
        <f>B24*5000</f>
        <v>0</v>
      </c>
      <c r="H24" s="576">
        <f>B24*500</f>
        <v>0</v>
      </c>
      <c r="I24" s="576">
        <f>B24*100</f>
        <v>0</v>
      </c>
      <c r="J24" s="578">
        <f>B24/2*100</f>
        <v>0</v>
      </c>
      <c r="K24" s="578">
        <f>B24*10</f>
        <v>0</v>
      </c>
      <c r="L24" s="578">
        <f>B24/2*10</f>
        <v>0</v>
      </c>
      <c r="M24" s="579">
        <f>B24</f>
        <v>0</v>
      </c>
      <c r="N24" s="214"/>
    </row>
    <row r="25" ht="7.5" customHeight="1">
      <c r="A25" s="48"/>
      <c r="B25" s="199"/>
      <c r="C25" s="19"/>
      <c r="D25" s="19"/>
      <c r="E25" s="19"/>
      <c r="F25" s="19"/>
      <c r="G25" s="19"/>
      <c r="H25" s="19"/>
      <c r="I25" s="19"/>
      <c r="J25" s="42"/>
      <c r="K25" s="42"/>
      <c r="L25" s="42"/>
      <c r="M25" s="42"/>
      <c r="N25" s="214"/>
    </row>
    <row r="26" ht="18.75" customHeight="1">
      <c r="A26" s="48"/>
      <c r="B26" s="580" t="s">
        <v>23</v>
      </c>
      <c r="C26" s="581" t="s">
        <v>76</v>
      </c>
      <c r="D26" s="581" t="s">
        <v>77</v>
      </c>
      <c r="E26" s="581" t="s">
        <v>78</v>
      </c>
      <c r="F26" s="581" t="s">
        <v>11</v>
      </c>
      <c r="G26" s="582" t="s">
        <v>79</v>
      </c>
      <c r="H26" s="583" t="s">
        <v>80</v>
      </c>
      <c r="I26" s="36"/>
      <c r="J26" s="36"/>
      <c r="K26" s="36"/>
      <c r="L26" s="535"/>
      <c r="M26" s="584" t="s">
        <v>81</v>
      </c>
      <c r="N26" s="445"/>
    </row>
    <row r="27" ht="18.75" customHeight="1">
      <c r="A27" s="504">
        <f>IFERROR(VLOOKUP(H27,PartyStorage,2, FALSE),0)</f>
        <v>0</v>
      </c>
      <c r="B27" s="585">
        <f>sum(Ch2_Money)</f>
        <v>0</v>
      </c>
      <c r="C27" s="586" t="s">
        <v>16</v>
      </c>
      <c r="D27" s="586">
        <v>0.02</v>
      </c>
      <c r="E27" s="586"/>
      <c r="F27" s="587"/>
      <c r="G27" s="588"/>
      <c r="H27" s="589"/>
      <c r="L27" s="542"/>
      <c r="M27" s="590">
        <f t="shared" ref="M27:M28" si="1">IF(ISBLANK(C27),"",IF(ISBLANK(B27),D27,D27*B27))</f>
        <v>0</v>
      </c>
      <c r="N27" s="214">
        <f>IFERROR(VLOOKUP(F27,Ch2_Storage,2, FALSE),0)</f>
        <v>0</v>
      </c>
    </row>
    <row r="28" ht="18.75" customHeight="1">
      <c r="A28" s="504">
        <f>IFERROR(VLOOKUP(H28,PartyStorage,2, FALSE),0)</f>
        <v>0</v>
      </c>
      <c r="B28" s="591">
        <f>sum(Ch2_Gems)</f>
        <v>0</v>
      </c>
      <c r="C28" s="592" t="s">
        <v>69</v>
      </c>
      <c r="D28" s="592">
        <v>0.02</v>
      </c>
      <c r="E28" s="593"/>
      <c r="F28" s="594"/>
      <c r="G28" s="595"/>
      <c r="H28" s="596"/>
      <c r="L28" s="547"/>
      <c r="M28" s="597">
        <f t="shared" si="1"/>
        <v>0</v>
      </c>
      <c r="N28" s="214">
        <f>IFERROR(VLOOKUP(F28,Ch2_Storage,2, FALSE),0)</f>
        <v>0</v>
      </c>
    </row>
    <row r="29" ht="18.75" customHeight="1">
      <c r="A29" s="504">
        <f>IFERROR(VLOOKUP(H29,PartyStorage,2, FALSE),0)</f>
        <v>0</v>
      </c>
      <c r="B29" s="598"/>
      <c r="C29" s="599"/>
      <c r="D29" s="599"/>
      <c r="E29" s="599"/>
      <c r="F29" s="587"/>
      <c r="G29" s="588"/>
      <c r="H29" s="589"/>
      <c r="L29" s="542"/>
      <c r="M29" s="590"/>
      <c r="N29" s="214">
        <f>IFERROR(VLOOKUP(F29,Ch2_Storage,2, FALSE),0)</f>
        <v>0</v>
      </c>
    </row>
    <row r="30" ht="18.75" customHeight="1">
      <c r="A30" s="504">
        <f>IFERROR(VLOOKUP(H30,PartyStorage,2, FALSE),0)</f>
        <v>0</v>
      </c>
      <c r="B30" s="600"/>
      <c r="C30" s="593"/>
      <c r="D30" s="593"/>
      <c r="E30" s="593"/>
      <c r="F30" s="594"/>
      <c r="G30" s="595"/>
      <c r="H30" s="596"/>
      <c r="L30" s="547"/>
      <c r="M30" s="597" t="str">
        <f t="shared" ref="M30:M208" si="2">IF(ISBLANK(C30),"",IF(ISBLANK(B30),D30,D30*B30))</f>
        <v/>
      </c>
      <c r="N30" s="214">
        <f>IFERROR(VLOOKUP(F30,Ch2_Storage,2, FALSE),0)</f>
        <v>0</v>
      </c>
    </row>
    <row r="31" ht="18.75" customHeight="1">
      <c r="A31" s="504">
        <f>IFERROR(VLOOKUP(H31,PartyStorage,2, FALSE),0)</f>
        <v>0</v>
      </c>
      <c r="B31" s="598"/>
      <c r="C31" s="599"/>
      <c r="D31" s="599"/>
      <c r="E31" s="599"/>
      <c r="F31" s="601"/>
      <c r="G31" s="588"/>
      <c r="H31" s="589"/>
      <c r="L31" s="542"/>
      <c r="M31" s="590" t="str">
        <f t="shared" si="2"/>
        <v/>
      </c>
      <c r="N31" s="214">
        <f>IFERROR(VLOOKUP(F31,Ch2_Storage,2, FALSE),0)</f>
        <v>0</v>
      </c>
    </row>
    <row r="32" ht="18.75" customHeight="1">
      <c r="A32" s="504">
        <f>IFERROR(VLOOKUP(H32,PartyStorage,2, FALSE),0)</f>
        <v>0</v>
      </c>
      <c r="B32" s="600"/>
      <c r="C32" s="593"/>
      <c r="D32" s="593"/>
      <c r="E32" s="593"/>
      <c r="F32" s="594"/>
      <c r="G32" s="595"/>
      <c r="H32" s="596"/>
      <c r="L32" s="547"/>
      <c r="M32" s="597" t="str">
        <f t="shared" si="2"/>
        <v/>
      </c>
      <c r="N32" s="214">
        <f>IFERROR(VLOOKUP(F32,Ch2_Storage,2, FALSE),0)</f>
        <v>0</v>
      </c>
    </row>
    <row r="33" ht="18.75" customHeight="1">
      <c r="A33" s="504">
        <f>IFERROR(VLOOKUP(H33,PartyStorage,2, FALSE),0)</f>
        <v>0</v>
      </c>
      <c r="B33" s="598"/>
      <c r="C33" s="599"/>
      <c r="D33" s="599"/>
      <c r="E33" s="599"/>
      <c r="F33" s="601"/>
      <c r="G33" s="588"/>
      <c r="H33" s="589"/>
      <c r="L33" s="542"/>
      <c r="M33" s="590" t="str">
        <f t="shared" si="2"/>
        <v/>
      </c>
      <c r="N33" s="214">
        <f>IFERROR(VLOOKUP(F33,Ch2_Storage,2, FALSE),0)</f>
        <v>0</v>
      </c>
    </row>
    <row r="34" ht="18.75" customHeight="1">
      <c r="A34" s="504">
        <f>IFERROR(VLOOKUP(H34,PartyStorage,2, FALSE),0)</f>
        <v>0</v>
      </c>
      <c r="B34" s="600"/>
      <c r="C34" s="593"/>
      <c r="D34" s="593"/>
      <c r="E34" s="593"/>
      <c r="F34" s="594"/>
      <c r="G34" s="595"/>
      <c r="H34" s="596"/>
      <c r="L34" s="547"/>
      <c r="M34" s="597" t="str">
        <f t="shared" si="2"/>
        <v/>
      </c>
      <c r="N34" s="214">
        <f>IFERROR(VLOOKUP(F34,Ch2_Storage,2, FALSE),0)</f>
        <v>0</v>
      </c>
    </row>
    <row r="35" ht="18.75" customHeight="1">
      <c r="A35" s="504">
        <f>IFERROR(VLOOKUP(H35,PartyStorage,2, FALSE),0)</f>
        <v>0</v>
      </c>
      <c r="B35" s="598"/>
      <c r="C35" s="599"/>
      <c r="D35" s="599"/>
      <c r="E35" s="599"/>
      <c r="F35" s="601"/>
      <c r="G35" s="588"/>
      <c r="H35" s="589"/>
      <c r="L35" s="542"/>
      <c r="M35" s="590" t="str">
        <f t="shared" si="2"/>
        <v/>
      </c>
      <c r="N35" s="214">
        <f>IFERROR(VLOOKUP(F35,Ch2_Storage,2, FALSE),0)</f>
        <v>0</v>
      </c>
    </row>
    <row r="36" ht="18.75" customHeight="1">
      <c r="A36" s="504">
        <f>IFERROR(VLOOKUP(H36,PartyStorage,2, FALSE),0)</f>
        <v>0</v>
      </c>
      <c r="B36" s="600"/>
      <c r="C36" s="593"/>
      <c r="D36" s="593"/>
      <c r="E36" s="593"/>
      <c r="F36" s="594"/>
      <c r="G36" s="595"/>
      <c r="H36" s="596"/>
      <c r="L36" s="547"/>
      <c r="M36" s="597" t="str">
        <f t="shared" si="2"/>
        <v/>
      </c>
      <c r="N36" s="214">
        <f>IFERROR(VLOOKUP(F36,Ch2_Storage,2, FALSE),0)</f>
        <v>0</v>
      </c>
    </row>
    <row r="37" ht="18.75" customHeight="1">
      <c r="A37" s="504">
        <f>IFERROR(VLOOKUP(H37,PartyStorage,2, FALSE),0)</f>
        <v>0</v>
      </c>
      <c r="B37" s="598"/>
      <c r="C37" s="599"/>
      <c r="D37" s="599"/>
      <c r="E37" s="599"/>
      <c r="F37" s="601"/>
      <c r="G37" s="588"/>
      <c r="H37" s="589"/>
      <c r="L37" s="542"/>
      <c r="M37" s="590" t="str">
        <f t="shared" si="2"/>
        <v/>
      </c>
      <c r="N37" s="214">
        <f>IFERROR(VLOOKUP(F37,Ch2_Storage,2, FALSE),0)</f>
        <v>0</v>
      </c>
    </row>
    <row r="38" ht="18.75" customHeight="1">
      <c r="A38" s="504">
        <f>IFERROR(VLOOKUP(H38,PartyStorage,2, FALSE),0)</f>
        <v>0</v>
      </c>
      <c r="B38" s="600"/>
      <c r="C38" s="593"/>
      <c r="D38" s="593"/>
      <c r="E38" s="593"/>
      <c r="F38" s="594"/>
      <c r="G38" s="595"/>
      <c r="H38" s="596"/>
      <c r="L38" s="547"/>
      <c r="M38" s="597" t="str">
        <f t="shared" si="2"/>
        <v/>
      </c>
      <c r="N38" s="214">
        <f>IFERROR(VLOOKUP(F38,Ch2_Storage,2, FALSE),0)</f>
        <v>0</v>
      </c>
    </row>
    <row r="39" ht="18.75" customHeight="1">
      <c r="A39" s="504">
        <f>IFERROR(VLOOKUP(H39,PartyStorage,2, FALSE),0)</f>
        <v>0</v>
      </c>
      <c r="B39" s="598"/>
      <c r="C39" s="599"/>
      <c r="D39" s="599"/>
      <c r="E39" s="599"/>
      <c r="F39" s="601"/>
      <c r="G39" s="588"/>
      <c r="H39" s="589"/>
      <c r="L39" s="542"/>
      <c r="M39" s="590" t="str">
        <f t="shared" si="2"/>
        <v/>
      </c>
      <c r="N39" s="214">
        <f>IFERROR(VLOOKUP(F39,Ch2_Storage,2, FALSE),0)</f>
        <v>0</v>
      </c>
    </row>
    <row r="40" ht="18.75" customHeight="1">
      <c r="A40" s="504">
        <f>IFERROR(VLOOKUP(H40,PartyStorage,2, FALSE),0)</f>
        <v>0</v>
      </c>
      <c r="B40" s="600"/>
      <c r="C40" s="593"/>
      <c r="D40" s="593"/>
      <c r="E40" s="593"/>
      <c r="F40" s="594"/>
      <c r="G40" s="595"/>
      <c r="H40" s="596"/>
      <c r="L40" s="547"/>
      <c r="M40" s="597" t="str">
        <f t="shared" si="2"/>
        <v/>
      </c>
      <c r="N40" s="214">
        <f>IFERROR(VLOOKUP(F40,Ch2_Storage,2, FALSE),0)</f>
        <v>0</v>
      </c>
    </row>
    <row r="41" ht="18.75" customHeight="1">
      <c r="A41" s="504">
        <f>IFERROR(VLOOKUP(H41,PartyStorage,2, FALSE),0)</f>
        <v>0</v>
      </c>
      <c r="B41" s="598"/>
      <c r="C41" s="599"/>
      <c r="D41" s="599"/>
      <c r="E41" s="599"/>
      <c r="F41" s="601"/>
      <c r="G41" s="588"/>
      <c r="H41" s="589"/>
      <c r="L41" s="542"/>
      <c r="M41" s="590" t="str">
        <f t="shared" si="2"/>
        <v/>
      </c>
      <c r="N41" s="214">
        <f>IFERROR(VLOOKUP(F41,Ch2_Storage,2, FALSE),0)</f>
        <v>0</v>
      </c>
    </row>
    <row r="42" ht="18.75" customHeight="1">
      <c r="A42" s="504">
        <f>IFERROR(VLOOKUP(H42,PartyStorage,2, FALSE),0)</f>
        <v>0</v>
      </c>
      <c r="B42" s="600"/>
      <c r="C42" s="593"/>
      <c r="D42" s="593"/>
      <c r="E42" s="593"/>
      <c r="F42" s="594"/>
      <c r="G42" s="595"/>
      <c r="H42" s="596"/>
      <c r="L42" s="547"/>
      <c r="M42" s="597" t="str">
        <f t="shared" si="2"/>
        <v/>
      </c>
      <c r="N42" s="214">
        <f>IFERROR(VLOOKUP(F42,Ch2_Storage,2, FALSE),0)</f>
        <v>0</v>
      </c>
    </row>
    <row r="43" ht="18.75" customHeight="1">
      <c r="A43" s="504">
        <f>IFERROR(VLOOKUP(H43,PartyStorage,2, FALSE),0)</f>
        <v>0</v>
      </c>
      <c r="B43" s="598"/>
      <c r="C43" s="599"/>
      <c r="D43" s="599"/>
      <c r="E43" s="599"/>
      <c r="F43" s="601"/>
      <c r="G43" s="588"/>
      <c r="H43" s="589"/>
      <c r="L43" s="542"/>
      <c r="M43" s="590" t="str">
        <f t="shared" si="2"/>
        <v/>
      </c>
      <c r="N43" s="214">
        <f>IFERROR(VLOOKUP(F43,Ch2_Storage,2, FALSE),0)</f>
        <v>0</v>
      </c>
    </row>
    <row r="44" ht="18.75" customHeight="1">
      <c r="A44" s="504">
        <f>IFERROR(VLOOKUP(H44,PartyStorage,2, FALSE),0)</f>
        <v>0</v>
      </c>
      <c r="B44" s="600"/>
      <c r="C44" s="593"/>
      <c r="D44" s="593"/>
      <c r="E44" s="593"/>
      <c r="F44" s="594"/>
      <c r="G44" s="595"/>
      <c r="H44" s="596"/>
      <c r="L44" s="547"/>
      <c r="M44" s="597" t="str">
        <f t="shared" si="2"/>
        <v/>
      </c>
      <c r="N44" s="214">
        <f>IFERROR(VLOOKUP(F44,Ch2_Storage,2, FALSE),0)</f>
        <v>0</v>
      </c>
    </row>
    <row r="45" ht="18.75" customHeight="1">
      <c r="A45" s="504">
        <f>IFERROR(VLOOKUP(H45,PartyStorage,2, FALSE),0)</f>
        <v>0</v>
      </c>
      <c r="B45" s="598"/>
      <c r="C45" s="599"/>
      <c r="D45" s="599"/>
      <c r="E45" s="599"/>
      <c r="F45" s="601"/>
      <c r="G45" s="588"/>
      <c r="H45" s="589"/>
      <c r="L45" s="542"/>
      <c r="M45" s="590" t="str">
        <f t="shared" si="2"/>
        <v/>
      </c>
      <c r="N45" s="214">
        <f>IFERROR(VLOOKUP(F45,Ch2_Storage,2, FALSE),0)</f>
        <v>0</v>
      </c>
    </row>
    <row r="46" ht="18.75" customHeight="1">
      <c r="A46" s="504">
        <f>IFERROR(VLOOKUP(H46,PartyStorage,2, FALSE),0)</f>
        <v>0</v>
      </c>
      <c r="B46" s="600"/>
      <c r="C46" s="593"/>
      <c r="D46" s="593"/>
      <c r="E46" s="593"/>
      <c r="F46" s="594"/>
      <c r="G46" s="595"/>
      <c r="H46" s="596"/>
      <c r="L46" s="547"/>
      <c r="M46" s="597" t="str">
        <f t="shared" si="2"/>
        <v/>
      </c>
      <c r="N46" s="214">
        <f>IFERROR(VLOOKUP(F46,Ch2_Storage,2, FALSE),0)</f>
        <v>0</v>
      </c>
    </row>
    <row r="47" ht="18.75" customHeight="1">
      <c r="A47" s="504">
        <f>IFERROR(VLOOKUP(H47,PartyStorage,2, FALSE),0)</f>
        <v>0</v>
      </c>
      <c r="B47" s="598"/>
      <c r="C47" s="599"/>
      <c r="D47" s="599"/>
      <c r="E47" s="599"/>
      <c r="F47" s="601"/>
      <c r="G47" s="588"/>
      <c r="H47" s="589"/>
      <c r="L47" s="542"/>
      <c r="M47" s="590" t="str">
        <f t="shared" si="2"/>
        <v/>
      </c>
      <c r="N47" s="214">
        <f>IFERROR(VLOOKUP(F47,Ch2_Storage,2, FALSE),0)</f>
        <v>0</v>
      </c>
    </row>
    <row r="48" ht="18.75" customHeight="1">
      <c r="A48" s="504">
        <f>IFERROR(VLOOKUP(H48,PartyStorage,2, FALSE),0)</f>
        <v>0</v>
      </c>
      <c r="B48" s="600"/>
      <c r="C48" s="593"/>
      <c r="D48" s="593"/>
      <c r="E48" s="593"/>
      <c r="F48" s="594"/>
      <c r="G48" s="595"/>
      <c r="H48" s="596"/>
      <c r="L48" s="547"/>
      <c r="M48" s="597" t="str">
        <f t="shared" si="2"/>
        <v/>
      </c>
      <c r="N48" s="214">
        <f>IFERROR(VLOOKUP(F48,Ch2_Storage,2, FALSE),0)</f>
        <v>0</v>
      </c>
    </row>
    <row r="49" ht="18.75" customHeight="1">
      <c r="A49" s="504">
        <f>IFERROR(VLOOKUP(H49,PartyStorage,2, FALSE),0)</f>
        <v>0</v>
      </c>
      <c r="B49" s="598"/>
      <c r="C49" s="599"/>
      <c r="D49" s="599"/>
      <c r="E49" s="599"/>
      <c r="F49" s="601"/>
      <c r="G49" s="588"/>
      <c r="H49" s="589"/>
      <c r="L49" s="542"/>
      <c r="M49" s="590" t="str">
        <f t="shared" si="2"/>
        <v/>
      </c>
      <c r="N49" s="214">
        <f>IFERROR(VLOOKUP(F49,Ch2_Storage,2, FALSE),0)</f>
        <v>0</v>
      </c>
    </row>
    <row r="50" ht="18.75" customHeight="1">
      <c r="A50" s="504">
        <f>IFERROR(VLOOKUP(H50,PartyStorage,2, FALSE),0)</f>
        <v>0</v>
      </c>
      <c r="B50" s="600"/>
      <c r="C50" s="593"/>
      <c r="D50" s="593"/>
      <c r="E50" s="593"/>
      <c r="F50" s="594"/>
      <c r="G50" s="595"/>
      <c r="H50" s="596"/>
      <c r="L50" s="547"/>
      <c r="M50" s="597" t="str">
        <f t="shared" si="2"/>
        <v/>
      </c>
      <c r="N50" s="214">
        <f>IFERROR(VLOOKUP(F50,Ch2_Storage,2, FALSE),0)</f>
        <v>0</v>
      </c>
    </row>
    <row r="51" ht="18.75" customHeight="1">
      <c r="A51" s="504">
        <f>IFERROR(VLOOKUP(H51,PartyStorage,2, FALSE),0)</f>
        <v>0</v>
      </c>
      <c r="B51" s="598"/>
      <c r="C51" s="599"/>
      <c r="D51" s="599"/>
      <c r="E51" s="599"/>
      <c r="F51" s="601"/>
      <c r="G51" s="588"/>
      <c r="H51" s="589"/>
      <c r="L51" s="542"/>
      <c r="M51" s="590" t="str">
        <f t="shared" si="2"/>
        <v/>
      </c>
      <c r="N51" s="214">
        <f>IFERROR(VLOOKUP(F51,Ch2_Storage,2, FALSE),0)</f>
        <v>0</v>
      </c>
    </row>
    <row r="52" ht="18.75" customHeight="1">
      <c r="A52" s="504">
        <f>IFERROR(VLOOKUP(H52,PartyStorage,2, FALSE),0)</f>
        <v>0</v>
      </c>
      <c r="B52" s="600"/>
      <c r="C52" s="593"/>
      <c r="D52" s="593"/>
      <c r="E52" s="593"/>
      <c r="F52" s="594"/>
      <c r="G52" s="595"/>
      <c r="H52" s="596"/>
      <c r="L52" s="547"/>
      <c r="M52" s="597" t="str">
        <f t="shared" si="2"/>
        <v/>
      </c>
      <c r="N52" s="214">
        <f>IFERROR(VLOOKUP(F52,Ch2_Storage,2, FALSE),0)</f>
        <v>0</v>
      </c>
    </row>
    <row r="53" ht="18.75" customHeight="1">
      <c r="A53" s="504">
        <f>IFERROR(VLOOKUP(H53,PartyStorage,2, FALSE),0)</f>
        <v>0</v>
      </c>
      <c r="B53" s="598"/>
      <c r="C53" s="599"/>
      <c r="D53" s="599"/>
      <c r="E53" s="599"/>
      <c r="F53" s="601"/>
      <c r="G53" s="588"/>
      <c r="H53" s="589"/>
      <c r="L53" s="542"/>
      <c r="M53" s="590" t="str">
        <f t="shared" si="2"/>
        <v/>
      </c>
      <c r="N53" s="214">
        <f>IFERROR(VLOOKUP(F53,Ch2_Storage,2, FALSE),0)</f>
        <v>0</v>
      </c>
    </row>
    <row r="54" ht="18.75" customHeight="1">
      <c r="A54" s="504">
        <f>IFERROR(VLOOKUP(H54,PartyStorage,2, FALSE),0)</f>
        <v>0</v>
      </c>
      <c r="B54" s="600"/>
      <c r="C54" s="593"/>
      <c r="D54" s="593"/>
      <c r="E54" s="593"/>
      <c r="F54" s="594"/>
      <c r="G54" s="595"/>
      <c r="H54" s="596"/>
      <c r="L54" s="547"/>
      <c r="M54" s="597" t="str">
        <f t="shared" si="2"/>
        <v/>
      </c>
      <c r="N54" s="214">
        <f>IFERROR(VLOOKUP(F54,Ch2_Storage,2, FALSE),0)</f>
        <v>0</v>
      </c>
    </row>
    <row r="55" ht="18.75" customHeight="1">
      <c r="A55" s="504">
        <f>IFERROR(VLOOKUP(H55,PartyStorage,2, FALSE),0)</f>
        <v>0</v>
      </c>
      <c r="B55" s="598"/>
      <c r="C55" s="599"/>
      <c r="D55" s="599"/>
      <c r="E55" s="599"/>
      <c r="F55" s="601"/>
      <c r="G55" s="588"/>
      <c r="H55" s="589"/>
      <c r="L55" s="542"/>
      <c r="M55" s="590" t="str">
        <f t="shared" si="2"/>
        <v/>
      </c>
      <c r="N55" s="214">
        <f>IFERROR(VLOOKUP(F55,Ch2_Storage,2, FALSE),0)</f>
        <v>0</v>
      </c>
    </row>
    <row r="56" ht="18.75" customHeight="1">
      <c r="A56" s="504">
        <f>IFERROR(VLOOKUP(H56,PartyStorage,2, FALSE),0)</f>
        <v>0</v>
      </c>
      <c r="B56" s="600"/>
      <c r="C56" s="593"/>
      <c r="D56" s="593"/>
      <c r="E56" s="593"/>
      <c r="F56" s="594"/>
      <c r="G56" s="595"/>
      <c r="H56" s="596"/>
      <c r="L56" s="547"/>
      <c r="M56" s="597" t="str">
        <f t="shared" si="2"/>
        <v/>
      </c>
      <c r="N56" s="214">
        <f>IFERROR(VLOOKUP(F56,Ch2_Storage,2, FALSE),0)</f>
        <v>0</v>
      </c>
    </row>
    <row r="57" ht="18.75" customHeight="1">
      <c r="A57" s="504">
        <f>IFERROR(VLOOKUP(H57,PartyStorage,2, FALSE),0)</f>
        <v>0</v>
      </c>
      <c r="B57" s="598"/>
      <c r="C57" s="599"/>
      <c r="D57" s="599"/>
      <c r="E57" s="599"/>
      <c r="F57" s="601"/>
      <c r="G57" s="588"/>
      <c r="H57" s="589"/>
      <c r="L57" s="542"/>
      <c r="M57" s="590" t="str">
        <f t="shared" si="2"/>
        <v/>
      </c>
      <c r="N57" s="214">
        <f>IFERROR(VLOOKUP(F57,Ch2_Storage,2, FALSE),0)</f>
        <v>0</v>
      </c>
    </row>
    <row r="58" ht="18.75" customHeight="1">
      <c r="A58" s="504">
        <f>IFERROR(VLOOKUP(H58,PartyStorage,2, FALSE),0)</f>
        <v>0</v>
      </c>
      <c r="B58" s="600"/>
      <c r="C58" s="593"/>
      <c r="D58" s="593"/>
      <c r="E58" s="593"/>
      <c r="F58" s="594"/>
      <c r="G58" s="595"/>
      <c r="H58" s="596"/>
      <c r="L58" s="547"/>
      <c r="M58" s="597" t="str">
        <f t="shared" si="2"/>
        <v/>
      </c>
      <c r="N58" s="214">
        <f>IFERROR(VLOOKUP(F58,Ch2_Storage,2, FALSE),0)</f>
        <v>0</v>
      </c>
    </row>
    <row r="59" ht="18.75" customHeight="1">
      <c r="A59" s="504">
        <f>IFERROR(VLOOKUP(H59,PartyStorage,2, FALSE),0)</f>
        <v>0</v>
      </c>
      <c r="B59" s="598"/>
      <c r="C59" s="599"/>
      <c r="D59" s="599"/>
      <c r="E59" s="599"/>
      <c r="F59" s="601"/>
      <c r="G59" s="588"/>
      <c r="H59" s="589"/>
      <c r="L59" s="542"/>
      <c r="M59" s="590" t="str">
        <f t="shared" si="2"/>
        <v/>
      </c>
      <c r="N59" s="214">
        <f>IFERROR(VLOOKUP(F59,Ch2_Storage,2, FALSE),0)</f>
        <v>0</v>
      </c>
    </row>
    <row r="60" ht="18.75" customHeight="1">
      <c r="A60" s="504">
        <f>IFERROR(VLOOKUP(H60,PartyStorage,2, FALSE),0)</f>
        <v>0</v>
      </c>
      <c r="B60" s="600"/>
      <c r="C60" s="593"/>
      <c r="D60" s="593"/>
      <c r="E60" s="593"/>
      <c r="F60" s="594"/>
      <c r="G60" s="595"/>
      <c r="H60" s="596"/>
      <c r="L60" s="547"/>
      <c r="M60" s="597" t="str">
        <f t="shared" si="2"/>
        <v/>
      </c>
      <c r="N60" s="214">
        <f>IFERROR(VLOOKUP(F60,Ch2_Storage,2, FALSE),0)</f>
        <v>0</v>
      </c>
    </row>
    <row r="61" ht="18.75" customHeight="1">
      <c r="A61" s="504">
        <f>IFERROR(VLOOKUP(H61,PartyStorage,2, FALSE),0)</f>
        <v>0</v>
      </c>
      <c r="B61" s="598"/>
      <c r="C61" s="599"/>
      <c r="D61" s="599"/>
      <c r="E61" s="599"/>
      <c r="F61" s="601"/>
      <c r="G61" s="588"/>
      <c r="H61" s="589"/>
      <c r="L61" s="542"/>
      <c r="M61" s="590" t="str">
        <f t="shared" si="2"/>
        <v/>
      </c>
      <c r="N61" s="214">
        <f>IFERROR(VLOOKUP(F61,Ch2_Storage,2, FALSE),0)</f>
        <v>0</v>
      </c>
    </row>
    <row r="62" ht="18.75" customHeight="1">
      <c r="A62" s="504">
        <f>IFERROR(VLOOKUP(H62,PartyStorage,2, FALSE),0)</f>
        <v>0</v>
      </c>
      <c r="B62" s="600"/>
      <c r="C62" s="593"/>
      <c r="D62" s="593"/>
      <c r="E62" s="593"/>
      <c r="F62" s="594"/>
      <c r="G62" s="595"/>
      <c r="H62" s="596"/>
      <c r="L62" s="547"/>
      <c r="M62" s="597" t="str">
        <f t="shared" si="2"/>
        <v/>
      </c>
      <c r="N62" s="214">
        <f>IFERROR(VLOOKUP(F62,Ch2_Storage,2, FALSE),0)</f>
        <v>0</v>
      </c>
    </row>
    <row r="63" ht="18.75" customHeight="1">
      <c r="A63" s="504">
        <f>IFERROR(VLOOKUP(H63,PartyStorage,2, FALSE),0)</f>
        <v>0</v>
      </c>
      <c r="B63" s="598"/>
      <c r="C63" s="599"/>
      <c r="D63" s="599"/>
      <c r="E63" s="599"/>
      <c r="F63" s="601"/>
      <c r="G63" s="588"/>
      <c r="H63" s="589"/>
      <c r="L63" s="542"/>
      <c r="M63" s="590" t="str">
        <f t="shared" si="2"/>
        <v/>
      </c>
      <c r="N63" s="214">
        <f>IFERROR(VLOOKUP(F63,Ch2_Storage,2, FALSE),0)</f>
        <v>0</v>
      </c>
    </row>
    <row r="64" ht="18.75" customHeight="1">
      <c r="A64" s="504">
        <f>IFERROR(VLOOKUP(H64,PartyStorage,2, FALSE),0)</f>
        <v>0</v>
      </c>
      <c r="B64" s="600"/>
      <c r="C64" s="593"/>
      <c r="D64" s="593"/>
      <c r="E64" s="593"/>
      <c r="F64" s="594"/>
      <c r="G64" s="595"/>
      <c r="H64" s="596"/>
      <c r="L64" s="547"/>
      <c r="M64" s="597" t="str">
        <f t="shared" si="2"/>
        <v/>
      </c>
      <c r="N64" s="214">
        <f>IFERROR(VLOOKUP(F64,Ch2_Storage,2, FALSE),0)</f>
        <v>0</v>
      </c>
    </row>
    <row r="65" ht="18.75" customHeight="1">
      <c r="A65" s="504">
        <f>IFERROR(VLOOKUP(H65,PartyStorage,2, FALSE),0)</f>
        <v>0</v>
      </c>
      <c r="B65" s="598"/>
      <c r="C65" s="599"/>
      <c r="D65" s="599"/>
      <c r="E65" s="599"/>
      <c r="F65" s="601"/>
      <c r="G65" s="588"/>
      <c r="H65" s="589"/>
      <c r="L65" s="542"/>
      <c r="M65" s="590" t="str">
        <f t="shared" si="2"/>
        <v/>
      </c>
      <c r="N65" s="214">
        <f>IFERROR(VLOOKUP(F65,Ch2_Storage,2, FALSE),0)</f>
        <v>0</v>
      </c>
    </row>
    <row r="66" ht="18.75" customHeight="1">
      <c r="A66" s="504">
        <f>IFERROR(VLOOKUP(H66,PartyStorage,2, FALSE),0)</f>
        <v>0</v>
      </c>
      <c r="B66" s="600"/>
      <c r="C66" s="593"/>
      <c r="D66" s="593"/>
      <c r="E66" s="593"/>
      <c r="F66" s="594"/>
      <c r="G66" s="595"/>
      <c r="H66" s="596"/>
      <c r="L66" s="547"/>
      <c r="M66" s="597" t="str">
        <f t="shared" si="2"/>
        <v/>
      </c>
      <c r="N66" s="214">
        <f>IFERROR(VLOOKUP(F66,Ch2_Storage,2, FALSE),0)</f>
        <v>0</v>
      </c>
    </row>
    <row r="67" ht="18.75" customHeight="1">
      <c r="A67" s="504">
        <f>IFERROR(VLOOKUP(H67,PartyStorage,2, FALSE),0)</f>
        <v>0</v>
      </c>
      <c r="B67" s="598"/>
      <c r="C67" s="599"/>
      <c r="D67" s="599"/>
      <c r="E67" s="599"/>
      <c r="F67" s="601"/>
      <c r="G67" s="588"/>
      <c r="H67" s="589"/>
      <c r="L67" s="542"/>
      <c r="M67" s="590" t="str">
        <f t="shared" si="2"/>
        <v/>
      </c>
      <c r="N67" s="214">
        <f>IFERROR(VLOOKUP(F67,Ch2_Storage,2, FALSE),0)</f>
        <v>0</v>
      </c>
    </row>
    <row r="68" ht="18.75" customHeight="1">
      <c r="A68" s="504">
        <f>IFERROR(VLOOKUP(H68,PartyStorage,2, FALSE),0)</f>
        <v>0</v>
      </c>
      <c r="B68" s="600"/>
      <c r="C68" s="593"/>
      <c r="D68" s="593"/>
      <c r="E68" s="593"/>
      <c r="F68" s="594"/>
      <c r="G68" s="595"/>
      <c r="H68" s="596"/>
      <c r="L68" s="547"/>
      <c r="M68" s="597" t="str">
        <f t="shared" si="2"/>
        <v/>
      </c>
      <c r="N68" s="214">
        <f>IFERROR(VLOOKUP(F68,Ch2_Storage,2, FALSE),0)</f>
        <v>0</v>
      </c>
    </row>
    <row r="69" ht="18.75" customHeight="1">
      <c r="A69" s="504">
        <f>IFERROR(VLOOKUP(H69,PartyStorage,2, FALSE),0)</f>
        <v>0</v>
      </c>
      <c r="B69" s="598"/>
      <c r="C69" s="599"/>
      <c r="D69" s="599"/>
      <c r="E69" s="599"/>
      <c r="F69" s="601"/>
      <c r="G69" s="588"/>
      <c r="H69" s="589"/>
      <c r="L69" s="542"/>
      <c r="M69" s="590" t="str">
        <f t="shared" si="2"/>
        <v/>
      </c>
      <c r="N69" s="214">
        <f>IFERROR(VLOOKUP(F69,Ch2_Storage,2, FALSE),0)</f>
        <v>0</v>
      </c>
    </row>
    <row r="70" ht="18.75" customHeight="1">
      <c r="A70" s="504">
        <f>IFERROR(VLOOKUP(H70,PartyStorage,2, FALSE),0)</f>
        <v>0</v>
      </c>
      <c r="B70" s="600"/>
      <c r="C70" s="593"/>
      <c r="D70" s="593"/>
      <c r="E70" s="593"/>
      <c r="F70" s="594"/>
      <c r="G70" s="595"/>
      <c r="H70" s="596"/>
      <c r="L70" s="547"/>
      <c r="M70" s="597" t="str">
        <f t="shared" si="2"/>
        <v/>
      </c>
      <c r="N70" s="214">
        <f>IFERROR(VLOOKUP(F70,Ch2_Storage,2, FALSE),0)</f>
        <v>0</v>
      </c>
    </row>
    <row r="71" ht="18.75" customHeight="1">
      <c r="A71" s="504">
        <f>IFERROR(VLOOKUP(H71,PartyStorage,2, FALSE),0)</f>
        <v>0</v>
      </c>
      <c r="B71" s="598"/>
      <c r="C71" s="599"/>
      <c r="D71" s="599"/>
      <c r="E71" s="599"/>
      <c r="F71" s="601"/>
      <c r="G71" s="588"/>
      <c r="H71" s="589"/>
      <c r="L71" s="542"/>
      <c r="M71" s="590" t="str">
        <f t="shared" si="2"/>
        <v/>
      </c>
      <c r="N71" s="214">
        <f>IFERROR(VLOOKUP(F71,Ch2_Storage,2, FALSE),0)</f>
        <v>0</v>
      </c>
    </row>
    <row r="72" ht="18.75" customHeight="1">
      <c r="A72" s="504">
        <f>IFERROR(VLOOKUP(H72,PartyStorage,2, FALSE),0)</f>
        <v>0</v>
      </c>
      <c r="B72" s="600"/>
      <c r="C72" s="593"/>
      <c r="D72" s="593"/>
      <c r="E72" s="593"/>
      <c r="F72" s="594"/>
      <c r="G72" s="595"/>
      <c r="H72" s="596"/>
      <c r="L72" s="547"/>
      <c r="M72" s="597" t="str">
        <f t="shared" si="2"/>
        <v/>
      </c>
      <c r="N72" s="214">
        <f>IFERROR(VLOOKUP(F72,Ch2_Storage,2, FALSE),0)</f>
        <v>0</v>
      </c>
    </row>
    <row r="73" ht="18.75" customHeight="1">
      <c r="A73" s="504">
        <f>IFERROR(VLOOKUP(H73,PartyStorage,2, FALSE),0)</f>
        <v>0</v>
      </c>
      <c r="B73" s="598"/>
      <c r="C73" s="599"/>
      <c r="D73" s="599"/>
      <c r="E73" s="599"/>
      <c r="F73" s="601"/>
      <c r="G73" s="588"/>
      <c r="H73" s="589"/>
      <c r="L73" s="542"/>
      <c r="M73" s="590" t="str">
        <f t="shared" si="2"/>
        <v/>
      </c>
      <c r="N73" s="214">
        <f>IFERROR(VLOOKUP(F73,Ch2_Storage,2, FALSE),0)</f>
        <v>0</v>
      </c>
    </row>
    <row r="74" ht="18.75" customHeight="1">
      <c r="A74" s="504">
        <f>IFERROR(VLOOKUP(H74,PartyStorage,2, FALSE),0)</f>
        <v>0</v>
      </c>
      <c r="B74" s="600"/>
      <c r="C74" s="593"/>
      <c r="D74" s="593"/>
      <c r="E74" s="593"/>
      <c r="F74" s="594"/>
      <c r="G74" s="595"/>
      <c r="H74" s="596"/>
      <c r="L74" s="547"/>
      <c r="M74" s="597" t="str">
        <f t="shared" si="2"/>
        <v/>
      </c>
      <c r="N74" s="214">
        <f>IFERROR(VLOOKUP(F74,Ch2_Storage,2, FALSE),0)</f>
        <v>0</v>
      </c>
    </row>
    <row r="75" ht="18.75" customHeight="1">
      <c r="A75" s="504">
        <f>IFERROR(VLOOKUP(H75,PartyStorage,2, FALSE),0)</f>
        <v>0</v>
      </c>
      <c r="B75" s="598"/>
      <c r="C75" s="599"/>
      <c r="D75" s="599"/>
      <c r="E75" s="599"/>
      <c r="F75" s="601"/>
      <c r="G75" s="588"/>
      <c r="H75" s="589"/>
      <c r="L75" s="542"/>
      <c r="M75" s="590" t="str">
        <f t="shared" si="2"/>
        <v/>
      </c>
      <c r="N75" s="214">
        <f>IFERROR(VLOOKUP(F75,Ch2_Storage,2, FALSE),0)</f>
        <v>0</v>
      </c>
    </row>
    <row r="76" ht="18.75" customHeight="1">
      <c r="A76" s="504">
        <f>IFERROR(VLOOKUP(H76,PartyStorage,2, FALSE),0)</f>
        <v>0</v>
      </c>
      <c r="B76" s="600"/>
      <c r="C76" s="593"/>
      <c r="D76" s="593"/>
      <c r="E76" s="593"/>
      <c r="F76" s="594"/>
      <c r="G76" s="595"/>
      <c r="H76" s="596"/>
      <c r="L76" s="547"/>
      <c r="M76" s="597" t="str">
        <f t="shared" si="2"/>
        <v/>
      </c>
      <c r="N76" s="214">
        <f>IFERROR(VLOOKUP(F76,Ch2_Storage,2, FALSE),0)</f>
        <v>0</v>
      </c>
    </row>
    <row r="77" ht="18.75" customHeight="1">
      <c r="A77" s="504">
        <f>IFERROR(VLOOKUP(H77,PartyStorage,2, FALSE),0)</f>
        <v>0</v>
      </c>
      <c r="B77" s="598"/>
      <c r="C77" s="599"/>
      <c r="D77" s="599"/>
      <c r="E77" s="599"/>
      <c r="F77" s="601"/>
      <c r="G77" s="588"/>
      <c r="H77" s="589"/>
      <c r="L77" s="542"/>
      <c r="M77" s="590" t="str">
        <f t="shared" si="2"/>
        <v/>
      </c>
      <c r="N77" s="214">
        <f>IFERROR(VLOOKUP(F77,Ch2_Storage,2, FALSE),0)</f>
        <v>0</v>
      </c>
    </row>
    <row r="78" ht="18.75" customHeight="1">
      <c r="A78" s="504">
        <f>IFERROR(VLOOKUP(H78,PartyStorage,2, FALSE),0)</f>
        <v>0</v>
      </c>
      <c r="B78" s="600"/>
      <c r="C78" s="593"/>
      <c r="D78" s="593"/>
      <c r="E78" s="593"/>
      <c r="F78" s="594"/>
      <c r="G78" s="595"/>
      <c r="H78" s="596"/>
      <c r="L78" s="547"/>
      <c r="M78" s="597" t="str">
        <f t="shared" si="2"/>
        <v/>
      </c>
      <c r="N78" s="214">
        <f>IFERROR(VLOOKUP(F78,Ch2_Storage,2, FALSE),0)</f>
        <v>0</v>
      </c>
    </row>
    <row r="79" ht="18.75" customHeight="1">
      <c r="A79" s="504">
        <f>IFERROR(VLOOKUP(H79,PartyStorage,2, FALSE),0)</f>
        <v>0</v>
      </c>
      <c r="B79" s="598"/>
      <c r="C79" s="599"/>
      <c r="D79" s="599"/>
      <c r="E79" s="599"/>
      <c r="F79" s="601"/>
      <c r="G79" s="588"/>
      <c r="H79" s="589"/>
      <c r="L79" s="542"/>
      <c r="M79" s="590" t="str">
        <f t="shared" si="2"/>
        <v/>
      </c>
      <c r="N79" s="214">
        <f>IFERROR(VLOOKUP(F79,Ch2_Storage,2, FALSE),0)</f>
        <v>0</v>
      </c>
    </row>
    <row r="80" ht="18.75" customHeight="1">
      <c r="A80" s="504">
        <f>IFERROR(VLOOKUP(H80,PartyStorage,2, FALSE),0)</f>
        <v>0</v>
      </c>
      <c r="B80" s="600"/>
      <c r="C80" s="593"/>
      <c r="D80" s="593"/>
      <c r="E80" s="593"/>
      <c r="F80" s="594"/>
      <c r="G80" s="595"/>
      <c r="H80" s="596"/>
      <c r="L80" s="547"/>
      <c r="M80" s="597" t="str">
        <f t="shared" si="2"/>
        <v/>
      </c>
      <c r="N80" s="214">
        <f>IFERROR(VLOOKUP(F80,Ch2_Storage,2, FALSE),0)</f>
        <v>0</v>
      </c>
    </row>
    <row r="81" ht="18.75" customHeight="1">
      <c r="A81" s="504">
        <f>IFERROR(VLOOKUP(H81,PartyStorage,2, FALSE),0)</f>
        <v>0</v>
      </c>
      <c r="B81" s="598"/>
      <c r="C81" s="599"/>
      <c r="D81" s="599"/>
      <c r="E81" s="599"/>
      <c r="F81" s="601"/>
      <c r="G81" s="588"/>
      <c r="H81" s="589"/>
      <c r="L81" s="542"/>
      <c r="M81" s="590" t="str">
        <f t="shared" si="2"/>
        <v/>
      </c>
      <c r="N81" s="214">
        <f>IFERROR(VLOOKUP(F81,Ch2_Storage,2, FALSE),0)</f>
        <v>0</v>
      </c>
    </row>
    <row r="82" ht="18.75" customHeight="1">
      <c r="A82" s="504">
        <f>IFERROR(VLOOKUP(H82,PartyStorage,2, FALSE),0)</f>
        <v>0</v>
      </c>
      <c r="B82" s="600"/>
      <c r="C82" s="593"/>
      <c r="D82" s="593"/>
      <c r="E82" s="593"/>
      <c r="F82" s="594"/>
      <c r="G82" s="595"/>
      <c r="H82" s="596"/>
      <c r="L82" s="547"/>
      <c r="M82" s="597" t="str">
        <f t="shared" si="2"/>
        <v/>
      </c>
      <c r="N82" s="214">
        <f>IFERROR(VLOOKUP(F82,Ch2_Storage,2, FALSE),0)</f>
        <v>0</v>
      </c>
    </row>
    <row r="83" ht="18.75" customHeight="1">
      <c r="A83" s="504">
        <f>IFERROR(VLOOKUP(H83,PartyStorage,2, FALSE),0)</f>
        <v>0</v>
      </c>
      <c r="B83" s="598"/>
      <c r="C83" s="599"/>
      <c r="D83" s="599"/>
      <c r="E83" s="599"/>
      <c r="F83" s="601"/>
      <c r="G83" s="588"/>
      <c r="H83" s="589"/>
      <c r="L83" s="542"/>
      <c r="M83" s="590" t="str">
        <f t="shared" si="2"/>
        <v/>
      </c>
      <c r="N83" s="214">
        <f>IFERROR(VLOOKUP(F83,Ch2_Storage,2, FALSE),0)</f>
        <v>0</v>
      </c>
    </row>
    <row r="84" ht="18.75" customHeight="1">
      <c r="A84" s="504">
        <f>IFERROR(VLOOKUP(H84,PartyStorage,2, FALSE),0)</f>
        <v>0</v>
      </c>
      <c r="B84" s="600"/>
      <c r="C84" s="593"/>
      <c r="D84" s="593"/>
      <c r="E84" s="593"/>
      <c r="F84" s="594"/>
      <c r="G84" s="595"/>
      <c r="H84" s="596"/>
      <c r="L84" s="547"/>
      <c r="M84" s="597" t="str">
        <f t="shared" si="2"/>
        <v/>
      </c>
      <c r="N84" s="214">
        <f>IFERROR(VLOOKUP(F84,Ch2_Storage,2, FALSE),0)</f>
        <v>0</v>
      </c>
    </row>
    <row r="85" ht="18.75" customHeight="1">
      <c r="A85" s="504">
        <f>IFERROR(VLOOKUP(H85,PartyStorage,2, FALSE),0)</f>
        <v>0</v>
      </c>
      <c r="B85" s="598"/>
      <c r="C85" s="599"/>
      <c r="D85" s="599"/>
      <c r="E85" s="599"/>
      <c r="F85" s="601"/>
      <c r="G85" s="588"/>
      <c r="H85" s="589"/>
      <c r="L85" s="542"/>
      <c r="M85" s="590" t="str">
        <f t="shared" si="2"/>
        <v/>
      </c>
      <c r="N85" s="214">
        <f>IFERROR(VLOOKUP(F85,Ch2_Storage,2, FALSE),0)</f>
        <v>0</v>
      </c>
    </row>
    <row r="86" ht="18.75" customHeight="1">
      <c r="A86" s="504">
        <f>IFERROR(VLOOKUP(H86,PartyStorage,2, FALSE),0)</f>
        <v>0</v>
      </c>
      <c r="B86" s="600"/>
      <c r="C86" s="593"/>
      <c r="D86" s="593"/>
      <c r="E86" s="593"/>
      <c r="F86" s="594"/>
      <c r="G86" s="595"/>
      <c r="H86" s="596"/>
      <c r="L86" s="547"/>
      <c r="M86" s="597" t="str">
        <f t="shared" si="2"/>
        <v/>
      </c>
      <c r="N86" s="214">
        <f>IFERROR(VLOOKUP(F86,Ch2_Storage,2, FALSE),0)</f>
        <v>0</v>
      </c>
    </row>
    <row r="87" ht="18.75" customHeight="1">
      <c r="A87" s="504">
        <f>IFERROR(VLOOKUP(H87,PartyStorage,2, FALSE),0)</f>
        <v>0</v>
      </c>
      <c r="B87" s="598"/>
      <c r="C87" s="599"/>
      <c r="D87" s="599"/>
      <c r="E87" s="599"/>
      <c r="F87" s="601"/>
      <c r="G87" s="588"/>
      <c r="H87" s="589"/>
      <c r="L87" s="542"/>
      <c r="M87" s="590" t="str">
        <f t="shared" si="2"/>
        <v/>
      </c>
      <c r="N87" s="214">
        <f>IFERROR(VLOOKUP(F87,Ch2_Storage,2, FALSE),0)</f>
        <v>0</v>
      </c>
    </row>
    <row r="88" ht="18.75" customHeight="1">
      <c r="A88" s="504">
        <f>IFERROR(VLOOKUP(H88,PartyStorage,2, FALSE),0)</f>
        <v>0</v>
      </c>
      <c r="B88" s="600"/>
      <c r="C88" s="593"/>
      <c r="D88" s="593"/>
      <c r="E88" s="593"/>
      <c r="F88" s="594"/>
      <c r="G88" s="595"/>
      <c r="H88" s="596"/>
      <c r="L88" s="547"/>
      <c r="M88" s="597" t="str">
        <f t="shared" si="2"/>
        <v/>
      </c>
      <c r="N88" s="214">
        <f>IFERROR(VLOOKUP(F88,Ch2_Storage,2, FALSE),0)</f>
        <v>0</v>
      </c>
    </row>
    <row r="89" ht="18.75" customHeight="1">
      <c r="A89" s="504">
        <f>IFERROR(VLOOKUP(H89,PartyStorage,2, FALSE),0)</f>
        <v>0</v>
      </c>
      <c r="B89" s="598"/>
      <c r="C89" s="599"/>
      <c r="D89" s="599"/>
      <c r="E89" s="599"/>
      <c r="F89" s="601"/>
      <c r="G89" s="588"/>
      <c r="H89" s="589"/>
      <c r="L89" s="542"/>
      <c r="M89" s="590" t="str">
        <f t="shared" si="2"/>
        <v/>
      </c>
      <c r="N89" s="214">
        <f>IFERROR(VLOOKUP(F89,Ch2_Storage,2, FALSE),0)</f>
        <v>0</v>
      </c>
    </row>
    <row r="90" ht="18.75" customHeight="1">
      <c r="A90" s="504">
        <f>IFERROR(VLOOKUP(H90,PartyStorage,2, FALSE),0)</f>
        <v>0</v>
      </c>
      <c r="B90" s="600"/>
      <c r="C90" s="593"/>
      <c r="D90" s="593"/>
      <c r="E90" s="593"/>
      <c r="F90" s="594"/>
      <c r="G90" s="595"/>
      <c r="H90" s="596"/>
      <c r="L90" s="547"/>
      <c r="M90" s="597" t="str">
        <f t="shared" si="2"/>
        <v/>
      </c>
      <c r="N90" s="214">
        <f>IFERROR(VLOOKUP(F90,Ch2_Storage,2, FALSE),0)</f>
        <v>0</v>
      </c>
    </row>
    <row r="91" ht="18.75" customHeight="1">
      <c r="A91" s="504">
        <f>IFERROR(VLOOKUP(H91,PartyStorage,2, FALSE),0)</f>
        <v>0</v>
      </c>
      <c r="B91" s="598"/>
      <c r="C91" s="599"/>
      <c r="D91" s="599"/>
      <c r="E91" s="599"/>
      <c r="F91" s="601"/>
      <c r="G91" s="588"/>
      <c r="H91" s="589"/>
      <c r="L91" s="542"/>
      <c r="M91" s="590" t="str">
        <f t="shared" si="2"/>
        <v/>
      </c>
      <c r="N91" s="214">
        <f>IFERROR(VLOOKUP(F91,Ch2_Storage,2, FALSE),0)</f>
        <v>0</v>
      </c>
    </row>
    <row r="92" ht="18.75" customHeight="1">
      <c r="A92" s="504">
        <f>IFERROR(VLOOKUP(H92,PartyStorage,2, FALSE),0)</f>
        <v>0</v>
      </c>
      <c r="B92" s="600"/>
      <c r="C92" s="593"/>
      <c r="D92" s="593"/>
      <c r="E92" s="593"/>
      <c r="F92" s="594"/>
      <c r="G92" s="595"/>
      <c r="H92" s="596"/>
      <c r="L92" s="547"/>
      <c r="M92" s="597" t="str">
        <f t="shared" si="2"/>
        <v/>
      </c>
      <c r="N92" s="214">
        <f>IFERROR(VLOOKUP(F92,Ch2_Storage,2, FALSE),0)</f>
        <v>0</v>
      </c>
    </row>
    <row r="93" ht="18.75" customHeight="1">
      <c r="A93" s="504">
        <f>IFERROR(VLOOKUP(H93,PartyStorage,2, FALSE),0)</f>
        <v>0</v>
      </c>
      <c r="B93" s="598"/>
      <c r="C93" s="599"/>
      <c r="D93" s="599"/>
      <c r="E93" s="599"/>
      <c r="F93" s="601"/>
      <c r="G93" s="588"/>
      <c r="H93" s="589"/>
      <c r="L93" s="542"/>
      <c r="M93" s="590" t="str">
        <f t="shared" si="2"/>
        <v/>
      </c>
      <c r="N93" s="214">
        <f>IFERROR(VLOOKUP(F93,Ch2_Storage,2, FALSE),0)</f>
        <v>0</v>
      </c>
    </row>
    <row r="94" ht="18.75" customHeight="1">
      <c r="A94" s="504">
        <f>IFERROR(VLOOKUP(H94,PartyStorage,2, FALSE),0)</f>
        <v>0</v>
      </c>
      <c r="B94" s="600"/>
      <c r="C94" s="593"/>
      <c r="D94" s="593"/>
      <c r="E94" s="593"/>
      <c r="F94" s="594"/>
      <c r="G94" s="595"/>
      <c r="H94" s="596"/>
      <c r="L94" s="547"/>
      <c r="M94" s="597" t="str">
        <f t="shared" si="2"/>
        <v/>
      </c>
      <c r="N94" s="214">
        <f>IFERROR(VLOOKUP(F94,Ch2_Storage,2, FALSE),0)</f>
        <v>0</v>
      </c>
    </row>
    <row r="95" ht="18.75" customHeight="1">
      <c r="A95" s="504">
        <f>IFERROR(VLOOKUP(H95,PartyStorage,2, FALSE),0)</f>
        <v>0</v>
      </c>
      <c r="B95" s="598"/>
      <c r="C95" s="599"/>
      <c r="D95" s="599"/>
      <c r="E95" s="599"/>
      <c r="F95" s="601"/>
      <c r="G95" s="588"/>
      <c r="H95" s="589"/>
      <c r="L95" s="542"/>
      <c r="M95" s="590" t="str">
        <f t="shared" si="2"/>
        <v/>
      </c>
      <c r="N95" s="214">
        <f>IFERROR(VLOOKUP(F95,Ch2_Storage,2, FALSE),0)</f>
        <v>0</v>
      </c>
    </row>
    <row r="96" ht="18.75" customHeight="1">
      <c r="A96" s="504">
        <f>IFERROR(VLOOKUP(H96,PartyStorage,2, FALSE),0)</f>
        <v>0</v>
      </c>
      <c r="B96" s="600"/>
      <c r="C96" s="593"/>
      <c r="D96" s="593"/>
      <c r="E96" s="593"/>
      <c r="F96" s="594"/>
      <c r="G96" s="595"/>
      <c r="H96" s="596"/>
      <c r="L96" s="547"/>
      <c r="M96" s="597" t="str">
        <f t="shared" si="2"/>
        <v/>
      </c>
      <c r="N96" s="214">
        <f>IFERROR(VLOOKUP(F96,Ch2_Storage,2, FALSE),0)</f>
        <v>0</v>
      </c>
    </row>
    <row r="97" ht="18.75" customHeight="1">
      <c r="A97" s="504">
        <f>IFERROR(VLOOKUP(H97,PartyStorage,2, FALSE),0)</f>
        <v>0</v>
      </c>
      <c r="B97" s="598"/>
      <c r="C97" s="599"/>
      <c r="D97" s="599"/>
      <c r="E97" s="599"/>
      <c r="F97" s="601"/>
      <c r="G97" s="588"/>
      <c r="H97" s="589"/>
      <c r="L97" s="542"/>
      <c r="M97" s="590" t="str">
        <f t="shared" si="2"/>
        <v/>
      </c>
      <c r="N97" s="214">
        <f>IFERROR(VLOOKUP(F97,Ch2_Storage,2, FALSE),0)</f>
        <v>0</v>
      </c>
    </row>
    <row r="98" ht="18.75" customHeight="1">
      <c r="A98" s="504">
        <f>IFERROR(VLOOKUP(H98,PartyStorage,2, FALSE),0)</f>
        <v>0</v>
      </c>
      <c r="B98" s="600"/>
      <c r="C98" s="593"/>
      <c r="D98" s="593"/>
      <c r="E98" s="593"/>
      <c r="F98" s="594"/>
      <c r="G98" s="595"/>
      <c r="H98" s="596"/>
      <c r="L98" s="547"/>
      <c r="M98" s="597" t="str">
        <f t="shared" si="2"/>
        <v/>
      </c>
      <c r="N98" s="214">
        <f>IFERROR(VLOOKUP(F98,Ch2_Storage,2, FALSE),0)</f>
        <v>0</v>
      </c>
    </row>
    <row r="99" ht="18.75" customHeight="1">
      <c r="A99" s="504">
        <f>IFERROR(VLOOKUP(H99,PartyStorage,2, FALSE),0)</f>
        <v>0</v>
      </c>
      <c r="B99" s="598"/>
      <c r="C99" s="599"/>
      <c r="D99" s="599"/>
      <c r="E99" s="599"/>
      <c r="F99" s="601"/>
      <c r="G99" s="588"/>
      <c r="H99" s="589"/>
      <c r="L99" s="542"/>
      <c r="M99" s="590" t="str">
        <f t="shared" si="2"/>
        <v/>
      </c>
      <c r="N99" s="214">
        <f>IFERROR(VLOOKUP(F99,Ch2_Storage,2, FALSE),0)</f>
        <v>0</v>
      </c>
    </row>
    <row r="100" ht="18.75" customHeight="1">
      <c r="A100" s="504">
        <f>IFERROR(VLOOKUP(H100,PartyStorage,2, FALSE),0)</f>
        <v>0</v>
      </c>
      <c r="B100" s="600"/>
      <c r="C100" s="593"/>
      <c r="D100" s="593"/>
      <c r="E100" s="593"/>
      <c r="F100" s="594"/>
      <c r="G100" s="595"/>
      <c r="H100" s="596"/>
      <c r="L100" s="547"/>
      <c r="M100" s="597" t="str">
        <f t="shared" si="2"/>
        <v/>
      </c>
      <c r="N100" s="214">
        <f>IFERROR(VLOOKUP(F100,Ch2_Storage,2, FALSE),0)</f>
        <v>0</v>
      </c>
    </row>
    <row r="101" ht="18.75" customHeight="1">
      <c r="A101" s="504">
        <f>IFERROR(VLOOKUP(H101,PartyStorage,2, FALSE),0)</f>
        <v>0</v>
      </c>
      <c r="B101" s="598"/>
      <c r="C101" s="599"/>
      <c r="D101" s="599"/>
      <c r="E101" s="599"/>
      <c r="F101" s="601"/>
      <c r="G101" s="588"/>
      <c r="H101" s="589"/>
      <c r="L101" s="542"/>
      <c r="M101" s="590" t="str">
        <f t="shared" si="2"/>
        <v/>
      </c>
      <c r="N101" s="214">
        <f>IFERROR(VLOOKUP(F101,Ch2_Storage,2, FALSE),0)</f>
        <v>0</v>
      </c>
    </row>
    <row r="102" ht="18.75" customHeight="1">
      <c r="A102" s="504">
        <f>IFERROR(VLOOKUP(H102,PartyStorage,2, FALSE),0)</f>
        <v>0</v>
      </c>
      <c r="B102" s="600"/>
      <c r="C102" s="593"/>
      <c r="D102" s="593"/>
      <c r="E102" s="593"/>
      <c r="F102" s="594"/>
      <c r="G102" s="595"/>
      <c r="H102" s="596"/>
      <c r="L102" s="547"/>
      <c r="M102" s="597" t="str">
        <f t="shared" si="2"/>
        <v/>
      </c>
      <c r="N102" s="214">
        <f>IFERROR(VLOOKUP(F102,Ch2_Storage,2, FALSE),0)</f>
        <v>0</v>
      </c>
    </row>
    <row r="103" ht="18.75" customHeight="1">
      <c r="A103" s="504">
        <f>IFERROR(VLOOKUP(H103,PartyStorage,2, FALSE),0)</f>
        <v>0</v>
      </c>
      <c r="B103" s="598"/>
      <c r="C103" s="599"/>
      <c r="D103" s="599"/>
      <c r="E103" s="599"/>
      <c r="F103" s="601"/>
      <c r="G103" s="588"/>
      <c r="H103" s="589"/>
      <c r="L103" s="542"/>
      <c r="M103" s="590" t="str">
        <f t="shared" si="2"/>
        <v/>
      </c>
      <c r="N103" s="214">
        <f>IFERROR(VLOOKUP(F103,Ch2_Storage,2, FALSE),0)</f>
        <v>0</v>
      </c>
    </row>
    <row r="104" ht="18.75" customHeight="1">
      <c r="A104" s="504">
        <f>IFERROR(VLOOKUP(H104,PartyStorage,2, FALSE),0)</f>
        <v>0</v>
      </c>
      <c r="B104" s="600"/>
      <c r="C104" s="593"/>
      <c r="D104" s="593"/>
      <c r="E104" s="593"/>
      <c r="F104" s="594"/>
      <c r="G104" s="595"/>
      <c r="H104" s="596"/>
      <c r="L104" s="547"/>
      <c r="M104" s="597" t="str">
        <f t="shared" si="2"/>
        <v/>
      </c>
      <c r="N104" s="214">
        <f>IFERROR(VLOOKUP(F104,Ch2_Storage,2, FALSE),0)</f>
        <v>0</v>
      </c>
    </row>
    <row r="105" ht="18.75" customHeight="1">
      <c r="A105" s="504">
        <f>IFERROR(VLOOKUP(H105,PartyStorage,2, FALSE),0)</f>
        <v>0</v>
      </c>
      <c r="B105" s="598"/>
      <c r="C105" s="599"/>
      <c r="D105" s="599"/>
      <c r="E105" s="599"/>
      <c r="F105" s="601"/>
      <c r="G105" s="588"/>
      <c r="H105" s="589"/>
      <c r="L105" s="542"/>
      <c r="M105" s="590" t="str">
        <f t="shared" si="2"/>
        <v/>
      </c>
      <c r="N105" s="214">
        <f>IFERROR(VLOOKUP(F105,Ch2_Storage,2, FALSE),0)</f>
        <v>0</v>
      </c>
    </row>
    <row r="106" ht="18.75" customHeight="1">
      <c r="A106" s="504">
        <f>IFERROR(VLOOKUP(H106,PartyStorage,2, FALSE),0)</f>
        <v>0</v>
      </c>
      <c r="B106" s="600"/>
      <c r="C106" s="593"/>
      <c r="D106" s="593"/>
      <c r="E106" s="593"/>
      <c r="F106" s="594"/>
      <c r="G106" s="595"/>
      <c r="H106" s="596"/>
      <c r="L106" s="547"/>
      <c r="M106" s="597" t="str">
        <f t="shared" si="2"/>
        <v/>
      </c>
      <c r="N106" s="214">
        <f>IFERROR(VLOOKUP(F106,Ch2_Storage,2, FALSE),0)</f>
        <v>0</v>
      </c>
    </row>
    <row r="107" ht="18.75" customHeight="1">
      <c r="A107" s="504">
        <f>IFERROR(VLOOKUP(H107,PartyStorage,2, FALSE),0)</f>
        <v>0</v>
      </c>
      <c r="B107" s="598"/>
      <c r="C107" s="599"/>
      <c r="D107" s="599"/>
      <c r="E107" s="599"/>
      <c r="F107" s="601"/>
      <c r="G107" s="588"/>
      <c r="H107" s="589"/>
      <c r="L107" s="542"/>
      <c r="M107" s="590" t="str">
        <f t="shared" si="2"/>
        <v/>
      </c>
      <c r="N107" s="214">
        <f>IFERROR(VLOOKUP(F107,Ch2_Storage,2, FALSE),0)</f>
        <v>0</v>
      </c>
    </row>
    <row r="108" ht="18.75" customHeight="1">
      <c r="A108" s="504">
        <f>IFERROR(VLOOKUP(H108,PartyStorage,2, FALSE),0)</f>
        <v>0</v>
      </c>
      <c r="B108" s="600"/>
      <c r="C108" s="593"/>
      <c r="D108" s="593"/>
      <c r="E108" s="593"/>
      <c r="F108" s="594"/>
      <c r="G108" s="595"/>
      <c r="H108" s="596"/>
      <c r="L108" s="547"/>
      <c r="M108" s="597" t="str">
        <f t="shared" si="2"/>
        <v/>
      </c>
      <c r="N108" s="214">
        <f>IFERROR(VLOOKUP(F108,Ch2_Storage,2, FALSE),0)</f>
        <v>0</v>
      </c>
    </row>
    <row r="109" ht="18.75" customHeight="1">
      <c r="A109" s="504">
        <f>IFERROR(VLOOKUP(H109,PartyStorage,2, FALSE),0)</f>
        <v>0</v>
      </c>
      <c r="B109" s="598"/>
      <c r="C109" s="599"/>
      <c r="D109" s="599"/>
      <c r="E109" s="599"/>
      <c r="F109" s="601"/>
      <c r="G109" s="588"/>
      <c r="H109" s="589"/>
      <c r="L109" s="542"/>
      <c r="M109" s="590" t="str">
        <f t="shared" si="2"/>
        <v/>
      </c>
      <c r="N109" s="214">
        <f>IFERROR(VLOOKUP(F109,Ch2_Storage,2, FALSE),0)</f>
        <v>0</v>
      </c>
    </row>
    <row r="110" ht="18.75" customHeight="1">
      <c r="A110" s="504">
        <f>IFERROR(VLOOKUP(H110,PartyStorage,2, FALSE),0)</f>
        <v>0</v>
      </c>
      <c r="B110" s="600"/>
      <c r="C110" s="593"/>
      <c r="D110" s="593"/>
      <c r="E110" s="593"/>
      <c r="F110" s="594"/>
      <c r="G110" s="595"/>
      <c r="H110" s="596"/>
      <c r="L110" s="547"/>
      <c r="M110" s="597" t="str">
        <f t="shared" si="2"/>
        <v/>
      </c>
      <c r="N110" s="214">
        <f>IFERROR(VLOOKUP(F110,Ch2_Storage,2, FALSE),0)</f>
        <v>0</v>
      </c>
    </row>
    <row r="111" ht="18.75" customHeight="1">
      <c r="A111" s="504">
        <f>IFERROR(VLOOKUP(H111,PartyStorage,2, FALSE),0)</f>
        <v>0</v>
      </c>
      <c r="B111" s="598"/>
      <c r="C111" s="599"/>
      <c r="D111" s="599"/>
      <c r="E111" s="599"/>
      <c r="F111" s="601"/>
      <c r="G111" s="588"/>
      <c r="H111" s="589"/>
      <c r="L111" s="542"/>
      <c r="M111" s="590" t="str">
        <f t="shared" si="2"/>
        <v/>
      </c>
      <c r="N111" s="214">
        <f>IFERROR(VLOOKUP(F111,Ch2_Storage,2, FALSE),0)</f>
        <v>0</v>
      </c>
    </row>
    <row r="112" ht="18.75" customHeight="1">
      <c r="A112" s="504">
        <f>IFERROR(VLOOKUP(H112,PartyStorage,2, FALSE),0)</f>
        <v>0</v>
      </c>
      <c r="B112" s="600"/>
      <c r="C112" s="593"/>
      <c r="D112" s="593"/>
      <c r="E112" s="593"/>
      <c r="F112" s="594"/>
      <c r="G112" s="595"/>
      <c r="H112" s="596"/>
      <c r="L112" s="547"/>
      <c r="M112" s="597" t="str">
        <f t="shared" si="2"/>
        <v/>
      </c>
      <c r="N112" s="214">
        <f>IFERROR(VLOOKUP(F112,Ch2_Storage,2, FALSE),0)</f>
        <v>0</v>
      </c>
    </row>
    <row r="113" ht="18.75" customHeight="1">
      <c r="A113" s="504">
        <f>IFERROR(VLOOKUP(H113,PartyStorage,2, FALSE),0)</f>
        <v>0</v>
      </c>
      <c r="B113" s="598"/>
      <c r="C113" s="599"/>
      <c r="D113" s="599"/>
      <c r="E113" s="599"/>
      <c r="F113" s="601"/>
      <c r="G113" s="588"/>
      <c r="H113" s="589"/>
      <c r="L113" s="542"/>
      <c r="M113" s="590" t="str">
        <f t="shared" si="2"/>
        <v/>
      </c>
      <c r="N113" s="214">
        <f>IFERROR(VLOOKUP(F113,Ch2_Storage,2, FALSE),0)</f>
        <v>0</v>
      </c>
    </row>
    <row r="114" ht="18.75" customHeight="1">
      <c r="A114" s="504">
        <f>IFERROR(VLOOKUP(H114,PartyStorage,2, FALSE),0)</f>
        <v>0</v>
      </c>
      <c r="B114" s="600"/>
      <c r="C114" s="593"/>
      <c r="D114" s="593"/>
      <c r="E114" s="593"/>
      <c r="F114" s="594"/>
      <c r="G114" s="595"/>
      <c r="H114" s="596"/>
      <c r="L114" s="547"/>
      <c r="M114" s="597" t="str">
        <f t="shared" si="2"/>
        <v/>
      </c>
      <c r="N114" s="214">
        <f>IFERROR(VLOOKUP(F114,Ch2_Storage,2, FALSE),0)</f>
        <v>0</v>
      </c>
    </row>
    <row r="115" ht="18.75" customHeight="1">
      <c r="A115" s="504">
        <f>IFERROR(VLOOKUP(H115,PartyStorage,2, FALSE),0)</f>
        <v>0</v>
      </c>
      <c r="B115" s="598"/>
      <c r="C115" s="599"/>
      <c r="D115" s="599"/>
      <c r="E115" s="599"/>
      <c r="F115" s="601"/>
      <c r="G115" s="588"/>
      <c r="H115" s="589"/>
      <c r="L115" s="542"/>
      <c r="M115" s="590" t="str">
        <f t="shared" si="2"/>
        <v/>
      </c>
      <c r="N115" s="214">
        <f>IFERROR(VLOOKUP(F115,Ch2_Storage,2, FALSE),0)</f>
        <v>0</v>
      </c>
    </row>
    <row r="116" ht="18.75" customHeight="1">
      <c r="A116" s="504">
        <f>IFERROR(VLOOKUP(H116,PartyStorage,2, FALSE),0)</f>
        <v>0</v>
      </c>
      <c r="B116" s="600"/>
      <c r="C116" s="593"/>
      <c r="D116" s="593"/>
      <c r="E116" s="593"/>
      <c r="F116" s="594"/>
      <c r="G116" s="595"/>
      <c r="H116" s="596"/>
      <c r="L116" s="547"/>
      <c r="M116" s="597" t="str">
        <f t="shared" si="2"/>
        <v/>
      </c>
      <c r="N116" s="214">
        <f>IFERROR(VLOOKUP(F116,Ch2_Storage,2, FALSE),0)</f>
        <v>0</v>
      </c>
    </row>
    <row r="117" ht="18.75" customHeight="1">
      <c r="A117" s="504">
        <f>IFERROR(VLOOKUP(H117,PartyStorage,2, FALSE),0)</f>
        <v>0</v>
      </c>
      <c r="B117" s="598"/>
      <c r="C117" s="599"/>
      <c r="D117" s="599"/>
      <c r="E117" s="599"/>
      <c r="F117" s="601"/>
      <c r="G117" s="588"/>
      <c r="H117" s="589"/>
      <c r="L117" s="542"/>
      <c r="M117" s="590" t="str">
        <f t="shared" si="2"/>
        <v/>
      </c>
      <c r="N117" s="214">
        <f>IFERROR(VLOOKUP(F117,Ch2_Storage,2, FALSE),0)</f>
        <v>0</v>
      </c>
    </row>
    <row r="118" ht="18.75" customHeight="1">
      <c r="A118" s="504">
        <f>IFERROR(VLOOKUP(H118,PartyStorage,2, FALSE),0)</f>
        <v>0</v>
      </c>
      <c r="B118" s="600"/>
      <c r="C118" s="593"/>
      <c r="D118" s="593"/>
      <c r="E118" s="593"/>
      <c r="F118" s="594"/>
      <c r="G118" s="595"/>
      <c r="H118" s="596"/>
      <c r="L118" s="547"/>
      <c r="M118" s="597" t="str">
        <f t="shared" si="2"/>
        <v/>
      </c>
      <c r="N118" s="214">
        <f>IFERROR(VLOOKUP(F118,Ch2_Storage,2, FALSE),0)</f>
        <v>0</v>
      </c>
    </row>
    <row r="119" ht="18.75" customHeight="1">
      <c r="A119" s="504">
        <f>IFERROR(VLOOKUP(H119,PartyStorage,2, FALSE),0)</f>
        <v>0</v>
      </c>
      <c r="B119" s="598"/>
      <c r="C119" s="599"/>
      <c r="D119" s="599"/>
      <c r="E119" s="599"/>
      <c r="F119" s="601"/>
      <c r="G119" s="588"/>
      <c r="H119" s="589"/>
      <c r="L119" s="542"/>
      <c r="M119" s="590" t="str">
        <f t="shared" si="2"/>
        <v/>
      </c>
      <c r="N119" s="214">
        <f>IFERROR(VLOOKUP(F119,Ch2_Storage,2, FALSE),0)</f>
        <v>0</v>
      </c>
    </row>
    <row r="120" ht="18.75" customHeight="1">
      <c r="A120" s="504">
        <f>IFERROR(VLOOKUP(H120,PartyStorage,2, FALSE),0)</f>
        <v>0</v>
      </c>
      <c r="B120" s="600"/>
      <c r="C120" s="593"/>
      <c r="D120" s="593"/>
      <c r="E120" s="593"/>
      <c r="F120" s="594"/>
      <c r="G120" s="595"/>
      <c r="H120" s="596"/>
      <c r="L120" s="547"/>
      <c r="M120" s="597" t="str">
        <f t="shared" si="2"/>
        <v/>
      </c>
      <c r="N120" s="214">
        <f>IFERROR(VLOOKUP(F120,Ch2_Storage,2, FALSE),0)</f>
        <v>0</v>
      </c>
    </row>
    <row r="121" ht="18.75" customHeight="1">
      <c r="A121" s="504">
        <f>IFERROR(VLOOKUP(H121,PartyStorage,2, FALSE),0)</f>
        <v>0</v>
      </c>
      <c r="B121" s="598"/>
      <c r="C121" s="599"/>
      <c r="D121" s="599"/>
      <c r="E121" s="599"/>
      <c r="F121" s="601"/>
      <c r="G121" s="588"/>
      <c r="H121" s="589"/>
      <c r="L121" s="542"/>
      <c r="M121" s="590" t="str">
        <f t="shared" si="2"/>
        <v/>
      </c>
      <c r="N121" s="214">
        <f>IFERROR(VLOOKUP(F121,Ch2_Storage,2, FALSE),0)</f>
        <v>0</v>
      </c>
    </row>
    <row r="122" ht="18.75" customHeight="1">
      <c r="A122" s="504">
        <f>IFERROR(VLOOKUP(H122,PartyStorage,2, FALSE),0)</f>
        <v>0</v>
      </c>
      <c r="B122" s="600"/>
      <c r="C122" s="593"/>
      <c r="D122" s="593"/>
      <c r="E122" s="593"/>
      <c r="F122" s="594"/>
      <c r="G122" s="595"/>
      <c r="H122" s="596"/>
      <c r="L122" s="547"/>
      <c r="M122" s="597" t="str">
        <f t="shared" si="2"/>
        <v/>
      </c>
      <c r="N122" s="214">
        <f>IFERROR(VLOOKUP(F122,Ch2_Storage,2, FALSE),0)</f>
        <v>0</v>
      </c>
    </row>
    <row r="123" ht="18.75" customHeight="1">
      <c r="A123" s="504">
        <f>IFERROR(VLOOKUP(H123,PartyStorage,2, FALSE),0)</f>
        <v>0</v>
      </c>
      <c r="B123" s="598"/>
      <c r="C123" s="599"/>
      <c r="D123" s="599"/>
      <c r="E123" s="599"/>
      <c r="F123" s="601"/>
      <c r="G123" s="588"/>
      <c r="H123" s="589"/>
      <c r="L123" s="542"/>
      <c r="M123" s="590" t="str">
        <f t="shared" si="2"/>
        <v/>
      </c>
      <c r="N123" s="214">
        <f>IFERROR(VLOOKUP(F123,Ch2_Storage,2, FALSE),0)</f>
        <v>0</v>
      </c>
    </row>
    <row r="124" ht="18.75" customHeight="1">
      <c r="A124" s="504">
        <f>IFERROR(VLOOKUP(H124,PartyStorage,2, FALSE),0)</f>
        <v>0</v>
      </c>
      <c r="B124" s="600"/>
      <c r="C124" s="593"/>
      <c r="D124" s="593"/>
      <c r="E124" s="593"/>
      <c r="F124" s="594"/>
      <c r="G124" s="595"/>
      <c r="H124" s="596"/>
      <c r="L124" s="547"/>
      <c r="M124" s="597" t="str">
        <f t="shared" si="2"/>
        <v/>
      </c>
      <c r="N124" s="214">
        <f>IFERROR(VLOOKUP(F124,Ch2_Storage,2, FALSE),0)</f>
        <v>0</v>
      </c>
    </row>
    <row r="125" ht="18.75" customHeight="1">
      <c r="A125" s="504">
        <f>IFERROR(VLOOKUP(H125,PartyStorage,2, FALSE),0)</f>
        <v>0</v>
      </c>
      <c r="B125" s="598"/>
      <c r="C125" s="599"/>
      <c r="D125" s="599"/>
      <c r="E125" s="599"/>
      <c r="F125" s="601"/>
      <c r="G125" s="588"/>
      <c r="H125" s="589"/>
      <c r="L125" s="542"/>
      <c r="M125" s="590" t="str">
        <f t="shared" si="2"/>
        <v/>
      </c>
      <c r="N125" s="214">
        <f>IFERROR(VLOOKUP(F125,Ch2_Storage,2, FALSE),0)</f>
        <v>0</v>
      </c>
    </row>
    <row r="126" ht="18.75" customHeight="1">
      <c r="A126" s="504">
        <f>IFERROR(VLOOKUP(H126,PartyStorage,2, FALSE),0)</f>
        <v>0</v>
      </c>
      <c r="B126" s="600"/>
      <c r="C126" s="593"/>
      <c r="D126" s="593"/>
      <c r="E126" s="593"/>
      <c r="F126" s="594"/>
      <c r="G126" s="595"/>
      <c r="H126" s="596"/>
      <c r="L126" s="547"/>
      <c r="M126" s="597" t="str">
        <f t="shared" si="2"/>
        <v/>
      </c>
      <c r="N126" s="214">
        <f>IFERROR(VLOOKUP(F126,Ch2_Storage,2, FALSE),0)</f>
        <v>0</v>
      </c>
    </row>
    <row r="127" ht="18.75" customHeight="1">
      <c r="A127" s="504">
        <f>IFERROR(VLOOKUP(H127,PartyStorage,2, FALSE),0)</f>
        <v>0</v>
      </c>
      <c r="B127" s="598"/>
      <c r="C127" s="599"/>
      <c r="D127" s="599"/>
      <c r="E127" s="599"/>
      <c r="F127" s="601"/>
      <c r="G127" s="588"/>
      <c r="H127" s="589"/>
      <c r="L127" s="542"/>
      <c r="M127" s="590" t="str">
        <f t="shared" si="2"/>
        <v/>
      </c>
      <c r="N127" s="214">
        <f>IFERROR(VLOOKUP(F127,Ch2_Storage,2, FALSE),0)</f>
        <v>0</v>
      </c>
    </row>
    <row r="128" ht="18.75" customHeight="1">
      <c r="A128" s="504">
        <f>IFERROR(VLOOKUP(H128,PartyStorage,2, FALSE),0)</f>
        <v>0</v>
      </c>
      <c r="B128" s="600"/>
      <c r="C128" s="593"/>
      <c r="D128" s="593"/>
      <c r="E128" s="593"/>
      <c r="F128" s="594"/>
      <c r="G128" s="595"/>
      <c r="H128" s="596"/>
      <c r="L128" s="547"/>
      <c r="M128" s="597" t="str">
        <f t="shared" si="2"/>
        <v/>
      </c>
      <c r="N128" s="214">
        <f>IFERROR(VLOOKUP(F128,Ch2_Storage,2, FALSE),0)</f>
        <v>0</v>
      </c>
    </row>
    <row r="129" ht="18.75" customHeight="1">
      <c r="A129" s="504">
        <f>IFERROR(VLOOKUP(H129,PartyStorage,2, FALSE),0)</f>
        <v>0</v>
      </c>
      <c r="B129" s="598"/>
      <c r="C129" s="599"/>
      <c r="D129" s="599"/>
      <c r="E129" s="599"/>
      <c r="F129" s="601"/>
      <c r="G129" s="588"/>
      <c r="H129" s="589"/>
      <c r="L129" s="542"/>
      <c r="M129" s="590" t="str">
        <f t="shared" si="2"/>
        <v/>
      </c>
      <c r="N129" s="214">
        <f>IFERROR(VLOOKUP(F129,Ch2_Storage,2, FALSE),0)</f>
        <v>0</v>
      </c>
    </row>
    <row r="130" ht="18.75" customHeight="1">
      <c r="A130" s="504">
        <f>IFERROR(VLOOKUP(H130,PartyStorage,2, FALSE),0)</f>
        <v>0</v>
      </c>
      <c r="B130" s="600"/>
      <c r="C130" s="593"/>
      <c r="D130" s="593"/>
      <c r="E130" s="593"/>
      <c r="F130" s="594"/>
      <c r="G130" s="595"/>
      <c r="H130" s="596"/>
      <c r="L130" s="547"/>
      <c r="M130" s="597" t="str">
        <f t="shared" si="2"/>
        <v/>
      </c>
      <c r="N130" s="214">
        <f>IFERROR(VLOOKUP(F130,Ch2_Storage,2, FALSE),0)</f>
        <v>0</v>
      </c>
    </row>
    <row r="131" ht="18.75" customHeight="1">
      <c r="A131" s="504">
        <f>IFERROR(VLOOKUP(H131,PartyStorage,2, FALSE),0)</f>
        <v>0</v>
      </c>
      <c r="B131" s="598"/>
      <c r="C131" s="599"/>
      <c r="D131" s="599"/>
      <c r="E131" s="599"/>
      <c r="F131" s="601"/>
      <c r="G131" s="588"/>
      <c r="H131" s="589"/>
      <c r="L131" s="542"/>
      <c r="M131" s="590" t="str">
        <f t="shared" si="2"/>
        <v/>
      </c>
      <c r="N131" s="214">
        <f>IFERROR(VLOOKUP(F131,Ch2_Storage,2, FALSE),0)</f>
        <v>0</v>
      </c>
    </row>
    <row r="132" ht="18.75" customHeight="1">
      <c r="A132" s="504">
        <f>IFERROR(VLOOKUP(H132,PartyStorage,2, FALSE),0)</f>
        <v>0</v>
      </c>
      <c r="B132" s="600"/>
      <c r="C132" s="593"/>
      <c r="D132" s="593"/>
      <c r="E132" s="593"/>
      <c r="F132" s="594"/>
      <c r="G132" s="595"/>
      <c r="H132" s="596"/>
      <c r="L132" s="547"/>
      <c r="M132" s="597" t="str">
        <f t="shared" si="2"/>
        <v/>
      </c>
      <c r="N132" s="214">
        <f>IFERROR(VLOOKUP(F132,Ch2_Storage,2, FALSE),0)</f>
        <v>0</v>
      </c>
    </row>
    <row r="133" ht="18.75" customHeight="1">
      <c r="A133" s="504">
        <f>IFERROR(VLOOKUP(H133,PartyStorage,2, FALSE),0)</f>
        <v>0</v>
      </c>
      <c r="B133" s="598"/>
      <c r="C133" s="599"/>
      <c r="D133" s="599"/>
      <c r="E133" s="599"/>
      <c r="F133" s="601"/>
      <c r="G133" s="588"/>
      <c r="H133" s="589"/>
      <c r="L133" s="542"/>
      <c r="M133" s="590" t="str">
        <f t="shared" si="2"/>
        <v/>
      </c>
      <c r="N133" s="214">
        <f>IFERROR(VLOOKUP(F133,Ch2_Storage,2, FALSE),0)</f>
        <v>0</v>
      </c>
    </row>
    <row r="134" ht="18.75" customHeight="1">
      <c r="A134" s="504">
        <f>IFERROR(VLOOKUP(H134,PartyStorage,2, FALSE),0)</f>
        <v>0</v>
      </c>
      <c r="B134" s="600"/>
      <c r="C134" s="593"/>
      <c r="D134" s="593"/>
      <c r="E134" s="593"/>
      <c r="F134" s="594"/>
      <c r="G134" s="595"/>
      <c r="H134" s="596"/>
      <c r="L134" s="547"/>
      <c r="M134" s="597" t="str">
        <f t="shared" si="2"/>
        <v/>
      </c>
      <c r="N134" s="214">
        <f>IFERROR(VLOOKUP(F134,Ch2_Storage,2, FALSE),0)</f>
        <v>0</v>
      </c>
    </row>
    <row r="135" ht="18.75" customHeight="1">
      <c r="A135" s="504">
        <f>IFERROR(VLOOKUP(H135,PartyStorage,2, FALSE),0)</f>
        <v>0</v>
      </c>
      <c r="B135" s="598"/>
      <c r="C135" s="599"/>
      <c r="D135" s="599"/>
      <c r="E135" s="599"/>
      <c r="F135" s="601"/>
      <c r="G135" s="588"/>
      <c r="H135" s="589"/>
      <c r="L135" s="542"/>
      <c r="M135" s="590" t="str">
        <f t="shared" si="2"/>
        <v/>
      </c>
      <c r="N135" s="214">
        <f>IFERROR(VLOOKUP(F135,Ch2_Storage,2, FALSE),0)</f>
        <v>0</v>
      </c>
    </row>
    <row r="136" ht="18.75" customHeight="1">
      <c r="A136" s="504">
        <f>IFERROR(VLOOKUP(H136,PartyStorage,2, FALSE),0)</f>
        <v>0</v>
      </c>
      <c r="B136" s="600"/>
      <c r="C136" s="593"/>
      <c r="D136" s="593"/>
      <c r="E136" s="593"/>
      <c r="F136" s="594"/>
      <c r="G136" s="595"/>
      <c r="H136" s="596"/>
      <c r="L136" s="547"/>
      <c r="M136" s="597" t="str">
        <f t="shared" si="2"/>
        <v/>
      </c>
      <c r="N136" s="214">
        <f>IFERROR(VLOOKUP(F136,Ch2_Storage,2, FALSE),0)</f>
        <v>0</v>
      </c>
    </row>
    <row r="137" ht="18.75" customHeight="1">
      <c r="A137" s="504">
        <f>IFERROR(VLOOKUP(H137,PartyStorage,2, FALSE),0)</f>
        <v>0</v>
      </c>
      <c r="B137" s="598"/>
      <c r="C137" s="599"/>
      <c r="D137" s="599"/>
      <c r="E137" s="599"/>
      <c r="F137" s="601"/>
      <c r="G137" s="588"/>
      <c r="H137" s="589"/>
      <c r="L137" s="542"/>
      <c r="M137" s="590" t="str">
        <f t="shared" si="2"/>
        <v/>
      </c>
      <c r="N137" s="214">
        <f>IFERROR(VLOOKUP(F137,Ch2_Storage,2, FALSE),0)</f>
        <v>0</v>
      </c>
    </row>
    <row r="138" ht="18.75" customHeight="1">
      <c r="A138" s="504">
        <f>IFERROR(VLOOKUP(H138,PartyStorage,2, FALSE),0)</f>
        <v>0</v>
      </c>
      <c r="B138" s="600"/>
      <c r="C138" s="593"/>
      <c r="D138" s="593"/>
      <c r="E138" s="593"/>
      <c r="F138" s="594"/>
      <c r="G138" s="595"/>
      <c r="H138" s="596"/>
      <c r="L138" s="547"/>
      <c r="M138" s="597" t="str">
        <f t="shared" si="2"/>
        <v/>
      </c>
      <c r="N138" s="214">
        <f>IFERROR(VLOOKUP(F138,Ch2_Storage,2, FALSE),0)</f>
        <v>0</v>
      </c>
    </row>
    <row r="139" ht="18.75" customHeight="1">
      <c r="A139" s="504">
        <f>IFERROR(VLOOKUP(H139,PartyStorage,2, FALSE),0)</f>
        <v>0</v>
      </c>
      <c r="B139" s="598"/>
      <c r="C139" s="599"/>
      <c r="D139" s="599"/>
      <c r="E139" s="599"/>
      <c r="F139" s="601"/>
      <c r="G139" s="588"/>
      <c r="H139" s="589"/>
      <c r="L139" s="542"/>
      <c r="M139" s="590" t="str">
        <f t="shared" si="2"/>
        <v/>
      </c>
      <c r="N139" s="214">
        <f>IFERROR(VLOOKUP(F139,Ch2_Storage,2, FALSE),0)</f>
        <v>0</v>
      </c>
    </row>
    <row r="140" ht="18.75" customHeight="1">
      <c r="A140" s="504">
        <f>IFERROR(VLOOKUP(H140,PartyStorage,2, FALSE),0)</f>
        <v>0</v>
      </c>
      <c r="B140" s="600"/>
      <c r="C140" s="593"/>
      <c r="D140" s="593"/>
      <c r="E140" s="593"/>
      <c r="F140" s="594"/>
      <c r="G140" s="595"/>
      <c r="H140" s="596"/>
      <c r="L140" s="547"/>
      <c r="M140" s="597" t="str">
        <f t="shared" si="2"/>
        <v/>
      </c>
      <c r="N140" s="214">
        <f>IFERROR(VLOOKUP(F140,Ch2_Storage,2, FALSE),0)</f>
        <v>0</v>
      </c>
    </row>
    <row r="141" ht="18.75" customHeight="1">
      <c r="A141" s="504">
        <f>IFERROR(VLOOKUP(H141,PartyStorage,2, FALSE),0)</f>
        <v>0</v>
      </c>
      <c r="B141" s="598"/>
      <c r="C141" s="599"/>
      <c r="D141" s="599"/>
      <c r="E141" s="599"/>
      <c r="F141" s="601"/>
      <c r="G141" s="588"/>
      <c r="H141" s="589"/>
      <c r="L141" s="542"/>
      <c r="M141" s="590" t="str">
        <f t="shared" si="2"/>
        <v/>
      </c>
      <c r="N141" s="214">
        <f>IFERROR(VLOOKUP(F141,Ch2_Storage,2, FALSE),0)</f>
        <v>0</v>
      </c>
    </row>
    <row r="142" ht="18.75" customHeight="1">
      <c r="A142" s="504">
        <f>IFERROR(VLOOKUP(H142,PartyStorage,2, FALSE),0)</f>
        <v>0</v>
      </c>
      <c r="B142" s="600"/>
      <c r="C142" s="593"/>
      <c r="D142" s="593"/>
      <c r="E142" s="593"/>
      <c r="F142" s="594"/>
      <c r="G142" s="595"/>
      <c r="H142" s="596"/>
      <c r="L142" s="547"/>
      <c r="M142" s="597" t="str">
        <f t="shared" si="2"/>
        <v/>
      </c>
      <c r="N142" s="214">
        <f>IFERROR(VLOOKUP(F142,Ch2_Storage,2, FALSE),0)</f>
        <v>0</v>
      </c>
    </row>
    <row r="143" ht="18.75" customHeight="1">
      <c r="A143" s="504">
        <f>IFERROR(VLOOKUP(H143,PartyStorage,2, FALSE),0)</f>
        <v>0</v>
      </c>
      <c r="B143" s="598"/>
      <c r="C143" s="599"/>
      <c r="D143" s="599"/>
      <c r="E143" s="599"/>
      <c r="F143" s="601"/>
      <c r="G143" s="588"/>
      <c r="H143" s="589"/>
      <c r="L143" s="542"/>
      <c r="M143" s="590" t="str">
        <f t="shared" si="2"/>
        <v/>
      </c>
      <c r="N143" s="214">
        <f>IFERROR(VLOOKUP(F143,Ch2_Storage,2, FALSE),0)</f>
        <v>0</v>
      </c>
    </row>
    <row r="144" ht="18.75" customHeight="1">
      <c r="A144" s="504">
        <f>IFERROR(VLOOKUP(H144,PartyStorage,2, FALSE),0)</f>
        <v>0</v>
      </c>
      <c r="B144" s="600"/>
      <c r="C144" s="593"/>
      <c r="D144" s="593"/>
      <c r="E144" s="593"/>
      <c r="F144" s="594"/>
      <c r="G144" s="595"/>
      <c r="H144" s="596"/>
      <c r="L144" s="547"/>
      <c r="M144" s="597" t="str">
        <f t="shared" si="2"/>
        <v/>
      </c>
      <c r="N144" s="214">
        <f>IFERROR(VLOOKUP(F144,Ch2_Storage,2, FALSE),0)</f>
        <v>0</v>
      </c>
    </row>
    <row r="145" ht="18.75" customHeight="1">
      <c r="A145" s="504">
        <f>IFERROR(VLOOKUP(H145,PartyStorage,2, FALSE),0)</f>
        <v>0</v>
      </c>
      <c r="B145" s="598"/>
      <c r="C145" s="599"/>
      <c r="D145" s="599"/>
      <c r="E145" s="599"/>
      <c r="F145" s="601"/>
      <c r="G145" s="588"/>
      <c r="H145" s="589"/>
      <c r="L145" s="542"/>
      <c r="M145" s="590" t="str">
        <f t="shared" si="2"/>
        <v/>
      </c>
      <c r="N145" s="214">
        <f>IFERROR(VLOOKUP(F145,Ch2_Storage,2, FALSE),0)</f>
        <v>0</v>
      </c>
    </row>
    <row r="146" ht="18.75" customHeight="1">
      <c r="A146" s="504">
        <f>IFERROR(VLOOKUP(H146,PartyStorage,2, FALSE),0)</f>
        <v>0</v>
      </c>
      <c r="B146" s="600"/>
      <c r="C146" s="593"/>
      <c r="D146" s="593"/>
      <c r="E146" s="593"/>
      <c r="F146" s="594"/>
      <c r="G146" s="595"/>
      <c r="H146" s="596"/>
      <c r="L146" s="547"/>
      <c r="M146" s="597" t="str">
        <f t="shared" si="2"/>
        <v/>
      </c>
      <c r="N146" s="214">
        <f>IFERROR(VLOOKUP(F146,Ch2_Storage,2, FALSE),0)</f>
        <v>0</v>
      </c>
    </row>
    <row r="147" ht="18.75" customHeight="1">
      <c r="A147" s="504">
        <f>IFERROR(VLOOKUP(H147,PartyStorage,2, FALSE),0)</f>
        <v>0</v>
      </c>
      <c r="B147" s="598"/>
      <c r="C147" s="599"/>
      <c r="D147" s="599"/>
      <c r="E147" s="599"/>
      <c r="F147" s="601"/>
      <c r="G147" s="588"/>
      <c r="H147" s="589"/>
      <c r="L147" s="542"/>
      <c r="M147" s="590" t="str">
        <f t="shared" si="2"/>
        <v/>
      </c>
      <c r="N147" s="214">
        <f>IFERROR(VLOOKUP(F147,Ch2_Storage,2, FALSE),0)</f>
        <v>0</v>
      </c>
    </row>
    <row r="148" ht="18.75" customHeight="1">
      <c r="A148" s="504">
        <f>IFERROR(VLOOKUP(H148,PartyStorage,2, FALSE),0)</f>
        <v>0</v>
      </c>
      <c r="B148" s="600"/>
      <c r="C148" s="593"/>
      <c r="D148" s="593"/>
      <c r="E148" s="593"/>
      <c r="F148" s="594"/>
      <c r="G148" s="595"/>
      <c r="H148" s="596"/>
      <c r="L148" s="547"/>
      <c r="M148" s="597" t="str">
        <f t="shared" si="2"/>
        <v/>
      </c>
      <c r="N148" s="214">
        <f>IFERROR(VLOOKUP(F148,Ch2_Storage,2, FALSE),0)</f>
        <v>0</v>
      </c>
    </row>
    <row r="149" ht="18.75" customHeight="1">
      <c r="A149" s="504">
        <f>IFERROR(VLOOKUP(H149,PartyStorage,2, FALSE),0)</f>
        <v>0</v>
      </c>
      <c r="B149" s="598"/>
      <c r="C149" s="599"/>
      <c r="D149" s="599"/>
      <c r="E149" s="599"/>
      <c r="F149" s="601"/>
      <c r="G149" s="588"/>
      <c r="H149" s="589"/>
      <c r="L149" s="542"/>
      <c r="M149" s="590" t="str">
        <f t="shared" si="2"/>
        <v/>
      </c>
      <c r="N149" s="214">
        <f>IFERROR(VLOOKUP(F149,Ch2_Storage,2, FALSE),0)</f>
        <v>0</v>
      </c>
    </row>
    <row r="150" ht="18.75" customHeight="1">
      <c r="A150" s="504">
        <f>IFERROR(VLOOKUP(H150,PartyStorage,2, FALSE),0)</f>
        <v>0</v>
      </c>
      <c r="B150" s="600"/>
      <c r="C150" s="593"/>
      <c r="D150" s="593"/>
      <c r="E150" s="593"/>
      <c r="F150" s="594"/>
      <c r="G150" s="595"/>
      <c r="H150" s="596"/>
      <c r="L150" s="547"/>
      <c r="M150" s="597" t="str">
        <f t="shared" si="2"/>
        <v/>
      </c>
      <c r="N150" s="214">
        <f>IFERROR(VLOOKUP(F150,Ch2_Storage,2, FALSE),0)</f>
        <v>0</v>
      </c>
    </row>
    <row r="151" ht="18.75" customHeight="1">
      <c r="A151" s="504">
        <f>IFERROR(VLOOKUP(H151,PartyStorage,2, FALSE),0)</f>
        <v>0</v>
      </c>
      <c r="B151" s="598"/>
      <c r="C151" s="599"/>
      <c r="D151" s="599"/>
      <c r="E151" s="599"/>
      <c r="F151" s="601"/>
      <c r="G151" s="588"/>
      <c r="H151" s="589"/>
      <c r="L151" s="542"/>
      <c r="M151" s="590" t="str">
        <f t="shared" si="2"/>
        <v/>
      </c>
      <c r="N151" s="214">
        <f>IFERROR(VLOOKUP(F151,Ch2_Storage,2, FALSE),0)</f>
        <v>0</v>
      </c>
    </row>
    <row r="152" ht="18.75" customHeight="1">
      <c r="A152" s="504">
        <f>IFERROR(VLOOKUP(H152,PartyStorage,2, FALSE),0)</f>
        <v>0</v>
      </c>
      <c r="B152" s="600"/>
      <c r="C152" s="593"/>
      <c r="D152" s="593"/>
      <c r="E152" s="593"/>
      <c r="F152" s="594"/>
      <c r="G152" s="595"/>
      <c r="H152" s="596"/>
      <c r="L152" s="547"/>
      <c r="M152" s="597" t="str">
        <f t="shared" si="2"/>
        <v/>
      </c>
      <c r="N152" s="214">
        <f>IFERROR(VLOOKUP(F152,Ch2_Storage,2, FALSE),0)</f>
        <v>0</v>
      </c>
    </row>
    <row r="153" ht="18.75" customHeight="1">
      <c r="A153" s="504">
        <f>IFERROR(VLOOKUP(H153,PartyStorage,2, FALSE),0)</f>
        <v>0</v>
      </c>
      <c r="B153" s="598"/>
      <c r="C153" s="599"/>
      <c r="D153" s="599"/>
      <c r="E153" s="599"/>
      <c r="F153" s="601"/>
      <c r="G153" s="588"/>
      <c r="H153" s="589"/>
      <c r="L153" s="542"/>
      <c r="M153" s="590" t="str">
        <f t="shared" si="2"/>
        <v/>
      </c>
      <c r="N153" s="214">
        <f>IFERROR(VLOOKUP(F153,Ch2_Storage,2, FALSE),0)</f>
        <v>0</v>
      </c>
    </row>
    <row r="154" ht="18.75" customHeight="1">
      <c r="A154" s="504">
        <f>IFERROR(VLOOKUP(H154,PartyStorage,2, FALSE),0)</f>
        <v>0</v>
      </c>
      <c r="B154" s="600"/>
      <c r="C154" s="593"/>
      <c r="D154" s="593"/>
      <c r="E154" s="593"/>
      <c r="F154" s="594"/>
      <c r="G154" s="595"/>
      <c r="H154" s="596"/>
      <c r="L154" s="547"/>
      <c r="M154" s="597" t="str">
        <f t="shared" si="2"/>
        <v/>
      </c>
      <c r="N154" s="214">
        <f>IFERROR(VLOOKUP(F154,Ch2_Storage,2, FALSE),0)</f>
        <v>0</v>
      </c>
    </row>
    <row r="155" ht="18.75" customHeight="1">
      <c r="A155" s="504">
        <f>IFERROR(VLOOKUP(H155,PartyStorage,2, FALSE),0)</f>
        <v>0</v>
      </c>
      <c r="B155" s="598"/>
      <c r="C155" s="599"/>
      <c r="D155" s="599"/>
      <c r="E155" s="599"/>
      <c r="F155" s="601"/>
      <c r="G155" s="588"/>
      <c r="H155" s="589"/>
      <c r="L155" s="542"/>
      <c r="M155" s="590" t="str">
        <f t="shared" si="2"/>
        <v/>
      </c>
      <c r="N155" s="214">
        <f>IFERROR(VLOOKUP(F155,Ch2_Storage,2, FALSE),0)</f>
        <v>0</v>
      </c>
    </row>
    <row r="156" ht="18.75" customHeight="1">
      <c r="A156" s="504">
        <f>IFERROR(VLOOKUP(H156,PartyStorage,2, FALSE),0)</f>
        <v>0</v>
      </c>
      <c r="B156" s="600"/>
      <c r="C156" s="593"/>
      <c r="D156" s="593"/>
      <c r="E156" s="593"/>
      <c r="F156" s="594"/>
      <c r="G156" s="595"/>
      <c r="H156" s="596"/>
      <c r="L156" s="547"/>
      <c r="M156" s="597" t="str">
        <f t="shared" si="2"/>
        <v/>
      </c>
      <c r="N156" s="214">
        <f>IFERROR(VLOOKUP(F156,Ch2_Storage,2, FALSE),0)</f>
        <v>0</v>
      </c>
    </row>
    <row r="157" ht="18.75" customHeight="1">
      <c r="A157" s="504">
        <f>IFERROR(VLOOKUP(H157,PartyStorage,2, FALSE),0)</f>
        <v>0</v>
      </c>
      <c r="B157" s="598"/>
      <c r="C157" s="599"/>
      <c r="D157" s="599"/>
      <c r="E157" s="599"/>
      <c r="F157" s="601"/>
      <c r="G157" s="588"/>
      <c r="H157" s="589"/>
      <c r="L157" s="542"/>
      <c r="M157" s="590" t="str">
        <f t="shared" si="2"/>
        <v/>
      </c>
      <c r="N157" s="214">
        <f>IFERROR(VLOOKUP(F157,Ch2_Storage,2, FALSE),0)</f>
        <v>0</v>
      </c>
    </row>
    <row r="158" ht="18.75" customHeight="1">
      <c r="A158" s="504">
        <f>IFERROR(VLOOKUP(H158,PartyStorage,2, FALSE),0)</f>
        <v>0</v>
      </c>
      <c r="B158" s="600"/>
      <c r="C158" s="593"/>
      <c r="D158" s="593"/>
      <c r="E158" s="593"/>
      <c r="F158" s="594"/>
      <c r="G158" s="595"/>
      <c r="H158" s="596"/>
      <c r="L158" s="547"/>
      <c r="M158" s="597" t="str">
        <f t="shared" si="2"/>
        <v/>
      </c>
      <c r="N158" s="214">
        <f>IFERROR(VLOOKUP(F158,Ch2_Storage,2, FALSE),0)</f>
        <v>0</v>
      </c>
    </row>
    <row r="159" ht="18.75" customHeight="1">
      <c r="A159" s="504">
        <f>IFERROR(VLOOKUP(H159,PartyStorage,2, FALSE),0)</f>
        <v>0</v>
      </c>
      <c r="B159" s="598"/>
      <c r="C159" s="599"/>
      <c r="D159" s="599"/>
      <c r="E159" s="599"/>
      <c r="F159" s="601"/>
      <c r="G159" s="588"/>
      <c r="H159" s="589"/>
      <c r="L159" s="542"/>
      <c r="M159" s="590" t="str">
        <f t="shared" si="2"/>
        <v/>
      </c>
      <c r="N159" s="214">
        <f>IFERROR(VLOOKUP(F159,Ch2_Storage,2, FALSE),0)</f>
        <v>0</v>
      </c>
    </row>
    <row r="160" ht="18.75" customHeight="1">
      <c r="A160" s="504">
        <f>IFERROR(VLOOKUP(H160,PartyStorage,2, FALSE),0)</f>
        <v>0</v>
      </c>
      <c r="B160" s="600"/>
      <c r="C160" s="593"/>
      <c r="D160" s="593"/>
      <c r="E160" s="593"/>
      <c r="F160" s="594"/>
      <c r="G160" s="595"/>
      <c r="H160" s="596"/>
      <c r="L160" s="547"/>
      <c r="M160" s="597" t="str">
        <f t="shared" si="2"/>
        <v/>
      </c>
      <c r="N160" s="214">
        <f>IFERROR(VLOOKUP(F160,Ch2_Storage,2, FALSE),0)</f>
        <v>0</v>
      </c>
    </row>
    <row r="161" ht="18.75" customHeight="1">
      <c r="A161" s="504">
        <f>IFERROR(VLOOKUP(H161,PartyStorage,2, FALSE),0)</f>
        <v>0</v>
      </c>
      <c r="B161" s="598"/>
      <c r="C161" s="599"/>
      <c r="D161" s="599"/>
      <c r="E161" s="599"/>
      <c r="F161" s="601"/>
      <c r="G161" s="588"/>
      <c r="H161" s="589"/>
      <c r="L161" s="542"/>
      <c r="M161" s="590" t="str">
        <f t="shared" si="2"/>
        <v/>
      </c>
      <c r="N161" s="214">
        <f>IFERROR(VLOOKUP(F161,Ch2_Storage,2, FALSE),0)</f>
        <v>0</v>
      </c>
    </row>
    <row r="162" ht="18.75" customHeight="1">
      <c r="A162" s="504">
        <f>IFERROR(VLOOKUP(H162,PartyStorage,2, FALSE),0)</f>
        <v>0</v>
      </c>
      <c r="B162" s="600"/>
      <c r="C162" s="593"/>
      <c r="D162" s="593"/>
      <c r="E162" s="593"/>
      <c r="F162" s="594"/>
      <c r="G162" s="595"/>
      <c r="H162" s="596"/>
      <c r="L162" s="547"/>
      <c r="M162" s="597" t="str">
        <f t="shared" si="2"/>
        <v/>
      </c>
      <c r="N162" s="214">
        <f>IFERROR(VLOOKUP(F162,Ch2_Storage,2, FALSE),0)</f>
        <v>0</v>
      </c>
    </row>
    <row r="163" ht="18.75" customHeight="1">
      <c r="A163" s="504">
        <f>IFERROR(VLOOKUP(H163,PartyStorage,2, FALSE),0)</f>
        <v>0</v>
      </c>
      <c r="B163" s="598"/>
      <c r="C163" s="599"/>
      <c r="D163" s="599"/>
      <c r="E163" s="599"/>
      <c r="F163" s="601"/>
      <c r="G163" s="588"/>
      <c r="H163" s="589"/>
      <c r="L163" s="542"/>
      <c r="M163" s="590" t="str">
        <f t="shared" si="2"/>
        <v/>
      </c>
      <c r="N163" s="214">
        <f>IFERROR(VLOOKUP(F163,Ch2_Storage,2, FALSE),0)</f>
        <v>0</v>
      </c>
    </row>
    <row r="164" ht="18.75" customHeight="1">
      <c r="A164" s="504">
        <f>IFERROR(VLOOKUP(H164,PartyStorage,2, FALSE),0)</f>
        <v>0</v>
      </c>
      <c r="B164" s="600"/>
      <c r="C164" s="593"/>
      <c r="D164" s="593"/>
      <c r="E164" s="593"/>
      <c r="F164" s="594"/>
      <c r="G164" s="595"/>
      <c r="H164" s="596"/>
      <c r="L164" s="547"/>
      <c r="M164" s="597" t="str">
        <f t="shared" si="2"/>
        <v/>
      </c>
      <c r="N164" s="214">
        <f>IFERROR(VLOOKUP(F164,Ch2_Storage,2, FALSE),0)</f>
        <v>0</v>
      </c>
    </row>
    <row r="165" ht="18.75" customHeight="1">
      <c r="A165" s="504">
        <f>IFERROR(VLOOKUP(H165,PartyStorage,2, FALSE),0)</f>
        <v>0</v>
      </c>
      <c r="B165" s="598"/>
      <c r="C165" s="599"/>
      <c r="D165" s="599"/>
      <c r="E165" s="599"/>
      <c r="F165" s="601"/>
      <c r="G165" s="588"/>
      <c r="H165" s="589"/>
      <c r="L165" s="542"/>
      <c r="M165" s="590" t="str">
        <f t="shared" si="2"/>
        <v/>
      </c>
      <c r="N165" s="214">
        <f>IFERROR(VLOOKUP(F165,Ch2_Storage,2, FALSE),0)</f>
        <v>0</v>
      </c>
    </row>
    <row r="166" ht="18.75" customHeight="1">
      <c r="A166" s="504">
        <f>IFERROR(VLOOKUP(H166,PartyStorage,2, FALSE),0)</f>
        <v>0</v>
      </c>
      <c r="B166" s="600"/>
      <c r="C166" s="593"/>
      <c r="D166" s="593"/>
      <c r="E166" s="593"/>
      <c r="F166" s="594"/>
      <c r="G166" s="595"/>
      <c r="H166" s="596"/>
      <c r="L166" s="547"/>
      <c r="M166" s="597" t="str">
        <f t="shared" si="2"/>
        <v/>
      </c>
      <c r="N166" s="214">
        <f>IFERROR(VLOOKUP(F166,Ch2_Storage,2, FALSE),0)</f>
        <v>0</v>
      </c>
    </row>
    <row r="167" ht="18.75" customHeight="1">
      <c r="A167" s="504">
        <f>IFERROR(VLOOKUP(H167,PartyStorage,2, FALSE),0)</f>
        <v>0</v>
      </c>
      <c r="B167" s="598"/>
      <c r="C167" s="599"/>
      <c r="D167" s="599"/>
      <c r="E167" s="599"/>
      <c r="F167" s="601"/>
      <c r="G167" s="588"/>
      <c r="H167" s="589"/>
      <c r="L167" s="542"/>
      <c r="M167" s="590" t="str">
        <f t="shared" si="2"/>
        <v/>
      </c>
      <c r="N167" s="214">
        <f>IFERROR(VLOOKUP(F167,Ch2_Storage,2, FALSE),0)</f>
        <v>0</v>
      </c>
    </row>
    <row r="168" ht="18.75" customHeight="1">
      <c r="A168" s="504">
        <f>IFERROR(VLOOKUP(H168,PartyStorage,2, FALSE),0)</f>
        <v>0</v>
      </c>
      <c r="B168" s="600"/>
      <c r="C168" s="593"/>
      <c r="D168" s="593"/>
      <c r="E168" s="593"/>
      <c r="F168" s="594"/>
      <c r="G168" s="595"/>
      <c r="H168" s="596"/>
      <c r="L168" s="547"/>
      <c r="M168" s="597" t="str">
        <f t="shared" si="2"/>
        <v/>
      </c>
      <c r="N168" s="214">
        <f>IFERROR(VLOOKUP(F168,Ch2_Storage,2, FALSE),0)</f>
        <v>0</v>
      </c>
    </row>
    <row r="169" ht="18.75" customHeight="1">
      <c r="A169" s="504">
        <f>IFERROR(VLOOKUP(H169,PartyStorage,2, FALSE),0)</f>
        <v>0</v>
      </c>
      <c r="B169" s="598"/>
      <c r="C169" s="599"/>
      <c r="D169" s="599"/>
      <c r="E169" s="599"/>
      <c r="F169" s="601"/>
      <c r="G169" s="588"/>
      <c r="H169" s="589"/>
      <c r="L169" s="542"/>
      <c r="M169" s="590" t="str">
        <f t="shared" si="2"/>
        <v/>
      </c>
      <c r="N169" s="214">
        <f>IFERROR(VLOOKUP(F169,Ch2_Storage,2, FALSE),0)</f>
        <v>0</v>
      </c>
    </row>
    <row r="170" ht="18.75" customHeight="1">
      <c r="A170" s="504">
        <f>IFERROR(VLOOKUP(H170,PartyStorage,2, FALSE),0)</f>
        <v>0</v>
      </c>
      <c r="B170" s="600"/>
      <c r="C170" s="593"/>
      <c r="D170" s="593"/>
      <c r="E170" s="593"/>
      <c r="F170" s="594"/>
      <c r="G170" s="595"/>
      <c r="H170" s="596"/>
      <c r="L170" s="547"/>
      <c r="M170" s="597" t="str">
        <f t="shared" si="2"/>
        <v/>
      </c>
      <c r="N170" s="214">
        <f>IFERROR(VLOOKUP(F170,Ch2_Storage,2, FALSE),0)</f>
        <v>0</v>
      </c>
    </row>
    <row r="171" ht="18.75" customHeight="1">
      <c r="A171" s="504">
        <f>IFERROR(VLOOKUP(H171,PartyStorage,2, FALSE),0)</f>
        <v>0</v>
      </c>
      <c r="B171" s="598"/>
      <c r="C171" s="599"/>
      <c r="D171" s="599"/>
      <c r="E171" s="599"/>
      <c r="F171" s="601"/>
      <c r="G171" s="588"/>
      <c r="H171" s="589"/>
      <c r="L171" s="542"/>
      <c r="M171" s="590" t="str">
        <f t="shared" si="2"/>
        <v/>
      </c>
      <c r="N171" s="214">
        <f>IFERROR(VLOOKUP(F171,Ch2_Storage,2, FALSE),0)</f>
        <v>0</v>
      </c>
    </row>
    <row r="172" ht="18.75" customHeight="1">
      <c r="A172" s="504">
        <f>IFERROR(VLOOKUP(H172,PartyStorage,2, FALSE),0)</f>
        <v>0</v>
      </c>
      <c r="B172" s="600"/>
      <c r="C172" s="593"/>
      <c r="D172" s="593"/>
      <c r="E172" s="593"/>
      <c r="F172" s="594"/>
      <c r="G172" s="595"/>
      <c r="H172" s="596"/>
      <c r="L172" s="547"/>
      <c r="M172" s="597" t="str">
        <f t="shared" si="2"/>
        <v/>
      </c>
      <c r="N172" s="214">
        <f>IFERROR(VLOOKUP(F172,Ch2_Storage,2, FALSE),0)</f>
        <v>0</v>
      </c>
    </row>
    <row r="173" ht="18.75" customHeight="1">
      <c r="A173" s="504">
        <f>IFERROR(VLOOKUP(H173,PartyStorage,2, FALSE),0)</f>
        <v>0</v>
      </c>
      <c r="B173" s="598"/>
      <c r="C173" s="599"/>
      <c r="D173" s="599"/>
      <c r="E173" s="599"/>
      <c r="F173" s="601"/>
      <c r="G173" s="588"/>
      <c r="H173" s="589"/>
      <c r="L173" s="542"/>
      <c r="M173" s="590" t="str">
        <f t="shared" si="2"/>
        <v/>
      </c>
      <c r="N173" s="214">
        <f>IFERROR(VLOOKUP(F173,Ch2_Storage,2, FALSE),0)</f>
        <v>0</v>
      </c>
    </row>
    <row r="174" ht="18.75" customHeight="1">
      <c r="A174" s="504">
        <f>IFERROR(VLOOKUP(H174,PartyStorage,2, FALSE),0)</f>
        <v>0</v>
      </c>
      <c r="B174" s="600"/>
      <c r="C174" s="593"/>
      <c r="D174" s="593"/>
      <c r="E174" s="593"/>
      <c r="F174" s="594"/>
      <c r="G174" s="595"/>
      <c r="H174" s="596"/>
      <c r="L174" s="547"/>
      <c r="M174" s="597" t="str">
        <f t="shared" si="2"/>
        <v/>
      </c>
      <c r="N174" s="214">
        <f>IFERROR(VLOOKUP(F174,Ch2_Storage,2, FALSE),0)</f>
        <v>0</v>
      </c>
    </row>
    <row r="175" ht="18.75" customHeight="1">
      <c r="A175" s="504">
        <f>IFERROR(VLOOKUP(H175,PartyStorage,2, FALSE),0)</f>
        <v>0</v>
      </c>
      <c r="B175" s="598"/>
      <c r="C175" s="599"/>
      <c r="D175" s="599"/>
      <c r="E175" s="599"/>
      <c r="F175" s="601"/>
      <c r="G175" s="588"/>
      <c r="H175" s="589"/>
      <c r="L175" s="542"/>
      <c r="M175" s="590" t="str">
        <f t="shared" si="2"/>
        <v/>
      </c>
      <c r="N175" s="214">
        <f>IFERROR(VLOOKUP(F175,Ch2_Storage,2, FALSE),0)</f>
        <v>0</v>
      </c>
    </row>
    <row r="176" ht="18.75" customHeight="1">
      <c r="A176" s="504">
        <f>IFERROR(VLOOKUP(H176,PartyStorage,2, FALSE),0)</f>
        <v>0</v>
      </c>
      <c r="B176" s="600"/>
      <c r="C176" s="593"/>
      <c r="D176" s="593"/>
      <c r="E176" s="593"/>
      <c r="F176" s="594"/>
      <c r="G176" s="595"/>
      <c r="H176" s="596"/>
      <c r="L176" s="547"/>
      <c r="M176" s="597" t="str">
        <f t="shared" si="2"/>
        <v/>
      </c>
      <c r="N176" s="214">
        <f>IFERROR(VLOOKUP(F176,Ch2_Storage,2, FALSE),0)</f>
        <v>0</v>
      </c>
    </row>
    <row r="177" ht="18.75" customHeight="1">
      <c r="A177" s="504">
        <f>IFERROR(VLOOKUP(H177,PartyStorage,2, FALSE),0)</f>
        <v>0</v>
      </c>
      <c r="B177" s="598"/>
      <c r="C177" s="599"/>
      <c r="D177" s="599"/>
      <c r="E177" s="599"/>
      <c r="F177" s="601"/>
      <c r="G177" s="588"/>
      <c r="H177" s="589"/>
      <c r="L177" s="542"/>
      <c r="M177" s="590" t="str">
        <f t="shared" si="2"/>
        <v/>
      </c>
      <c r="N177" s="214">
        <f>IFERROR(VLOOKUP(F177,Ch2_Storage,2, FALSE),0)</f>
        <v>0</v>
      </c>
    </row>
    <row r="178" ht="18.75" customHeight="1">
      <c r="A178" s="504">
        <f>IFERROR(VLOOKUP(H178,PartyStorage,2, FALSE),0)</f>
        <v>0</v>
      </c>
      <c r="B178" s="600"/>
      <c r="C178" s="593"/>
      <c r="D178" s="593"/>
      <c r="E178" s="593"/>
      <c r="F178" s="594"/>
      <c r="G178" s="595"/>
      <c r="H178" s="596"/>
      <c r="L178" s="547"/>
      <c r="M178" s="597" t="str">
        <f t="shared" si="2"/>
        <v/>
      </c>
      <c r="N178" s="214">
        <f>IFERROR(VLOOKUP(F178,Ch2_Storage,2, FALSE),0)</f>
        <v>0</v>
      </c>
    </row>
    <row r="179" ht="18.75" customHeight="1">
      <c r="A179" s="504">
        <f>IFERROR(VLOOKUP(H179,PartyStorage,2, FALSE),0)</f>
        <v>0</v>
      </c>
      <c r="B179" s="598"/>
      <c r="C179" s="599"/>
      <c r="D179" s="599"/>
      <c r="E179" s="599"/>
      <c r="F179" s="601"/>
      <c r="G179" s="588"/>
      <c r="H179" s="589"/>
      <c r="L179" s="542"/>
      <c r="M179" s="590" t="str">
        <f t="shared" si="2"/>
        <v/>
      </c>
      <c r="N179" s="214">
        <f>IFERROR(VLOOKUP(F179,Ch2_Storage,2, FALSE),0)</f>
        <v>0</v>
      </c>
    </row>
    <row r="180" ht="18.75" customHeight="1">
      <c r="A180" s="504">
        <f>IFERROR(VLOOKUP(H180,PartyStorage,2, FALSE),0)</f>
        <v>0</v>
      </c>
      <c r="B180" s="600"/>
      <c r="C180" s="593"/>
      <c r="D180" s="593"/>
      <c r="E180" s="593"/>
      <c r="F180" s="594"/>
      <c r="G180" s="595"/>
      <c r="H180" s="596"/>
      <c r="L180" s="547"/>
      <c r="M180" s="597" t="str">
        <f t="shared" si="2"/>
        <v/>
      </c>
      <c r="N180" s="214">
        <f>IFERROR(VLOOKUP(F180,Ch2_Storage,2, FALSE),0)</f>
        <v>0</v>
      </c>
    </row>
    <row r="181" ht="18.75" customHeight="1">
      <c r="A181" s="504">
        <f>IFERROR(VLOOKUP(H181,PartyStorage,2, FALSE),0)</f>
        <v>0</v>
      </c>
      <c r="B181" s="598"/>
      <c r="C181" s="599"/>
      <c r="D181" s="599"/>
      <c r="E181" s="599"/>
      <c r="F181" s="601"/>
      <c r="G181" s="588"/>
      <c r="H181" s="589"/>
      <c r="L181" s="542"/>
      <c r="M181" s="590" t="str">
        <f t="shared" si="2"/>
        <v/>
      </c>
      <c r="N181" s="214">
        <f>IFERROR(VLOOKUP(F181,Ch2_Storage,2, FALSE),0)</f>
        <v>0</v>
      </c>
    </row>
    <row r="182" ht="18.75" customHeight="1">
      <c r="A182" s="504">
        <f>IFERROR(VLOOKUP(H182,PartyStorage,2, FALSE),0)</f>
        <v>0</v>
      </c>
      <c r="B182" s="600"/>
      <c r="C182" s="593"/>
      <c r="D182" s="593"/>
      <c r="E182" s="593"/>
      <c r="F182" s="594"/>
      <c r="G182" s="595"/>
      <c r="H182" s="596"/>
      <c r="L182" s="547"/>
      <c r="M182" s="597" t="str">
        <f t="shared" si="2"/>
        <v/>
      </c>
      <c r="N182" s="214">
        <f>IFERROR(VLOOKUP(F182,Ch2_Storage,2, FALSE),0)</f>
        <v>0</v>
      </c>
    </row>
    <row r="183" ht="18.75" customHeight="1">
      <c r="A183" s="504">
        <f>IFERROR(VLOOKUP(H183,PartyStorage,2, FALSE),0)</f>
        <v>0</v>
      </c>
      <c r="B183" s="598"/>
      <c r="C183" s="599"/>
      <c r="D183" s="599"/>
      <c r="E183" s="599"/>
      <c r="F183" s="601"/>
      <c r="G183" s="588"/>
      <c r="H183" s="589"/>
      <c r="L183" s="542"/>
      <c r="M183" s="590" t="str">
        <f t="shared" si="2"/>
        <v/>
      </c>
      <c r="N183" s="214">
        <f>IFERROR(VLOOKUP(F183,Ch2_Storage,2, FALSE),0)</f>
        <v>0</v>
      </c>
    </row>
    <row r="184" ht="18.75" customHeight="1">
      <c r="A184" s="504">
        <f>IFERROR(VLOOKUP(H184,PartyStorage,2, FALSE),0)</f>
        <v>0</v>
      </c>
      <c r="B184" s="600"/>
      <c r="C184" s="593"/>
      <c r="D184" s="593"/>
      <c r="E184" s="593"/>
      <c r="F184" s="594"/>
      <c r="G184" s="595"/>
      <c r="H184" s="596"/>
      <c r="L184" s="547"/>
      <c r="M184" s="597" t="str">
        <f t="shared" si="2"/>
        <v/>
      </c>
      <c r="N184" s="214">
        <f>IFERROR(VLOOKUP(F184,Ch2_Storage,2, FALSE),0)</f>
        <v>0</v>
      </c>
    </row>
    <row r="185" ht="18.75" customHeight="1">
      <c r="A185" s="504">
        <f>IFERROR(VLOOKUP(H185,PartyStorage,2, FALSE),0)</f>
        <v>0</v>
      </c>
      <c r="B185" s="598"/>
      <c r="C185" s="599"/>
      <c r="D185" s="599"/>
      <c r="E185" s="599"/>
      <c r="F185" s="601"/>
      <c r="G185" s="588"/>
      <c r="H185" s="589"/>
      <c r="L185" s="542"/>
      <c r="M185" s="590" t="str">
        <f t="shared" si="2"/>
        <v/>
      </c>
      <c r="N185" s="214">
        <f>IFERROR(VLOOKUP(F185,Ch2_Storage,2, FALSE),0)</f>
        <v>0</v>
      </c>
    </row>
    <row r="186" ht="18.75" customHeight="1">
      <c r="A186" s="504">
        <f>IFERROR(VLOOKUP(H186,PartyStorage,2, FALSE),0)</f>
        <v>0</v>
      </c>
      <c r="B186" s="600"/>
      <c r="C186" s="593"/>
      <c r="D186" s="593"/>
      <c r="E186" s="593"/>
      <c r="F186" s="594"/>
      <c r="G186" s="595"/>
      <c r="H186" s="596"/>
      <c r="L186" s="547"/>
      <c r="M186" s="597" t="str">
        <f t="shared" si="2"/>
        <v/>
      </c>
      <c r="N186" s="214">
        <f>IFERROR(VLOOKUP(F186,Ch2_Storage,2, FALSE),0)</f>
        <v>0</v>
      </c>
    </row>
    <row r="187" ht="18.75" customHeight="1">
      <c r="A187" s="504">
        <f>IFERROR(VLOOKUP(H187,PartyStorage,2, FALSE),0)</f>
        <v>0</v>
      </c>
      <c r="B187" s="598"/>
      <c r="C187" s="599"/>
      <c r="D187" s="599"/>
      <c r="E187" s="599"/>
      <c r="F187" s="601"/>
      <c r="G187" s="588"/>
      <c r="H187" s="589"/>
      <c r="L187" s="542"/>
      <c r="M187" s="590" t="str">
        <f t="shared" si="2"/>
        <v/>
      </c>
      <c r="N187" s="214">
        <f>IFERROR(VLOOKUP(F187,Ch2_Storage,2, FALSE),0)</f>
        <v>0</v>
      </c>
    </row>
    <row r="188" ht="18.75" customHeight="1">
      <c r="A188" s="504">
        <f>IFERROR(VLOOKUP(H188,PartyStorage,2, FALSE),0)</f>
        <v>0</v>
      </c>
      <c r="B188" s="600"/>
      <c r="C188" s="593"/>
      <c r="D188" s="593"/>
      <c r="E188" s="593"/>
      <c r="F188" s="594"/>
      <c r="G188" s="595"/>
      <c r="H188" s="596"/>
      <c r="L188" s="547"/>
      <c r="M188" s="597" t="str">
        <f t="shared" si="2"/>
        <v/>
      </c>
      <c r="N188" s="214">
        <f>IFERROR(VLOOKUP(F188,Ch2_Storage,2, FALSE),0)</f>
        <v>0</v>
      </c>
    </row>
    <row r="189" ht="18.75" customHeight="1">
      <c r="A189" s="504">
        <f>IFERROR(VLOOKUP(H189,PartyStorage,2, FALSE),0)</f>
        <v>0</v>
      </c>
      <c r="B189" s="598"/>
      <c r="C189" s="599"/>
      <c r="D189" s="599"/>
      <c r="E189" s="599"/>
      <c r="F189" s="601"/>
      <c r="G189" s="588"/>
      <c r="H189" s="589"/>
      <c r="L189" s="542"/>
      <c r="M189" s="590" t="str">
        <f t="shared" si="2"/>
        <v/>
      </c>
      <c r="N189" s="214">
        <f>IFERROR(VLOOKUP(F189,Ch2_Storage,2, FALSE),0)</f>
        <v>0</v>
      </c>
    </row>
    <row r="190" ht="18.75" customHeight="1">
      <c r="A190" s="504">
        <f>IFERROR(VLOOKUP(H190,PartyStorage,2, FALSE),0)</f>
        <v>0</v>
      </c>
      <c r="B190" s="600"/>
      <c r="C190" s="593"/>
      <c r="D190" s="593"/>
      <c r="E190" s="593"/>
      <c r="F190" s="594"/>
      <c r="G190" s="595"/>
      <c r="H190" s="596"/>
      <c r="L190" s="547"/>
      <c r="M190" s="597" t="str">
        <f t="shared" si="2"/>
        <v/>
      </c>
      <c r="N190" s="214">
        <f>IFERROR(VLOOKUP(F190,Ch2_Storage,2, FALSE),0)</f>
        <v>0</v>
      </c>
    </row>
    <row r="191" ht="18.75" customHeight="1">
      <c r="A191" s="504">
        <f>IFERROR(VLOOKUP(H191,PartyStorage,2, FALSE),0)</f>
        <v>0</v>
      </c>
      <c r="B191" s="598"/>
      <c r="C191" s="599"/>
      <c r="D191" s="599"/>
      <c r="E191" s="599"/>
      <c r="F191" s="601"/>
      <c r="G191" s="588"/>
      <c r="H191" s="589"/>
      <c r="L191" s="542"/>
      <c r="M191" s="590" t="str">
        <f t="shared" si="2"/>
        <v/>
      </c>
      <c r="N191" s="214">
        <f>IFERROR(VLOOKUP(F191,Ch2_Storage,2, FALSE),0)</f>
        <v>0</v>
      </c>
    </row>
    <row r="192" ht="18.75" customHeight="1">
      <c r="A192" s="504">
        <f>IFERROR(VLOOKUP(H192,PartyStorage,2, FALSE),0)</f>
        <v>0</v>
      </c>
      <c r="B192" s="600"/>
      <c r="C192" s="593"/>
      <c r="D192" s="593"/>
      <c r="E192" s="593"/>
      <c r="F192" s="594"/>
      <c r="G192" s="595"/>
      <c r="H192" s="596"/>
      <c r="L192" s="547"/>
      <c r="M192" s="597" t="str">
        <f t="shared" si="2"/>
        <v/>
      </c>
      <c r="N192" s="214">
        <f>IFERROR(VLOOKUP(F192,Ch2_Storage,2, FALSE),0)</f>
        <v>0</v>
      </c>
    </row>
    <row r="193" ht="18.75" customHeight="1">
      <c r="A193" s="504">
        <f>IFERROR(VLOOKUP(H193,PartyStorage,2, FALSE),0)</f>
        <v>0</v>
      </c>
      <c r="B193" s="598"/>
      <c r="C193" s="599"/>
      <c r="D193" s="599"/>
      <c r="E193" s="599"/>
      <c r="F193" s="601"/>
      <c r="G193" s="588"/>
      <c r="H193" s="589"/>
      <c r="L193" s="542"/>
      <c r="M193" s="590" t="str">
        <f t="shared" si="2"/>
        <v/>
      </c>
      <c r="N193" s="214">
        <f>IFERROR(VLOOKUP(F193,Ch2_Storage,2, FALSE),0)</f>
        <v>0</v>
      </c>
    </row>
    <row r="194" ht="18.75" customHeight="1">
      <c r="A194" s="504">
        <f>IFERROR(VLOOKUP(H194,PartyStorage,2, FALSE),0)</f>
        <v>0</v>
      </c>
      <c r="B194" s="600"/>
      <c r="C194" s="593"/>
      <c r="D194" s="593"/>
      <c r="E194" s="593"/>
      <c r="F194" s="594"/>
      <c r="G194" s="595"/>
      <c r="H194" s="596"/>
      <c r="L194" s="547"/>
      <c r="M194" s="597" t="str">
        <f t="shared" si="2"/>
        <v/>
      </c>
      <c r="N194" s="214">
        <f>IFERROR(VLOOKUP(F194,Ch2_Storage,2, FALSE),0)</f>
        <v>0</v>
      </c>
    </row>
    <row r="195" ht="18.75" customHeight="1">
      <c r="A195" s="504">
        <f>IFERROR(VLOOKUP(H195,PartyStorage,2, FALSE),0)</f>
        <v>0</v>
      </c>
      <c r="B195" s="598"/>
      <c r="C195" s="599"/>
      <c r="D195" s="599"/>
      <c r="E195" s="599"/>
      <c r="F195" s="601"/>
      <c r="G195" s="588"/>
      <c r="H195" s="589"/>
      <c r="L195" s="542"/>
      <c r="M195" s="590" t="str">
        <f t="shared" si="2"/>
        <v/>
      </c>
      <c r="N195" s="214">
        <f>IFERROR(VLOOKUP(F195,Ch2_Storage,2, FALSE),0)</f>
        <v>0</v>
      </c>
    </row>
    <row r="196" ht="18.75" customHeight="1">
      <c r="A196" s="504">
        <f>IFERROR(VLOOKUP(H196,PartyStorage,2, FALSE),0)</f>
        <v>0</v>
      </c>
      <c r="B196" s="600"/>
      <c r="C196" s="593"/>
      <c r="D196" s="593"/>
      <c r="E196" s="593"/>
      <c r="F196" s="594"/>
      <c r="G196" s="595"/>
      <c r="H196" s="596"/>
      <c r="L196" s="547"/>
      <c r="M196" s="597" t="str">
        <f t="shared" si="2"/>
        <v/>
      </c>
      <c r="N196" s="214">
        <f>IFERROR(VLOOKUP(F196,Ch2_Storage,2, FALSE),0)</f>
        <v>0</v>
      </c>
    </row>
    <row r="197" ht="18.75" customHeight="1">
      <c r="A197" s="504">
        <f>IFERROR(VLOOKUP(H197,PartyStorage,2, FALSE),0)</f>
        <v>0</v>
      </c>
      <c r="B197" s="598"/>
      <c r="C197" s="599"/>
      <c r="D197" s="599"/>
      <c r="E197" s="599"/>
      <c r="F197" s="601"/>
      <c r="G197" s="588"/>
      <c r="H197" s="589"/>
      <c r="L197" s="542"/>
      <c r="M197" s="590" t="str">
        <f t="shared" si="2"/>
        <v/>
      </c>
      <c r="N197" s="214">
        <f>IFERROR(VLOOKUP(F197,Ch2_Storage,2, FALSE),0)</f>
        <v>0</v>
      </c>
    </row>
    <row r="198" ht="18.75" customHeight="1">
      <c r="A198" s="504">
        <f>IFERROR(VLOOKUP(H198,PartyStorage,2, FALSE),0)</f>
        <v>0</v>
      </c>
      <c r="B198" s="600"/>
      <c r="C198" s="593"/>
      <c r="D198" s="593"/>
      <c r="E198" s="593"/>
      <c r="F198" s="594"/>
      <c r="G198" s="595"/>
      <c r="H198" s="596"/>
      <c r="L198" s="547"/>
      <c r="M198" s="597" t="str">
        <f t="shared" si="2"/>
        <v/>
      </c>
      <c r="N198" s="214">
        <f>IFERROR(VLOOKUP(F198,Ch2_Storage,2, FALSE),0)</f>
        <v>0</v>
      </c>
    </row>
    <row r="199" ht="18.75" customHeight="1">
      <c r="A199" s="504">
        <f>IFERROR(VLOOKUP(H199,PartyStorage,2, FALSE),0)</f>
        <v>0</v>
      </c>
      <c r="B199" s="598"/>
      <c r="C199" s="599"/>
      <c r="D199" s="599"/>
      <c r="E199" s="599"/>
      <c r="F199" s="601"/>
      <c r="G199" s="588"/>
      <c r="H199" s="589"/>
      <c r="L199" s="542"/>
      <c r="M199" s="590" t="str">
        <f t="shared" si="2"/>
        <v/>
      </c>
      <c r="N199" s="214">
        <f>IFERROR(VLOOKUP(F199,Ch2_Storage,2, FALSE),0)</f>
        <v>0</v>
      </c>
    </row>
    <row r="200" ht="18.75" customHeight="1">
      <c r="A200" s="504">
        <f>IFERROR(VLOOKUP(H200,PartyStorage,2, FALSE),0)</f>
        <v>0</v>
      </c>
      <c r="B200" s="600"/>
      <c r="C200" s="593"/>
      <c r="D200" s="593"/>
      <c r="E200" s="593"/>
      <c r="F200" s="594"/>
      <c r="G200" s="595"/>
      <c r="H200" s="596"/>
      <c r="L200" s="547"/>
      <c r="M200" s="597" t="str">
        <f t="shared" si="2"/>
        <v/>
      </c>
      <c r="N200" s="214">
        <f>IFERROR(VLOOKUP(F200,Ch2_Storage,2, FALSE),0)</f>
        <v>0</v>
      </c>
    </row>
    <row r="201" ht="18.75" customHeight="1">
      <c r="A201" s="504">
        <f>IFERROR(VLOOKUP(H201,PartyStorage,2, FALSE),0)</f>
        <v>0</v>
      </c>
      <c r="B201" s="598"/>
      <c r="C201" s="599"/>
      <c r="D201" s="599"/>
      <c r="E201" s="599"/>
      <c r="F201" s="601"/>
      <c r="G201" s="588"/>
      <c r="H201" s="589"/>
      <c r="L201" s="542"/>
      <c r="M201" s="590" t="str">
        <f t="shared" si="2"/>
        <v/>
      </c>
      <c r="N201" s="214">
        <f>IFERROR(VLOOKUP(F201,Ch2_Storage,2, FALSE),0)</f>
        <v>0</v>
      </c>
    </row>
    <row r="202" ht="18.75" customHeight="1">
      <c r="A202" s="504">
        <f>IFERROR(VLOOKUP(H202,PartyStorage,2, FALSE),0)</f>
        <v>0</v>
      </c>
      <c r="B202" s="600"/>
      <c r="C202" s="593"/>
      <c r="D202" s="593"/>
      <c r="E202" s="593"/>
      <c r="F202" s="594"/>
      <c r="G202" s="595"/>
      <c r="H202" s="596"/>
      <c r="L202" s="547"/>
      <c r="M202" s="597" t="str">
        <f t="shared" si="2"/>
        <v/>
      </c>
      <c r="N202" s="214">
        <f>IFERROR(VLOOKUP(F202,Ch2_Storage,2, FALSE),0)</f>
        <v>0</v>
      </c>
    </row>
    <row r="203" ht="18.75" customHeight="1">
      <c r="A203" s="504">
        <f>IFERROR(VLOOKUP(H203,PartyStorage,2, FALSE),0)</f>
        <v>0</v>
      </c>
      <c r="B203" s="598"/>
      <c r="C203" s="599"/>
      <c r="D203" s="599"/>
      <c r="E203" s="599"/>
      <c r="F203" s="601"/>
      <c r="G203" s="588"/>
      <c r="H203" s="589"/>
      <c r="L203" s="542"/>
      <c r="M203" s="590" t="str">
        <f t="shared" si="2"/>
        <v/>
      </c>
      <c r="N203" s="214">
        <f>IFERROR(VLOOKUP(F203,Ch2_Storage,2, FALSE),0)</f>
        <v>0</v>
      </c>
    </row>
    <row r="204" ht="18.75" customHeight="1">
      <c r="A204" s="504">
        <f>IFERROR(VLOOKUP(H204,PartyStorage,2, FALSE),0)</f>
        <v>0</v>
      </c>
      <c r="B204" s="600"/>
      <c r="C204" s="593"/>
      <c r="D204" s="593"/>
      <c r="E204" s="593"/>
      <c r="F204" s="594"/>
      <c r="G204" s="595"/>
      <c r="H204" s="596"/>
      <c r="L204" s="547"/>
      <c r="M204" s="597" t="str">
        <f t="shared" si="2"/>
        <v/>
      </c>
      <c r="N204" s="214">
        <f>IFERROR(VLOOKUP(F204,Ch2_Storage,2, FALSE),0)</f>
        <v>0</v>
      </c>
    </row>
    <row r="205" ht="18.75" customHeight="1">
      <c r="A205" s="504">
        <f>IFERROR(VLOOKUP(H205,PartyStorage,2, FALSE),0)</f>
        <v>0</v>
      </c>
      <c r="B205" s="598"/>
      <c r="C205" s="599"/>
      <c r="D205" s="599"/>
      <c r="E205" s="599"/>
      <c r="F205" s="601"/>
      <c r="G205" s="588"/>
      <c r="H205" s="589"/>
      <c r="L205" s="542"/>
      <c r="M205" s="590" t="str">
        <f t="shared" si="2"/>
        <v/>
      </c>
      <c r="N205" s="214">
        <f>IFERROR(VLOOKUP(F205,Ch2_Storage,2, FALSE),0)</f>
        <v>0</v>
      </c>
    </row>
    <row r="206" ht="18.75" customHeight="1">
      <c r="A206" s="504">
        <f>IFERROR(VLOOKUP(H206,PartyStorage,2, FALSE),0)</f>
        <v>0</v>
      </c>
      <c r="B206" s="600"/>
      <c r="C206" s="593"/>
      <c r="D206" s="593"/>
      <c r="E206" s="593"/>
      <c r="F206" s="594"/>
      <c r="G206" s="595"/>
      <c r="H206" s="596"/>
      <c r="L206" s="547"/>
      <c r="M206" s="597" t="str">
        <f t="shared" si="2"/>
        <v/>
      </c>
      <c r="N206" s="214">
        <f>IFERROR(VLOOKUP(F206,Ch2_Storage,2, FALSE),0)</f>
        <v>0</v>
      </c>
    </row>
    <row r="207" ht="18.75" customHeight="1">
      <c r="A207" s="504">
        <f>IFERROR(VLOOKUP(H207,PartyStorage,2, FALSE),0)</f>
        <v>0</v>
      </c>
      <c r="B207" s="598"/>
      <c r="C207" s="599"/>
      <c r="D207" s="599"/>
      <c r="E207" s="599"/>
      <c r="F207" s="601"/>
      <c r="G207" s="588"/>
      <c r="H207" s="589"/>
      <c r="L207" s="542"/>
      <c r="M207" s="590" t="str">
        <f t="shared" si="2"/>
        <v/>
      </c>
      <c r="N207" s="214">
        <f>IFERROR(VLOOKUP(F207,Ch2_Storage,2, FALSE),0)</f>
        <v>0</v>
      </c>
    </row>
    <row r="208" ht="18.75" customHeight="1">
      <c r="A208" s="504">
        <f>IFERROR(VLOOKUP(H208,PartyStorage,2, FALSE),0)</f>
        <v>0</v>
      </c>
      <c r="B208" s="761"/>
      <c r="C208" s="762"/>
      <c r="D208" s="762"/>
      <c r="E208" s="762"/>
      <c r="F208" s="763"/>
      <c r="G208" s="764"/>
      <c r="H208" s="765"/>
      <c r="I208" s="766"/>
      <c r="J208" s="766"/>
      <c r="K208" s="766"/>
      <c r="L208" s="767"/>
      <c r="M208" s="768" t="str">
        <f t="shared" si="2"/>
        <v/>
      </c>
      <c r="N208" s="214">
        <f>IFERROR(VLOOKUP(F208,Ch2_Storage,2, FALSE),0)</f>
        <v>0</v>
      </c>
    </row>
    <row r="209" ht="7.5" customHeight="1">
      <c r="A209" s="513"/>
      <c r="B209" s="42"/>
      <c r="C209" s="42"/>
      <c r="D209" s="42"/>
      <c r="E209" s="42"/>
      <c r="F209" s="42"/>
      <c r="G209" s="42"/>
      <c r="H209" s="42"/>
      <c r="I209" s="42"/>
      <c r="J209" s="42"/>
      <c r="K209" s="42"/>
      <c r="L209" s="42"/>
      <c r="M209" s="42"/>
      <c r="N209" s="214"/>
    </row>
  </sheetData>
  <mergeCells count="197">
    <mergeCell ref="H193:L193"/>
    <mergeCell ref="H190:L190"/>
    <mergeCell ref="H191:L191"/>
    <mergeCell ref="H192:L192"/>
    <mergeCell ref="H176:L176"/>
    <mergeCell ref="H177:L177"/>
    <mergeCell ref="H178:L178"/>
    <mergeCell ref="H179:L179"/>
    <mergeCell ref="H180:L180"/>
    <mergeCell ref="H181:L181"/>
    <mergeCell ref="H156:L156"/>
    <mergeCell ref="H157:L157"/>
    <mergeCell ref="H194:L194"/>
    <mergeCell ref="H195:L195"/>
    <mergeCell ref="H175:L175"/>
    <mergeCell ref="H182:L182"/>
    <mergeCell ref="H187:L187"/>
    <mergeCell ref="H188:L188"/>
    <mergeCell ref="H189:L189"/>
    <mergeCell ref="H183:L183"/>
    <mergeCell ref="H184:L184"/>
    <mergeCell ref="H185:L185"/>
    <mergeCell ref="H186:L186"/>
    <mergeCell ref="H158:L158"/>
    <mergeCell ref="H159:L159"/>
    <mergeCell ref="H160:L160"/>
    <mergeCell ref="H161:L161"/>
    <mergeCell ref="H162:L162"/>
    <mergeCell ref="H163:L163"/>
    <mergeCell ref="H164:L164"/>
    <mergeCell ref="H165:L165"/>
    <mergeCell ref="H198:L198"/>
    <mergeCell ref="H199:L199"/>
    <mergeCell ref="H200:L200"/>
    <mergeCell ref="H201:L201"/>
    <mergeCell ref="H202:L202"/>
    <mergeCell ref="H203:L203"/>
    <mergeCell ref="H196:L196"/>
    <mergeCell ref="H205:L205"/>
    <mergeCell ref="H206:L206"/>
    <mergeCell ref="H207:L207"/>
    <mergeCell ref="H208:L208"/>
    <mergeCell ref="H204:L204"/>
    <mergeCell ref="H197:L197"/>
    <mergeCell ref="H153:L153"/>
    <mergeCell ref="H152:L152"/>
    <mergeCell ref="H143:L143"/>
    <mergeCell ref="H144:L144"/>
    <mergeCell ref="H142:L142"/>
    <mergeCell ref="H138:L138"/>
    <mergeCell ref="H139:L139"/>
    <mergeCell ref="H140:L140"/>
    <mergeCell ref="H141:L141"/>
    <mergeCell ref="H150:L150"/>
    <mergeCell ref="H151:L151"/>
    <mergeCell ref="H145:L145"/>
    <mergeCell ref="H146:L146"/>
    <mergeCell ref="H147:L147"/>
    <mergeCell ref="H148:L148"/>
    <mergeCell ref="H155:L155"/>
    <mergeCell ref="H154:L154"/>
    <mergeCell ref="H149:L149"/>
    <mergeCell ref="H171:L171"/>
    <mergeCell ref="H172:L172"/>
    <mergeCell ref="H173:L173"/>
    <mergeCell ref="H174:L174"/>
    <mergeCell ref="H166:L166"/>
    <mergeCell ref="H167:L167"/>
    <mergeCell ref="H168:L168"/>
    <mergeCell ref="H169:L169"/>
    <mergeCell ref="H170:L170"/>
    <mergeCell ref="H130:L130"/>
    <mergeCell ref="H128:L128"/>
    <mergeCell ref="H129:L129"/>
    <mergeCell ref="H137:L137"/>
    <mergeCell ref="H131:L131"/>
    <mergeCell ref="H132:L132"/>
    <mergeCell ref="H133:L133"/>
    <mergeCell ref="H134:L134"/>
    <mergeCell ref="H135:L135"/>
    <mergeCell ref="H136:L136"/>
    <mergeCell ref="H115:L115"/>
    <mergeCell ref="H116:L116"/>
    <mergeCell ref="H110:L110"/>
    <mergeCell ref="H111:L111"/>
    <mergeCell ref="H112:L112"/>
    <mergeCell ref="H113:L113"/>
    <mergeCell ref="H114:L114"/>
    <mergeCell ref="H108:L108"/>
    <mergeCell ref="H109:L109"/>
    <mergeCell ref="H91:L91"/>
    <mergeCell ref="H90:L90"/>
    <mergeCell ref="H75:L75"/>
    <mergeCell ref="H76:L76"/>
    <mergeCell ref="H77:L77"/>
    <mergeCell ref="H78:L78"/>
    <mergeCell ref="H79:L79"/>
    <mergeCell ref="H80:L80"/>
    <mergeCell ref="H81:L81"/>
    <mergeCell ref="H82:L82"/>
    <mergeCell ref="H83:L83"/>
    <mergeCell ref="H84:L84"/>
    <mergeCell ref="H92:L92"/>
    <mergeCell ref="H74:L74"/>
    <mergeCell ref="H85:L85"/>
    <mergeCell ref="H86:L86"/>
    <mergeCell ref="H87:L87"/>
    <mergeCell ref="H88:L88"/>
    <mergeCell ref="H93:L93"/>
    <mergeCell ref="H89:L89"/>
    <mergeCell ref="B4:C4"/>
    <mergeCell ref="B5:C5"/>
    <mergeCell ref="K3:L3"/>
    <mergeCell ref="K4:L4"/>
    <mergeCell ref="B3:C3"/>
    <mergeCell ref="B6:C6"/>
    <mergeCell ref="B2:C2"/>
    <mergeCell ref="K2:M2"/>
    <mergeCell ref="K7:L7"/>
    <mergeCell ref="K6:L6"/>
    <mergeCell ref="I2:J7"/>
    <mergeCell ref="E2:F7"/>
    <mergeCell ref="K5:L5"/>
    <mergeCell ref="B7:C7"/>
    <mergeCell ref="H70:L70"/>
    <mergeCell ref="H71:L71"/>
    <mergeCell ref="H62:L62"/>
    <mergeCell ref="H63:L63"/>
    <mergeCell ref="H64:L64"/>
    <mergeCell ref="H65:L65"/>
    <mergeCell ref="H57:L57"/>
    <mergeCell ref="H58:L58"/>
    <mergeCell ref="H59:L59"/>
    <mergeCell ref="H60:L60"/>
    <mergeCell ref="H73:L73"/>
    <mergeCell ref="H72:L72"/>
    <mergeCell ref="H66:L66"/>
    <mergeCell ref="H67:L67"/>
    <mergeCell ref="H53:L53"/>
    <mergeCell ref="H54:L54"/>
    <mergeCell ref="H55:L55"/>
    <mergeCell ref="H56:L56"/>
    <mergeCell ref="H61:L61"/>
    <mergeCell ref="H106:L106"/>
    <mergeCell ref="H107:L107"/>
    <mergeCell ref="H102:L102"/>
    <mergeCell ref="H103:L103"/>
    <mergeCell ref="H104:L104"/>
    <mergeCell ref="H105:L105"/>
    <mergeCell ref="H94:L94"/>
    <mergeCell ref="H95:L95"/>
    <mergeCell ref="H96:L96"/>
    <mergeCell ref="H97:L97"/>
    <mergeCell ref="H98:L98"/>
    <mergeCell ref="H99:L99"/>
    <mergeCell ref="H101:L101"/>
    <mergeCell ref="H100:L100"/>
    <mergeCell ref="H117:L117"/>
    <mergeCell ref="H118:L118"/>
    <mergeCell ref="H68:L68"/>
    <mergeCell ref="H69:L69"/>
    <mergeCell ref="H46:L46"/>
    <mergeCell ref="H47:L47"/>
    <mergeCell ref="H126:L126"/>
    <mergeCell ref="H127:L127"/>
    <mergeCell ref="H119:L119"/>
    <mergeCell ref="H120:L120"/>
    <mergeCell ref="H121:L121"/>
    <mergeCell ref="H123:L123"/>
    <mergeCell ref="H124:L124"/>
    <mergeCell ref="H125:L125"/>
    <mergeCell ref="H122:L122"/>
    <mergeCell ref="H36:L36"/>
    <mergeCell ref="H39:L39"/>
    <mergeCell ref="H26:L26"/>
    <mergeCell ref="H27:L27"/>
    <mergeCell ref="H28:L28"/>
    <mergeCell ref="H29:L29"/>
    <mergeCell ref="H45:L45"/>
    <mergeCell ref="H43:L43"/>
    <mergeCell ref="H44:L44"/>
    <mergeCell ref="H42:L42"/>
    <mergeCell ref="H48:L48"/>
    <mergeCell ref="H49:L49"/>
    <mergeCell ref="H52:L52"/>
    <mergeCell ref="H50:L50"/>
    <mergeCell ref="H51:L51"/>
    <mergeCell ref="H37:L37"/>
    <mergeCell ref="H38:L38"/>
    <mergeCell ref="H30:L30"/>
    <mergeCell ref="H31:L31"/>
    <mergeCell ref="H32:L32"/>
    <mergeCell ref="H33:L33"/>
    <mergeCell ref="H34:L34"/>
    <mergeCell ref="H35:L35"/>
    <mergeCell ref="H40:L40"/>
    <mergeCell ref="H41:L41"/>
  </mergeCells>
  <conditionalFormatting sqref="F27:F208">
    <cfRule type="expression" dxfId="0" priority="1">
      <formula>AND(AND(NOT(ISBLANK(C27)), ISBLANK(F27)), ISBLANK(H27))</formula>
    </cfRule>
  </conditionalFormatting>
  <conditionalFormatting sqref="F27:F208">
    <cfRule type="expression" dxfId="0" priority="2">
      <formula>AND(AND(NOT(ISBLANK(C27)), ISBLANK(F27)), ISBLANK(G27))</formula>
    </cfRule>
  </conditionalFormatting>
  <conditionalFormatting sqref="K2:M2">
    <cfRule type="expression" dxfId="13" priority="3">
      <formula>IF($N$2="",true,false)</formula>
    </cfRule>
  </conditionalFormatting>
  <conditionalFormatting sqref="K3:M7">
    <cfRule type="expression" dxfId="14" priority="4">
      <formula>IF($N$2="",true,false)</formula>
    </cfRule>
  </conditionalFormatting>
  <dataValidations>
    <dataValidation type="list" allowBlank="1" showInputMessage="1" showErrorMessage="1" prompt="Every item must have a storage location." sqref="F27:F208">
      <formula1>PartyStorage</formula1>
    </dataValidation>
    <dataValidation type="list" allowBlank="1" sqref="G27:G208">
      <formula1>"Mundane,Magic,Attunement"</formula1>
    </dataValidation>
  </dataValidations>
  <hyperlinks>
    <hyperlink r:id="rId2" ref="E1"/>
    <hyperlink r:id="rId3" ref="I1"/>
  </hyperlinks>
  <drawing r:id="rId4"/>
  <legacyDrawing r:id="rId5"/>
  <tableParts count="3">
    <tablePart r:id="rId9"/>
    <tablePart r:id="rId10"/>
    <tablePart r:id="rId1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F9000"/>
  </sheetPr>
  <sheetViews>
    <sheetView showGridLines="0" workbookViewId="0"/>
  </sheetViews>
  <sheetFormatPr customHeight="1" defaultColWidth="14.43" defaultRowHeight="15.75"/>
  <cols>
    <col customWidth="1" min="1" max="1" width="1.57"/>
    <col customWidth="1" min="2" max="2" width="5.86"/>
    <col customWidth="1" min="3" max="3" width="21.57"/>
    <col customWidth="1" min="4" max="13" width="15.86"/>
    <col customWidth="1" min="14" max="14" width="1.57"/>
    <col hidden="1" min="15" max="28" width="14.43"/>
  </cols>
  <sheetData>
    <row r="1" ht="7.5" customHeight="1">
      <c r="A1" s="170" t="str">
        <f>Ch3_Name&amp;"'s Inventory"</f>
        <v>Character 3's Inventory</v>
      </c>
      <c r="B1" s="172"/>
      <c r="C1" s="174"/>
      <c r="D1" s="174"/>
      <c r="E1" s="4" t="s">
        <v>52</v>
      </c>
      <c r="F1" s="174"/>
      <c r="G1" s="176"/>
      <c r="H1" s="176"/>
      <c r="I1" s="179" t="s">
        <v>53</v>
      </c>
      <c r="J1" s="181"/>
      <c r="K1" s="176"/>
      <c r="L1" s="176"/>
      <c r="M1" s="176"/>
      <c r="N1" s="43"/>
      <c r="O1" s="176"/>
      <c r="P1" s="176"/>
      <c r="Q1" s="176"/>
      <c r="R1" s="176"/>
      <c r="S1" s="176"/>
      <c r="T1" s="176"/>
      <c r="U1" s="176"/>
      <c r="V1" s="176"/>
      <c r="W1" s="176"/>
      <c r="X1" s="176"/>
      <c r="Y1" s="176"/>
      <c r="Z1" s="176"/>
      <c r="AA1" s="176"/>
      <c r="AB1" s="176"/>
    </row>
    <row r="2" ht="18.75" customHeight="1">
      <c r="A2" s="614">
        <f>IF(ISBLANK(Ch3_Size),"",VLOOKUP(Ch3_Size,SizeMultipliers,2, FALSE))</f>
        <v>1</v>
      </c>
      <c r="B2" s="615" t="s">
        <v>56</v>
      </c>
      <c r="C2" s="616"/>
      <c r="D2" s="617"/>
      <c r="E2" s="537" t="str">
        <f>IMAGE(E1,1)</f>
        <v/>
      </c>
      <c r="G2" s="618" t="s">
        <v>57</v>
      </c>
      <c r="H2" s="619"/>
      <c r="I2" s="194" t="str">
        <f>IMAGE(I1,1)</f>
        <v/>
      </c>
      <c r="K2" s="615" t="str">
        <f>IF(ISBLANK(Ch3_MountName),"Mount",Ch3_MountName)&amp;"'s Encumbrance"</f>
        <v>Mount's Encumbrance</v>
      </c>
      <c r="L2" s="46"/>
      <c r="M2" s="620"/>
      <c r="N2" s="541" t="str">
        <f>IF(ISBLANK(Ch3_MountSize),"",VLOOKUP(Ch3_MountSize,SizeMultipliers,2, FALSE))</f>
        <v/>
      </c>
    </row>
    <row r="3" ht="18.75" customHeight="1">
      <c r="A3" s="48"/>
      <c r="B3" s="201" t="s">
        <v>60</v>
      </c>
      <c r="C3" s="621"/>
      <c r="D3" s="622">
        <f>Ch3_Str*Ch3_SizeMultiplier*5</f>
        <v>50</v>
      </c>
      <c r="G3" s="623" t="s">
        <v>61</v>
      </c>
      <c r="H3" s="624">
        <v>0.0</v>
      </c>
      <c r="K3" s="210" t="s">
        <v>60</v>
      </c>
      <c r="L3" s="621"/>
      <c r="M3" s="622">
        <f>Ch3_MountStr*Ch3_MountSizeMult*5</f>
        <v>0</v>
      </c>
      <c r="N3" s="214"/>
    </row>
    <row r="4" ht="18.75" customHeight="1">
      <c r="A4" s="48"/>
      <c r="B4" s="625" t="s">
        <v>64</v>
      </c>
      <c r="C4" s="626"/>
      <c r="D4" s="627">
        <f>Ch3_Str*Ch3_SizeMultiplier*10</f>
        <v>100</v>
      </c>
      <c r="G4" s="623" t="s">
        <v>65</v>
      </c>
      <c r="H4" s="624">
        <f>(VLOOKUP(ADD(Ch3_Level,1),XPTable_v,2))-Ch3_XP</f>
        <v>300</v>
      </c>
      <c r="K4" s="628" t="s">
        <v>64</v>
      </c>
      <c r="L4" s="626"/>
      <c r="M4" s="627">
        <f>Ch3_MountStr*Ch3_MountSizeMult*10</f>
        <v>0</v>
      </c>
      <c r="N4" s="214"/>
    </row>
    <row r="5" ht="18.75" customHeight="1">
      <c r="A5" s="48"/>
      <c r="B5" s="201" t="s">
        <v>7</v>
      </c>
      <c r="C5" s="621"/>
      <c r="D5" s="622">
        <f>Ch3_Str*Ch3_SizeMultiplier*15</f>
        <v>150</v>
      </c>
      <c r="G5" s="629" t="s">
        <v>67</v>
      </c>
      <c r="H5" s="630">
        <f>MATCH(Ch3_XP,XPTable_m,2)</f>
        <v>1</v>
      </c>
      <c r="K5" s="210" t="s">
        <v>7</v>
      </c>
      <c r="L5" s="621"/>
      <c r="M5" s="622">
        <f>Ch3_MountStr*Ch3_MountSizeMult*15</f>
        <v>0</v>
      </c>
      <c r="N5" s="214"/>
    </row>
    <row r="6" ht="18.75" customHeight="1">
      <c r="A6" s="48"/>
      <c r="B6" s="625" t="s">
        <v>68</v>
      </c>
      <c r="C6" s="626"/>
      <c r="D6" s="627">
        <f>Ch3_Str*Ch3_SizeMultiplier*30</f>
        <v>300</v>
      </c>
      <c r="G6" s="29"/>
      <c r="H6" s="29"/>
      <c r="K6" s="628" t="s">
        <v>68</v>
      </c>
      <c r="L6" s="626"/>
      <c r="M6" s="627">
        <f>Ch3_MountStr*Ch3_MountSizeMult*30</f>
        <v>0</v>
      </c>
      <c r="N6" s="214"/>
    </row>
    <row r="7" ht="18.75" customHeight="1">
      <c r="A7" s="48"/>
      <c r="B7" s="234" t="s">
        <v>45</v>
      </c>
      <c r="C7" s="631"/>
      <c r="D7" s="632">
        <f t="array" ref="D7">SUMIF(Ch2_EquipStatus,"=yes",Ch2_InventoryWeights)</f>
        <v>0</v>
      </c>
      <c r="G7" s="29"/>
      <c r="H7" s="29"/>
      <c r="K7" s="240" t="s">
        <v>45</v>
      </c>
      <c r="L7" s="631"/>
      <c r="M7" s="633">
        <f t="array" ref="M7">SUMIF(Ch3_EquipStatus,"=mount",Ch3_InventoryWeights)+Ch3_Weight+D7</f>
        <v>0</v>
      </c>
      <c r="N7" s="214"/>
    </row>
    <row r="8" ht="7.5" customHeight="1">
      <c r="A8" s="48"/>
      <c r="B8" s="255"/>
      <c r="C8" s="257"/>
      <c r="D8" s="258"/>
      <c r="E8" s="257"/>
      <c r="F8" s="257"/>
      <c r="G8" s="257"/>
      <c r="H8" s="257"/>
      <c r="I8" s="259"/>
      <c r="J8" s="261"/>
      <c r="K8" s="261"/>
      <c r="L8" s="261"/>
      <c r="M8" s="261"/>
      <c r="N8" s="214"/>
    </row>
    <row r="9" ht="18.75" customHeight="1">
      <c r="A9" s="48"/>
      <c r="B9" s="634" t="s">
        <v>16</v>
      </c>
      <c r="C9" s="616"/>
      <c r="D9" s="636" t="s">
        <v>17</v>
      </c>
      <c r="E9" s="637"/>
      <c r="F9" s="637"/>
      <c r="G9" s="637"/>
      <c r="H9" s="637"/>
      <c r="I9" s="640"/>
      <c r="J9" s="642"/>
      <c r="K9" s="642"/>
      <c r="L9" s="642"/>
      <c r="M9" s="644"/>
      <c r="N9" s="214"/>
    </row>
    <row r="10" ht="18.75" customHeight="1">
      <c r="A10" s="48"/>
      <c r="B10" s="645" t="s">
        <v>23</v>
      </c>
      <c r="C10" s="646" t="s">
        <v>10</v>
      </c>
      <c r="D10" s="646" t="s">
        <v>24</v>
      </c>
      <c r="E10" s="646" t="s">
        <v>25</v>
      </c>
      <c r="F10" s="646" t="s">
        <v>26</v>
      </c>
      <c r="G10" s="646" t="s">
        <v>27</v>
      </c>
      <c r="H10" s="646" t="s">
        <v>28</v>
      </c>
      <c r="I10" s="646" t="s">
        <v>29</v>
      </c>
      <c r="J10" s="646" t="s">
        <v>30</v>
      </c>
      <c r="K10" s="646" t="s">
        <v>31</v>
      </c>
      <c r="L10" s="646" t="s">
        <v>32</v>
      </c>
      <c r="M10" s="647" t="s">
        <v>33</v>
      </c>
      <c r="N10" s="198"/>
    </row>
    <row r="11" ht="18.75" customHeight="1">
      <c r="A11" s="48"/>
      <c r="B11" s="648">
        <v>0.0</v>
      </c>
      <c r="C11" s="649" t="s">
        <v>36</v>
      </c>
      <c r="D11" s="650">
        <f>B11</f>
        <v>0</v>
      </c>
      <c r="E11" s="650">
        <f>B11/10</f>
        <v>0</v>
      </c>
      <c r="F11" s="650">
        <f>B11/50</f>
        <v>0</v>
      </c>
      <c r="G11" s="650">
        <f>B11/100</f>
        <v>0</v>
      </c>
      <c r="H11" s="650">
        <f>B11/1000</f>
        <v>0</v>
      </c>
      <c r="I11" s="651">
        <f>B11/5000</f>
        <v>0</v>
      </c>
      <c r="J11" s="652">
        <f>B11/10000</f>
        <v>0</v>
      </c>
      <c r="K11" s="652">
        <f>B11/50000</f>
        <v>0</v>
      </c>
      <c r="L11" s="652">
        <f>B11/100000</f>
        <v>0</v>
      </c>
      <c r="M11" s="653">
        <f>B11/500000</f>
        <v>0</v>
      </c>
      <c r="N11" s="214"/>
    </row>
    <row r="12" ht="18.75" customHeight="1">
      <c r="A12" s="48"/>
      <c r="B12" s="306">
        <v>0.0</v>
      </c>
      <c r="C12" s="654" t="s">
        <v>50</v>
      </c>
      <c r="D12" s="655">
        <f>B12*10</f>
        <v>0</v>
      </c>
      <c r="E12" s="655">
        <f>B12</f>
        <v>0</v>
      </c>
      <c r="F12" s="655">
        <f>B12/5</f>
        <v>0</v>
      </c>
      <c r="G12" s="655">
        <f>B12/10</f>
        <v>0</v>
      </c>
      <c r="H12" s="655">
        <f>B12/100</f>
        <v>0</v>
      </c>
      <c r="I12" s="655">
        <f>B12/500</f>
        <v>0</v>
      </c>
      <c r="J12" s="655">
        <f>B12/1000</f>
        <v>0</v>
      </c>
      <c r="K12" s="655">
        <f>B12/5000</f>
        <v>0</v>
      </c>
      <c r="L12" s="655">
        <f>B12/10000</f>
        <v>0</v>
      </c>
      <c r="M12" s="656">
        <f>B12/50000</f>
        <v>0</v>
      </c>
      <c r="N12" s="214"/>
    </row>
    <row r="13" ht="18.75" customHeight="1">
      <c r="A13" s="48"/>
      <c r="B13" s="648">
        <v>0.0</v>
      </c>
      <c r="C13" s="649" t="s">
        <v>54</v>
      </c>
      <c r="D13" s="650">
        <f>B13*50</f>
        <v>0</v>
      </c>
      <c r="E13" s="650">
        <f>B13*5</f>
        <v>0</v>
      </c>
      <c r="F13" s="650">
        <f>B13</f>
        <v>0</v>
      </c>
      <c r="G13" s="650">
        <f>B13/2</f>
        <v>0</v>
      </c>
      <c r="H13" s="650">
        <f>B13/20</f>
        <v>0</v>
      </c>
      <c r="I13" s="650">
        <f>B13/100</f>
        <v>0</v>
      </c>
      <c r="J13" s="652">
        <f>B13/200</f>
        <v>0</v>
      </c>
      <c r="K13" s="652">
        <f>B13/1000</f>
        <v>0</v>
      </c>
      <c r="L13" s="652">
        <f>B13/2000</f>
        <v>0</v>
      </c>
      <c r="M13" s="653">
        <f>B13/10000</f>
        <v>0</v>
      </c>
      <c r="N13" s="214"/>
    </row>
    <row r="14" ht="18.75" customHeight="1">
      <c r="A14" s="48"/>
      <c r="B14" s="306">
        <v>0.0</v>
      </c>
      <c r="C14" s="654" t="s">
        <v>59</v>
      </c>
      <c r="D14" s="655">
        <f>B14*100</f>
        <v>0</v>
      </c>
      <c r="E14" s="655">
        <f>B14*10</f>
        <v>0</v>
      </c>
      <c r="F14" s="655">
        <f>B14*2</f>
        <v>0</v>
      </c>
      <c r="G14" s="655">
        <f>B14</f>
        <v>0</v>
      </c>
      <c r="H14" s="655">
        <f>B14/10</f>
        <v>0</v>
      </c>
      <c r="I14" s="655">
        <f>B14/50</f>
        <v>0</v>
      </c>
      <c r="J14" s="663">
        <f>B14/100</f>
        <v>0</v>
      </c>
      <c r="K14" s="663">
        <f>B14/500</f>
        <v>0</v>
      </c>
      <c r="L14" s="663">
        <f>B14/1000</f>
        <v>0</v>
      </c>
      <c r="M14" s="667">
        <f>B14/5000</f>
        <v>0</v>
      </c>
      <c r="N14" s="214"/>
    </row>
    <row r="15" ht="18.75" customHeight="1">
      <c r="A15" s="48"/>
      <c r="B15" s="669">
        <v>0.0</v>
      </c>
      <c r="C15" s="670" t="s">
        <v>63</v>
      </c>
      <c r="D15" s="671">
        <f>B15*1000</f>
        <v>0</v>
      </c>
      <c r="E15" s="671">
        <f>B15*100</f>
        <v>0</v>
      </c>
      <c r="F15" s="671">
        <f>B15*20</f>
        <v>0</v>
      </c>
      <c r="G15" s="671">
        <f>B15*10</f>
        <v>0</v>
      </c>
      <c r="H15" s="671">
        <f>B15*1</f>
        <v>0</v>
      </c>
      <c r="I15" s="671">
        <f>B15/5</f>
        <v>0</v>
      </c>
      <c r="J15" s="676">
        <f>B15/10</f>
        <v>0</v>
      </c>
      <c r="K15" s="676">
        <f>B15/50</f>
        <v>0</v>
      </c>
      <c r="L15" s="676">
        <f>B15/100</f>
        <v>0</v>
      </c>
      <c r="M15" s="678">
        <f>B15/500</f>
        <v>0</v>
      </c>
      <c r="N15" s="214"/>
    </row>
    <row r="16" ht="7.5" customHeight="1">
      <c r="A16" s="48"/>
      <c r="B16" s="265"/>
      <c r="C16" s="267"/>
      <c r="D16" s="267"/>
      <c r="E16" s="267"/>
      <c r="F16" s="267"/>
      <c r="G16" s="267"/>
      <c r="H16" s="267"/>
      <c r="I16" s="267"/>
      <c r="J16" s="269"/>
      <c r="K16" s="269"/>
      <c r="L16" s="269"/>
      <c r="M16" s="269"/>
      <c r="N16" s="272"/>
      <c r="O16" s="233"/>
      <c r="P16" s="233"/>
      <c r="Q16" s="233"/>
      <c r="R16" s="233"/>
      <c r="S16" s="233"/>
      <c r="T16" s="233"/>
      <c r="U16" s="233"/>
      <c r="V16" s="233"/>
      <c r="W16" s="233"/>
      <c r="X16" s="233"/>
      <c r="Y16" s="233"/>
      <c r="Z16" s="233"/>
      <c r="AA16" s="233"/>
      <c r="AB16" s="233"/>
    </row>
    <row r="17" ht="18.75" customHeight="1">
      <c r="A17" s="48"/>
      <c r="B17" s="634" t="s">
        <v>69</v>
      </c>
      <c r="C17" s="616"/>
      <c r="D17" s="636" t="s">
        <v>17</v>
      </c>
      <c r="E17" s="637"/>
      <c r="F17" s="637"/>
      <c r="G17" s="637"/>
      <c r="H17" s="637"/>
      <c r="I17" s="637"/>
      <c r="J17" s="642"/>
      <c r="K17" s="642"/>
      <c r="L17" s="642"/>
      <c r="M17" s="644"/>
      <c r="N17" s="214"/>
    </row>
    <row r="18" ht="18.75" customHeight="1">
      <c r="A18" s="48"/>
      <c r="B18" s="645" t="s">
        <v>23</v>
      </c>
      <c r="C18" s="646" t="s">
        <v>10</v>
      </c>
      <c r="D18" s="646" t="s">
        <v>24</v>
      </c>
      <c r="E18" s="646" t="s">
        <v>25</v>
      </c>
      <c r="F18" s="646" t="s">
        <v>26</v>
      </c>
      <c r="G18" s="646" t="s">
        <v>27</v>
      </c>
      <c r="H18" s="646" t="s">
        <v>28</v>
      </c>
      <c r="I18" s="646" t="s">
        <v>29</v>
      </c>
      <c r="J18" s="646" t="s">
        <v>30</v>
      </c>
      <c r="K18" s="646" t="s">
        <v>31</v>
      </c>
      <c r="L18" s="646" t="s">
        <v>32</v>
      </c>
      <c r="M18" s="647" t="s">
        <v>33</v>
      </c>
      <c r="N18" s="214"/>
    </row>
    <row r="19" ht="18.75" customHeight="1">
      <c r="A19" s="48"/>
      <c r="B19" s="681">
        <v>0.0</v>
      </c>
      <c r="C19" s="649" t="s">
        <v>70</v>
      </c>
      <c r="D19" s="650">
        <f>B19*1000</f>
        <v>0</v>
      </c>
      <c r="E19" s="650">
        <f>B19*100</f>
        <v>0</v>
      </c>
      <c r="F19" s="650">
        <f>B19*20</f>
        <v>0</v>
      </c>
      <c r="G19" s="650">
        <f>B19*10</f>
        <v>0</v>
      </c>
      <c r="H19" s="650">
        <f>B19*1</f>
        <v>0</v>
      </c>
      <c r="I19" s="650">
        <f>B19/5</f>
        <v>0</v>
      </c>
      <c r="J19" s="652">
        <f>B19/10</f>
        <v>0</v>
      </c>
      <c r="K19" s="652">
        <f>B19/50</f>
        <v>0</v>
      </c>
      <c r="L19" s="652">
        <f>B19/100</f>
        <v>0</v>
      </c>
      <c r="M19" s="653">
        <f>B19/500</f>
        <v>0</v>
      </c>
      <c r="N19" s="214"/>
    </row>
    <row r="20" ht="18.75" customHeight="1">
      <c r="A20" s="48"/>
      <c r="B20" s="684">
        <v>0.0</v>
      </c>
      <c r="C20" s="654" t="s">
        <v>71</v>
      </c>
      <c r="D20" s="655">
        <f>B20*5000</f>
        <v>0</v>
      </c>
      <c r="E20" s="655">
        <f>B20*500</f>
        <v>0</v>
      </c>
      <c r="F20" s="655">
        <f>B20*100</f>
        <v>0</v>
      </c>
      <c r="G20" s="655">
        <f>B20*50</f>
        <v>0</v>
      </c>
      <c r="H20" s="655">
        <f>B20*5</f>
        <v>0</v>
      </c>
      <c r="I20" s="655">
        <f>B20</f>
        <v>0</v>
      </c>
      <c r="J20" s="663">
        <f>B20/2</f>
        <v>0</v>
      </c>
      <c r="K20" s="663">
        <f>B20/10</f>
        <v>0</v>
      </c>
      <c r="L20" s="663">
        <f>B20/20</f>
        <v>0</v>
      </c>
      <c r="M20" s="667">
        <f>B20/100</f>
        <v>0</v>
      </c>
      <c r="N20" s="214"/>
    </row>
    <row r="21" ht="18.75" customHeight="1">
      <c r="A21" s="48"/>
      <c r="B21" s="681">
        <v>0.0</v>
      </c>
      <c r="C21" s="649" t="s">
        <v>72</v>
      </c>
      <c r="D21" s="650">
        <f>B21*10000</f>
        <v>0</v>
      </c>
      <c r="E21" s="650">
        <f>B21*1000</f>
        <v>0</v>
      </c>
      <c r="F21" s="650">
        <f>B21*200</f>
        <v>0</v>
      </c>
      <c r="G21" s="650">
        <f>B21*100</f>
        <v>0</v>
      </c>
      <c r="H21" s="650">
        <f>B21*10</f>
        <v>0</v>
      </c>
      <c r="I21" s="650">
        <f>B21/5*10</f>
        <v>0</v>
      </c>
      <c r="J21" s="652">
        <f>B21</f>
        <v>0</v>
      </c>
      <c r="K21" s="652">
        <f>B21/5</f>
        <v>0</v>
      </c>
      <c r="L21" s="652">
        <f>B21/10</f>
        <v>0</v>
      </c>
      <c r="M21" s="653">
        <f>B21/50</f>
        <v>0</v>
      </c>
      <c r="N21" s="214"/>
    </row>
    <row r="22" ht="18.75" customHeight="1">
      <c r="A22" s="48"/>
      <c r="B22" s="684">
        <v>0.0</v>
      </c>
      <c r="C22" s="654" t="s">
        <v>73</v>
      </c>
      <c r="D22" s="655">
        <f>B22*50000</f>
        <v>0</v>
      </c>
      <c r="E22" s="655">
        <f>B22*5000</f>
        <v>0</v>
      </c>
      <c r="F22" s="655">
        <f>B22*1000</f>
        <v>0</v>
      </c>
      <c r="G22" s="655">
        <f>B22*500</f>
        <v>0</v>
      </c>
      <c r="H22" s="655">
        <f>B22*50</f>
        <v>0</v>
      </c>
      <c r="I22" s="655">
        <f>B22*10</f>
        <v>0</v>
      </c>
      <c r="J22" s="663">
        <f>B22/2*10</f>
        <v>0</v>
      </c>
      <c r="K22" s="663">
        <f>B22</f>
        <v>0</v>
      </c>
      <c r="L22" s="663">
        <f>B22/2</f>
        <v>0</v>
      </c>
      <c r="M22" s="667">
        <f>B22/10</f>
        <v>0</v>
      </c>
      <c r="N22" s="214"/>
    </row>
    <row r="23" ht="18.75" customHeight="1">
      <c r="A23" s="48"/>
      <c r="B23" s="681">
        <v>0.0</v>
      </c>
      <c r="C23" s="649" t="s">
        <v>74</v>
      </c>
      <c r="D23" s="650">
        <f>B23*100000</f>
        <v>0</v>
      </c>
      <c r="E23" s="650">
        <f>B23*10000</f>
        <v>0</v>
      </c>
      <c r="F23" s="650">
        <f>B23*2000</f>
        <v>0</v>
      </c>
      <c r="G23" s="650">
        <f>B23*1000</f>
        <v>0</v>
      </c>
      <c r="H23" s="650">
        <f>B23*100</f>
        <v>0</v>
      </c>
      <c r="I23" s="650">
        <f>B23/5*100</f>
        <v>0</v>
      </c>
      <c r="J23" s="652">
        <f>B23*10</f>
        <v>0</v>
      </c>
      <c r="K23" s="652">
        <f>B23/5*10</f>
        <v>0</v>
      </c>
      <c r="L23" s="652">
        <f>B23</f>
        <v>0</v>
      </c>
      <c r="M23" s="653">
        <f>B23/5</f>
        <v>0</v>
      </c>
      <c r="N23" s="214"/>
    </row>
    <row r="24" ht="18.75" customHeight="1">
      <c r="A24" s="48"/>
      <c r="B24" s="701">
        <v>0.0</v>
      </c>
      <c r="C24" s="703" t="s">
        <v>75</v>
      </c>
      <c r="D24" s="704">
        <f>B24*500000</f>
        <v>0</v>
      </c>
      <c r="E24" s="704">
        <f>B24*50000</f>
        <v>0</v>
      </c>
      <c r="F24" s="704">
        <f>B24*10000</f>
        <v>0</v>
      </c>
      <c r="G24" s="704">
        <f>B24*5000</f>
        <v>0</v>
      </c>
      <c r="H24" s="704">
        <f>B24*500</f>
        <v>0</v>
      </c>
      <c r="I24" s="704">
        <f>B24*100</f>
        <v>0</v>
      </c>
      <c r="J24" s="705">
        <f>B24/2*100</f>
        <v>0</v>
      </c>
      <c r="K24" s="705">
        <f>B24*10</f>
        <v>0</v>
      </c>
      <c r="L24" s="705">
        <f>B24/2*10</f>
        <v>0</v>
      </c>
      <c r="M24" s="706">
        <f>B24</f>
        <v>0</v>
      </c>
      <c r="N24" s="214"/>
    </row>
    <row r="25" ht="7.5" customHeight="1">
      <c r="A25" s="48"/>
      <c r="B25" s="199"/>
      <c r="C25" s="19"/>
      <c r="D25" s="19"/>
      <c r="E25" s="19"/>
      <c r="F25" s="19"/>
      <c r="G25" s="19"/>
      <c r="H25" s="19"/>
      <c r="I25" s="19"/>
      <c r="J25" s="42"/>
      <c r="K25" s="42"/>
      <c r="L25" s="42"/>
      <c r="M25" s="42"/>
      <c r="N25" s="214"/>
    </row>
    <row r="26" ht="18.75" customHeight="1">
      <c r="A26" s="48"/>
      <c r="B26" s="708" t="s">
        <v>23</v>
      </c>
      <c r="C26" s="710" t="s">
        <v>76</v>
      </c>
      <c r="D26" s="710" t="s">
        <v>77</v>
      </c>
      <c r="E26" s="710" t="s">
        <v>78</v>
      </c>
      <c r="F26" s="710" t="s">
        <v>11</v>
      </c>
      <c r="G26" s="711" t="s">
        <v>79</v>
      </c>
      <c r="H26" s="713" t="s">
        <v>80</v>
      </c>
      <c r="I26" s="46"/>
      <c r="J26" s="46"/>
      <c r="K26" s="46"/>
      <c r="L26" s="616"/>
      <c r="M26" s="715" t="s">
        <v>81</v>
      </c>
      <c r="N26" s="445"/>
    </row>
    <row r="27" ht="18.75" customHeight="1">
      <c r="A27" s="716">
        <f>IFERROR(VLOOKUP(H27,PartyStorage,2, FALSE),0)</f>
        <v>0</v>
      </c>
      <c r="B27" s="717">
        <f>sum(Ch3_Money)</f>
        <v>0</v>
      </c>
      <c r="C27" s="655" t="s">
        <v>16</v>
      </c>
      <c r="D27" s="655">
        <v>0.02</v>
      </c>
      <c r="E27" s="655"/>
      <c r="F27" s="719"/>
      <c r="G27" s="720"/>
      <c r="H27" s="721"/>
      <c r="L27" s="621"/>
      <c r="M27" s="722">
        <f t="shared" ref="M27:M28" si="1">IF(ISBLANK(C27),"",IF(ISBLANK(B27),D27,D27*B27))</f>
        <v>0</v>
      </c>
      <c r="N27" s="214">
        <f>IFERROR(VLOOKUP(F27,Ch3_Storage,2, FALSE),0)</f>
        <v>0</v>
      </c>
    </row>
    <row r="28" ht="18.75" customHeight="1">
      <c r="A28" s="716">
        <f>IFERROR(VLOOKUP(H28,PartyStorage,2, FALSE),0)</f>
        <v>0</v>
      </c>
      <c r="B28" s="723">
        <f>sum(Ch3_Gems)</f>
        <v>0</v>
      </c>
      <c r="C28" s="650" t="s">
        <v>69</v>
      </c>
      <c r="D28" s="650">
        <v>0.02</v>
      </c>
      <c r="E28" s="652"/>
      <c r="F28" s="724"/>
      <c r="G28" s="725"/>
      <c r="H28" s="726"/>
      <c r="L28" s="626"/>
      <c r="M28" s="727">
        <f t="shared" si="1"/>
        <v>0</v>
      </c>
      <c r="N28" s="214">
        <f>IFERROR(VLOOKUP(F28,Ch3_Storage,2, FALSE),0)</f>
        <v>0</v>
      </c>
    </row>
    <row r="29" ht="18.75" customHeight="1">
      <c r="A29" s="716">
        <f>IFERROR(VLOOKUP(H29,PartyStorage,2, FALSE),0)</f>
        <v>0</v>
      </c>
      <c r="B29" s="728"/>
      <c r="C29" s="663"/>
      <c r="D29" s="663"/>
      <c r="E29" s="663"/>
      <c r="F29" s="719"/>
      <c r="G29" s="729"/>
      <c r="H29" s="721"/>
      <c r="L29" s="621"/>
      <c r="M29" s="722"/>
      <c r="N29" s="214">
        <f>IFERROR(VLOOKUP(F29,Ch3_Storage,2, FALSE),0)</f>
        <v>0</v>
      </c>
    </row>
    <row r="30" ht="18.75" customHeight="1">
      <c r="A30" s="716">
        <f>IFERROR(VLOOKUP(H30,PartyStorage,2, FALSE),0)</f>
        <v>0</v>
      </c>
      <c r="B30" s="730"/>
      <c r="C30" s="652"/>
      <c r="D30" s="652"/>
      <c r="E30" s="652"/>
      <c r="F30" s="724"/>
      <c r="G30" s="731"/>
      <c r="H30" s="726"/>
      <c r="L30" s="626"/>
      <c r="M30" s="727" t="str">
        <f t="shared" ref="M30:M208" si="2">IF(ISBLANK(C30),"",IF(ISBLANK(B30),D30,D30*B30))</f>
        <v/>
      </c>
      <c r="N30" s="214">
        <f>IFERROR(VLOOKUP(F30,Ch3_Storage,2, FALSE),0)</f>
        <v>0</v>
      </c>
    </row>
    <row r="31" ht="18.75" customHeight="1">
      <c r="A31" s="716">
        <f>IFERROR(VLOOKUP(H31,PartyStorage,2, FALSE),0)</f>
        <v>0</v>
      </c>
      <c r="B31" s="728"/>
      <c r="C31" s="663"/>
      <c r="D31" s="663"/>
      <c r="E31" s="663"/>
      <c r="F31" s="733"/>
      <c r="G31" s="729"/>
      <c r="H31" s="721"/>
      <c r="L31" s="621"/>
      <c r="M31" s="722" t="str">
        <f t="shared" si="2"/>
        <v/>
      </c>
      <c r="N31" s="214">
        <f>IFERROR(VLOOKUP(F31,Ch3_Storage,2, FALSE),0)</f>
        <v>0</v>
      </c>
    </row>
    <row r="32" ht="18.75" customHeight="1">
      <c r="A32" s="716">
        <f>IFERROR(VLOOKUP(H32,PartyStorage,2, FALSE),0)</f>
        <v>0</v>
      </c>
      <c r="B32" s="730"/>
      <c r="C32" s="652"/>
      <c r="D32" s="652"/>
      <c r="E32" s="652"/>
      <c r="F32" s="724"/>
      <c r="G32" s="731"/>
      <c r="H32" s="726"/>
      <c r="L32" s="626"/>
      <c r="M32" s="727" t="str">
        <f t="shared" si="2"/>
        <v/>
      </c>
      <c r="N32" s="214">
        <f>IFERROR(VLOOKUP(F32,Ch3_Storage,2, FALSE),0)</f>
        <v>0</v>
      </c>
    </row>
    <row r="33" ht="18.75" customHeight="1">
      <c r="A33" s="716">
        <f>IFERROR(VLOOKUP(H33,PartyStorage,2, FALSE),0)</f>
        <v>0</v>
      </c>
      <c r="B33" s="728"/>
      <c r="C33" s="663"/>
      <c r="D33" s="663"/>
      <c r="E33" s="663"/>
      <c r="F33" s="733"/>
      <c r="G33" s="729"/>
      <c r="H33" s="721"/>
      <c r="L33" s="621"/>
      <c r="M33" s="722" t="str">
        <f t="shared" si="2"/>
        <v/>
      </c>
      <c r="N33" s="214">
        <f>IFERROR(VLOOKUP(F33,Ch3_Storage,2, FALSE),0)</f>
        <v>0</v>
      </c>
    </row>
    <row r="34" ht="18.75" customHeight="1">
      <c r="A34" s="716">
        <f>IFERROR(VLOOKUP(H34,PartyStorage,2, FALSE),0)</f>
        <v>0</v>
      </c>
      <c r="B34" s="730"/>
      <c r="C34" s="652"/>
      <c r="D34" s="652"/>
      <c r="E34" s="652"/>
      <c r="F34" s="724"/>
      <c r="G34" s="731"/>
      <c r="H34" s="726"/>
      <c r="L34" s="626"/>
      <c r="M34" s="727" t="str">
        <f t="shared" si="2"/>
        <v/>
      </c>
      <c r="N34" s="214">
        <f>IFERROR(VLOOKUP(F34,Ch3_Storage,2, FALSE),0)</f>
        <v>0</v>
      </c>
    </row>
    <row r="35" ht="18.75" customHeight="1">
      <c r="A35" s="716">
        <f>IFERROR(VLOOKUP(H35,PartyStorage,2, FALSE),0)</f>
        <v>0</v>
      </c>
      <c r="B35" s="728"/>
      <c r="C35" s="663"/>
      <c r="D35" s="663"/>
      <c r="E35" s="663"/>
      <c r="F35" s="733"/>
      <c r="G35" s="729"/>
      <c r="H35" s="721"/>
      <c r="L35" s="621"/>
      <c r="M35" s="722" t="str">
        <f t="shared" si="2"/>
        <v/>
      </c>
      <c r="N35" s="214">
        <f>IFERROR(VLOOKUP(F35,Ch3_Storage,2, FALSE),0)</f>
        <v>0</v>
      </c>
    </row>
    <row r="36" ht="18.75" customHeight="1">
      <c r="A36" s="716">
        <f>IFERROR(VLOOKUP(H36,PartyStorage,2, FALSE),0)</f>
        <v>0</v>
      </c>
      <c r="B36" s="730"/>
      <c r="C36" s="652"/>
      <c r="D36" s="652"/>
      <c r="E36" s="652"/>
      <c r="F36" s="724"/>
      <c r="G36" s="731"/>
      <c r="H36" s="726"/>
      <c r="L36" s="626"/>
      <c r="M36" s="727" t="str">
        <f t="shared" si="2"/>
        <v/>
      </c>
      <c r="N36" s="214">
        <f>IFERROR(VLOOKUP(F36,Ch3_Storage,2, FALSE),0)</f>
        <v>0</v>
      </c>
    </row>
    <row r="37" ht="18.75" customHeight="1">
      <c r="A37" s="716">
        <f>IFERROR(VLOOKUP(H37,PartyStorage,2, FALSE),0)</f>
        <v>0</v>
      </c>
      <c r="B37" s="728"/>
      <c r="C37" s="663"/>
      <c r="D37" s="663"/>
      <c r="E37" s="663"/>
      <c r="F37" s="733"/>
      <c r="G37" s="729"/>
      <c r="H37" s="721"/>
      <c r="L37" s="621"/>
      <c r="M37" s="722" t="str">
        <f t="shared" si="2"/>
        <v/>
      </c>
      <c r="N37" s="214">
        <f>IFERROR(VLOOKUP(F37,Ch3_Storage,2, FALSE),0)</f>
        <v>0</v>
      </c>
    </row>
    <row r="38" ht="18.75" customHeight="1">
      <c r="A38" s="716">
        <f>IFERROR(VLOOKUP(H38,PartyStorage,2, FALSE),0)</f>
        <v>0</v>
      </c>
      <c r="B38" s="730"/>
      <c r="C38" s="652"/>
      <c r="D38" s="652"/>
      <c r="E38" s="652"/>
      <c r="F38" s="724"/>
      <c r="G38" s="731"/>
      <c r="H38" s="726"/>
      <c r="L38" s="626"/>
      <c r="M38" s="727" t="str">
        <f t="shared" si="2"/>
        <v/>
      </c>
      <c r="N38" s="214">
        <f>IFERROR(VLOOKUP(F38,Ch3_Storage,2, FALSE),0)</f>
        <v>0</v>
      </c>
    </row>
    <row r="39" ht="18.75" customHeight="1">
      <c r="A39" s="716">
        <f>IFERROR(VLOOKUP(H39,PartyStorage,2, FALSE),0)</f>
        <v>0</v>
      </c>
      <c r="B39" s="728"/>
      <c r="C39" s="663"/>
      <c r="D39" s="663"/>
      <c r="E39" s="663"/>
      <c r="F39" s="733"/>
      <c r="G39" s="729"/>
      <c r="H39" s="721"/>
      <c r="L39" s="621"/>
      <c r="M39" s="722" t="str">
        <f t="shared" si="2"/>
        <v/>
      </c>
      <c r="N39" s="214">
        <f>IFERROR(VLOOKUP(F39,Ch3_Storage,2, FALSE),0)</f>
        <v>0</v>
      </c>
    </row>
    <row r="40" ht="18.75" customHeight="1">
      <c r="A40" s="716">
        <f>IFERROR(VLOOKUP(H40,PartyStorage,2, FALSE),0)</f>
        <v>0</v>
      </c>
      <c r="B40" s="730"/>
      <c r="C40" s="652"/>
      <c r="D40" s="652"/>
      <c r="E40" s="652"/>
      <c r="F40" s="724"/>
      <c r="G40" s="731"/>
      <c r="H40" s="726"/>
      <c r="L40" s="626"/>
      <c r="M40" s="727" t="str">
        <f t="shared" si="2"/>
        <v/>
      </c>
      <c r="N40" s="214">
        <f>IFERROR(VLOOKUP(F40,Ch3_Storage,2, FALSE),0)</f>
        <v>0</v>
      </c>
    </row>
    <row r="41" ht="18.75" customHeight="1">
      <c r="A41" s="716">
        <f>IFERROR(VLOOKUP(H41,PartyStorage,2, FALSE),0)</f>
        <v>0</v>
      </c>
      <c r="B41" s="728"/>
      <c r="C41" s="663"/>
      <c r="D41" s="663"/>
      <c r="E41" s="663"/>
      <c r="F41" s="733"/>
      <c r="G41" s="729"/>
      <c r="H41" s="721"/>
      <c r="L41" s="621"/>
      <c r="M41" s="722" t="str">
        <f t="shared" si="2"/>
        <v/>
      </c>
      <c r="N41" s="214">
        <f>IFERROR(VLOOKUP(F41,Ch3_Storage,2, FALSE),0)</f>
        <v>0</v>
      </c>
    </row>
    <row r="42" ht="18.75" customHeight="1">
      <c r="A42" s="716">
        <f>IFERROR(VLOOKUP(H42,PartyStorage,2, FALSE),0)</f>
        <v>0</v>
      </c>
      <c r="B42" s="730"/>
      <c r="C42" s="652"/>
      <c r="D42" s="652"/>
      <c r="E42" s="652"/>
      <c r="F42" s="724"/>
      <c r="G42" s="731"/>
      <c r="H42" s="726"/>
      <c r="L42" s="626"/>
      <c r="M42" s="727" t="str">
        <f t="shared" si="2"/>
        <v/>
      </c>
      <c r="N42" s="214">
        <f>IFERROR(VLOOKUP(F42,Ch3_Storage,2, FALSE),0)</f>
        <v>0</v>
      </c>
    </row>
    <row r="43" ht="18.75" customHeight="1">
      <c r="A43" s="716">
        <f>IFERROR(VLOOKUP(H43,PartyStorage,2, FALSE),0)</f>
        <v>0</v>
      </c>
      <c r="B43" s="728"/>
      <c r="C43" s="663"/>
      <c r="D43" s="663"/>
      <c r="E43" s="663"/>
      <c r="F43" s="733"/>
      <c r="G43" s="729"/>
      <c r="H43" s="721"/>
      <c r="L43" s="621"/>
      <c r="M43" s="722" t="str">
        <f t="shared" si="2"/>
        <v/>
      </c>
      <c r="N43" s="214">
        <f>IFERROR(VLOOKUP(F43,Ch3_Storage,2, FALSE),0)</f>
        <v>0</v>
      </c>
    </row>
    <row r="44" ht="18.75" customHeight="1">
      <c r="A44" s="716">
        <f>IFERROR(VLOOKUP(H44,PartyStorage,2, FALSE),0)</f>
        <v>0</v>
      </c>
      <c r="B44" s="730"/>
      <c r="C44" s="652"/>
      <c r="D44" s="652"/>
      <c r="E44" s="652"/>
      <c r="F44" s="724"/>
      <c r="G44" s="731"/>
      <c r="H44" s="726"/>
      <c r="L44" s="626"/>
      <c r="M44" s="727" t="str">
        <f t="shared" si="2"/>
        <v/>
      </c>
      <c r="N44" s="214">
        <f>IFERROR(VLOOKUP(F44,Ch3_Storage,2, FALSE),0)</f>
        <v>0</v>
      </c>
    </row>
    <row r="45" ht="18.75" customHeight="1">
      <c r="A45" s="716">
        <f>IFERROR(VLOOKUP(H45,PartyStorage,2, FALSE),0)</f>
        <v>0</v>
      </c>
      <c r="B45" s="728"/>
      <c r="C45" s="663"/>
      <c r="D45" s="663"/>
      <c r="E45" s="663"/>
      <c r="F45" s="733"/>
      <c r="G45" s="729"/>
      <c r="H45" s="721"/>
      <c r="L45" s="621"/>
      <c r="M45" s="722" t="str">
        <f t="shared" si="2"/>
        <v/>
      </c>
      <c r="N45" s="214">
        <f>IFERROR(VLOOKUP(F45,Ch3_Storage,2, FALSE),0)</f>
        <v>0</v>
      </c>
    </row>
    <row r="46" ht="18.75" customHeight="1">
      <c r="A46" s="716">
        <f>IFERROR(VLOOKUP(H46,PartyStorage,2, FALSE),0)</f>
        <v>0</v>
      </c>
      <c r="B46" s="730"/>
      <c r="C46" s="652"/>
      <c r="D46" s="652"/>
      <c r="E46" s="652"/>
      <c r="F46" s="724"/>
      <c r="G46" s="731"/>
      <c r="H46" s="726"/>
      <c r="L46" s="626"/>
      <c r="M46" s="727" t="str">
        <f t="shared" si="2"/>
        <v/>
      </c>
      <c r="N46" s="214">
        <f>IFERROR(VLOOKUP(F46,Ch3_Storage,2, FALSE),0)</f>
        <v>0</v>
      </c>
    </row>
    <row r="47" ht="18.75" customHeight="1">
      <c r="A47" s="716">
        <f>IFERROR(VLOOKUP(H47,PartyStorage,2, FALSE),0)</f>
        <v>0</v>
      </c>
      <c r="B47" s="728"/>
      <c r="C47" s="663"/>
      <c r="D47" s="663"/>
      <c r="E47" s="663"/>
      <c r="F47" s="733"/>
      <c r="G47" s="729"/>
      <c r="H47" s="721"/>
      <c r="L47" s="621"/>
      <c r="M47" s="722" t="str">
        <f t="shared" si="2"/>
        <v/>
      </c>
      <c r="N47" s="214">
        <f>IFERROR(VLOOKUP(F47,Ch3_Storage,2, FALSE),0)</f>
        <v>0</v>
      </c>
    </row>
    <row r="48" ht="18.75" customHeight="1">
      <c r="A48" s="716">
        <f>IFERROR(VLOOKUP(H48,PartyStorage,2, FALSE),0)</f>
        <v>0</v>
      </c>
      <c r="B48" s="730"/>
      <c r="C48" s="652"/>
      <c r="D48" s="652"/>
      <c r="E48" s="652"/>
      <c r="F48" s="724"/>
      <c r="G48" s="731"/>
      <c r="H48" s="726"/>
      <c r="L48" s="626"/>
      <c r="M48" s="727" t="str">
        <f t="shared" si="2"/>
        <v/>
      </c>
      <c r="N48" s="214">
        <f>IFERROR(VLOOKUP(F48,Ch3_Storage,2, FALSE),0)</f>
        <v>0</v>
      </c>
    </row>
    <row r="49" ht="18.75" customHeight="1">
      <c r="A49" s="716">
        <f>IFERROR(VLOOKUP(H49,PartyStorage,2, FALSE),0)</f>
        <v>0</v>
      </c>
      <c r="B49" s="728"/>
      <c r="C49" s="663"/>
      <c r="D49" s="663"/>
      <c r="E49" s="663"/>
      <c r="F49" s="733"/>
      <c r="G49" s="729"/>
      <c r="H49" s="721"/>
      <c r="L49" s="621"/>
      <c r="M49" s="722" t="str">
        <f t="shared" si="2"/>
        <v/>
      </c>
      <c r="N49" s="214">
        <f>IFERROR(VLOOKUP(F49,Ch3_Storage,2, FALSE),0)</f>
        <v>0</v>
      </c>
    </row>
    <row r="50" ht="18.75" customHeight="1">
      <c r="A50" s="716">
        <f>IFERROR(VLOOKUP(H50,PartyStorage,2, FALSE),0)</f>
        <v>0</v>
      </c>
      <c r="B50" s="730"/>
      <c r="C50" s="652"/>
      <c r="D50" s="652"/>
      <c r="E50" s="652"/>
      <c r="F50" s="724"/>
      <c r="G50" s="731"/>
      <c r="H50" s="726"/>
      <c r="L50" s="626"/>
      <c r="M50" s="727" t="str">
        <f t="shared" si="2"/>
        <v/>
      </c>
      <c r="N50" s="214">
        <f>IFERROR(VLOOKUP(F50,Ch3_Storage,2, FALSE),0)</f>
        <v>0</v>
      </c>
    </row>
    <row r="51" ht="18.75" customHeight="1">
      <c r="A51" s="716">
        <f>IFERROR(VLOOKUP(H51,PartyStorage,2, FALSE),0)</f>
        <v>0</v>
      </c>
      <c r="B51" s="728"/>
      <c r="C51" s="663"/>
      <c r="D51" s="663"/>
      <c r="E51" s="663"/>
      <c r="F51" s="733"/>
      <c r="G51" s="729"/>
      <c r="H51" s="721"/>
      <c r="L51" s="621"/>
      <c r="M51" s="722" t="str">
        <f t="shared" si="2"/>
        <v/>
      </c>
      <c r="N51" s="214">
        <f>IFERROR(VLOOKUP(F51,Ch3_Storage,2, FALSE),0)</f>
        <v>0</v>
      </c>
    </row>
    <row r="52" ht="18.75" customHeight="1">
      <c r="A52" s="716">
        <f>IFERROR(VLOOKUP(H52,PartyStorage,2, FALSE),0)</f>
        <v>0</v>
      </c>
      <c r="B52" s="730"/>
      <c r="C52" s="652"/>
      <c r="D52" s="652"/>
      <c r="E52" s="652"/>
      <c r="F52" s="724"/>
      <c r="G52" s="731"/>
      <c r="H52" s="726"/>
      <c r="L52" s="626"/>
      <c r="M52" s="727" t="str">
        <f t="shared" si="2"/>
        <v/>
      </c>
      <c r="N52" s="214">
        <f>IFERROR(VLOOKUP(F52,Ch3_Storage,2, FALSE),0)</f>
        <v>0</v>
      </c>
    </row>
    <row r="53" ht="18.75" customHeight="1">
      <c r="A53" s="716">
        <f>IFERROR(VLOOKUP(H53,PartyStorage,2, FALSE),0)</f>
        <v>0</v>
      </c>
      <c r="B53" s="728"/>
      <c r="C53" s="663"/>
      <c r="D53" s="663"/>
      <c r="E53" s="663"/>
      <c r="F53" s="733"/>
      <c r="G53" s="729"/>
      <c r="H53" s="721"/>
      <c r="L53" s="621"/>
      <c r="M53" s="722" t="str">
        <f t="shared" si="2"/>
        <v/>
      </c>
      <c r="N53" s="214">
        <f>IFERROR(VLOOKUP(F53,Ch3_Storage,2, FALSE),0)</f>
        <v>0</v>
      </c>
    </row>
    <row r="54" ht="18.75" customHeight="1">
      <c r="A54" s="716">
        <f>IFERROR(VLOOKUP(H54,PartyStorage,2, FALSE),0)</f>
        <v>0</v>
      </c>
      <c r="B54" s="730"/>
      <c r="C54" s="652"/>
      <c r="D54" s="652"/>
      <c r="E54" s="652"/>
      <c r="F54" s="724"/>
      <c r="G54" s="731"/>
      <c r="H54" s="726"/>
      <c r="L54" s="626"/>
      <c r="M54" s="727" t="str">
        <f t="shared" si="2"/>
        <v/>
      </c>
      <c r="N54" s="214">
        <f>IFERROR(VLOOKUP(F54,Ch3_Storage,2, FALSE),0)</f>
        <v>0</v>
      </c>
    </row>
    <row r="55" ht="18.75" customHeight="1">
      <c r="A55" s="716">
        <f>IFERROR(VLOOKUP(H55,PartyStorage,2, FALSE),0)</f>
        <v>0</v>
      </c>
      <c r="B55" s="728"/>
      <c r="C55" s="663"/>
      <c r="D55" s="663"/>
      <c r="E55" s="663"/>
      <c r="F55" s="733"/>
      <c r="G55" s="729"/>
      <c r="H55" s="721"/>
      <c r="L55" s="621"/>
      <c r="M55" s="722" t="str">
        <f t="shared" si="2"/>
        <v/>
      </c>
      <c r="N55" s="214">
        <f>IFERROR(VLOOKUP(F55,Ch3_Storage,2, FALSE),0)</f>
        <v>0</v>
      </c>
    </row>
    <row r="56" ht="18.75" customHeight="1">
      <c r="A56" s="716">
        <f>IFERROR(VLOOKUP(H56,PartyStorage,2, FALSE),0)</f>
        <v>0</v>
      </c>
      <c r="B56" s="730"/>
      <c r="C56" s="652"/>
      <c r="D56" s="652"/>
      <c r="E56" s="652"/>
      <c r="F56" s="724"/>
      <c r="G56" s="731"/>
      <c r="H56" s="726"/>
      <c r="L56" s="626"/>
      <c r="M56" s="727" t="str">
        <f t="shared" si="2"/>
        <v/>
      </c>
      <c r="N56" s="214">
        <f>IFERROR(VLOOKUP(F56,Ch3_Storage,2, FALSE),0)</f>
        <v>0</v>
      </c>
    </row>
    <row r="57" ht="18.75" customHeight="1">
      <c r="A57" s="716">
        <f>IFERROR(VLOOKUP(H57,PartyStorage,2, FALSE),0)</f>
        <v>0</v>
      </c>
      <c r="B57" s="728"/>
      <c r="C57" s="663"/>
      <c r="D57" s="663"/>
      <c r="E57" s="663"/>
      <c r="F57" s="733"/>
      <c r="G57" s="729"/>
      <c r="H57" s="721"/>
      <c r="L57" s="621"/>
      <c r="M57" s="722" t="str">
        <f t="shared" si="2"/>
        <v/>
      </c>
      <c r="N57" s="214">
        <f>IFERROR(VLOOKUP(F57,Ch3_Storage,2, FALSE),0)</f>
        <v>0</v>
      </c>
    </row>
    <row r="58" ht="18.75" customHeight="1">
      <c r="A58" s="716">
        <f>IFERROR(VLOOKUP(H58,PartyStorage,2, FALSE),0)</f>
        <v>0</v>
      </c>
      <c r="B58" s="730"/>
      <c r="C58" s="652"/>
      <c r="D58" s="652"/>
      <c r="E58" s="652"/>
      <c r="F58" s="724"/>
      <c r="G58" s="731"/>
      <c r="H58" s="726"/>
      <c r="L58" s="626"/>
      <c r="M58" s="727" t="str">
        <f t="shared" si="2"/>
        <v/>
      </c>
      <c r="N58" s="214">
        <f>IFERROR(VLOOKUP(F58,Ch3_Storage,2, FALSE),0)</f>
        <v>0</v>
      </c>
    </row>
    <row r="59" ht="18.75" customHeight="1">
      <c r="A59" s="716">
        <f>IFERROR(VLOOKUP(H59,PartyStorage,2, FALSE),0)</f>
        <v>0</v>
      </c>
      <c r="B59" s="728"/>
      <c r="C59" s="663"/>
      <c r="D59" s="663"/>
      <c r="E59" s="663"/>
      <c r="F59" s="733"/>
      <c r="G59" s="729"/>
      <c r="H59" s="721"/>
      <c r="L59" s="621"/>
      <c r="M59" s="722" t="str">
        <f t="shared" si="2"/>
        <v/>
      </c>
      <c r="N59" s="214">
        <f>IFERROR(VLOOKUP(F59,Ch3_Storage,2, FALSE),0)</f>
        <v>0</v>
      </c>
    </row>
    <row r="60" ht="18.75" customHeight="1">
      <c r="A60" s="716">
        <f>IFERROR(VLOOKUP(H60,PartyStorage,2, FALSE),0)</f>
        <v>0</v>
      </c>
      <c r="B60" s="730"/>
      <c r="C60" s="652"/>
      <c r="D60" s="652"/>
      <c r="E60" s="652"/>
      <c r="F60" s="724"/>
      <c r="G60" s="731"/>
      <c r="H60" s="726"/>
      <c r="L60" s="626"/>
      <c r="M60" s="727" t="str">
        <f t="shared" si="2"/>
        <v/>
      </c>
      <c r="N60" s="214">
        <f>IFERROR(VLOOKUP(F60,Ch3_Storage,2, FALSE),0)</f>
        <v>0</v>
      </c>
    </row>
    <row r="61" ht="18.75" customHeight="1">
      <c r="A61" s="716">
        <f>IFERROR(VLOOKUP(H61,PartyStorage,2, FALSE),0)</f>
        <v>0</v>
      </c>
      <c r="B61" s="728"/>
      <c r="C61" s="663"/>
      <c r="D61" s="663"/>
      <c r="E61" s="663"/>
      <c r="F61" s="733"/>
      <c r="G61" s="729"/>
      <c r="H61" s="721"/>
      <c r="L61" s="621"/>
      <c r="M61" s="722" t="str">
        <f t="shared" si="2"/>
        <v/>
      </c>
      <c r="N61" s="214">
        <f>IFERROR(VLOOKUP(F61,Ch3_Storage,2, FALSE),0)</f>
        <v>0</v>
      </c>
    </row>
    <row r="62" ht="18.75" customHeight="1">
      <c r="A62" s="716">
        <f>IFERROR(VLOOKUP(H62,PartyStorage,2, FALSE),0)</f>
        <v>0</v>
      </c>
      <c r="B62" s="730"/>
      <c r="C62" s="652"/>
      <c r="D62" s="652"/>
      <c r="E62" s="652"/>
      <c r="F62" s="724"/>
      <c r="G62" s="731"/>
      <c r="H62" s="726"/>
      <c r="L62" s="626"/>
      <c r="M62" s="727" t="str">
        <f t="shared" si="2"/>
        <v/>
      </c>
      <c r="N62" s="214">
        <f>IFERROR(VLOOKUP(F62,Ch3_Storage,2, FALSE),0)</f>
        <v>0</v>
      </c>
    </row>
    <row r="63" ht="18.75" customHeight="1">
      <c r="A63" s="716">
        <f>IFERROR(VLOOKUP(H63,PartyStorage,2, FALSE),0)</f>
        <v>0</v>
      </c>
      <c r="B63" s="728"/>
      <c r="C63" s="663"/>
      <c r="D63" s="663"/>
      <c r="E63" s="663"/>
      <c r="F63" s="733"/>
      <c r="G63" s="729"/>
      <c r="H63" s="721"/>
      <c r="L63" s="621"/>
      <c r="M63" s="722" t="str">
        <f t="shared" si="2"/>
        <v/>
      </c>
      <c r="N63" s="214">
        <f>IFERROR(VLOOKUP(F63,Ch3_Storage,2, FALSE),0)</f>
        <v>0</v>
      </c>
    </row>
    <row r="64" ht="18.75" customHeight="1">
      <c r="A64" s="716">
        <f>IFERROR(VLOOKUP(H64,PartyStorage,2, FALSE),0)</f>
        <v>0</v>
      </c>
      <c r="B64" s="730"/>
      <c r="C64" s="652"/>
      <c r="D64" s="652"/>
      <c r="E64" s="652"/>
      <c r="F64" s="724"/>
      <c r="G64" s="731"/>
      <c r="H64" s="726"/>
      <c r="L64" s="626"/>
      <c r="M64" s="727" t="str">
        <f t="shared" si="2"/>
        <v/>
      </c>
      <c r="N64" s="214">
        <f>IFERROR(VLOOKUP(F64,Ch3_Storage,2, FALSE),0)</f>
        <v>0</v>
      </c>
    </row>
    <row r="65" ht="18.75" customHeight="1">
      <c r="A65" s="716">
        <f>IFERROR(VLOOKUP(H65,PartyStorage,2, FALSE),0)</f>
        <v>0</v>
      </c>
      <c r="B65" s="728"/>
      <c r="C65" s="663"/>
      <c r="D65" s="663"/>
      <c r="E65" s="663"/>
      <c r="F65" s="733"/>
      <c r="G65" s="729"/>
      <c r="H65" s="721"/>
      <c r="L65" s="621"/>
      <c r="M65" s="722" t="str">
        <f t="shared" si="2"/>
        <v/>
      </c>
      <c r="N65" s="214">
        <f>IFERROR(VLOOKUP(F65,Ch3_Storage,2, FALSE),0)</f>
        <v>0</v>
      </c>
    </row>
    <row r="66" ht="18.75" customHeight="1">
      <c r="A66" s="716">
        <f>IFERROR(VLOOKUP(H66,PartyStorage,2, FALSE),0)</f>
        <v>0</v>
      </c>
      <c r="B66" s="730"/>
      <c r="C66" s="652"/>
      <c r="D66" s="652"/>
      <c r="E66" s="652"/>
      <c r="F66" s="724"/>
      <c r="G66" s="731"/>
      <c r="H66" s="726"/>
      <c r="L66" s="626"/>
      <c r="M66" s="727" t="str">
        <f t="shared" si="2"/>
        <v/>
      </c>
      <c r="N66" s="214">
        <f>IFERROR(VLOOKUP(F66,Ch3_Storage,2, FALSE),0)</f>
        <v>0</v>
      </c>
    </row>
    <row r="67" ht="18.75" customHeight="1">
      <c r="A67" s="716">
        <f>IFERROR(VLOOKUP(H67,PartyStorage,2, FALSE),0)</f>
        <v>0</v>
      </c>
      <c r="B67" s="728"/>
      <c r="C67" s="663"/>
      <c r="D67" s="663"/>
      <c r="E67" s="663"/>
      <c r="F67" s="733"/>
      <c r="G67" s="729"/>
      <c r="H67" s="721"/>
      <c r="L67" s="621"/>
      <c r="M67" s="722" t="str">
        <f t="shared" si="2"/>
        <v/>
      </c>
      <c r="N67" s="214">
        <f>IFERROR(VLOOKUP(F67,Ch3_Storage,2, FALSE),0)</f>
        <v>0</v>
      </c>
    </row>
    <row r="68" ht="18.75" customHeight="1">
      <c r="A68" s="716">
        <f>IFERROR(VLOOKUP(H68,PartyStorage,2, FALSE),0)</f>
        <v>0</v>
      </c>
      <c r="B68" s="730"/>
      <c r="C68" s="652"/>
      <c r="D68" s="652"/>
      <c r="E68" s="652"/>
      <c r="F68" s="724"/>
      <c r="G68" s="731"/>
      <c r="H68" s="726"/>
      <c r="L68" s="626"/>
      <c r="M68" s="727" t="str">
        <f t="shared" si="2"/>
        <v/>
      </c>
      <c r="N68" s="214">
        <f>IFERROR(VLOOKUP(F68,Ch3_Storage,2, FALSE),0)</f>
        <v>0</v>
      </c>
    </row>
    <row r="69" ht="18.75" customHeight="1">
      <c r="A69" s="716">
        <f>IFERROR(VLOOKUP(H69,PartyStorage,2, FALSE),0)</f>
        <v>0</v>
      </c>
      <c r="B69" s="728"/>
      <c r="C69" s="663"/>
      <c r="D69" s="663"/>
      <c r="E69" s="663"/>
      <c r="F69" s="733"/>
      <c r="G69" s="729"/>
      <c r="H69" s="721"/>
      <c r="L69" s="621"/>
      <c r="M69" s="722" t="str">
        <f t="shared" si="2"/>
        <v/>
      </c>
      <c r="N69" s="214">
        <f>IFERROR(VLOOKUP(F69,Ch3_Storage,2, FALSE),0)</f>
        <v>0</v>
      </c>
    </row>
    <row r="70" ht="18.75" customHeight="1">
      <c r="A70" s="716">
        <f>IFERROR(VLOOKUP(H70,PartyStorage,2, FALSE),0)</f>
        <v>0</v>
      </c>
      <c r="B70" s="730"/>
      <c r="C70" s="652"/>
      <c r="D70" s="652"/>
      <c r="E70" s="652"/>
      <c r="F70" s="724"/>
      <c r="G70" s="731"/>
      <c r="H70" s="726"/>
      <c r="L70" s="626"/>
      <c r="M70" s="727" t="str">
        <f t="shared" si="2"/>
        <v/>
      </c>
      <c r="N70" s="214">
        <f>IFERROR(VLOOKUP(F70,Ch3_Storage,2, FALSE),0)</f>
        <v>0</v>
      </c>
    </row>
    <row r="71" ht="18.75" customHeight="1">
      <c r="A71" s="716">
        <f>IFERROR(VLOOKUP(H71,PartyStorage,2, FALSE),0)</f>
        <v>0</v>
      </c>
      <c r="B71" s="728"/>
      <c r="C71" s="663"/>
      <c r="D71" s="663"/>
      <c r="E71" s="663"/>
      <c r="F71" s="733"/>
      <c r="G71" s="729"/>
      <c r="H71" s="721"/>
      <c r="L71" s="621"/>
      <c r="M71" s="722" t="str">
        <f t="shared" si="2"/>
        <v/>
      </c>
      <c r="N71" s="214">
        <f>IFERROR(VLOOKUP(F71,Ch3_Storage,2, FALSE),0)</f>
        <v>0</v>
      </c>
    </row>
    <row r="72" ht="18.75" customHeight="1">
      <c r="A72" s="716">
        <f>IFERROR(VLOOKUP(H72,PartyStorage,2, FALSE),0)</f>
        <v>0</v>
      </c>
      <c r="B72" s="730"/>
      <c r="C72" s="652"/>
      <c r="D72" s="652"/>
      <c r="E72" s="652"/>
      <c r="F72" s="724"/>
      <c r="G72" s="731"/>
      <c r="H72" s="726"/>
      <c r="L72" s="626"/>
      <c r="M72" s="727" t="str">
        <f t="shared" si="2"/>
        <v/>
      </c>
      <c r="N72" s="214">
        <f>IFERROR(VLOOKUP(F72,Ch3_Storage,2, FALSE),0)</f>
        <v>0</v>
      </c>
    </row>
    <row r="73" ht="18.75" customHeight="1">
      <c r="A73" s="716">
        <f>IFERROR(VLOOKUP(H73,PartyStorage,2, FALSE),0)</f>
        <v>0</v>
      </c>
      <c r="B73" s="728"/>
      <c r="C73" s="663"/>
      <c r="D73" s="663"/>
      <c r="E73" s="663"/>
      <c r="F73" s="733"/>
      <c r="G73" s="729"/>
      <c r="H73" s="721"/>
      <c r="L73" s="621"/>
      <c r="M73" s="722" t="str">
        <f t="shared" si="2"/>
        <v/>
      </c>
      <c r="N73" s="214">
        <f>IFERROR(VLOOKUP(F73,Ch3_Storage,2, FALSE),0)</f>
        <v>0</v>
      </c>
    </row>
    <row r="74" ht="18.75" customHeight="1">
      <c r="A74" s="716">
        <f>IFERROR(VLOOKUP(H74,PartyStorage,2, FALSE),0)</f>
        <v>0</v>
      </c>
      <c r="B74" s="730"/>
      <c r="C74" s="652"/>
      <c r="D74" s="652"/>
      <c r="E74" s="652"/>
      <c r="F74" s="724"/>
      <c r="G74" s="731"/>
      <c r="H74" s="726"/>
      <c r="L74" s="626"/>
      <c r="M74" s="727" t="str">
        <f t="shared" si="2"/>
        <v/>
      </c>
      <c r="N74" s="214">
        <f>IFERROR(VLOOKUP(F74,Ch3_Storage,2, FALSE),0)</f>
        <v>0</v>
      </c>
    </row>
    <row r="75" ht="18.75" customHeight="1">
      <c r="A75" s="716">
        <f>IFERROR(VLOOKUP(H75,PartyStorage,2, FALSE),0)</f>
        <v>0</v>
      </c>
      <c r="B75" s="728"/>
      <c r="C75" s="663"/>
      <c r="D75" s="663"/>
      <c r="E75" s="663"/>
      <c r="F75" s="733"/>
      <c r="G75" s="729"/>
      <c r="H75" s="721"/>
      <c r="L75" s="621"/>
      <c r="M75" s="722" t="str">
        <f t="shared" si="2"/>
        <v/>
      </c>
      <c r="N75" s="214">
        <f>IFERROR(VLOOKUP(F75,Ch3_Storage,2, FALSE),0)</f>
        <v>0</v>
      </c>
    </row>
    <row r="76" ht="18.75" customHeight="1">
      <c r="A76" s="716">
        <f>IFERROR(VLOOKUP(H76,PartyStorage,2, FALSE),0)</f>
        <v>0</v>
      </c>
      <c r="B76" s="730"/>
      <c r="C76" s="652"/>
      <c r="D76" s="652"/>
      <c r="E76" s="652"/>
      <c r="F76" s="724"/>
      <c r="G76" s="731"/>
      <c r="H76" s="726"/>
      <c r="L76" s="626"/>
      <c r="M76" s="727" t="str">
        <f t="shared" si="2"/>
        <v/>
      </c>
      <c r="N76" s="214">
        <f>IFERROR(VLOOKUP(F76,Ch3_Storage,2, FALSE),0)</f>
        <v>0</v>
      </c>
    </row>
    <row r="77" ht="18.75" customHeight="1">
      <c r="A77" s="716">
        <f>IFERROR(VLOOKUP(H77,PartyStorage,2, FALSE),0)</f>
        <v>0</v>
      </c>
      <c r="B77" s="728"/>
      <c r="C77" s="663"/>
      <c r="D77" s="663"/>
      <c r="E77" s="663"/>
      <c r="F77" s="733"/>
      <c r="G77" s="729"/>
      <c r="H77" s="721"/>
      <c r="L77" s="621"/>
      <c r="M77" s="722" t="str">
        <f t="shared" si="2"/>
        <v/>
      </c>
      <c r="N77" s="214">
        <f>IFERROR(VLOOKUP(F77,Ch3_Storage,2, FALSE),0)</f>
        <v>0</v>
      </c>
    </row>
    <row r="78" ht="18.75" customHeight="1">
      <c r="A78" s="716">
        <f>IFERROR(VLOOKUP(H78,PartyStorage,2, FALSE),0)</f>
        <v>0</v>
      </c>
      <c r="B78" s="730"/>
      <c r="C78" s="652"/>
      <c r="D78" s="652"/>
      <c r="E78" s="652"/>
      <c r="F78" s="724"/>
      <c r="G78" s="731"/>
      <c r="H78" s="726"/>
      <c r="L78" s="626"/>
      <c r="M78" s="727" t="str">
        <f t="shared" si="2"/>
        <v/>
      </c>
      <c r="N78" s="214">
        <f>IFERROR(VLOOKUP(F78,Ch3_Storage,2, FALSE),0)</f>
        <v>0</v>
      </c>
    </row>
    <row r="79" ht="18.75" customHeight="1">
      <c r="A79" s="716">
        <f>IFERROR(VLOOKUP(H79,PartyStorage,2, FALSE),0)</f>
        <v>0</v>
      </c>
      <c r="B79" s="728"/>
      <c r="C79" s="663"/>
      <c r="D79" s="663"/>
      <c r="E79" s="663"/>
      <c r="F79" s="733"/>
      <c r="G79" s="729"/>
      <c r="H79" s="721"/>
      <c r="L79" s="621"/>
      <c r="M79" s="722" t="str">
        <f t="shared" si="2"/>
        <v/>
      </c>
      <c r="N79" s="214">
        <f>IFERROR(VLOOKUP(F79,Ch3_Storage,2, FALSE),0)</f>
        <v>0</v>
      </c>
    </row>
    <row r="80" ht="18.75" customHeight="1">
      <c r="A80" s="716">
        <f>IFERROR(VLOOKUP(H80,PartyStorage,2, FALSE),0)</f>
        <v>0</v>
      </c>
      <c r="B80" s="730"/>
      <c r="C80" s="652"/>
      <c r="D80" s="652"/>
      <c r="E80" s="652"/>
      <c r="F80" s="724"/>
      <c r="G80" s="731"/>
      <c r="H80" s="726"/>
      <c r="L80" s="626"/>
      <c r="M80" s="727" t="str">
        <f t="shared" si="2"/>
        <v/>
      </c>
      <c r="N80" s="214">
        <f>IFERROR(VLOOKUP(F80,Ch3_Storage,2, FALSE),0)</f>
        <v>0</v>
      </c>
    </row>
    <row r="81" ht="18.75" customHeight="1">
      <c r="A81" s="716">
        <f>IFERROR(VLOOKUP(H81,PartyStorage,2, FALSE),0)</f>
        <v>0</v>
      </c>
      <c r="B81" s="728"/>
      <c r="C81" s="663"/>
      <c r="D81" s="663"/>
      <c r="E81" s="663"/>
      <c r="F81" s="733"/>
      <c r="G81" s="729"/>
      <c r="H81" s="721"/>
      <c r="L81" s="621"/>
      <c r="M81" s="722" t="str">
        <f t="shared" si="2"/>
        <v/>
      </c>
      <c r="N81" s="214">
        <f>IFERROR(VLOOKUP(F81,Ch3_Storage,2, FALSE),0)</f>
        <v>0</v>
      </c>
    </row>
    <row r="82" ht="18.75" customHeight="1">
      <c r="A82" s="716">
        <f>IFERROR(VLOOKUP(H82,PartyStorage,2, FALSE),0)</f>
        <v>0</v>
      </c>
      <c r="B82" s="730"/>
      <c r="C82" s="652"/>
      <c r="D82" s="652"/>
      <c r="E82" s="652"/>
      <c r="F82" s="724"/>
      <c r="G82" s="731"/>
      <c r="H82" s="726"/>
      <c r="L82" s="626"/>
      <c r="M82" s="727" t="str">
        <f t="shared" si="2"/>
        <v/>
      </c>
      <c r="N82" s="214">
        <f>IFERROR(VLOOKUP(F82,Ch3_Storage,2, FALSE),0)</f>
        <v>0</v>
      </c>
    </row>
    <row r="83" ht="18.75" customHeight="1">
      <c r="A83" s="716">
        <f>IFERROR(VLOOKUP(H83,PartyStorage,2, FALSE),0)</f>
        <v>0</v>
      </c>
      <c r="B83" s="728"/>
      <c r="C83" s="663"/>
      <c r="D83" s="663"/>
      <c r="E83" s="663"/>
      <c r="F83" s="733"/>
      <c r="G83" s="729"/>
      <c r="H83" s="721"/>
      <c r="L83" s="621"/>
      <c r="M83" s="722" t="str">
        <f t="shared" si="2"/>
        <v/>
      </c>
      <c r="N83" s="214">
        <f>IFERROR(VLOOKUP(F83,Ch3_Storage,2, FALSE),0)</f>
        <v>0</v>
      </c>
    </row>
    <row r="84" ht="18.75" customHeight="1">
      <c r="A84" s="716">
        <f>IFERROR(VLOOKUP(H84,PartyStorage,2, FALSE),0)</f>
        <v>0</v>
      </c>
      <c r="B84" s="730"/>
      <c r="C84" s="652"/>
      <c r="D84" s="652"/>
      <c r="E84" s="652"/>
      <c r="F84" s="724"/>
      <c r="G84" s="731"/>
      <c r="H84" s="726"/>
      <c r="L84" s="626"/>
      <c r="M84" s="727" t="str">
        <f t="shared" si="2"/>
        <v/>
      </c>
      <c r="N84" s="214">
        <f>IFERROR(VLOOKUP(F84,Ch3_Storage,2, FALSE),0)</f>
        <v>0</v>
      </c>
    </row>
    <row r="85" ht="18.75" customHeight="1">
      <c r="A85" s="716">
        <f>IFERROR(VLOOKUP(H85,PartyStorage,2, FALSE),0)</f>
        <v>0</v>
      </c>
      <c r="B85" s="728"/>
      <c r="C85" s="663"/>
      <c r="D85" s="663"/>
      <c r="E85" s="663"/>
      <c r="F85" s="733"/>
      <c r="G85" s="729"/>
      <c r="H85" s="721"/>
      <c r="L85" s="621"/>
      <c r="M85" s="722" t="str">
        <f t="shared" si="2"/>
        <v/>
      </c>
      <c r="N85" s="214">
        <f>IFERROR(VLOOKUP(F85,Ch3_Storage,2, FALSE),0)</f>
        <v>0</v>
      </c>
    </row>
    <row r="86" ht="18.75" customHeight="1">
      <c r="A86" s="716">
        <f>IFERROR(VLOOKUP(H86,PartyStorage,2, FALSE),0)</f>
        <v>0</v>
      </c>
      <c r="B86" s="730"/>
      <c r="C86" s="652"/>
      <c r="D86" s="652"/>
      <c r="E86" s="652"/>
      <c r="F86" s="724"/>
      <c r="G86" s="731"/>
      <c r="H86" s="726"/>
      <c r="L86" s="626"/>
      <c r="M86" s="727" t="str">
        <f t="shared" si="2"/>
        <v/>
      </c>
      <c r="N86" s="214">
        <f>IFERROR(VLOOKUP(F86,Ch3_Storage,2, FALSE),0)</f>
        <v>0</v>
      </c>
    </row>
    <row r="87" ht="18.75" customHeight="1">
      <c r="A87" s="716">
        <f>IFERROR(VLOOKUP(H87,PartyStorage,2, FALSE),0)</f>
        <v>0</v>
      </c>
      <c r="B87" s="728"/>
      <c r="C87" s="663"/>
      <c r="D87" s="663"/>
      <c r="E87" s="663"/>
      <c r="F87" s="733"/>
      <c r="G87" s="729"/>
      <c r="H87" s="721"/>
      <c r="L87" s="621"/>
      <c r="M87" s="722" t="str">
        <f t="shared" si="2"/>
        <v/>
      </c>
      <c r="N87" s="214">
        <f>IFERROR(VLOOKUP(F87,Ch3_Storage,2, FALSE),0)</f>
        <v>0</v>
      </c>
    </row>
    <row r="88" ht="18.75" customHeight="1">
      <c r="A88" s="716">
        <f>IFERROR(VLOOKUP(H88,PartyStorage,2, FALSE),0)</f>
        <v>0</v>
      </c>
      <c r="B88" s="730"/>
      <c r="C88" s="652"/>
      <c r="D88" s="652"/>
      <c r="E88" s="652"/>
      <c r="F88" s="724"/>
      <c r="G88" s="731"/>
      <c r="H88" s="726"/>
      <c r="L88" s="626"/>
      <c r="M88" s="727" t="str">
        <f t="shared" si="2"/>
        <v/>
      </c>
      <c r="N88" s="214">
        <f>IFERROR(VLOOKUP(F88,Ch3_Storage,2, FALSE),0)</f>
        <v>0</v>
      </c>
    </row>
    <row r="89" ht="18.75" customHeight="1">
      <c r="A89" s="716">
        <f>IFERROR(VLOOKUP(H89,PartyStorage,2, FALSE),0)</f>
        <v>0</v>
      </c>
      <c r="B89" s="728"/>
      <c r="C89" s="663"/>
      <c r="D89" s="663"/>
      <c r="E89" s="663"/>
      <c r="F89" s="733"/>
      <c r="G89" s="729"/>
      <c r="H89" s="721"/>
      <c r="L89" s="621"/>
      <c r="M89" s="722" t="str">
        <f t="shared" si="2"/>
        <v/>
      </c>
      <c r="N89" s="214">
        <f>IFERROR(VLOOKUP(F89,Ch3_Storage,2, FALSE),0)</f>
        <v>0</v>
      </c>
    </row>
    <row r="90" ht="18.75" customHeight="1">
      <c r="A90" s="716">
        <f>IFERROR(VLOOKUP(H90,PartyStorage,2, FALSE),0)</f>
        <v>0</v>
      </c>
      <c r="B90" s="730"/>
      <c r="C90" s="652"/>
      <c r="D90" s="652"/>
      <c r="E90" s="652"/>
      <c r="F90" s="724"/>
      <c r="G90" s="731"/>
      <c r="H90" s="726"/>
      <c r="L90" s="626"/>
      <c r="M90" s="727" t="str">
        <f t="shared" si="2"/>
        <v/>
      </c>
      <c r="N90" s="214">
        <f>IFERROR(VLOOKUP(F90,Ch3_Storage,2, FALSE),0)</f>
        <v>0</v>
      </c>
    </row>
    <row r="91" ht="18.75" customHeight="1">
      <c r="A91" s="716">
        <f>IFERROR(VLOOKUP(H91,PartyStorage,2, FALSE),0)</f>
        <v>0</v>
      </c>
      <c r="B91" s="728"/>
      <c r="C91" s="663"/>
      <c r="D91" s="663"/>
      <c r="E91" s="663"/>
      <c r="F91" s="733"/>
      <c r="G91" s="729"/>
      <c r="H91" s="721"/>
      <c r="L91" s="621"/>
      <c r="M91" s="722" t="str">
        <f t="shared" si="2"/>
        <v/>
      </c>
      <c r="N91" s="214">
        <f>IFERROR(VLOOKUP(F91,Ch3_Storage,2, FALSE),0)</f>
        <v>0</v>
      </c>
    </row>
    <row r="92" ht="18.75" customHeight="1">
      <c r="A92" s="716">
        <f>IFERROR(VLOOKUP(H92,PartyStorage,2, FALSE),0)</f>
        <v>0</v>
      </c>
      <c r="B92" s="730"/>
      <c r="C92" s="652"/>
      <c r="D92" s="652"/>
      <c r="E92" s="652"/>
      <c r="F92" s="724"/>
      <c r="G92" s="731"/>
      <c r="H92" s="726"/>
      <c r="L92" s="626"/>
      <c r="M92" s="727" t="str">
        <f t="shared" si="2"/>
        <v/>
      </c>
      <c r="N92" s="214">
        <f>IFERROR(VLOOKUP(F92,Ch3_Storage,2, FALSE),0)</f>
        <v>0</v>
      </c>
    </row>
    <row r="93" ht="18.75" customHeight="1">
      <c r="A93" s="716">
        <f>IFERROR(VLOOKUP(H93,PartyStorage,2, FALSE),0)</f>
        <v>0</v>
      </c>
      <c r="B93" s="728"/>
      <c r="C93" s="663"/>
      <c r="D93" s="663"/>
      <c r="E93" s="663"/>
      <c r="F93" s="733"/>
      <c r="G93" s="729"/>
      <c r="H93" s="721"/>
      <c r="L93" s="621"/>
      <c r="M93" s="722" t="str">
        <f t="shared" si="2"/>
        <v/>
      </c>
      <c r="N93" s="214">
        <f>IFERROR(VLOOKUP(F93,Ch3_Storage,2, FALSE),0)</f>
        <v>0</v>
      </c>
    </row>
    <row r="94" ht="18.75" customHeight="1">
      <c r="A94" s="716">
        <f>IFERROR(VLOOKUP(H94,PartyStorage,2, FALSE),0)</f>
        <v>0</v>
      </c>
      <c r="B94" s="730"/>
      <c r="C94" s="652"/>
      <c r="D94" s="652"/>
      <c r="E94" s="652"/>
      <c r="F94" s="724"/>
      <c r="G94" s="731"/>
      <c r="H94" s="726"/>
      <c r="L94" s="626"/>
      <c r="M94" s="727" t="str">
        <f t="shared" si="2"/>
        <v/>
      </c>
      <c r="N94" s="214">
        <f>IFERROR(VLOOKUP(F94,Ch3_Storage,2, FALSE),0)</f>
        <v>0</v>
      </c>
    </row>
    <row r="95" ht="18.75" customHeight="1">
      <c r="A95" s="716">
        <f>IFERROR(VLOOKUP(H95,PartyStorage,2, FALSE),0)</f>
        <v>0</v>
      </c>
      <c r="B95" s="728"/>
      <c r="C95" s="663"/>
      <c r="D95" s="663"/>
      <c r="E95" s="663"/>
      <c r="F95" s="733"/>
      <c r="G95" s="729"/>
      <c r="H95" s="721"/>
      <c r="L95" s="621"/>
      <c r="M95" s="722" t="str">
        <f t="shared" si="2"/>
        <v/>
      </c>
      <c r="N95" s="214">
        <f>IFERROR(VLOOKUP(F95,Ch3_Storage,2, FALSE),0)</f>
        <v>0</v>
      </c>
    </row>
    <row r="96" ht="18.75" customHeight="1">
      <c r="A96" s="716">
        <f>IFERROR(VLOOKUP(H96,PartyStorage,2, FALSE),0)</f>
        <v>0</v>
      </c>
      <c r="B96" s="730"/>
      <c r="C96" s="652"/>
      <c r="D96" s="652"/>
      <c r="E96" s="652"/>
      <c r="F96" s="724"/>
      <c r="G96" s="731"/>
      <c r="H96" s="726"/>
      <c r="L96" s="626"/>
      <c r="M96" s="727" t="str">
        <f t="shared" si="2"/>
        <v/>
      </c>
      <c r="N96" s="214">
        <f>IFERROR(VLOOKUP(F96,Ch3_Storage,2, FALSE),0)</f>
        <v>0</v>
      </c>
    </row>
    <row r="97" ht="18.75" customHeight="1">
      <c r="A97" s="716">
        <f>IFERROR(VLOOKUP(H97,PartyStorage,2, FALSE),0)</f>
        <v>0</v>
      </c>
      <c r="B97" s="728"/>
      <c r="C97" s="663"/>
      <c r="D97" s="663"/>
      <c r="E97" s="663"/>
      <c r="F97" s="733"/>
      <c r="G97" s="729"/>
      <c r="H97" s="721"/>
      <c r="L97" s="621"/>
      <c r="M97" s="722" t="str">
        <f t="shared" si="2"/>
        <v/>
      </c>
      <c r="N97" s="214">
        <f>IFERROR(VLOOKUP(F97,Ch3_Storage,2, FALSE),0)</f>
        <v>0</v>
      </c>
    </row>
    <row r="98" ht="18.75" customHeight="1">
      <c r="A98" s="716">
        <f>IFERROR(VLOOKUP(H98,PartyStorage,2, FALSE),0)</f>
        <v>0</v>
      </c>
      <c r="B98" s="730"/>
      <c r="C98" s="652"/>
      <c r="D98" s="652"/>
      <c r="E98" s="652"/>
      <c r="F98" s="724"/>
      <c r="G98" s="731"/>
      <c r="H98" s="726"/>
      <c r="L98" s="626"/>
      <c r="M98" s="727" t="str">
        <f t="shared" si="2"/>
        <v/>
      </c>
      <c r="N98" s="214">
        <f>IFERROR(VLOOKUP(F98,Ch3_Storage,2, FALSE),0)</f>
        <v>0</v>
      </c>
    </row>
    <row r="99" ht="18.75" customHeight="1">
      <c r="A99" s="716">
        <f>IFERROR(VLOOKUP(H99,PartyStorage,2, FALSE),0)</f>
        <v>0</v>
      </c>
      <c r="B99" s="728"/>
      <c r="C99" s="663"/>
      <c r="D99" s="663"/>
      <c r="E99" s="663"/>
      <c r="F99" s="733"/>
      <c r="G99" s="729"/>
      <c r="H99" s="721"/>
      <c r="L99" s="621"/>
      <c r="M99" s="722" t="str">
        <f t="shared" si="2"/>
        <v/>
      </c>
      <c r="N99" s="214">
        <f>IFERROR(VLOOKUP(F99,Ch3_Storage,2, FALSE),0)</f>
        <v>0</v>
      </c>
    </row>
    <row r="100" ht="18.75" customHeight="1">
      <c r="A100" s="716">
        <f>IFERROR(VLOOKUP(H100,PartyStorage,2, FALSE),0)</f>
        <v>0</v>
      </c>
      <c r="B100" s="730"/>
      <c r="C100" s="652"/>
      <c r="D100" s="652"/>
      <c r="E100" s="652"/>
      <c r="F100" s="724"/>
      <c r="G100" s="731"/>
      <c r="H100" s="726"/>
      <c r="L100" s="626"/>
      <c r="M100" s="727" t="str">
        <f t="shared" si="2"/>
        <v/>
      </c>
      <c r="N100" s="214">
        <f>IFERROR(VLOOKUP(F100,Ch3_Storage,2, FALSE),0)</f>
        <v>0</v>
      </c>
    </row>
    <row r="101" ht="18.75" customHeight="1">
      <c r="A101" s="716">
        <f>IFERROR(VLOOKUP(H101,PartyStorage,2, FALSE),0)</f>
        <v>0</v>
      </c>
      <c r="B101" s="728"/>
      <c r="C101" s="663"/>
      <c r="D101" s="663"/>
      <c r="E101" s="663"/>
      <c r="F101" s="733"/>
      <c r="G101" s="729"/>
      <c r="H101" s="721"/>
      <c r="L101" s="621"/>
      <c r="M101" s="722" t="str">
        <f t="shared" si="2"/>
        <v/>
      </c>
      <c r="N101" s="214">
        <f>IFERROR(VLOOKUP(F101,Ch3_Storage,2, FALSE),0)</f>
        <v>0</v>
      </c>
    </row>
    <row r="102" ht="18.75" customHeight="1">
      <c r="A102" s="716">
        <f>IFERROR(VLOOKUP(H102,PartyStorage,2, FALSE),0)</f>
        <v>0</v>
      </c>
      <c r="B102" s="730"/>
      <c r="C102" s="652"/>
      <c r="D102" s="652"/>
      <c r="E102" s="652"/>
      <c r="F102" s="724"/>
      <c r="G102" s="731"/>
      <c r="H102" s="726"/>
      <c r="L102" s="626"/>
      <c r="M102" s="727" t="str">
        <f t="shared" si="2"/>
        <v/>
      </c>
      <c r="N102" s="214">
        <f>IFERROR(VLOOKUP(F102,Ch3_Storage,2, FALSE),0)</f>
        <v>0</v>
      </c>
    </row>
    <row r="103" ht="18.75" customHeight="1">
      <c r="A103" s="716">
        <f>IFERROR(VLOOKUP(H103,PartyStorage,2, FALSE),0)</f>
        <v>0</v>
      </c>
      <c r="B103" s="728"/>
      <c r="C103" s="663"/>
      <c r="D103" s="663"/>
      <c r="E103" s="663"/>
      <c r="F103" s="733"/>
      <c r="G103" s="729"/>
      <c r="H103" s="721"/>
      <c r="L103" s="621"/>
      <c r="M103" s="722" t="str">
        <f t="shared" si="2"/>
        <v/>
      </c>
      <c r="N103" s="214">
        <f>IFERROR(VLOOKUP(F103,Ch3_Storage,2, FALSE),0)</f>
        <v>0</v>
      </c>
    </row>
    <row r="104" ht="18.75" customHeight="1">
      <c r="A104" s="716">
        <f>IFERROR(VLOOKUP(H104,PartyStorage,2, FALSE),0)</f>
        <v>0</v>
      </c>
      <c r="B104" s="730"/>
      <c r="C104" s="652"/>
      <c r="D104" s="652"/>
      <c r="E104" s="652"/>
      <c r="F104" s="724"/>
      <c r="G104" s="731"/>
      <c r="H104" s="726"/>
      <c r="L104" s="626"/>
      <c r="M104" s="727" t="str">
        <f t="shared" si="2"/>
        <v/>
      </c>
      <c r="N104" s="214">
        <f>IFERROR(VLOOKUP(F104,Ch3_Storage,2, FALSE),0)</f>
        <v>0</v>
      </c>
    </row>
    <row r="105" ht="18.75" customHeight="1">
      <c r="A105" s="716">
        <f>IFERROR(VLOOKUP(H105,PartyStorage,2, FALSE),0)</f>
        <v>0</v>
      </c>
      <c r="B105" s="728"/>
      <c r="C105" s="663"/>
      <c r="D105" s="663"/>
      <c r="E105" s="663"/>
      <c r="F105" s="733"/>
      <c r="G105" s="729"/>
      <c r="H105" s="721"/>
      <c r="L105" s="621"/>
      <c r="M105" s="722" t="str">
        <f t="shared" si="2"/>
        <v/>
      </c>
      <c r="N105" s="214">
        <f>IFERROR(VLOOKUP(F105,Ch3_Storage,2, FALSE),0)</f>
        <v>0</v>
      </c>
    </row>
    <row r="106" ht="18.75" customHeight="1">
      <c r="A106" s="716">
        <f>IFERROR(VLOOKUP(H106,PartyStorage,2, FALSE),0)</f>
        <v>0</v>
      </c>
      <c r="B106" s="730"/>
      <c r="C106" s="652"/>
      <c r="D106" s="652"/>
      <c r="E106" s="652"/>
      <c r="F106" s="724"/>
      <c r="G106" s="731"/>
      <c r="H106" s="726"/>
      <c r="L106" s="626"/>
      <c r="M106" s="727" t="str">
        <f t="shared" si="2"/>
        <v/>
      </c>
      <c r="N106" s="214">
        <f>IFERROR(VLOOKUP(F106,Ch3_Storage,2, FALSE),0)</f>
        <v>0</v>
      </c>
    </row>
    <row r="107" ht="18.75" customHeight="1">
      <c r="A107" s="716">
        <f>IFERROR(VLOOKUP(H107,PartyStorage,2, FALSE),0)</f>
        <v>0</v>
      </c>
      <c r="B107" s="728"/>
      <c r="C107" s="663"/>
      <c r="D107" s="663"/>
      <c r="E107" s="663"/>
      <c r="F107" s="733"/>
      <c r="G107" s="729"/>
      <c r="H107" s="721"/>
      <c r="L107" s="621"/>
      <c r="M107" s="722" t="str">
        <f t="shared" si="2"/>
        <v/>
      </c>
      <c r="N107" s="214">
        <f>IFERROR(VLOOKUP(F107,Ch3_Storage,2, FALSE),0)</f>
        <v>0</v>
      </c>
    </row>
    <row r="108" ht="18.75" customHeight="1">
      <c r="A108" s="716">
        <f>IFERROR(VLOOKUP(H108,PartyStorage,2, FALSE),0)</f>
        <v>0</v>
      </c>
      <c r="B108" s="730"/>
      <c r="C108" s="652"/>
      <c r="D108" s="652"/>
      <c r="E108" s="652"/>
      <c r="F108" s="724"/>
      <c r="G108" s="731"/>
      <c r="H108" s="726"/>
      <c r="L108" s="626"/>
      <c r="M108" s="727" t="str">
        <f t="shared" si="2"/>
        <v/>
      </c>
      <c r="N108" s="214">
        <f>IFERROR(VLOOKUP(F108,Ch3_Storage,2, FALSE),0)</f>
        <v>0</v>
      </c>
    </row>
    <row r="109" ht="18.75" customHeight="1">
      <c r="A109" s="716">
        <f>IFERROR(VLOOKUP(H109,PartyStorage,2, FALSE),0)</f>
        <v>0</v>
      </c>
      <c r="B109" s="728"/>
      <c r="C109" s="663"/>
      <c r="D109" s="663"/>
      <c r="E109" s="663"/>
      <c r="F109" s="733"/>
      <c r="G109" s="729"/>
      <c r="H109" s="721"/>
      <c r="L109" s="621"/>
      <c r="M109" s="722" t="str">
        <f t="shared" si="2"/>
        <v/>
      </c>
      <c r="N109" s="214">
        <f>IFERROR(VLOOKUP(F109,Ch3_Storage,2, FALSE),0)</f>
        <v>0</v>
      </c>
    </row>
    <row r="110" ht="18.75" customHeight="1">
      <c r="A110" s="716">
        <f>IFERROR(VLOOKUP(H110,PartyStorage,2, FALSE),0)</f>
        <v>0</v>
      </c>
      <c r="B110" s="730"/>
      <c r="C110" s="652"/>
      <c r="D110" s="652"/>
      <c r="E110" s="652"/>
      <c r="F110" s="724"/>
      <c r="G110" s="731"/>
      <c r="H110" s="726"/>
      <c r="L110" s="626"/>
      <c r="M110" s="727" t="str">
        <f t="shared" si="2"/>
        <v/>
      </c>
      <c r="N110" s="214">
        <f>IFERROR(VLOOKUP(F110,Ch3_Storage,2, FALSE),0)</f>
        <v>0</v>
      </c>
    </row>
    <row r="111" ht="18.75" customHeight="1">
      <c r="A111" s="716">
        <f>IFERROR(VLOOKUP(H111,PartyStorage,2, FALSE),0)</f>
        <v>0</v>
      </c>
      <c r="B111" s="728"/>
      <c r="C111" s="663"/>
      <c r="D111" s="663"/>
      <c r="E111" s="663"/>
      <c r="F111" s="733"/>
      <c r="G111" s="729"/>
      <c r="H111" s="721"/>
      <c r="L111" s="621"/>
      <c r="M111" s="722" t="str">
        <f t="shared" si="2"/>
        <v/>
      </c>
      <c r="N111" s="214">
        <f>IFERROR(VLOOKUP(F111,Ch3_Storage,2, FALSE),0)</f>
        <v>0</v>
      </c>
    </row>
    <row r="112" ht="18.75" customHeight="1">
      <c r="A112" s="716">
        <f>IFERROR(VLOOKUP(H112,PartyStorage,2, FALSE),0)</f>
        <v>0</v>
      </c>
      <c r="B112" s="730"/>
      <c r="C112" s="652"/>
      <c r="D112" s="652"/>
      <c r="E112" s="652"/>
      <c r="F112" s="724"/>
      <c r="G112" s="731"/>
      <c r="H112" s="726"/>
      <c r="L112" s="626"/>
      <c r="M112" s="727" t="str">
        <f t="shared" si="2"/>
        <v/>
      </c>
      <c r="N112" s="214">
        <f>IFERROR(VLOOKUP(F112,Ch3_Storage,2, FALSE),0)</f>
        <v>0</v>
      </c>
    </row>
    <row r="113" ht="18.75" customHeight="1">
      <c r="A113" s="716">
        <f>IFERROR(VLOOKUP(H113,PartyStorage,2, FALSE),0)</f>
        <v>0</v>
      </c>
      <c r="B113" s="728"/>
      <c r="C113" s="663"/>
      <c r="D113" s="663"/>
      <c r="E113" s="663"/>
      <c r="F113" s="733"/>
      <c r="G113" s="729"/>
      <c r="H113" s="721"/>
      <c r="L113" s="621"/>
      <c r="M113" s="722" t="str">
        <f t="shared" si="2"/>
        <v/>
      </c>
      <c r="N113" s="214">
        <f>IFERROR(VLOOKUP(F113,Ch3_Storage,2, FALSE),0)</f>
        <v>0</v>
      </c>
    </row>
    <row r="114" ht="18.75" customHeight="1">
      <c r="A114" s="716">
        <f>IFERROR(VLOOKUP(H114,PartyStorage,2, FALSE),0)</f>
        <v>0</v>
      </c>
      <c r="B114" s="730"/>
      <c r="C114" s="652"/>
      <c r="D114" s="652"/>
      <c r="E114" s="652"/>
      <c r="F114" s="724"/>
      <c r="G114" s="731"/>
      <c r="H114" s="726"/>
      <c r="L114" s="626"/>
      <c r="M114" s="727" t="str">
        <f t="shared" si="2"/>
        <v/>
      </c>
      <c r="N114" s="214">
        <f>IFERROR(VLOOKUP(F114,Ch3_Storage,2, FALSE),0)</f>
        <v>0</v>
      </c>
    </row>
    <row r="115" ht="18.75" customHeight="1">
      <c r="A115" s="716">
        <f>IFERROR(VLOOKUP(H115,PartyStorage,2, FALSE),0)</f>
        <v>0</v>
      </c>
      <c r="B115" s="728"/>
      <c r="C115" s="663"/>
      <c r="D115" s="663"/>
      <c r="E115" s="663"/>
      <c r="F115" s="733"/>
      <c r="G115" s="729"/>
      <c r="H115" s="721"/>
      <c r="L115" s="621"/>
      <c r="M115" s="722" t="str">
        <f t="shared" si="2"/>
        <v/>
      </c>
      <c r="N115" s="214">
        <f>IFERROR(VLOOKUP(F115,Ch3_Storage,2, FALSE),0)</f>
        <v>0</v>
      </c>
    </row>
    <row r="116" ht="18.75" customHeight="1">
      <c r="A116" s="716">
        <f>IFERROR(VLOOKUP(H116,PartyStorage,2, FALSE),0)</f>
        <v>0</v>
      </c>
      <c r="B116" s="730"/>
      <c r="C116" s="652"/>
      <c r="D116" s="652"/>
      <c r="E116" s="652"/>
      <c r="F116" s="724"/>
      <c r="G116" s="731"/>
      <c r="H116" s="726"/>
      <c r="L116" s="626"/>
      <c r="M116" s="727" t="str">
        <f t="shared" si="2"/>
        <v/>
      </c>
      <c r="N116" s="214">
        <f>IFERROR(VLOOKUP(F116,Ch3_Storage,2, FALSE),0)</f>
        <v>0</v>
      </c>
    </row>
    <row r="117" ht="18.75" customHeight="1">
      <c r="A117" s="716">
        <f>IFERROR(VLOOKUP(H117,PartyStorage,2, FALSE),0)</f>
        <v>0</v>
      </c>
      <c r="B117" s="728"/>
      <c r="C117" s="663"/>
      <c r="D117" s="663"/>
      <c r="E117" s="663"/>
      <c r="F117" s="733"/>
      <c r="G117" s="729"/>
      <c r="H117" s="721"/>
      <c r="L117" s="621"/>
      <c r="M117" s="722" t="str">
        <f t="shared" si="2"/>
        <v/>
      </c>
      <c r="N117" s="214">
        <f>IFERROR(VLOOKUP(F117,Ch3_Storage,2, FALSE),0)</f>
        <v>0</v>
      </c>
    </row>
    <row r="118" ht="18.75" customHeight="1">
      <c r="A118" s="716">
        <f>IFERROR(VLOOKUP(H118,PartyStorage,2, FALSE),0)</f>
        <v>0</v>
      </c>
      <c r="B118" s="730"/>
      <c r="C118" s="652"/>
      <c r="D118" s="652"/>
      <c r="E118" s="652"/>
      <c r="F118" s="724"/>
      <c r="G118" s="731"/>
      <c r="H118" s="726"/>
      <c r="L118" s="626"/>
      <c r="M118" s="727" t="str">
        <f t="shared" si="2"/>
        <v/>
      </c>
      <c r="N118" s="214">
        <f>IFERROR(VLOOKUP(F118,Ch3_Storage,2, FALSE),0)</f>
        <v>0</v>
      </c>
    </row>
    <row r="119" ht="18.75" customHeight="1">
      <c r="A119" s="716">
        <f>IFERROR(VLOOKUP(H119,PartyStorage,2, FALSE),0)</f>
        <v>0</v>
      </c>
      <c r="B119" s="728"/>
      <c r="C119" s="663"/>
      <c r="D119" s="663"/>
      <c r="E119" s="663"/>
      <c r="F119" s="733"/>
      <c r="G119" s="729"/>
      <c r="H119" s="721"/>
      <c r="L119" s="621"/>
      <c r="M119" s="722" t="str">
        <f t="shared" si="2"/>
        <v/>
      </c>
      <c r="N119" s="214">
        <f>IFERROR(VLOOKUP(F119,Ch3_Storage,2, FALSE),0)</f>
        <v>0</v>
      </c>
    </row>
    <row r="120" ht="18.75" customHeight="1">
      <c r="A120" s="716">
        <f>IFERROR(VLOOKUP(H120,PartyStorage,2, FALSE),0)</f>
        <v>0</v>
      </c>
      <c r="B120" s="730"/>
      <c r="C120" s="652"/>
      <c r="D120" s="652"/>
      <c r="E120" s="652"/>
      <c r="F120" s="724"/>
      <c r="G120" s="731"/>
      <c r="H120" s="726"/>
      <c r="L120" s="626"/>
      <c r="M120" s="727" t="str">
        <f t="shared" si="2"/>
        <v/>
      </c>
      <c r="N120" s="214">
        <f>IFERROR(VLOOKUP(F120,Ch3_Storage,2, FALSE),0)</f>
        <v>0</v>
      </c>
    </row>
    <row r="121" ht="18.75" customHeight="1">
      <c r="A121" s="716">
        <f>IFERROR(VLOOKUP(H121,PartyStorage,2, FALSE),0)</f>
        <v>0</v>
      </c>
      <c r="B121" s="728"/>
      <c r="C121" s="663"/>
      <c r="D121" s="663"/>
      <c r="E121" s="663"/>
      <c r="F121" s="733"/>
      <c r="G121" s="729"/>
      <c r="H121" s="721"/>
      <c r="L121" s="621"/>
      <c r="M121" s="722" t="str">
        <f t="shared" si="2"/>
        <v/>
      </c>
      <c r="N121" s="214">
        <f>IFERROR(VLOOKUP(F121,Ch3_Storage,2, FALSE),0)</f>
        <v>0</v>
      </c>
    </row>
    <row r="122" ht="18.75" customHeight="1">
      <c r="A122" s="716">
        <f>IFERROR(VLOOKUP(H122,PartyStorage,2, FALSE),0)</f>
        <v>0</v>
      </c>
      <c r="B122" s="730"/>
      <c r="C122" s="652"/>
      <c r="D122" s="652"/>
      <c r="E122" s="652"/>
      <c r="F122" s="724"/>
      <c r="G122" s="731"/>
      <c r="H122" s="726"/>
      <c r="L122" s="626"/>
      <c r="M122" s="727" t="str">
        <f t="shared" si="2"/>
        <v/>
      </c>
      <c r="N122" s="214">
        <f>IFERROR(VLOOKUP(F122,Ch3_Storage,2, FALSE),0)</f>
        <v>0</v>
      </c>
    </row>
    <row r="123" ht="18.75" customHeight="1">
      <c r="A123" s="716">
        <f>IFERROR(VLOOKUP(H123,PartyStorage,2, FALSE),0)</f>
        <v>0</v>
      </c>
      <c r="B123" s="728"/>
      <c r="C123" s="663"/>
      <c r="D123" s="663"/>
      <c r="E123" s="663"/>
      <c r="F123" s="733"/>
      <c r="G123" s="729"/>
      <c r="H123" s="721"/>
      <c r="L123" s="621"/>
      <c r="M123" s="722" t="str">
        <f t="shared" si="2"/>
        <v/>
      </c>
      <c r="N123" s="214">
        <f>IFERROR(VLOOKUP(F123,Ch3_Storage,2, FALSE),0)</f>
        <v>0</v>
      </c>
    </row>
    <row r="124" ht="18.75" customHeight="1">
      <c r="A124" s="716">
        <f>IFERROR(VLOOKUP(H124,PartyStorage,2, FALSE),0)</f>
        <v>0</v>
      </c>
      <c r="B124" s="730"/>
      <c r="C124" s="652"/>
      <c r="D124" s="652"/>
      <c r="E124" s="652"/>
      <c r="F124" s="724"/>
      <c r="G124" s="731"/>
      <c r="H124" s="726"/>
      <c r="L124" s="626"/>
      <c r="M124" s="727" t="str">
        <f t="shared" si="2"/>
        <v/>
      </c>
      <c r="N124" s="214">
        <f>IFERROR(VLOOKUP(F124,Ch3_Storage,2, FALSE),0)</f>
        <v>0</v>
      </c>
    </row>
    <row r="125" ht="18.75" customHeight="1">
      <c r="A125" s="716">
        <f>IFERROR(VLOOKUP(H125,PartyStorage,2, FALSE),0)</f>
        <v>0</v>
      </c>
      <c r="B125" s="728"/>
      <c r="C125" s="663"/>
      <c r="D125" s="663"/>
      <c r="E125" s="663"/>
      <c r="F125" s="733"/>
      <c r="G125" s="729"/>
      <c r="H125" s="721"/>
      <c r="L125" s="621"/>
      <c r="M125" s="722" t="str">
        <f t="shared" si="2"/>
        <v/>
      </c>
      <c r="N125" s="214">
        <f>IFERROR(VLOOKUP(F125,Ch3_Storage,2, FALSE),0)</f>
        <v>0</v>
      </c>
    </row>
    <row r="126" ht="18.75" customHeight="1">
      <c r="A126" s="716">
        <f>IFERROR(VLOOKUP(H126,PartyStorage,2, FALSE),0)</f>
        <v>0</v>
      </c>
      <c r="B126" s="730"/>
      <c r="C126" s="652"/>
      <c r="D126" s="652"/>
      <c r="E126" s="652"/>
      <c r="F126" s="724"/>
      <c r="G126" s="731"/>
      <c r="H126" s="726"/>
      <c r="L126" s="626"/>
      <c r="M126" s="727" t="str">
        <f t="shared" si="2"/>
        <v/>
      </c>
      <c r="N126" s="214">
        <f>IFERROR(VLOOKUP(F126,Ch3_Storage,2, FALSE),0)</f>
        <v>0</v>
      </c>
    </row>
    <row r="127" ht="18.75" customHeight="1">
      <c r="A127" s="716">
        <f>IFERROR(VLOOKUP(H127,PartyStorage,2, FALSE),0)</f>
        <v>0</v>
      </c>
      <c r="B127" s="728"/>
      <c r="C127" s="663"/>
      <c r="D127" s="663"/>
      <c r="E127" s="663"/>
      <c r="F127" s="733"/>
      <c r="G127" s="729"/>
      <c r="H127" s="721"/>
      <c r="L127" s="621"/>
      <c r="M127" s="722" t="str">
        <f t="shared" si="2"/>
        <v/>
      </c>
      <c r="N127" s="214">
        <f>IFERROR(VLOOKUP(F127,Ch3_Storage,2, FALSE),0)</f>
        <v>0</v>
      </c>
    </row>
    <row r="128" ht="18.75" customHeight="1">
      <c r="A128" s="716">
        <f>IFERROR(VLOOKUP(H128,PartyStorage,2, FALSE),0)</f>
        <v>0</v>
      </c>
      <c r="B128" s="730"/>
      <c r="C128" s="652"/>
      <c r="D128" s="652"/>
      <c r="E128" s="652"/>
      <c r="F128" s="724"/>
      <c r="G128" s="731"/>
      <c r="H128" s="726"/>
      <c r="L128" s="626"/>
      <c r="M128" s="727" t="str">
        <f t="shared" si="2"/>
        <v/>
      </c>
      <c r="N128" s="214">
        <f>IFERROR(VLOOKUP(F128,Ch3_Storage,2, FALSE),0)</f>
        <v>0</v>
      </c>
    </row>
    <row r="129" ht="18.75" customHeight="1">
      <c r="A129" s="716">
        <f>IFERROR(VLOOKUP(H129,PartyStorage,2, FALSE),0)</f>
        <v>0</v>
      </c>
      <c r="B129" s="728"/>
      <c r="C129" s="663"/>
      <c r="D129" s="663"/>
      <c r="E129" s="663"/>
      <c r="F129" s="733"/>
      <c r="G129" s="729"/>
      <c r="H129" s="721"/>
      <c r="L129" s="621"/>
      <c r="M129" s="722" t="str">
        <f t="shared" si="2"/>
        <v/>
      </c>
      <c r="N129" s="214">
        <f>IFERROR(VLOOKUP(F129,Ch3_Storage,2, FALSE),0)</f>
        <v>0</v>
      </c>
    </row>
    <row r="130" ht="18.75" customHeight="1">
      <c r="A130" s="716">
        <f>IFERROR(VLOOKUP(H130,PartyStorage,2, FALSE),0)</f>
        <v>0</v>
      </c>
      <c r="B130" s="730"/>
      <c r="C130" s="652"/>
      <c r="D130" s="652"/>
      <c r="E130" s="652"/>
      <c r="F130" s="724"/>
      <c r="G130" s="731"/>
      <c r="H130" s="726"/>
      <c r="L130" s="626"/>
      <c r="M130" s="727" t="str">
        <f t="shared" si="2"/>
        <v/>
      </c>
      <c r="N130" s="214">
        <f>IFERROR(VLOOKUP(F130,Ch3_Storage,2, FALSE),0)</f>
        <v>0</v>
      </c>
    </row>
    <row r="131" ht="18.75" customHeight="1">
      <c r="A131" s="716">
        <f>IFERROR(VLOOKUP(H131,PartyStorage,2, FALSE),0)</f>
        <v>0</v>
      </c>
      <c r="B131" s="728"/>
      <c r="C131" s="663"/>
      <c r="D131" s="663"/>
      <c r="E131" s="663"/>
      <c r="F131" s="733"/>
      <c r="G131" s="729"/>
      <c r="H131" s="721"/>
      <c r="L131" s="621"/>
      <c r="M131" s="722" t="str">
        <f t="shared" si="2"/>
        <v/>
      </c>
      <c r="N131" s="214">
        <f>IFERROR(VLOOKUP(F131,Ch3_Storage,2, FALSE),0)</f>
        <v>0</v>
      </c>
    </row>
    <row r="132" ht="18.75" customHeight="1">
      <c r="A132" s="716">
        <f>IFERROR(VLOOKUP(H132,PartyStorage,2, FALSE),0)</f>
        <v>0</v>
      </c>
      <c r="B132" s="730"/>
      <c r="C132" s="652"/>
      <c r="D132" s="652"/>
      <c r="E132" s="652"/>
      <c r="F132" s="724"/>
      <c r="G132" s="731"/>
      <c r="H132" s="726"/>
      <c r="L132" s="626"/>
      <c r="M132" s="727" t="str">
        <f t="shared" si="2"/>
        <v/>
      </c>
      <c r="N132" s="214">
        <f>IFERROR(VLOOKUP(F132,Ch3_Storage,2, FALSE),0)</f>
        <v>0</v>
      </c>
    </row>
    <row r="133" ht="18.75" customHeight="1">
      <c r="A133" s="716">
        <f>IFERROR(VLOOKUP(H133,PartyStorage,2, FALSE),0)</f>
        <v>0</v>
      </c>
      <c r="B133" s="728"/>
      <c r="C133" s="663"/>
      <c r="D133" s="663"/>
      <c r="E133" s="663"/>
      <c r="F133" s="733"/>
      <c r="G133" s="729"/>
      <c r="H133" s="721"/>
      <c r="L133" s="621"/>
      <c r="M133" s="722" t="str">
        <f t="shared" si="2"/>
        <v/>
      </c>
      <c r="N133" s="214">
        <f>IFERROR(VLOOKUP(F133,Ch3_Storage,2, FALSE),0)</f>
        <v>0</v>
      </c>
    </row>
    <row r="134" ht="18.75" customHeight="1">
      <c r="A134" s="716">
        <f>IFERROR(VLOOKUP(H134,PartyStorage,2, FALSE),0)</f>
        <v>0</v>
      </c>
      <c r="B134" s="730"/>
      <c r="C134" s="652"/>
      <c r="D134" s="652"/>
      <c r="E134" s="652"/>
      <c r="F134" s="724"/>
      <c r="G134" s="731"/>
      <c r="H134" s="726"/>
      <c r="L134" s="626"/>
      <c r="M134" s="727" t="str">
        <f t="shared" si="2"/>
        <v/>
      </c>
      <c r="N134" s="214">
        <f>IFERROR(VLOOKUP(F134,Ch3_Storage,2, FALSE),0)</f>
        <v>0</v>
      </c>
    </row>
    <row r="135" ht="18.75" customHeight="1">
      <c r="A135" s="716">
        <f>IFERROR(VLOOKUP(H135,PartyStorage,2, FALSE),0)</f>
        <v>0</v>
      </c>
      <c r="B135" s="728"/>
      <c r="C135" s="663"/>
      <c r="D135" s="663"/>
      <c r="E135" s="663"/>
      <c r="F135" s="733"/>
      <c r="G135" s="729"/>
      <c r="H135" s="721"/>
      <c r="L135" s="621"/>
      <c r="M135" s="722" t="str">
        <f t="shared" si="2"/>
        <v/>
      </c>
      <c r="N135" s="214">
        <f>IFERROR(VLOOKUP(F135,Ch3_Storage,2, FALSE),0)</f>
        <v>0</v>
      </c>
    </row>
    <row r="136" ht="18.75" customHeight="1">
      <c r="A136" s="716">
        <f>IFERROR(VLOOKUP(H136,PartyStorage,2, FALSE),0)</f>
        <v>0</v>
      </c>
      <c r="B136" s="730"/>
      <c r="C136" s="652"/>
      <c r="D136" s="652"/>
      <c r="E136" s="652"/>
      <c r="F136" s="724"/>
      <c r="G136" s="731"/>
      <c r="H136" s="726"/>
      <c r="L136" s="626"/>
      <c r="M136" s="727" t="str">
        <f t="shared" si="2"/>
        <v/>
      </c>
      <c r="N136" s="214">
        <f>IFERROR(VLOOKUP(F136,Ch3_Storage,2, FALSE),0)</f>
        <v>0</v>
      </c>
    </row>
    <row r="137" ht="18.75" customHeight="1">
      <c r="A137" s="716">
        <f>IFERROR(VLOOKUP(H137,PartyStorage,2, FALSE),0)</f>
        <v>0</v>
      </c>
      <c r="B137" s="728"/>
      <c r="C137" s="663"/>
      <c r="D137" s="663"/>
      <c r="E137" s="663"/>
      <c r="F137" s="733"/>
      <c r="G137" s="729"/>
      <c r="H137" s="721"/>
      <c r="L137" s="621"/>
      <c r="M137" s="722" t="str">
        <f t="shared" si="2"/>
        <v/>
      </c>
      <c r="N137" s="214">
        <f>IFERROR(VLOOKUP(F137,Ch3_Storage,2, FALSE),0)</f>
        <v>0</v>
      </c>
    </row>
    <row r="138" ht="18.75" customHeight="1">
      <c r="A138" s="716">
        <f>IFERROR(VLOOKUP(H138,PartyStorage,2, FALSE),0)</f>
        <v>0</v>
      </c>
      <c r="B138" s="730"/>
      <c r="C138" s="652"/>
      <c r="D138" s="652"/>
      <c r="E138" s="652"/>
      <c r="F138" s="724"/>
      <c r="G138" s="731"/>
      <c r="H138" s="726"/>
      <c r="L138" s="626"/>
      <c r="M138" s="727" t="str">
        <f t="shared" si="2"/>
        <v/>
      </c>
      <c r="N138" s="214">
        <f>IFERROR(VLOOKUP(F138,Ch3_Storage,2, FALSE),0)</f>
        <v>0</v>
      </c>
    </row>
    <row r="139" ht="18.75" customHeight="1">
      <c r="A139" s="716">
        <f>IFERROR(VLOOKUP(H139,PartyStorage,2, FALSE),0)</f>
        <v>0</v>
      </c>
      <c r="B139" s="728"/>
      <c r="C139" s="663"/>
      <c r="D139" s="663"/>
      <c r="E139" s="663"/>
      <c r="F139" s="733"/>
      <c r="G139" s="729"/>
      <c r="H139" s="721"/>
      <c r="L139" s="621"/>
      <c r="M139" s="722" t="str">
        <f t="shared" si="2"/>
        <v/>
      </c>
      <c r="N139" s="214">
        <f>IFERROR(VLOOKUP(F139,Ch3_Storage,2, FALSE),0)</f>
        <v>0</v>
      </c>
    </row>
    <row r="140" ht="18.75" customHeight="1">
      <c r="A140" s="716">
        <f>IFERROR(VLOOKUP(H140,PartyStorage,2, FALSE),0)</f>
        <v>0</v>
      </c>
      <c r="B140" s="730"/>
      <c r="C140" s="652"/>
      <c r="D140" s="652"/>
      <c r="E140" s="652"/>
      <c r="F140" s="724"/>
      <c r="G140" s="731"/>
      <c r="H140" s="726"/>
      <c r="L140" s="626"/>
      <c r="M140" s="727" t="str">
        <f t="shared" si="2"/>
        <v/>
      </c>
      <c r="N140" s="214">
        <f>IFERROR(VLOOKUP(F140,Ch3_Storage,2, FALSE),0)</f>
        <v>0</v>
      </c>
    </row>
    <row r="141" ht="18.75" customHeight="1">
      <c r="A141" s="716">
        <f>IFERROR(VLOOKUP(H141,PartyStorage,2, FALSE),0)</f>
        <v>0</v>
      </c>
      <c r="B141" s="728"/>
      <c r="C141" s="663"/>
      <c r="D141" s="663"/>
      <c r="E141" s="663"/>
      <c r="F141" s="733"/>
      <c r="G141" s="729"/>
      <c r="H141" s="721"/>
      <c r="L141" s="621"/>
      <c r="M141" s="722" t="str">
        <f t="shared" si="2"/>
        <v/>
      </c>
      <c r="N141" s="214">
        <f>IFERROR(VLOOKUP(F141,Ch3_Storage,2, FALSE),0)</f>
        <v>0</v>
      </c>
    </row>
    <row r="142" ht="18.75" customHeight="1">
      <c r="A142" s="716">
        <f>IFERROR(VLOOKUP(H142,PartyStorage,2, FALSE),0)</f>
        <v>0</v>
      </c>
      <c r="B142" s="730"/>
      <c r="C142" s="652"/>
      <c r="D142" s="652"/>
      <c r="E142" s="652"/>
      <c r="F142" s="724"/>
      <c r="G142" s="731"/>
      <c r="H142" s="726"/>
      <c r="L142" s="626"/>
      <c r="M142" s="727" t="str">
        <f t="shared" si="2"/>
        <v/>
      </c>
      <c r="N142" s="214">
        <f>IFERROR(VLOOKUP(F142,Ch3_Storage,2, FALSE),0)</f>
        <v>0</v>
      </c>
    </row>
    <row r="143" ht="18.75" customHeight="1">
      <c r="A143" s="716">
        <f>IFERROR(VLOOKUP(H143,PartyStorage,2, FALSE),0)</f>
        <v>0</v>
      </c>
      <c r="B143" s="728"/>
      <c r="C143" s="663"/>
      <c r="D143" s="663"/>
      <c r="E143" s="663"/>
      <c r="F143" s="733"/>
      <c r="G143" s="729"/>
      <c r="H143" s="721"/>
      <c r="L143" s="621"/>
      <c r="M143" s="722" t="str">
        <f t="shared" si="2"/>
        <v/>
      </c>
      <c r="N143" s="214">
        <f>IFERROR(VLOOKUP(F143,Ch3_Storage,2, FALSE),0)</f>
        <v>0</v>
      </c>
    </row>
    <row r="144" ht="18.75" customHeight="1">
      <c r="A144" s="716">
        <f>IFERROR(VLOOKUP(H144,PartyStorage,2, FALSE),0)</f>
        <v>0</v>
      </c>
      <c r="B144" s="730"/>
      <c r="C144" s="652"/>
      <c r="D144" s="652"/>
      <c r="E144" s="652"/>
      <c r="F144" s="724"/>
      <c r="G144" s="731"/>
      <c r="H144" s="726"/>
      <c r="L144" s="626"/>
      <c r="M144" s="727" t="str">
        <f t="shared" si="2"/>
        <v/>
      </c>
      <c r="N144" s="214">
        <f>IFERROR(VLOOKUP(F144,Ch3_Storage,2, FALSE),0)</f>
        <v>0</v>
      </c>
    </row>
    <row r="145" ht="18.75" customHeight="1">
      <c r="A145" s="716">
        <f>IFERROR(VLOOKUP(H145,PartyStorage,2, FALSE),0)</f>
        <v>0</v>
      </c>
      <c r="B145" s="728"/>
      <c r="C145" s="663"/>
      <c r="D145" s="663"/>
      <c r="E145" s="663"/>
      <c r="F145" s="733"/>
      <c r="G145" s="729"/>
      <c r="H145" s="721"/>
      <c r="L145" s="621"/>
      <c r="M145" s="722" t="str">
        <f t="shared" si="2"/>
        <v/>
      </c>
      <c r="N145" s="214">
        <f>IFERROR(VLOOKUP(F145,Ch3_Storage,2, FALSE),0)</f>
        <v>0</v>
      </c>
    </row>
    <row r="146" ht="18.75" customHeight="1">
      <c r="A146" s="716">
        <f>IFERROR(VLOOKUP(H146,PartyStorage,2, FALSE),0)</f>
        <v>0</v>
      </c>
      <c r="B146" s="730"/>
      <c r="C146" s="652"/>
      <c r="D146" s="652"/>
      <c r="E146" s="652"/>
      <c r="F146" s="724"/>
      <c r="G146" s="731"/>
      <c r="H146" s="726"/>
      <c r="L146" s="626"/>
      <c r="M146" s="727" t="str">
        <f t="shared" si="2"/>
        <v/>
      </c>
      <c r="N146" s="214">
        <f>IFERROR(VLOOKUP(F146,Ch3_Storage,2, FALSE),0)</f>
        <v>0</v>
      </c>
    </row>
    <row r="147" ht="18.75" customHeight="1">
      <c r="A147" s="716">
        <f>IFERROR(VLOOKUP(H147,PartyStorage,2, FALSE),0)</f>
        <v>0</v>
      </c>
      <c r="B147" s="728"/>
      <c r="C147" s="663"/>
      <c r="D147" s="663"/>
      <c r="E147" s="663"/>
      <c r="F147" s="733"/>
      <c r="G147" s="729"/>
      <c r="H147" s="721"/>
      <c r="L147" s="621"/>
      <c r="M147" s="722" t="str">
        <f t="shared" si="2"/>
        <v/>
      </c>
      <c r="N147" s="214">
        <f>IFERROR(VLOOKUP(F147,Ch3_Storage,2, FALSE),0)</f>
        <v>0</v>
      </c>
    </row>
    <row r="148" ht="18.75" customHeight="1">
      <c r="A148" s="716">
        <f>IFERROR(VLOOKUP(H148,PartyStorage,2, FALSE),0)</f>
        <v>0</v>
      </c>
      <c r="B148" s="730"/>
      <c r="C148" s="652"/>
      <c r="D148" s="652"/>
      <c r="E148" s="652"/>
      <c r="F148" s="724"/>
      <c r="G148" s="731"/>
      <c r="H148" s="726"/>
      <c r="L148" s="626"/>
      <c r="M148" s="727" t="str">
        <f t="shared" si="2"/>
        <v/>
      </c>
      <c r="N148" s="214">
        <f>IFERROR(VLOOKUP(F148,Ch3_Storage,2, FALSE),0)</f>
        <v>0</v>
      </c>
    </row>
    <row r="149" ht="18.75" customHeight="1">
      <c r="A149" s="716">
        <f>IFERROR(VLOOKUP(H149,PartyStorage,2, FALSE),0)</f>
        <v>0</v>
      </c>
      <c r="B149" s="728"/>
      <c r="C149" s="663"/>
      <c r="D149" s="663"/>
      <c r="E149" s="663"/>
      <c r="F149" s="733"/>
      <c r="G149" s="729"/>
      <c r="H149" s="721"/>
      <c r="L149" s="621"/>
      <c r="M149" s="722" t="str">
        <f t="shared" si="2"/>
        <v/>
      </c>
      <c r="N149" s="214">
        <f>IFERROR(VLOOKUP(F149,Ch3_Storage,2, FALSE),0)</f>
        <v>0</v>
      </c>
    </row>
    <row r="150" ht="18.75" customHeight="1">
      <c r="A150" s="716">
        <f>IFERROR(VLOOKUP(H150,PartyStorage,2, FALSE),0)</f>
        <v>0</v>
      </c>
      <c r="B150" s="730"/>
      <c r="C150" s="652"/>
      <c r="D150" s="652"/>
      <c r="E150" s="652"/>
      <c r="F150" s="724"/>
      <c r="G150" s="731"/>
      <c r="H150" s="726"/>
      <c r="L150" s="626"/>
      <c r="M150" s="727" t="str">
        <f t="shared" si="2"/>
        <v/>
      </c>
      <c r="N150" s="214">
        <f>IFERROR(VLOOKUP(F150,Ch3_Storage,2, FALSE),0)</f>
        <v>0</v>
      </c>
    </row>
    <row r="151" ht="18.75" customHeight="1">
      <c r="A151" s="716">
        <f>IFERROR(VLOOKUP(H151,PartyStorage,2, FALSE),0)</f>
        <v>0</v>
      </c>
      <c r="B151" s="728"/>
      <c r="C151" s="663"/>
      <c r="D151" s="663"/>
      <c r="E151" s="663"/>
      <c r="F151" s="733"/>
      <c r="G151" s="729"/>
      <c r="H151" s="721"/>
      <c r="L151" s="621"/>
      <c r="M151" s="722" t="str">
        <f t="shared" si="2"/>
        <v/>
      </c>
      <c r="N151" s="214">
        <f>IFERROR(VLOOKUP(F151,Ch3_Storage,2, FALSE),0)</f>
        <v>0</v>
      </c>
    </row>
    <row r="152" ht="18.75" customHeight="1">
      <c r="A152" s="716">
        <f>IFERROR(VLOOKUP(H152,PartyStorage,2, FALSE),0)</f>
        <v>0</v>
      </c>
      <c r="B152" s="730"/>
      <c r="C152" s="652"/>
      <c r="D152" s="652"/>
      <c r="E152" s="652"/>
      <c r="F152" s="724"/>
      <c r="G152" s="731"/>
      <c r="H152" s="726"/>
      <c r="L152" s="626"/>
      <c r="M152" s="727" t="str">
        <f t="shared" si="2"/>
        <v/>
      </c>
      <c r="N152" s="214">
        <f>IFERROR(VLOOKUP(F152,Ch3_Storage,2, FALSE),0)</f>
        <v>0</v>
      </c>
    </row>
    <row r="153" ht="18.75" customHeight="1">
      <c r="A153" s="716">
        <f>IFERROR(VLOOKUP(H153,PartyStorage,2, FALSE),0)</f>
        <v>0</v>
      </c>
      <c r="B153" s="728"/>
      <c r="C153" s="663"/>
      <c r="D153" s="663"/>
      <c r="E153" s="663"/>
      <c r="F153" s="733"/>
      <c r="G153" s="729"/>
      <c r="H153" s="721"/>
      <c r="L153" s="621"/>
      <c r="M153" s="722" t="str">
        <f t="shared" si="2"/>
        <v/>
      </c>
      <c r="N153" s="214">
        <f>IFERROR(VLOOKUP(F153,Ch3_Storage,2, FALSE),0)</f>
        <v>0</v>
      </c>
    </row>
    <row r="154" ht="18.75" customHeight="1">
      <c r="A154" s="716">
        <f>IFERROR(VLOOKUP(H154,PartyStorage,2, FALSE),0)</f>
        <v>0</v>
      </c>
      <c r="B154" s="730"/>
      <c r="C154" s="652"/>
      <c r="D154" s="652"/>
      <c r="E154" s="652"/>
      <c r="F154" s="724"/>
      <c r="G154" s="731"/>
      <c r="H154" s="726"/>
      <c r="L154" s="626"/>
      <c r="M154" s="727" t="str">
        <f t="shared" si="2"/>
        <v/>
      </c>
      <c r="N154" s="214">
        <f>IFERROR(VLOOKUP(F154,Ch3_Storage,2, FALSE),0)</f>
        <v>0</v>
      </c>
    </row>
    <row r="155" ht="18.75" customHeight="1">
      <c r="A155" s="716">
        <f>IFERROR(VLOOKUP(H155,PartyStorage,2, FALSE),0)</f>
        <v>0</v>
      </c>
      <c r="B155" s="728"/>
      <c r="C155" s="663"/>
      <c r="D155" s="663"/>
      <c r="E155" s="663"/>
      <c r="F155" s="733"/>
      <c r="G155" s="729"/>
      <c r="H155" s="721"/>
      <c r="L155" s="621"/>
      <c r="M155" s="722" t="str">
        <f t="shared" si="2"/>
        <v/>
      </c>
      <c r="N155" s="214">
        <f>IFERROR(VLOOKUP(F155,Ch3_Storage,2, FALSE),0)</f>
        <v>0</v>
      </c>
    </row>
    <row r="156" ht="18.75" customHeight="1">
      <c r="A156" s="716">
        <f>IFERROR(VLOOKUP(H156,PartyStorage,2, FALSE),0)</f>
        <v>0</v>
      </c>
      <c r="B156" s="730"/>
      <c r="C156" s="652"/>
      <c r="D156" s="652"/>
      <c r="E156" s="652"/>
      <c r="F156" s="724"/>
      <c r="G156" s="731"/>
      <c r="H156" s="726"/>
      <c r="L156" s="626"/>
      <c r="M156" s="727" t="str">
        <f t="shared" si="2"/>
        <v/>
      </c>
      <c r="N156" s="214">
        <f>IFERROR(VLOOKUP(F156,Ch3_Storage,2, FALSE),0)</f>
        <v>0</v>
      </c>
    </row>
    <row r="157" ht="18.75" customHeight="1">
      <c r="A157" s="716">
        <f>IFERROR(VLOOKUP(H157,PartyStorage,2, FALSE),0)</f>
        <v>0</v>
      </c>
      <c r="B157" s="728"/>
      <c r="C157" s="663"/>
      <c r="D157" s="663"/>
      <c r="E157" s="663"/>
      <c r="F157" s="733"/>
      <c r="G157" s="729"/>
      <c r="H157" s="721"/>
      <c r="L157" s="621"/>
      <c r="M157" s="722" t="str">
        <f t="shared" si="2"/>
        <v/>
      </c>
      <c r="N157" s="214">
        <f>IFERROR(VLOOKUP(F157,Ch3_Storage,2, FALSE),0)</f>
        <v>0</v>
      </c>
    </row>
    <row r="158" ht="18.75" customHeight="1">
      <c r="A158" s="716">
        <f>IFERROR(VLOOKUP(H158,PartyStorage,2, FALSE),0)</f>
        <v>0</v>
      </c>
      <c r="B158" s="730"/>
      <c r="C158" s="652"/>
      <c r="D158" s="652"/>
      <c r="E158" s="652"/>
      <c r="F158" s="724"/>
      <c r="G158" s="731"/>
      <c r="H158" s="726"/>
      <c r="L158" s="626"/>
      <c r="M158" s="727" t="str">
        <f t="shared" si="2"/>
        <v/>
      </c>
      <c r="N158" s="214">
        <f>IFERROR(VLOOKUP(F158,Ch3_Storage,2, FALSE),0)</f>
        <v>0</v>
      </c>
    </row>
    <row r="159" ht="18.75" customHeight="1">
      <c r="A159" s="716">
        <f>IFERROR(VLOOKUP(H159,PartyStorage,2, FALSE),0)</f>
        <v>0</v>
      </c>
      <c r="B159" s="728"/>
      <c r="C159" s="663"/>
      <c r="D159" s="663"/>
      <c r="E159" s="663"/>
      <c r="F159" s="733"/>
      <c r="G159" s="729"/>
      <c r="H159" s="721"/>
      <c r="L159" s="621"/>
      <c r="M159" s="722" t="str">
        <f t="shared" si="2"/>
        <v/>
      </c>
      <c r="N159" s="214">
        <f>IFERROR(VLOOKUP(F159,Ch3_Storage,2, FALSE),0)</f>
        <v>0</v>
      </c>
    </row>
    <row r="160" ht="18.75" customHeight="1">
      <c r="A160" s="716">
        <f>IFERROR(VLOOKUP(H160,PartyStorage,2, FALSE),0)</f>
        <v>0</v>
      </c>
      <c r="B160" s="730"/>
      <c r="C160" s="652"/>
      <c r="D160" s="652"/>
      <c r="E160" s="652"/>
      <c r="F160" s="724"/>
      <c r="G160" s="731"/>
      <c r="H160" s="726"/>
      <c r="L160" s="626"/>
      <c r="M160" s="727" t="str">
        <f t="shared" si="2"/>
        <v/>
      </c>
      <c r="N160" s="214">
        <f>IFERROR(VLOOKUP(F160,Ch3_Storage,2, FALSE),0)</f>
        <v>0</v>
      </c>
    </row>
    <row r="161" ht="18.75" customHeight="1">
      <c r="A161" s="716">
        <f>IFERROR(VLOOKUP(H161,PartyStorage,2, FALSE),0)</f>
        <v>0</v>
      </c>
      <c r="B161" s="728"/>
      <c r="C161" s="663"/>
      <c r="D161" s="663"/>
      <c r="E161" s="663"/>
      <c r="F161" s="733"/>
      <c r="G161" s="729"/>
      <c r="H161" s="721"/>
      <c r="L161" s="621"/>
      <c r="M161" s="722" t="str">
        <f t="shared" si="2"/>
        <v/>
      </c>
      <c r="N161" s="214">
        <f>IFERROR(VLOOKUP(F161,Ch3_Storage,2, FALSE),0)</f>
        <v>0</v>
      </c>
    </row>
    <row r="162" ht="18.75" customHeight="1">
      <c r="A162" s="716">
        <f>IFERROR(VLOOKUP(H162,PartyStorage,2, FALSE),0)</f>
        <v>0</v>
      </c>
      <c r="B162" s="730"/>
      <c r="C162" s="652"/>
      <c r="D162" s="652"/>
      <c r="E162" s="652"/>
      <c r="F162" s="724"/>
      <c r="G162" s="731"/>
      <c r="H162" s="726"/>
      <c r="L162" s="626"/>
      <c r="M162" s="727" t="str">
        <f t="shared" si="2"/>
        <v/>
      </c>
      <c r="N162" s="214">
        <f>IFERROR(VLOOKUP(F162,Ch3_Storage,2, FALSE),0)</f>
        <v>0</v>
      </c>
    </row>
    <row r="163" ht="18.75" customHeight="1">
      <c r="A163" s="716">
        <f>IFERROR(VLOOKUP(H163,PartyStorage,2, FALSE),0)</f>
        <v>0</v>
      </c>
      <c r="B163" s="728"/>
      <c r="C163" s="663"/>
      <c r="D163" s="663"/>
      <c r="E163" s="663"/>
      <c r="F163" s="733"/>
      <c r="G163" s="729"/>
      <c r="H163" s="721"/>
      <c r="L163" s="621"/>
      <c r="M163" s="722" t="str">
        <f t="shared" si="2"/>
        <v/>
      </c>
      <c r="N163" s="214">
        <f>IFERROR(VLOOKUP(F163,Ch3_Storage,2, FALSE),0)</f>
        <v>0</v>
      </c>
    </row>
    <row r="164" ht="18.75" customHeight="1">
      <c r="A164" s="716">
        <f>IFERROR(VLOOKUP(H164,PartyStorage,2, FALSE),0)</f>
        <v>0</v>
      </c>
      <c r="B164" s="730"/>
      <c r="C164" s="652"/>
      <c r="D164" s="652"/>
      <c r="E164" s="652"/>
      <c r="F164" s="724"/>
      <c r="G164" s="731"/>
      <c r="H164" s="726"/>
      <c r="L164" s="626"/>
      <c r="M164" s="727" t="str">
        <f t="shared" si="2"/>
        <v/>
      </c>
      <c r="N164" s="214">
        <f>IFERROR(VLOOKUP(F164,Ch3_Storage,2, FALSE),0)</f>
        <v>0</v>
      </c>
    </row>
    <row r="165" ht="18.75" customHeight="1">
      <c r="A165" s="716">
        <f>IFERROR(VLOOKUP(H165,PartyStorage,2, FALSE),0)</f>
        <v>0</v>
      </c>
      <c r="B165" s="728"/>
      <c r="C165" s="663"/>
      <c r="D165" s="663"/>
      <c r="E165" s="663"/>
      <c r="F165" s="733"/>
      <c r="G165" s="729"/>
      <c r="H165" s="721"/>
      <c r="L165" s="621"/>
      <c r="M165" s="722" t="str">
        <f t="shared" si="2"/>
        <v/>
      </c>
      <c r="N165" s="214">
        <f>IFERROR(VLOOKUP(F165,Ch3_Storage,2, FALSE),0)</f>
        <v>0</v>
      </c>
    </row>
    <row r="166" ht="18.75" customHeight="1">
      <c r="A166" s="716">
        <f>IFERROR(VLOOKUP(H166,PartyStorage,2, FALSE),0)</f>
        <v>0</v>
      </c>
      <c r="B166" s="730"/>
      <c r="C166" s="652"/>
      <c r="D166" s="652"/>
      <c r="E166" s="652"/>
      <c r="F166" s="724"/>
      <c r="G166" s="731"/>
      <c r="H166" s="726"/>
      <c r="L166" s="626"/>
      <c r="M166" s="727" t="str">
        <f t="shared" si="2"/>
        <v/>
      </c>
      <c r="N166" s="214">
        <f>IFERROR(VLOOKUP(F166,Ch3_Storage,2, FALSE),0)</f>
        <v>0</v>
      </c>
    </row>
    <row r="167" ht="18.75" customHeight="1">
      <c r="A167" s="716">
        <f>IFERROR(VLOOKUP(H167,PartyStorage,2, FALSE),0)</f>
        <v>0</v>
      </c>
      <c r="B167" s="728"/>
      <c r="C167" s="663"/>
      <c r="D167" s="663"/>
      <c r="E167" s="663"/>
      <c r="F167" s="733"/>
      <c r="G167" s="729"/>
      <c r="H167" s="721"/>
      <c r="L167" s="621"/>
      <c r="M167" s="722" t="str">
        <f t="shared" si="2"/>
        <v/>
      </c>
      <c r="N167" s="214">
        <f>IFERROR(VLOOKUP(F167,Ch3_Storage,2, FALSE),0)</f>
        <v>0</v>
      </c>
    </row>
    <row r="168" ht="18.75" customHeight="1">
      <c r="A168" s="716">
        <f>IFERROR(VLOOKUP(H168,PartyStorage,2, FALSE),0)</f>
        <v>0</v>
      </c>
      <c r="B168" s="730"/>
      <c r="C168" s="652"/>
      <c r="D168" s="652"/>
      <c r="E168" s="652"/>
      <c r="F168" s="724"/>
      <c r="G168" s="731"/>
      <c r="H168" s="726"/>
      <c r="L168" s="626"/>
      <c r="M168" s="727" t="str">
        <f t="shared" si="2"/>
        <v/>
      </c>
      <c r="N168" s="214">
        <f>IFERROR(VLOOKUP(F168,Ch3_Storage,2, FALSE),0)</f>
        <v>0</v>
      </c>
    </row>
    <row r="169" ht="18.75" customHeight="1">
      <c r="A169" s="716">
        <f>IFERROR(VLOOKUP(H169,PartyStorage,2, FALSE),0)</f>
        <v>0</v>
      </c>
      <c r="B169" s="728"/>
      <c r="C169" s="663"/>
      <c r="D169" s="663"/>
      <c r="E169" s="663"/>
      <c r="F169" s="733"/>
      <c r="G169" s="729"/>
      <c r="H169" s="721"/>
      <c r="L169" s="621"/>
      <c r="M169" s="722" t="str">
        <f t="shared" si="2"/>
        <v/>
      </c>
      <c r="N169" s="214">
        <f>IFERROR(VLOOKUP(F169,Ch3_Storage,2, FALSE),0)</f>
        <v>0</v>
      </c>
    </row>
    <row r="170" ht="18.75" customHeight="1">
      <c r="A170" s="716">
        <f>IFERROR(VLOOKUP(H170,PartyStorage,2, FALSE),0)</f>
        <v>0</v>
      </c>
      <c r="B170" s="730"/>
      <c r="C170" s="652"/>
      <c r="D170" s="652"/>
      <c r="E170" s="652"/>
      <c r="F170" s="724"/>
      <c r="G170" s="731"/>
      <c r="H170" s="726"/>
      <c r="L170" s="626"/>
      <c r="M170" s="727" t="str">
        <f t="shared" si="2"/>
        <v/>
      </c>
      <c r="N170" s="214">
        <f>IFERROR(VLOOKUP(F170,Ch3_Storage,2, FALSE),0)</f>
        <v>0</v>
      </c>
    </row>
    <row r="171" ht="18.75" customHeight="1">
      <c r="A171" s="716">
        <f>IFERROR(VLOOKUP(H171,PartyStorage,2, FALSE),0)</f>
        <v>0</v>
      </c>
      <c r="B171" s="728"/>
      <c r="C171" s="663"/>
      <c r="D171" s="663"/>
      <c r="E171" s="663"/>
      <c r="F171" s="733"/>
      <c r="G171" s="729"/>
      <c r="H171" s="721"/>
      <c r="L171" s="621"/>
      <c r="M171" s="722" t="str">
        <f t="shared" si="2"/>
        <v/>
      </c>
      <c r="N171" s="214">
        <f>IFERROR(VLOOKUP(F171,Ch3_Storage,2, FALSE),0)</f>
        <v>0</v>
      </c>
    </row>
    <row r="172" ht="18.75" customHeight="1">
      <c r="A172" s="716">
        <f>IFERROR(VLOOKUP(H172,PartyStorage,2, FALSE),0)</f>
        <v>0</v>
      </c>
      <c r="B172" s="730"/>
      <c r="C172" s="652"/>
      <c r="D172" s="652"/>
      <c r="E172" s="652"/>
      <c r="F172" s="724"/>
      <c r="G172" s="731"/>
      <c r="H172" s="726"/>
      <c r="L172" s="626"/>
      <c r="M172" s="727" t="str">
        <f t="shared" si="2"/>
        <v/>
      </c>
      <c r="N172" s="214">
        <f>IFERROR(VLOOKUP(F172,Ch3_Storage,2, FALSE),0)</f>
        <v>0</v>
      </c>
    </row>
    <row r="173" ht="18.75" customHeight="1">
      <c r="A173" s="716">
        <f>IFERROR(VLOOKUP(H173,PartyStorage,2, FALSE),0)</f>
        <v>0</v>
      </c>
      <c r="B173" s="728"/>
      <c r="C173" s="663"/>
      <c r="D173" s="663"/>
      <c r="E173" s="663"/>
      <c r="F173" s="733"/>
      <c r="G173" s="729"/>
      <c r="H173" s="721"/>
      <c r="L173" s="621"/>
      <c r="M173" s="722" t="str">
        <f t="shared" si="2"/>
        <v/>
      </c>
      <c r="N173" s="214">
        <f>IFERROR(VLOOKUP(F173,Ch3_Storage,2, FALSE),0)</f>
        <v>0</v>
      </c>
    </row>
    <row r="174" ht="18.75" customHeight="1">
      <c r="A174" s="716">
        <f>IFERROR(VLOOKUP(H174,PartyStorage,2, FALSE),0)</f>
        <v>0</v>
      </c>
      <c r="B174" s="730"/>
      <c r="C174" s="652"/>
      <c r="D174" s="652"/>
      <c r="E174" s="652"/>
      <c r="F174" s="724"/>
      <c r="G174" s="731"/>
      <c r="H174" s="726"/>
      <c r="L174" s="626"/>
      <c r="M174" s="727" t="str">
        <f t="shared" si="2"/>
        <v/>
      </c>
      <c r="N174" s="214">
        <f>IFERROR(VLOOKUP(F174,Ch3_Storage,2, FALSE),0)</f>
        <v>0</v>
      </c>
    </row>
    <row r="175" ht="18.75" customHeight="1">
      <c r="A175" s="716">
        <f>IFERROR(VLOOKUP(H175,PartyStorage,2, FALSE),0)</f>
        <v>0</v>
      </c>
      <c r="B175" s="728"/>
      <c r="C175" s="663"/>
      <c r="D175" s="663"/>
      <c r="E175" s="663"/>
      <c r="F175" s="733"/>
      <c r="G175" s="729"/>
      <c r="H175" s="721"/>
      <c r="L175" s="621"/>
      <c r="M175" s="722" t="str">
        <f t="shared" si="2"/>
        <v/>
      </c>
      <c r="N175" s="214">
        <f>IFERROR(VLOOKUP(F175,Ch3_Storage,2, FALSE),0)</f>
        <v>0</v>
      </c>
    </row>
    <row r="176" ht="18.75" customHeight="1">
      <c r="A176" s="716">
        <f>IFERROR(VLOOKUP(H176,PartyStorage,2, FALSE),0)</f>
        <v>0</v>
      </c>
      <c r="B176" s="730"/>
      <c r="C176" s="652"/>
      <c r="D176" s="652"/>
      <c r="E176" s="652"/>
      <c r="F176" s="724"/>
      <c r="G176" s="731"/>
      <c r="H176" s="726"/>
      <c r="L176" s="626"/>
      <c r="M176" s="727" t="str">
        <f t="shared" si="2"/>
        <v/>
      </c>
      <c r="N176" s="214">
        <f>IFERROR(VLOOKUP(F176,Ch3_Storage,2, FALSE),0)</f>
        <v>0</v>
      </c>
    </row>
    <row r="177" ht="18.75" customHeight="1">
      <c r="A177" s="716">
        <f>IFERROR(VLOOKUP(H177,PartyStorage,2, FALSE),0)</f>
        <v>0</v>
      </c>
      <c r="B177" s="728"/>
      <c r="C177" s="663"/>
      <c r="D177" s="663"/>
      <c r="E177" s="663"/>
      <c r="F177" s="733"/>
      <c r="G177" s="729"/>
      <c r="H177" s="721"/>
      <c r="L177" s="621"/>
      <c r="M177" s="722" t="str">
        <f t="shared" si="2"/>
        <v/>
      </c>
      <c r="N177" s="214">
        <f>IFERROR(VLOOKUP(F177,Ch3_Storage,2, FALSE),0)</f>
        <v>0</v>
      </c>
    </row>
    <row r="178" ht="18.75" customHeight="1">
      <c r="A178" s="716">
        <f>IFERROR(VLOOKUP(H178,PartyStorage,2, FALSE),0)</f>
        <v>0</v>
      </c>
      <c r="B178" s="730"/>
      <c r="C178" s="652"/>
      <c r="D178" s="652"/>
      <c r="E178" s="652"/>
      <c r="F178" s="724"/>
      <c r="G178" s="731"/>
      <c r="H178" s="726"/>
      <c r="L178" s="626"/>
      <c r="M178" s="727" t="str">
        <f t="shared" si="2"/>
        <v/>
      </c>
      <c r="N178" s="214">
        <f>IFERROR(VLOOKUP(F178,Ch3_Storage,2, FALSE),0)</f>
        <v>0</v>
      </c>
    </row>
    <row r="179" ht="18.75" customHeight="1">
      <c r="A179" s="716">
        <f>IFERROR(VLOOKUP(H179,PartyStorage,2, FALSE),0)</f>
        <v>0</v>
      </c>
      <c r="B179" s="728"/>
      <c r="C179" s="663"/>
      <c r="D179" s="663"/>
      <c r="E179" s="663"/>
      <c r="F179" s="733"/>
      <c r="G179" s="729"/>
      <c r="H179" s="721"/>
      <c r="L179" s="621"/>
      <c r="M179" s="722" t="str">
        <f t="shared" si="2"/>
        <v/>
      </c>
      <c r="N179" s="214">
        <f>IFERROR(VLOOKUP(F179,Ch3_Storage,2, FALSE),0)</f>
        <v>0</v>
      </c>
    </row>
    <row r="180" ht="18.75" customHeight="1">
      <c r="A180" s="716">
        <f>IFERROR(VLOOKUP(H180,PartyStorage,2, FALSE),0)</f>
        <v>0</v>
      </c>
      <c r="B180" s="730"/>
      <c r="C180" s="652"/>
      <c r="D180" s="652"/>
      <c r="E180" s="652"/>
      <c r="F180" s="724"/>
      <c r="G180" s="731"/>
      <c r="H180" s="726"/>
      <c r="L180" s="626"/>
      <c r="M180" s="727" t="str">
        <f t="shared" si="2"/>
        <v/>
      </c>
      <c r="N180" s="214">
        <f>IFERROR(VLOOKUP(F180,Ch3_Storage,2, FALSE),0)</f>
        <v>0</v>
      </c>
    </row>
    <row r="181" ht="18.75" customHeight="1">
      <c r="A181" s="716">
        <f>IFERROR(VLOOKUP(H181,PartyStorage,2, FALSE),0)</f>
        <v>0</v>
      </c>
      <c r="B181" s="728"/>
      <c r="C181" s="663"/>
      <c r="D181" s="663"/>
      <c r="E181" s="663"/>
      <c r="F181" s="733"/>
      <c r="G181" s="729"/>
      <c r="H181" s="721"/>
      <c r="L181" s="621"/>
      <c r="M181" s="722" t="str">
        <f t="shared" si="2"/>
        <v/>
      </c>
      <c r="N181" s="214">
        <f>IFERROR(VLOOKUP(F181,Ch3_Storage,2, FALSE),0)</f>
        <v>0</v>
      </c>
    </row>
    <row r="182" ht="18.75" customHeight="1">
      <c r="A182" s="716">
        <f>IFERROR(VLOOKUP(H182,PartyStorage,2, FALSE),0)</f>
        <v>0</v>
      </c>
      <c r="B182" s="730"/>
      <c r="C182" s="652"/>
      <c r="D182" s="652"/>
      <c r="E182" s="652"/>
      <c r="F182" s="724"/>
      <c r="G182" s="731"/>
      <c r="H182" s="726"/>
      <c r="L182" s="626"/>
      <c r="M182" s="727" t="str">
        <f t="shared" si="2"/>
        <v/>
      </c>
      <c r="N182" s="214">
        <f>IFERROR(VLOOKUP(F182,Ch3_Storage,2, FALSE),0)</f>
        <v>0</v>
      </c>
    </row>
    <row r="183" ht="18.75" customHeight="1">
      <c r="A183" s="716">
        <f>IFERROR(VLOOKUP(H183,PartyStorage,2, FALSE),0)</f>
        <v>0</v>
      </c>
      <c r="B183" s="728"/>
      <c r="C183" s="663"/>
      <c r="D183" s="663"/>
      <c r="E183" s="663"/>
      <c r="F183" s="733"/>
      <c r="G183" s="729"/>
      <c r="H183" s="721"/>
      <c r="L183" s="621"/>
      <c r="M183" s="722" t="str">
        <f t="shared" si="2"/>
        <v/>
      </c>
      <c r="N183" s="214">
        <f>IFERROR(VLOOKUP(F183,Ch3_Storage,2, FALSE),0)</f>
        <v>0</v>
      </c>
    </row>
    <row r="184" ht="18.75" customHeight="1">
      <c r="A184" s="716">
        <f>IFERROR(VLOOKUP(H184,PartyStorage,2, FALSE),0)</f>
        <v>0</v>
      </c>
      <c r="B184" s="730"/>
      <c r="C184" s="652"/>
      <c r="D184" s="652"/>
      <c r="E184" s="652"/>
      <c r="F184" s="724"/>
      <c r="G184" s="731"/>
      <c r="H184" s="726"/>
      <c r="L184" s="626"/>
      <c r="M184" s="727" t="str">
        <f t="shared" si="2"/>
        <v/>
      </c>
      <c r="N184" s="214">
        <f>IFERROR(VLOOKUP(F184,Ch3_Storage,2, FALSE),0)</f>
        <v>0</v>
      </c>
    </row>
    <row r="185" ht="18.75" customHeight="1">
      <c r="A185" s="716">
        <f>IFERROR(VLOOKUP(H185,PartyStorage,2, FALSE),0)</f>
        <v>0</v>
      </c>
      <c r="B185" s="728"/>
      <c r="C185" s="663"/>
      <c r="D185" s="663"/>
      <c r="E185" s="663"/>
      <c r="F185" s="733"/>
      <c r="G185" s="729"/>
      <c r="H185" s="721"/>
      <c r="L185" s="621"/>
      <c r="M185" s="722" t="str">
        <f t="shared" si="2"/>
        <v/>
      </c>
      <c r="N185" s="214">
        <f>IFERROR(VLOOKUP(F185,Ch3_Storage,2, FALSE),0)</f>
        <v>0</v>
      </c>
    </row>
    <row r="186" ht="18.75" customHeight="1">
      <c r="A186" s="716">
        <f>IFERROR(VLOOKUP(H186,PartyStorage,2, FALSE),0)</f>
        <v>0</v>
      </c>
      <c r="B186" s="730"/>
      <c r="C186" s="652"/>
      <c r="D186" s="652"/>
      <c r="E186" s="652"/>
      <c r="F186" s="724"/>
      <c r="G186" s="731"/>
      <c r="H186" s="726"/>
      <c r="L186" s="626"/>
      <c r="M186" s="727" t="str">
        <f t="shared" si="2"/>
        <v/>
      </c>
      <c r="N186" s="214">
        <f>IFERROR(VLOOKUP(F186,Ch3_Storage,2, FALSE),0)</f>
        <v>0</v>
      </c>
    </row>
    <row r="187" ht="18.75" customHeight="1">
      <c r="A187" s="716">
        <f>IFERROR(VLOOKUP(H187,PartyStorage,2, FALSE),0)</f>
        <v>0</v>
      </c>
      <c r="B187" s="728"/>
      <c r="C187" s="663"/>
      <c r="D187" s="663"/>
      <c r="E187" s="663"/>
      <c r="F187" s="733"/>
      <c r="G187" s="729"/>
      <c r="H187" s="721"/>
      <c r="L187" s="621"/>
      <c r="M187" s="722" t="str">
        <f t="shared" si="2"/>
        <v/>
      </c>
      <c r="N187" s="214">
        <f>IFERROR(VLOOKUP(F187,Ch3_Storage,2, FALSE),0)</f>
        <v>0</v>
      </c>
    </row>
    <row r="188" ht="18.75" customHeight="1">
      <c r="A188" s="716">
        <f>IFERROR(VLOOKUP(H188,PartyStorage,2, FALSE),0)</f>
        <v>0</v>
      </c>
      <c r="B188" s="730"/>
      <c r="C188" s="652"/>
      <c r="D188" s="652"/>
      <c r="E188" s="652"/>
      <c r="F188" s="724"/>
      <c r="G188" s="731"/>
      <c r="H188" s="726"/>
      <c r="L188" s="626"/>
      <c r="M188" s="727" t="str">
        <f t="shared" si="2"/>
        <v/>
      </c>
      <c r="N188" s="214">
        <f>IFERROR(VLOOKUP(F188,Ch3_Storage,2, FALSE),0)</f>
        <v>0</v>
      </c>
    </row>
    <row r="189" ht="18.75" customHeight="1">
      <c r="A189" s="716">
        <f>IFERROR(VLOOKUP(H189,PartyStorage,2, FALSE),0)</f>
        <v>0</v>
      </c>
      <c r="B189" s="728"/>
      <c r="C189" s="663"/>
      <c r="D189" s="663"/>
      <c r="E189" s="663"/>
      <c r="F189" s="733"/>
      <c r="G189" s="729"/>
      <c r="H189" s="721"/>
      <c r="L189" s="621"/>
      <c r="M189" s="722" t="str">
        <f t="shared" si="2"/>
        <v/>
      </c>
      <c r="N189" s="214">
        <f>IFERROR(VLOOKUP(F189,Ch3_Storage,2, FALSE),0)</f>
        <v>0</v>
      </c>
    </row>
    <row r="190" ht="18.75" customHeight="1">
      <c r="A190" s="716">
        <f>IFERROR(VLOOKUP(H190,PartyStorage,2, FALSE),0)</f>
        <v>0</v>
      </c>
      <c r="B190" s="730"/>
      <c r="C190" s="652"/>
      <c r="D190" s="652"/>
      <c r="E190" s="652"/>
      <c r="F190" s="724"/>
      <c r="G190" s="731"/>
      <c r="H190" s="726"/>
      <c r="L190" s="626"/>
      <c r="M190" s="727" t="str">
        <f t="shared" si="2"/>
        <v/>
      </c>
      <c r="N190" s="214">
        <f>IFERROR(VLOOKUP(F190,Ch3_Storage,2, FALSE),0)</f>
        <v>0</v>
      </c>
    </row>
    <row r="191" ht="18.75" customHeight="1">
      <c r="A191" s="716">
        <f>IFERROR(VLOOKUP(H191,PartyStorage,2, FALSE),0)</f>
        <v>0</v>
      </c>
      <c r="B191" s="728"/>
      <c r="C191" s="663"/>
      <c r="D191" s="663"/>
      <c r="E191" s="663"/>
      <c r="F191" s="733"/>
      <c r="G191" s="729"/>
      <c r="H191" s="721"/>
      <c r="L191" s="621"/>
      <c r="M191" s="722" t="str">
        <f t="shared" si="2"/>
        <v/>
      </c>
      <c r="N191" s="214">
        <f>IFERROR(VLOOKUP(F191,Ch3_Storage,2, FALSE),0)</f>
        <v>0</v>
      </c>
    </row>
    <row r="192" ht="18.75" customHeight="1">
      <c r="A192" s="716">
        <f>IFERROR(VLOOKUP(H192,PartyStorage,2, FALSE),0)</f>
        <v>0</v>
      </c>
      <c r="B192" s="730"/>
      <c r="C192" s="652"/>
      <c r="D192" s="652"/>
      <c r="E192" s="652"/>
      <c r="F192" s="724"/>
      <c r="G192" s="731"/>
      <c r="H192" s="726"/>
      <c r="L192" s="626"/>
      <c r="M192" s="727" t="str">
        <f t="shared" si="2"/>
        <v/>
      </c>
      <c r="N192" s="214">
        <f>IFERROR(VLOOKUP(F192,Ch3_Storage,2, FALSE),0)</f>
        <v>0</v>
      </c>
    </row>
    <row r="193" ht="18.75" customHeight="1">
      <c r="A193" s="716">
        <f>IFERROR(VLOOKUP(H193,PartyStorage,2, FALSE),0)</f>
        <v>0</v>
      </c>
      <c r="B193" s="728"/>
      <c r="C193" s="663"/>
      <c r="D193" s="663"/>
      <c r="E193" s="663"/>
      <c r="F193" s="733"/>
      <c r="G193" s="729"/>
      <c r="H193" s="721"/>
      <c r="L193" s="621"/>
      <c r="M193" s="722" t="str">
        <f t="shared" si="2"/>
        <v/>
      </c>
      <c r="N193" s="214">
        <f>IFERROR(VLOOKUP(F193,Ch3_Storage,2, FALSE),0)</f>
        <v>0</v>
      </c>
    </row>
    <row r="194" ht="18.75" customHeight="1">
      <c r="A194" s="716">
        <f>IFERROR(VLOOKUP(H194,PartyStorage,2, FALSE),0)</f>
        <v>0</v>
      </c>
      <c r="B194" s="730"/>
      <c r="C194" s="652"/>
      <c r="D194" s="652"/>
      <c r="E194" s="652"/>
      <c r="F194" s="724"/>
      <c r="G194" s="731"/>
      <c r="H194" s="726"/>
      <c r="L194" s="626"/>
      <c r="M194" s="727" t="str">
        <f t="shared" si="2"/>
        <v/>
      </c>
      <c r="N194" s="214">
        <f>IFERROR(VLOOKUP(F194,Ch3_Storage,2, FALSE),0)</f>
        <v>0</v>
      </c>
    </row>
    <row r="195" ht="18.75" customHeight="1">
      <c r="A195" s="716">
        <f>IFERROR(VLOOKUP(H195,PartyStorage,2, FALSE),0)</f>
        <v>0</v>
      </c>
      <c r="B195" s="728"/>
      <c r="C195" s="663"/>
      <c r="D195" s="663"/>
      <c r="E195" s="663"/>
      <c r="F195" s="733"/>
      <c r="G195" s="729"/>
      <c r="H195" s="721"/>
      <c r="L195" s="621"/>
      <c r="M195" s="722" t="str">
        <f t="shared" si="2"/>
        <v/>
      </c>
      <c r="N195" s="214">
        <f>IFERROR(VLOOKUP(F195,Ch3_Storage,2, FALSE),0)</f>
        <v>0</v>
      </c>
    </row>
    <row r="196" ht="18.75" customHeight="1">
      <c r="A196" s="716">
        <f>IFERROR(VLOOKUP(H196,PartyStorage,2, FALSE),0)</f>
        <v>0</v>
      </c>
      <c r="B196" s="730"/>
      <c r="C196" s="652"/>
      <c r="D196" s="652"/>
      <c r="E196" s="652"/>
      <c r="F196" s="724"/>
      <c r="G196" s="731"/>
      <c r="H196" s="726"/>
      <c r="L196" s="626"/>
      <c r="M196" s="727" t="str">
        <f t="shared" si="2"/>
        <v/>
      </c>
      <c r="N196" s="214">
        <f>IFERROR(VLOOKUP(F196,Ch3_Storage,2, FALSE),0)</f>
        <v>0</v>
      </c>
    </row>
    <row r="197" ht="18.75" customHeight="1">
      <c r="A197" s="716">
        <f>IFERROR(VLOOKUP(H197,PartyStorage,2, FALSE),0)</f>
        <v>0</v>
      </c>
      <c r="B197" s="728"/>
      <c r="C197" s="663"/>
      <c r="D197" s="663"/>
      <c r="E197" s="663"/>
      <c r="F197" s="733"/>
      <c r="G197" s="729"/>
      <c r="H197" s="721"/>
      <c r="L197" s="621"/>
      <c r="M197" s="722" t="str">
        <f t="shared" si="2"/>
        <v/>
      </c>
      <c r="N197" s="214">
        <f>IFERROR(VLOOKUP(F197,Ch3_Storage,2, FALSE),0)</f>
        <v>0</v>
      </c>
    </row>
    <row r="198" ht="18.75" customHeight="1">
      <c r="A198" s="716">
        <f>IFERROR(VLOOKUP(H198,PartyStorage,2, FALSE),0)</f>
        <v>0</v>
      </c>
      <c r="B198" s="730"/>
      <c r="C198" s="652"/>
      <c r="D198" s="652"/>
      <c r="E198" s="652"/>
      <c r="F198" s="724"/>
      <c r="G198" s="731"/>
      <c r="H198" s="726"/>
      <c r="L198" s="626"/>
      <c r="M198" s="727" t="str">
        <f t="shared" si="2"/>
        <v/>
      </c>
      <c r="N198" s="214">
        <f>IFERROR(VLOOKUP(F198,Ch3_Storage,2, FALSE),0)</f>
        <v>0</v>
      </c>
    </row>
    <row r="199" ht="18.75" customHeight="1">
      <c r="A199" s="716">
        <f>IFERROR(VLOOKUP(H199,PartyStorage,2, FALSE),0)</f>
        <v>0</v>
      </c>
      <c r="B199" s="728"/>
      <c r="C199" s="663"/>
      <c r="D199" s="663"/>
      <c r="E199" s="663"/>
      <c r="F199" s="733"/>
      <c r="G199" s="729"/>
      <c r="H199" s="721"/>
      <c r="L199" s="621"/>
      <c r="M199" s="722" t="str">
        <f t="shared" si="2"/>
        <v/>
      </c>
      <c r="N199" s="214">
        <f>IFERROR(VLOOKUP(F199,Ch3_Storage,2, FALSE),0)</f>
        <v>0</v>
      </c>
    </row>
    <row r="200" ht="18.75" customHeight="1">
      <c r="A200" s="716">
        <f>IFERROR(VLOOKUP(H200,PartyStorage,2, FALSE),0)</f>
        <v>0</v>
      </c>
      <c r="B200" s="730"/>
      <c r="C200" s="652"/>
      <c r="D200" s="652"/>
      <c r="E200" s="652"/>
      <c r="F200" s="724"/>
      <c r="G200" s="731"/>
      <c r="H200" s="726"/>
      <c r="L200" s="626"/>
      <c r="M200" s="727" t="str">
        <f t="shared" si="2"/>
        <v/>
      </c>
      <c r="N200" s="214">
        <f>IFERROR(VLOOKUP(F200,Ch3_Storage,2, FALSE),0)</f>
        <v>0</v>
      </c>
    </row>
    <row r="201" ht="18.75" customHeight="1">
      <c r="A201" s="716">
        <f>IFERROR(VLOOKUP(H201,PartyStorage,2, FALSE),0)</f>
        <v>0</v>
      </c>
      <c r="B201" s="728"/>
      <c r="C201" s="663"/>
      <c r="D201" s="663"/>
      <c r="E201" s="663"/>
      <c r="F201" s="733"/>
      <c r="G201" s="729"/>
      <c r="H201" s="721"/>
      <c r="L201" s="621"/>
      <c r="M201" s="722" t="str">
        <f t="shared" si="2"/>
        <v/>
      </c>
      <c r="N201" s="214">
        <f>IFERROR(VLOOKUP(F201,Ch3_Storage,2, FALSE),0)</f>
        <v>0</v>
      </c>
    </row>
    <row r="202" ht="18.75" customHeight="1">
      <c r="A202" s="716">
        <f>IFERROR(VLOOKUP(H202,PartyStorage,2, FALSE),0)</f>
        <v>0</v>
      </c>
      <c r="B202" s="730"/>
      <c r="C202" s="652"/>
      <c r="D202" s="652"/>
      <c r="E202" s="652"/>
      <c r="F202" s="724"/>
      <c r="G202" s="731"/>
      <c r="H202" s="726"/>
      <c r="L202" s="626"/>
      <c r="M202" s="727" t="str">
        <f t="shared" si="2"/>
        <v/>
      </c>
      <c r="N202" s="214">
        <f>IFERROR(VLOOKUP(F202,Ch3_Storage,2, FALSE),0)</f>
        <v>0</v>
      </c>
    </row>
    <row r="203" ht="18.75" customHeight="1">
      <c r="A203" s="716">
        <f>IFERROR(VLOOKUP(H203,PartyStorage,2, FALSE),0)</f>
        <v>0</v>
      </c>
      <c r="B203" s="728"/>
      <c r="C203" s="663"/>
      <c r="D203" s="663"/>
      <c r="E203" s="663"/>
      <c r="F203" s="733"/>
      <c r="G203" s="729"/>
      <c r="H203" s="721"/>
      <c r="L203" s="621"/>
      <c r="M203" s="722" t="str">
        <f t="shared" si="2"/>
        <v/>
      </c>
      <c r="N203" s="214">
        <f>IFERROR(VLOOKUP(F203,Ch3_Storage,2, FALSE),0)</f>
        <v>0</v>
      </c>
    </row>
    <row r="204" ht="18.75" customHeight="1">
      <c r="A204" s="716">
        <f>IFERROR(VLOOKUP(H204,PartyStorage,2, FALSE),0)</f>
        <v>0</v>
      </c>
      <c r="B204" s="730"/>
      <c r="C204" s="652"/>
      <c r="D204" s="652"/>
      <c r="E204" s="652"/>
      <c r="F204" s="724"/>
      <c r="G204" s="731"/>
      <c r="H204" s="726"/>
      <c r="L204" s="626"/>
      <c r="M204" s="727" t="str">
        <f t="shared" si="2"/>
        <v/>
      </c>
      <c r="N204" s="214">
        <f>IFERROR(VLOOKUP(F204,Ch3_Storage,2, FALSE),0)</f>
        <v>0</v>
      </c>
    </row>
    <row r="205" ht="18.75" customHeight="1">
      <c r="A205" s="716">
        <f>IFERROR(VLOOKUP(H205,PartyStorage,2, FALSE),0)</f>
        <v>0</v>
      </c>
      <c r="B205" s="728"/>
      <c r="C205" s="663"/>
      <c r="D205" s="663"/>
      <c r="E205" s="663"/>
      <c r="F205" s="733"/>
      <c r="G205" s="729"/>
      <c r="H205" s="721"/>
      <c r="L205" s="621"/>
      <c r="M205" s="722" t="str">
        <f t="shared" si="2"/>
        <v/>
      </c>
      <c r="N205" s="214">
        <f>IFERROR(VLOOKUP(F205,Ch3_Storage,2, FALSE),0)</f>
        <v>0</v>
      </c>
    </row>
    <row r="206" ht="18.75" customHeight="1">
      <c r="A206" s="716">
        <f>IFERROR(VLOOKUP(H206,PartyStorage,2, FALSE),0)</f>
        <v>0</v>
      </c>
      <c r="B206" s="730"/>
      <c r="C206" s="652"/>
      <c r="D206" s="652"/>
      <c r="E206" s="652"/>
      <c r="F206" s="724"/>
      <c r="G206" s="731"/>
      <c r="H206" s="726"/>
      <c r="L206" s="626"/>
      <c r="M206" s="727" t="str">
        <f t="shared" si="2"/>
        <v/>
      </c>
      <c r="N206" s="214">
        <f>IFERROR(VLOOKUP(F206,Ch3_Storage,2, FALSE),0)</f>
        <v>0</v>
      </c>
    </row>
    <row r="207" ht="18.75" customHeight="1">
      <c r="A207" s="716">
        <f>IFERROR(VLOOKUP(H207,PartyStorage,2, FALSE),0)</f>
        <v>0</v>
      </c>
      <c r="B207" s="728"/>
      <c r="C207" s="663"/>
      <c r="D207" s="663"/>
      <c r="E207" s="663"/>
      <c r="F207" s="733"/>
      <c r="G207" s="729"/>
      <c r="H207" s="721"/>
      <c r="L207" s="621"/>
      <c r="M207" s="722" t="str">
        <f t="shared" si="2"/>
        <v/>
      </c>
      <c r="N207" s="214">
        <f>IFERROR(VLOOKUP(F207,Ch3_Storage,2, FALSE),0)</f>
        <v>0</v>
      </c>
    </row>
    <row r="208" ht="18.75" customHeight="1">
      <c r="A208" s="716">
        <f>IFERROR(VLOOKUP(H208,PartyStorage,2, FALSE),0)</f>
        <v>0</v>
      </c>
      <c r="B208" s="890"/>
      <c r="C208" s="676"/>
      <c r="D208" s="676"/>
      <c r="E208" s="676"/>
      <c r="F208" s="892"/>
      <c r="G208" s="893"/>
      <c r="H208" s="894"/>
      <c r="I208" s="895"/>
      <c r="J208" s="895"/>
      <c r="K208" s="895"/>
      <c r="L208" s="896"/>
      <c r="M208" s="897" t="str">
        <f t="shared" si="2"/>
        <v/>
      </c>
      <c r="N208" s="214">
        <f>IFERROR(VLOOKUP(F208,Ch3_Storage,2, FALSE),0)</f>
        <v>0</v>
      </c>
    </row>
    <row r="209" ht="7.5" customHeight="1">
      <c r="A209" s="513"/>
      <c r="B209" s="42"/>
      <c r="C209" s="42"/>
      <c r="D209" s="42"/>
      <c r="E209" s="42"/>
      <c r="F209" s="42"/>
      <c r="G209" s="42"/>
      <c r="H209" s="42"/>
      <c r="I209" s="42"/>
      <c r="J209" s="42"/>
      <c r="K209" s="42"/>
      <c r="L209" s="42"/>
      <c r="M209" s="42"/>
      <c r="N209" s="214"/>
    </row>
  </sheetData>
  <mergeCells count="199">
    <mergeCell ref="H42:L42"/>
    <mergeCell ref="H59:L59"/>
    <mergeCell ref="H44:L44"/>
    <mergeCell ref="H52:L52"/>
    <mergeCell ref="H53:L53"/>
    <mergeCell ref="H54:L54"/>
    <mergeCell ref="H55:L55"/>
    <mergeCell ref="H58:L58"/>
    <mergeCell ref="H134:L134"/>
    <mergeCell ref="H135:L135"/>
    <mergeCell ref="H148:L148"/>
    <mergeCell ref="H128:L128"/>
    <mergeCell ref="H129:L129"/>
    <mergeCell ref="H130:L130"/>
    <mergeCell ref="H131:L131"/>
    <mergeCell ref="H132:L132"/>
    <mergeCell ref="H133:L133"/>
    <mergeCell ref="H124:L124"/>
    <mergeCell ref="H125:L125"/>
    <mergeCell ref="H126:L126"/>
    <mergeCell ref="H127:L127"/>
    <mergeCell ref="H116:L116"/>
    <mergeCell ref="H117:L117"/>
    <mergeCell ref="H118:L118"/>
    <mergeCell ref="H122:L122"/>
    <mergeCell ref="H120:L120"/>
    <mergeCell ref="H121:L121"/>
    <mergeCell ref="H119:L119"/>
    <mergeCell ref="H149:L149"/>
    <mergeCell ref="B7:C7"/>
    <mergeCell ref="H26:L26"/>
    <mergeCell ref="H27:L27"/>
    <mergeCell ref="H30:L30"/>
    <mergeCell ref="H37:L37"/>
    <mergeCell ref="H61:L61"/>
    <mergeCell ref="H123:L123"/>
    <mergeCell ref="H75:L75"/>
    <mergeCell ref="H62:L62"/>
    <mergeCell ref="H63:L63"/>
    <mergeCell ref="H64:L64"/>
    <mergeCell ref="H65:L65"/>
    <mergeCell ref="H66:L66"/>
    <mergeCell ref="H67:L67"/>
    <mergeCell ref="H89:L89"/>
    <mergeCell ref="H90:L90"/>
    <mergeCell ref="H105:L105"/>
    <mergeCell ref="H106:L106"/>
    <mergeCell ref="H108:L108"/>
    <mergeCell ref="H109:L109"/>
    <mergeCell ref="H101:L101"/>
    <mergeCell ref="H102:L102"/>
    <mergeCell ref="H76:L76"/>
    <mergeCell ref="H77:L77"/>
    <mergeCell ref="H40:L40"/>
    <mergeCell ref="H41:L41"/>
    <mergeCell ref="H48:L48"/>
    <mergeCell ref="H49:L49"/>
    <mergeCell ref="H39:L39"/>
    <mergeCell ref="H38:L38"/>
    <mergeCell ref="H50:L50"/>
    <mergeCell ref="H45:L45"/>
    <mergeCell ref="H46:L46"/>
    <mergeCell ref="H47:L47"/>
    <mergeCell ref="H43:L43"/>
    <mergeCell ref="B9:C9"/>
    <mergeCell ref="B17:C17"/>
    <mergeCell ref="K2:M2"/>
    <mergeCell ref="B2:C2"/>
    <mergeCell ref="K3:L3"/>
    <mergeCell ref="H85:L85"/>
    <mergeCell ref="H86:L86"/>
    <mergeCell ref="H99:L99"/>
    <mergeCell ref="H94:L94"/>
    <mergeCell ref="H95:L95"/>
    <mergeCell ref="H96:L96"/>
    <mergeCell ref="H97:L97"/>
    <mergeCell ref="H98:L98"/>
    <mergeCell ref="H107:L107"/>
    <mergeCell ref="H110:L110"/>
    <mergeCell ref="H111:L111"/>
    <mergeCell ref="H112:L112"/>
    <mergeCell ref="H80:L80"/>
    <mergeCell ref="H81:L81"/>
    <mergeCell ref="H51:L51"/>
    <mergeCell ref="H60:L60"/>
    <mergeCell ref="H193:L193"/>
    <mergeCell ref="H194:L194"/>
    <mergeCell ref="H197:L197"/>
    <mergeCell ref="H196:L196"/>
    <mergeCell ref="H190:L190"/>
    <mergeCell ref="H191:L191"/>
    <mergeCell ref="H192:L192"/>
    <mergeCell ref="H195:L195"/>
    <mergeCell ref="H189:L189"/>
    <mergeCell ref="H169:L169"/>
    <mergeCell ref="H170:L170"/>
    <mergeCell ref="H171:L171"/>
    <mergeCell ref="H172:L172"/>
    <mergeCell ref="H181:L181"/>
    <mergeCell ref="H168:L168"/>
    <mergeCell ref="H177:L177"/>
    <mergeCell ref="H178:L178"/>
    <mergeCell ref="H179:L179"/>
    <mergeCell ref="H180:L180"/>
    <mergeCell ref="H174:L174"/>
    <mergeCell ref="H173:L173"/>
    <mergeCell ref="H206:L206"/>
    <mergeCell ref="H207:L207"/>
    <mergeCell ref="H208:L208"/>
    <mergeCell ref="H202:L202"/>
    <mergeCell ref="H203:L203"/>
    <mergeCell ref="H205:L205"/>
    <mergeCell ref="H204:L204"/>
    <mergeCell ref="H182:L182"/>
    <mergeCell ref="H184:L184"/>
    <mergeCell ref="H185:L185"/>
    <mergeCell ref="H186:L186"/>
    <mergeCell ref="H183:L183"/>
    <mergeCell ref="H187:L187"/>
    <mergeCell ref="H188:L188"/>
    <mergeCell ref="H138:L138"/>
    <mergeCell ref="H136:L136"/>
    <mergeCell ref="H137:L137"/>
    <mergeCell ref="H139:L139"/>
    <mergeCell ref="H140:L140"/>
    <mergeCell ref="H160:L160"/>
    <mergeCell ref="H161:L161"/>
    <mergeCell ref="H162:L162"/>
    <mergeCell ref="H163:L163"/>
    <mergeCell ref="H164:L164"/>
    <mergeCell ref="H165:L165"/>
    <mergeCell ref="H166:L166"/>
    <mergeCell ref="H167:L167"/>
    <mergeCell ref="H143:L143"/>
    <mergeCell ref="H144:L144"/>
    <mergeCell ref="H156:L156"/>
    <mergeCell ref="H157:L157"/>
    <mergeCell ref="H158:L158"/>
    <mergeCell ref="H159:L159"/>
    <mergeCell ref="H142:L142"/>
    <mergeCell ref="H141:L141"/>
    <mergeCell ref="H198:L198"/>
    <mergeCell ref="H199:L199"/>
    <mergeCell ref="H200:L200"/>
    <mergeCell ref="H201:L201"/>
    <mergeCell ref="H176:L176"/>
    <mergeCell ref="H175:L175"/>
    <mergeCell ref="K6:L6"/>
    <mergeCell ref="K5:L5"/>
    <mergeCell ref="B6:C6"/>
    <mergeCell ref="B4:C4"/>
    <mergeCell ref="B5:C5"/>
    <mergeCell ref="K4:L4"/>
    <mergeCell ref="E2:F7"/>
    <mergeCell ref="K7:L7"/>
    <mergeCell ref="I2:J7"/>
    <mergeCell ref="B3:C3"/>
    <mergeCell ref="H153:L153"/>
    <mergeCell ref="H154:L154"/>
    <mergeCell ref="H28:L28"/>
    <mergeCell ref="H29:L29"/>
    <mergeCell ref="H31:L31"/>
    <mergeCell ref="H32:L32"/>
    <mergeCell ref="H33:L33"/>
    <mergeCell ref="H34:L34"/>
    <mergeCell ref="H35:L35"/>
    <mergeCell ref="H36:L36"/>
    <mergeCell ref="H113:L113"/>
    <mergeCell ref="H114:L114"/>
    <mergeCell ref="H150:L150"/>
    <mergeCell ref="H151:L151"/>
    <mergeCell ref="H145:L145"/>
    <mergeCell ref="H146:L146"/>
    <mergeCell ref="H147:L147"/>
    <mergeCell ref="H155:L155"/>
    <mergeCell ref="H152:L152"/>
    <mergeCell ref="H115:L115"/>
    <mergeCell ref="H104:L104"/>
    <mergeCell ref="H71:L71"/>
    <mergeCell ref="H72:L72"/>
    <mergeCell ref="H87:L87"/>
    <mergeCell ref="H91:L91"/>
    <mergeCell ref="H92:L92"/>
    <mergeCell ref="H93:L93"/>
    <mergeCell ref="H56:L56"/>
    <mergeCell ref="H57:L57"/>
    <mergeCell ref="H100:L100"/>
    <mergeCell ref="H103:L103"/>
    <mergeCell ref="H68:L68"/>
    <mergeCell ref="H69:L69"/>
    <mergeCell ref="H73:L73"/>
    <mergeCell ref="H74:L74"/>
    <mergeCell ref="H84:L84"/>
    <mergeCell ref="H88:L88"/>
    <mergeCell ref="H70:L70"/>
    <mergeCell ref="H78:L78"/>
    <mergeCell ref="H79:L79"/>
    <mergeCell ref="H82:L82"/>
    <mergeCell ref="H83:L83"/>
  </mergeCells>
  <conditionalFormatting sqref="F27:F208">
    <cfRule type="expression" dxfId="0" priority="1">
      <formula>AND(AND(NOT(ISBLANK(C27)), ISBLANK(F27)), ISBLANK(H27))</formula>
    </cfRule>
  </conditionalFormatting>
  <conditionalFormatting sqref="F27:F208">
    <cfRule type="expression" dxfId="0" priority="2">
      <formula>AND(AND(NOT(ISBLANK(C27)), ISBLANK(F27)), ISBLANK(G27))</formula>
    </cfRule>
  </conditionalFormatting>
  <conditionalFormatting sqref="K2:M2">
    <cfRule type="expression" dxfId="21" priority="3">
      <formula>IF($N$2="",true,false)</formula>
    </cfRule>
  </conditionalFormatting>
  <conditionalFormatting sqref="K3:M7">
    <cfRule type="expression" dxfId="22" priority="4">
      <formula>IF($N$2="",true,false)</formula>
    </cfRule>
  </conditionalFormatting>
  <dataValidations>
    <dataValidation type="list" allowBlank="1" showInputMessage="1" showErrorMessage="1" prompt="Every item must have a storage location." sqref="F27:F208">
      <formula1>PartyStorage</formula1>
    </dataValidation>
    <dataValidation type="list" allowBlank="1" sqref="G27:G208">
      <formula1>"Mundane,Magic,Attunement"</formula1>
    </dataValidation>
  </dataValidations>
  <hyperlinks>
    <hyperlink r:id="rId2" ref="E1"/>
    <hyperlink r:id="rId3" ref="I1"/>
  </hyperlinks>
  <drawing r:id="rId4"/>
  <legacyDrawing r:id="rId5"/>
  <tableParts count="1">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8761D"/>
  </sheetPr>
  <sheetViews>
    <sheetView showGridLines="0" workbookViewId="0"/>
  </sheetViews>
  <sheetFormatPr customHeight="1" defaultColWidth="14.43" defaultRowHeight="15.75"/>
  <cols>
    <col customWidth="1" min="1" max="1" width="1.57"/>
    <col customWidth="1" min="2" max="2" width="5.86"/>
    <col customWidth="1" min="3" max="3" width="21.57"/>
    <col customWidth="1" min="4" max="13" width="15.86"/>
    <col customWidth="1" min="14" max="14" width="1.57"/>
    <col hidden="1" min="15" max="28" width="14.43"/>
  </cols>
  <sheetData>
    <row r="1" ht="7.5" customHeight="1">
      <c r="A1" s="170" t="str">
        <f>Ch4_Name&amp;"'s Inventory"</f>
        <v>Character 4's Inventory</v>
      </c>
      <c r="B1" s="172"/>
      <c r="C1" s="174"/>
      <c r="D1" s="174"/>
      <c r="E1" s="4" t="s">
        <v>52</v>
      </c>
      <c r="F1" s="174"/>
      <c r="G1" s="176"/>
      <c r="H1" s="176"/>
      <c r="I1" s="179" t="s">
        <v>53</v>
      </c>
      <c r="J1" s="181"/>
      <c r="K1" s="176"/>
      <c r="L1" s="176"/>
      <c r="M1" s="176"/>
      <c r="N1" s="43"/>
      <c r="O1" s="176"/>
      <c r="P1" s="176"/>
      <c r="Q1" s="176"/>
      <c r="R1" s="176"/>
      <c r="S1" s="176"/>
      <c r="T1" s="176"/>
      <c r="U1" s="176"/>
      <c r="V1" s="176"/>
      <c r="W1" s="176"/>
      <c r="X1" s="176"/>
      <c r="Y1" s="176"/>
      <c r="Z1" s="176"/>
      <c r="AA1" s="176"/>
      <c r="AB1" s="176"/>
    </row>
    <row r="2" ht="18.75" customHeight="1">
      <c r="A2" s="533">
        <f>IF(ISBLANK(Ch4_Size),"",VLOOKUP(Ch4_Size,SizeMultipliers,2, FALSE))</f>
        <v>1</v>
      </c>
      <c r="B2" s="657" t="s">
        <v>56</v>
      </c>
      <c r="C2" s="658"/>
      <c r="D2" s="659"/>
      <c r="E2" s="537" t="str">
        <f>IMAGE(E1,1)</f>
        <v/>
      </c>
      <c r="G2" s="660" t="s">
        <v>57</v>
      </c>
      <c r="H2" s="661"/>
      <c r="I2" s="194" t="str">
        <f>IMAGE(I1,1)</f>
        <v/>
      </c>
      <c r="K2" s="657" t="str">
        <f>IF(ISBLANK(Ch4_MountName),"Mount",Ch4_MountName)&amp;"'s Encumbrance"</f>
        <v>Mount's Encumbrance</v>
      </c>
      <c r="L2" s="264"/>
      <c r="M2" s="662"/>
      <c r="N2" s="541" t="str">
        <f>IF(ISBLANK(Ch4_MountSize),"",VLOOKUP(Ch4_MountSize,SizeMultipliers,2, FALSE))</f>
        <v/>
      </c>
    </row>
    <row r="3" ht="18.75" customHeight="1">
      <c r="A3" s="48"/>
      <c r="B3" s="201" t="s">
        <v>60</v>
      </c>
      <c r="C3" s="664"/>
      <c r="D3" s="665">
        <f>Ch4_Str*Ch4_SizeMultiplier*5</f>
        <v>50</v>
      </c>
      <c r="G3" s="666" t="s">
        <v>61</v>
      </c>
      <c r="H3" s="668">
        <v>0.0</v>
      </c>
      <c r="K3" s="210" t="s">
        <v>60</v>
      </c>
      <c r="L3" s="664"/>
      <c r="M3" s="665">
        <f>Ch4_MountStr*Ch4_MountSizeMult*5</f>
        <v>0</v>
      </c>
      <c r="N3" s="214"/>
    </row>
    <row r="4" ht="18.75" customHeight="1">
      <c r="A4" s="48"/>
      <c r="B4" s="672" t="s">
        <v>64</v>
      </c>
      <c r="C4" s="673"/>
      <c r="D4" s="674">
        <f>Ch4_Str*Ch4_SizeMultiplier*10</f>
        <v>100</v>
      </c>
      <c r="G4" s="675" t="s">
        <v>65</v>
      </c>
      <c r="H4" s="668">
        <f>(VLOOKUP(ADD(Ch4_Level,1),XPTable_v,2))-Ch4_XP</f>
        <v>300</v>
      </c>
      <c r="K4" s="677" t="s">
        <v>64</v>
      </c>
      <c r="L4" s="673"/>
      <c r="M4" s="674">
        <f>Ch4_MountStr*Ch4_MountSizeMult*10</f>
        <v>0</v>
      </c>
      <c r="N4" s="214"/>
    </row>
    <row r="5" ht="18.75" customHeight="1">
      <c r="A5" s="48"/>
      <c r="B5" s="201" t="s">
        <v>7</v>
      </c>
      <c r="C5" s="664"/>
      <c r="D5" s="665">
        <f>Ch4_Str*Ch4_SizeMultiplier*15</f>
        <v>150</v>
      </c>
      <c r="G5" s="679" t="s">
        <v>67</v>
      </c>
      <c r="H5" s="680">
        <f>MATCH(Ch4_XP,XPTable_m,2)</f>
        <v>1</v>
      </c>
      <c r="K5" s="210" t="s">
        <v>7</v>
      </c>
      <c r="L5" s="664"/>
      <c r="M5" s="665">
        <f>Ch4_MountStr*Ch4_MountSizeMult*15</f>
        <v>0</v>
      </c>
      <c r="N5" s="214"/>
    </row>
    <row r="6" ht="18.75" customHeight="1">
      <c r="A6" s="48"/>
      <c r="B6" s="672" t="s">
        <v>68</v>
      </c>
      <c r="C6" s="673"/>
      <c r="D6" s="674">
        <f>Ch4_Str*Ch4_SizeMultiplier*30</f>
        <v>300</v>
      </c>
      <c r="G6" s="29"/>
      <c r="H6" s="29"/>
      <c r="K6" s="677" t="s">
        <v>68</v>
      </c>
      <c r="L6" s="673"/>
      <c r="M6" s="674">
        <f>Ch4_MountStr*Ch4_MountSizeMult*30</f>
        <v>0</v>
      </c>
      <c r="N6" s="214"/>
    </row>
    <row r="7" ht="18.75" customHeight="1">
      <c r="A7" s="48"/>
      <c r="B7" s="234" t="s">
        <v>45</v>
      </c>
      <c r="C7" s="682"/>
      <c r="D7" s="683">
        <f t="array" ref="D7">SUMIF(Ch4_EquipStatus,"=yes",Ch4_InventoryWeights)</f>
        <v>0</v>
      </c>
      <c r="G7" s="29"/>
      <c r="H7" s="29"/>
      <c r="K7" s="240" t="s">
        <v>45</v>
      </c>
      <c r="L7" s="682"/>
      <c r="M7" s="685">
        <f t="array" ref="M7">SUMIF(Ch4_EquipStatus,"=mount",Ch4_InventoryWeights)+Ch4_Weight+D7</f>
        <v>0</v>
      </c>
      <c r="N7" s="214"/>
    </row>
    <row r="8" ht="7.5" customHeight="1">
      <c r="A8" s="48"/>
      <c r="B8" s="255"/>
      <c r="C8" s="257"/>
      <c r="D8" s="258"/>
      <c r="E8" s="257"/>
      <c r="F8" s="257"/>
      <c r="G8" s="257"/>
      <c r="H8" s="257"/>
      <c r="I8" s="259"/>
      <c r="J8" s="261"/>
      <c r="K8" s="261"/>
      <c r="L8" s="261"/>
      <c r="M8" s="261"/>
      <c r="N8" s="214"/>
    </row>
    <row r="9" ht="18.75" customHeight="1">
      <c r="A9" s="48"/>
      <c r="B9" s="686" t="s">
        <v>16</v>
      </c>
      <c r="C9" s="687"/>
      <c r="D9" s="688" t="s">
        <v>17</v>
      </c>
      <c r="E9" s="689"/>
      <c r="F9" s="689"/>
      <c r="G9" s="689"/>
      <c r="H9" s="689"/>
      <c r="I9" s="690"/>
      <c r="J9" s="691"/>
      <c r="K9" s="691"/>
      <c r="L9" s="691"/>
      <c r="M9" s="692"/>
      <c r="N9" s="214"/>
    </row>
    <row r="10" ht="18.75" customHeight="1">
      <c r="A10" s="48"/>
      <c r="B10" s="693" t="s">
        <v>23</v>
      </c>
      <c r="C10" s="694" t="s">
        <v>10</v>
      </c>
      <c r="D10" s="694" t="s">
        <v>24</v>
      </c>
      <c r="E10" s="694" t="s">
        <v>25</v>
      </c>
      <c r="F10" s="694" t="s">
        <v>26</v>
      </c>
      <c r="G10" s="694" t="s">
        <v>27</v>
      </c>
      <c r="H10" s="694" t="s">
        <v>28</v>
      </c>
      <c r="I10" s="694" t="s">
        <v>29</v>
      </c>
      <c r="J10" s="694" t="s">
        <v>30</v>
      </c>
      <c r="K10" s="694" t="s">
        <v>31</v>
      </c>
      <c r="L10" s="694" t="s">
        <v>32</v>
      </c>
      <c r="M10" s="695" t="s">
        <v>33</v>
      </c>
      <c r="N10" s="198"/>
    </row>
    <row r="11" ht="18.75" customHeight="1">
      <c r="A11" s="48"/>
      <c r="B11" s="566">
        <v>0.0</v>
      </c>
      <c r="C11" s="696" t="s">
        <v>36</v>
      </c>
      <c r="D11" s="697">
        <f>B11</f>
        <v>0</v>
      </c>
      <c r="E11" s="697">
        <f>B11/10</f>
        <v>0</v>
      </c>
      <c r="F11" s="697">
        <f>B11/50</f>
        <v>0</v>
      </c>
      <c r="G11" s="697">
        <f>B11/100</f>
        <v>0</v>
      </c>
      <c r="H11" s="697">
        <f>B11/1000</f>
        <v>0</v>
      </c>
      <c r="I11" s="698">
        <f>B11/5000</f>
        <v>0</v>
      </c>
      <c r="J11" s="699">
        <f>B11/10000</f>
        <v>0</v>
      </c>
      <c r="K11" s="699">
        <f>B11/50000</f>
        <v>0</v>
      </c>
      <c r="L11" s="699">
        <f>B11/100000</f>
        <v>0</v>
      </c>
      <c r="M11" s="700">
        <f>B11/500000</f>
        <v>0</v>
      </c>
      <c r="N11" s="214"/>
    </row>
    <row r="12" ht="18.75" customHeight="1">
      <c r="A12" s="48"/>
      <c r="B12" s="566">
        <v>0.0</v>
      </c>
      <c r="C12" s="696" t="s">
        <v>50</v>
      </c>
      <c r="D12" s="697">
        <f>B12*10</f>
        <v>0</v>
      </c>
      <c r="E12" s="697">
        <f>B12</f>
        <v>0</v>
      </c>
      <c r="F12" s="697">
        <f>B12/5</f>
        <v>0</v>
      </c>
      <c r="G12" s="697">
        <f>B12/10</f>
        <v>0</v>
      </c>
      <c r="H12" s="697">
        <f>B12/100</f>
        <v>0</v>
      </c>
      <c r="I12" s="697">
        <f>B12/500</f>
        <v>0</v>
      </c>
      <c r="J12" s="697">
        <f>B12/1000</f>
        <v>0</v>
      </c>
      <c r="K12" s="697">
        <f>B12/5000</f>
        <v>0</v>
      </c>
      <c r="L12" s="697">
        <f>B12/10000</f>
        <v>0</v>
      </c>
      <c r="M12" s="702">
        <f>B12/50000</f>
        <v>0</v>
      </c>
      <c r="N12" s="214"/>
    </row>
    <row r="13" ht="18.75" customHeight="1">
      <c r="A13" s="48"/>
      <c r="B13" s="566">
        <v>0.0</v>
      </c>
      <c r="C13" s="696" t="s">
        <v>54</v>
      </c>
      <c r="D13" s="697">
        <f>B13*50</f>
        <v>0</v>
      </c>
      <c r="E13" s="697">
        <f>B13*5</f>
        <v>0</v>
      </c>
      <c r="F13" s="697">
        <f>B13</f>
        <v>0</v>
      </c>
      <c r="G13" s="697">
        <f>B13/2</f>
        <v>0</v>
      </c>
      <c r="H13" s="697">
        <f>B13/20</f>
        <v>0</v>
      </c>
      <c r="I13" s="697">
        <f>B13/100</f>
        <v>0</v>
      </c>
      <c r="J13" s="699">
        <f>B13/200</f>
        <v>0</v>
      </c>
      <c r="K13" s="699">
        <f>B13/1000</f>
        <v>0</v>
      </c>
      <c r="L13" s="699">
        <f>B13/2000</f>
        <v>0</v>
      </c>
      <c r="M13" s="700">
        <f>B13/10000</f>
        <v>0</v>
      </c>
      <c r="N13" s="214"/>
    </row>
    <row r="14" ht="18.75" customHeight="1">
      <c r="A14" s="48"/>
      <c r="B14" s="566">
        <v>0.0</v>
      </c>
      <c r="C14" s="696" t="s">
        <v>59</v>
      </c>
      <c r="D14" s="697">
        <f>B14*100</f>
        <v>0</v>
      </c>
      <c r="E14" s="697">
        <f>B14*10</f>
        <v>0</v>
      </c>
      <c r="F14" s="697">
        <f>B14*2</f>
        <v>0</v>
      </c>
      <c r="G14" s="697">
        <f>B14</f>
        <v>0</v>
      </c>
      <c r="H14" s="697">
        <f>B14/10</f>
        <v>0</v>
      </c>
      <c r="I14" s="697">
        <f>B14/50</f>
        <v>0</v>
      </c>
      <c r="J14" s="699">
        <f>B14/100</f>
        <v>0</v>
      </c>
      <c r="K14" s="699">
        <f>B14/500</f>
        <v>0</v>
      </c>
      <c r="L14" s="699">
        <f>B14/1000</f>
        <v>0</v>
      </c>
      <c r="M14" s="700">
        <f>B14/5000</f>
        <v>0</v>
      </c>
      <c r="N14" s="214"/>
    </row>
    <row r="15" ht="18.75" customHeight="1">
      <c r="A15" s="48"/>
      <c r="B15" s="574">
        <v>0.0</v>
      </c>
      <c r="C15" s="707" t="s">
        <v>63</v>
      </c>
      <c r="D15" s="709">
        <f>B15*1000</f>
        <v>0</v>
      </c>
      <c r="E15" s="709">
        <f>B15*100</f>
        <v>0</v>
      </c>
      <c r="F15" s="709">
        <f>B15*20</f>
        <v>0</v>
      </c>
      <c r="G15" s="709">
        <f>B15*10</f>
        <v>0</v>
      </c>
      <c r="H15" s="709">
        <f>B15*1</f>
        <v>0</v>
      </c>
      <c r="I15" s="709">
        <f>B15/5</f>
        <v>0</v>
      </c>
      <c r="J15" s="712">
        <f>B15/10</f>
        <v>0</v>
      </c>
      <c r="K15" s="712">
        <f>B15/50</f>
        <v>0</v>
      </c>
      <c r="L15" s="712">
        <f>B15/100</f>
        <v>0</v>
      </c>
      <c r="M15" s="714">
        <f>B15/500</f>
        <v>0</v>
      </c>
      <c r="N15" s="214"/>
    </row>
    <row r="16" ht="7.5" customHeight="1">
      <c r="A16" s="48"/>
      <c r="B16" s="265"/>
      <c r="C16" s="267"/>
      <c r="D16" s="267"/>
      <c r="E16" s="267"/>
      <c r="F16" s="267"/>
      <c r="G16" s="267"/>
      <c r="H16" s="267"/>
      <c r="I16" s="267"/>
      <c r="J16" s="269"/>
      <c r="K16" s="269"/>
      <c r="L16" s="269"/>
      <c r="M16" s="269"/>
      <c r="N16" s="272"/>
      <c r="O16" s="233"/>
      <c r="P16" s="233"/>
      <c r="Q16" s="233"/>
      <c r="R16" s="233"/>
      <c r="S16" s="233"/>
      <c r="T16" s="233"/>
      <c r="U16" s="233"/>
      <c r="V16" s="233"/>
      <c r="W16" s="233"/>
      <c r="X16" s="233"/>
      <c r="Y16" s="233"/>
      <c r="Z16" s="233"/>
      <c r="AA16" s="233"/>
      <c r="AB16" s="233"/>
    </row>
    <row r="17" ht="18.75" customHeight="1">
      <c r="A17" s="48"/>
      <c r="B17" s="686" t="s">
        <v>69</v>
      </c>
      <c r="C17" s="689"/>
      <c r="D17" s="688" t="s">
        <v>17</v>
      </c>
      <c r="E17" s="689"/>
      <c r="F17" s="689"/>
      <c r="G17" s="689"/>
      <c r="H17" s="689"/>
      <c r="I17" s="689"/>
      <c r="J17" s="691"/>
      <c r="K17" s="691"/>
      <c r="L17" s="691"/>
      <c r="M17" s="692"/>
      <c r="N17" s="214"/>
    </row>
    <row r="18" ht="18.75" customHeight="1">
      <c r="A18" s="48"/>
      <c r="B18" s="693" t="s">
        <v>23</v>
      </c>
      <c r="C18" s="694" t="s">
        <v>10</v>
      </c>
      <c r="D18" s="694" t="s">
        <v>24</v>
      </c>
      <c r="E18" s="694" t="s">
        <v>25</v>
      </c>
      <c r="F18" s="694" t="s">
        <v>26</v>
      </c>
      <c r="G18" s="694" t="s">
        <v>27</v>
      </c>
      <c r="H18" s="694" t="s">
        <v>28</v>
      </c>
      <c r="I18" s="694" t="s">
        <v>29</v>
      </c>
      <c r="J18" s="694" t="s">
        <v>30</v>
      </c>
      <c r="K18" s="694" t="s">
        <v>31</v>
      </c>
      <c r="L18" s="694" t="s">
        <v>32</v>
      </c>
      <c r="M18" s="695" t="s">
        <v>33</v>
      </c>
      <c r="N18" s="214"/>
    </row>
    <row r="19" ht="18.75" customHeight="1">
      <c r="A19" s="48"/>
      <c r="B19" s="718">
        <v>0.0</v>
      </c>
      <c r="C19" s="696" t="s">
        <v>70</v>
      </c>
      <c r="D19" s="697">
        <f>B19*1000</f>
        <v>0</v>
      </c>
      <c r="E19" s="697">
        <f>B19*100</f>
        <v>0</v>
      </c>
      <c r="F19" s="697">
        <f>B19*20</f>
        <v>0</v>
      </c>
      <c r="G19" s="697">
        <f>B19*10</f>
        <v>0</v>
      </c>
      <c r="H19" s="697">
        <f>B19*1</f>
        <v>0</v>
      </c>
      <c r="I19" s="697">
        <f>B19/5</f>
        <v>0</v>
      </c>
      <c r="J19" s="699">
        <f>B19/10</f>
        <v>0</v>
      </c>
      <c r="K19" s="699">
        <f>B19/50</f>
        <v>0</v>
      </c>
      <c r="L19" s="699">
        <f>B19/100</f>
        <v>0</v>
      </c>
      <c r="M19" s="700">
        <f>B19/500</f>
        <v>0</v>
      </c>
      <c r="N19" s="214"/>
    </row>
    <row r="20" ht="18.75" customHeight="1">
      <c r="A20" s="48"/>
      <c r="B20" s="718">
        <v>0.0</v>
      </c>
      <c r="C20" s="696" t="s">
        <v>71</v>
      </c>
      <c r="D20" s="697">
        <f>B20*5000</f>
        <v>0</v>
      </c>
      <c r="E20" s="697">
        <f>B20*500</f>
        <v>0</v>
      </c>
      <c r="F20" s="697">
        <f>B20*100</f>
        <v>0</v>
      </c>
      <c r="G20" s="697">
        <f>B20*50</f>
        <v>0</v>
      </c>
      <c r="H20" s="697">
        <f>B20*5</f>
        <v>0</v>
      </c>
      <c r="I20" s="697">
        <f>B20</f>
        <v>0</v>
      </c>
      <c r="J20" s="699">
        <f>B20/2</f>
        <v>0</v>
      </c>
      <c r="K20" s="699">
        <f>B20/10</f>
        <v>0</v>
      </c>
      <c r="L20" s="699">
        <f>B20/20</f>
        <v>0</v>
      </c>
      <c r="M20" s="700">
        <f>B20/100</f>
        <v>0</v>
      </c>
      <c r="N20" s="214"/>
    </row>
    <row r="21" ht="18.75" customHeight="1">
      <c r="A21" s="48"/>
      <c r="B21" s="718">
        <v>0.0</v>
      </c>
      <c r="C21" s="696" t="s">
        <v>72</v>
      </c>
      <c r="D21" s="697">
        <f>B21*10000</f>
        <v>0</v>
      </c>
      <c r="E21" s="697">
        <f>B21*1000</f>
        <v>0</v>
      </c>
      <c r="F21" s="697">
        <f>B21*200</f>
        <v>0</v>
      </c>
      <c r="G21" s="697">
        <f>B21*100</f>
        <v>0</v>
      </c>
      <c r="H21" s="697">
        <f>B21*10</f>
        <v>0</v>
      </c>
      <c r="I21" s="697">
        <f>B21/5*10</f>
        <v>0</v>
      </c>
      <c r="J21" s="699">
        <f>B21</f>
        <v>0</v>
      </c>
      <c r="K21" s="699">
        <f>B21/5</f>
        <v>0</v>
      </c>
      <c r="L21" s="699">
        <f>B21/10</f>
        <v>0</v>
      </c>
      <c r="M21" s="700">
        <f>B21/50</f>
        <v>0</v>
      </c>
      <c r="N21" s="214"/>
    </row>
    <row r="22" ht="18.75" customHeight="1">
      <c r="A22" s="48"/>
      <c r="B22" s="718">
        <v>0.0</v>
      </c>
      <c r="C22" s="696" t="s">
        <v>73</v>
      </c>
      <c r="D22" s="697">
        <f>B22*50000</f>
        <v>0</v>
      </c>
      <c r="E22" s="697">
        <f>B22*5000</f>
        <v>0</v>
      </c>
      <c r="F22" s="697">
        <f>B22*1000</f>
        <v>0</v>
      </c>
      <c r="G22" s="697">
        <f>B22*500</f>
        <v>0</v>
      </c>
      <c r="H22" s="697">
        <f>B22*50</f>
        <v>0</v>
      </c>
      <c r="I22" s="697">
        <f>B22*10</f>
        <v>0</v>
      </c>
      <c r="J22" s="699">
        <f>B22/2*10</f>
        <v>0</v>
      </c>
      <c r="K22" s="699">
        <f>B22</f>
        <v>0</v>
      </c>
      <c r="L22" s="699">
        <f>B22/2</f>
        <v>0</v>
      </c>
      <c r="M22" s="700">
        <f>B22/10</f>
        <v>0</v>
      </c>
      <c r="N22" s="214"/>
    </row>
    <row r="23" ht="18.75" customHeight="1">
      <c r="A23" s="48"/>
      <c r="B23" s="718">
        <v>0.0</v>
      </c>
      <c r="C23" s="696" t="s">
        <v>74</v>
      </c>
      <c r="D23" s="697">
        <f>B23*100000</f>
        <v>0</v>
      </c>
      <c r="E23" s="697">
        <f>B23*10000</f>
        <v>0</v>
      </c>
      <c r="F23" s="697">
        <f>B23*2000</f>
        <v>0</v>
      </c>
      <c r="G23" s="697">
        <f>B23*1000</f>
        <v>0</v>
      </c>
      <c r="H23" s="697">
        <f>B23*100</f>
        <v>0</v>
      </c>
      <c r="I23" s="697">
        <f>B23/5*100</f>
        <v>0</v>
      </c>
      <c r="J23" s="699">
        <f>B23*10</f>
        <v>0</v>
      </c>
      <c r="K23" s="699">
        <f>B23/5*10</f>
        <v>0</v>
      </c>
      <c r="L23" s="699">
        <f>B23</f>
        <v>0</v>
      </c>
      <c r="M23" s="700">
        <f>B23/5</f>
        <v>0</v>
      </c>
      <c r="N23" s="214"/>
    </row>
    <row r="24" ht="18.75" customHeight="1">
      <c r="A24" s="48"/>
      <c r="B24" s="732">
        <v>0.0</v>
      </c>
      <c r="C24" s="707" t="s">
        <v>75</v>
      </c>
      <c r="D24" s="709">
        <f>B24*500000</f>
        <v>0</v>
      </c>
      <c r="E24" s="709">
        <f>B24*50000</f>
        <v>0</v>
      </c>
      <c r="F24" s="709">
        <f>B24*10000</f>
        <v>0</v>
      </c>
      <c r="G24" s="709">
        <f>B24*5000</f>
        <v>0</v>
      </c>
      <c r="H24" s="709">
        <f>B24*500</f>
        <v>0</v>
      </c>
      <c r="I24" s="709">
        <f>B24*100</f>
        <v>0</v>
      </c>
      <c r="J24" s="712">
        <f>B24/2*100</f>
        <v>0</v>
      </c>
      <c r="K24" s="712">
        <f>B24*10</f>
        <v>0</v>
      </c>
      <c r="L24" s="712">
        <f>B24/2*10</f>
        <v>0</v>
      </c>
      <c r="M24" s="714">
        <f>B24</f>
        <v>0</v>
      </c>
      <c r="N24" s="214"/>
    </row>
    <row r="25" ht="7.5" customHeight="1">
      <c r="A25" s="48"/>
      <c r="B25" s="199"/>
      <c r="C25" s="19"/>
      <c r="D25" s="19"/>
      <c r="E25" s="19"/>
      <c r="F25" s="19"/>
      <c r="G25" s="19"/>
      <c r="H25" s="19"/>
      <c r="I25" s="19"/>
      <c r="J25" s="42"/>
      <c r="K25" s="42"/>
      <c r="L25" s="42"/>
      <c r="M25" s="42"/>
      <c r="N25" s="214"/>
    </row>
    <row r="26" ht="18.75" customHeight="1">
      <c r="A26" s="48"/>
      <c r="B26" s="734" t="s">
        <v>23</v>
      </c>
      <c r="C26" s="735" t="s">
        <v>76</v>
      </c>
      <c r="D26" s="735" t="s">
        <v>77</v>
      </c>
      <c r="E26" s="736" t="s">
        <v>78</v>
      </c>
      <c r="F26" s="735" t="s">
        <v>11</v>
      </c>
      <c r="G26" s="737" t="s">
        <v>79</v>
      </c>
      <c r="H26" s="738" t="s">
        <v>80</v>
      </c>
      <c r="I26" s="264"/>
      <c r="J26" s="264"/>
      <c r="K26" s="264"/>
      <c r="L26" s="264"/>
      <c r="M26" s="739" t="s">
        <v>81</v>
      </c>
      <c r="N26" s="445"/>
    </row>
    <row r="27" ht="18.75" customHeight="1">
      <c r="A27" s="504">
        <f>IFERROR(VLOOKUP(H27,PartyStorage,2, FALSE),0)</f>
        <v>0</v>
      </c>
      <c r="B27" s="740">
        <f>sum(Ch4_Money)</f>
        <v>0</v>
      </c>
      <c r="C27" s="741" t="s">
        <v>16</v>
      </c>
      <c r="D27" s="741">
        <v>0.02</v>
      </c>
      <c r="E27" s="741"/>
      <c r="F27" s="742"/>
      <c r="G27" s="743"/>
      <c r="H27" s="744"/>
      <c r="L27" s="664"/>
      <c r="M27" s="745">
        <f t="shared" ref="M27:M28" si="1">IF(ISBLANK(C27),"",IF(ISBLANK(B27),D27,D27*B27))</f>
        <v>0</v>
      </c>
      <c r="N27" s="214">
        <f>IFERROR(VLOOKUP(F27,Ch4_Storage,2, FALSE),0)</f>
        <v>0</v>
      </c>
    </row>
    <row r="28" ht="18.75" customHeight="1">
      <c r="A28" s="504">
        <f>IFERROR(VLOOKUP(H28,PartyStorage,2, FALSE),0)</f>
        <v>0</v>
      </c>
      <c r="B28" s="746">
        <f>sum(Ch4_Gems)</f>
        <v>0</v>
      </c>
      <c r="C28" s="747" t="s">
        <v>69</v>
      </c>
      <c r="D28" s="747">
        <v>0.02</v>
      </c>
      <c r="E28" s="748"/>
      <c r="F28" s="749"/>
      <c r="G28" s="750"/>
      <c r="H28" s="751"/>
      <c r="L28" s="673"/>
      <c r="M28" s="752">
        <f t="shared" si="1"/>
        <v>0</v>
      </c>
      <c r="N28" s="214">
        <f>IFERROR(VLOOKUP(F28,Ch4_Storage,2, FALSE),0)</f>
        <v>0</v>
      </c>
    </row>
    <row r="29" ht="18.75" customHeight="1">
      <c r="A29" s="504">
        <f>IFERROR(VLOOKUP(H29,PartyStorage,2, FALSE),0)</f>
        <v>0</v>
      </c>
      <c r="B29" s="753"/>
      <c r="C29" s="754"/>
      <c r="D29" s="754"/>
      <c r="E29" s="755"/>
      <c r="F29" s="742"/>
      <c r="G29" s="756"/>
      <c r="H29" s="744"/>
      <c r="L29" s="664"/>
      <c r="M29" s="745"/>
      <c r="N29" s="214">
        <f>IFERROR(VLOOKUP(F29,Ch4_Storage,2, FALSE),0)</f>
        <v>0</v>
      </c>
    </row>
    <row r="30" ht="18.75" customHeight="1">
      <c r="A30" s="504">
        <f>IFERROR(VLOOKUP(H30,PartyStorage,2, FALSE),0)</f>
        <v>0</v>
      </c>
      <c r="B30" s="757"/>
      <c r="C30" s="748"/>
      <c r="D30" s="748"/>
      <c r="E30" s="758"/>
      <c r="F30" s="749"/>
      <c r="G30" s="759"/>
      <c r="H30" s="751"/>
      <c r="L30" s="673"/>
      <c r="M30" s="752" t="str">
        <f t="shared" ref="M30:M208" si="2">IF(ISBLANK(C30),"",IF(ISBLANK(B30),D30,D30*B30))</f>
        <v/>
      </c>
      <c r="N30" s="214">
        <f>IFERROR(VLOOKUP(F30,Ch4_Storage,2, FALSE),0)</f>
        <v>0</v>
      </c>
    </row>
    <row r="31" ht="18.75" customHeight="1">
      <c r="A31" s="504">
        <f>IFERROR(VLOOKUP(H31,PartyStorage,2, FALSE),0)</f>
        <v>0</v>
      </c>
      <c r="B31" s="753"/>
      <c r="C31" s="754"/>
      <c r="D31" s="754"/>
      <c r="E31" s="755"/>
      <c r="F31" s="760"/>
      <c r="G31" s="756"/>
      <c r="H31" s="744"/>
      <c r="L31" s="664"/>
      <c r="M31" s="745" t="str">
        <f t="shared" si="2"/>
        <v/>
      </c>
      <c r="N31" s="214">
        <f>IFERROR(VLOOKUP(F31,Ch4_Storage,2, FALSE),0)</f>
        <v>0</v>
      </c>
    </row>
    <row r="32" ht="18.75" customHeight="1">
      <c r="A32" s="504">
        <f>IFERROR(VLOOKUP(H32,PartyStorage,2, FALSE),0)</f>
        <v>0</v>
      </c>
      <c r="B32" s="757"/>
      <c r="C32" s="748"/>
      <c r="D32" s="748"/>
      <c r="E32" s="758"/>
      <c r="F32" s="749"/>
      <c r="G32" s="759"/>
      <c r="H32" s="751"/>
      <c r="L32" s="673"/>
      <c r="M32" s="752" t="str">
        <f t="shared" si="2"/>
        <v/>
      </c>
      <c r="N32" s="214">
        <f>IFERROR(VLOOKUP(F32,Ch4_Storage,2, FALSE),0)</f>
        <v>0</v>
      </c>
    </row>
    <row r="33" ht="18.75" customHeight="1">
      <c r="A33" s="504">
        <f>IFERROR(VLOOKUP(H33,PartyStorage,2, FALSE),0)</f>
        <v>0</v>
      </c>
      <c r="B33" s="753"/>
      <c r="C33" s="754"/>
      <c r="D33" s="754"/>
      <c r="E33" s="755"/>
      <c r="F33" s="760"/>
      <c r="G33" s="756"/>
      <c r="H33" s="744"/>
      <c r="L33" s="664"/>
      <c r="M33" s="745" t="str">
        <f t="shared" si="2"/>
        <v/>
      </c>
      <c r="N33" s="214">
        <f>IFERROR(VLOOKUP(F33,Ch4_Storage,2, FALSE),0)</f>
        <v>0</v>
      </c>
    </row>
    <row r="34" ht="18.75" customHeight="1">
      <c r="A34" s="504">
        <f>IFERROR(VLOOKUP(H34,PartyStorage,2, FALSE),0)</f>
        <v>0</v>
      </c>
      <c r="B34" s="757"/>
      <c r="C34" s="748"/>
      <c r="D34" s="748"/>
      <c r="E34" s="758"/>
      <c r="F34" s="749"/>
      <c r="G34" s="759"/>
      <c r="H34" s="751"/>
      <c r="L34" s="673"/>
      <c r="M34" s="752" t="str">
        <f t="shared" si="2"/>
        <v/>
      </c>
      <c r="N34" s="214">
        <f>IFERROR(VLOOKUP(F34,Ch4_Storage,2, FALSE),0)</f>
        <v>0</v>
      </c>
    </row>
    <row r="35" ht="18.75" customHeight="1">
      <c r="A35" s="504">
        <f>IFERROR(VLOOKUP(H35,PartyStorage,2, FALSE),0)</f>
        <v>0</v>
      </c>
      <c r="B35" s="753"/>
      <c r="C35" s="754"/>
      <c r="D35" s="754"/>
      <c r="E35" s="755"/>
      <c r="F35" s="760"/>
      <c r="G35" s="756"/>
      <c r="H35" s="744"/>
      <c r="L35" s="664"/>
      <c r="M35" s="745" t="str">
        <f t="shared" si="2"/>
        <v/>
      </c>
      <c r="N35" s="214">
        <f>IFERROR(VLOOKUP(F35,Ch4_Storage,2, FALSE),0)</f>
        <v>0</v>
      </c>
    </row>
    <row r="36" ht="18.75" customHeight="1">
      <c r="A36" s="504">
        <f>IFERROR(VLOOKUP(H36,PartyStorage,2, FALSE),0)</f>
        <v>0</v>
      </c>
      <c r="B36" s="757"/>
      <c r="C36" s="748"/>
      <c r="D36" s="748"/>
      <c r="E36" s="758"/>
      <c r="F36" s="749"/>
      <c r="G36" s="759"/>
      <c r="H36" s="751"/>
      <c r="L36" s="673"/>
      <c r="M36" s="752" t="str">
        <f t="shared" si="2"/>
        <v/>
      </c>
      <c r="N36" s="214">
        <f>IFERROR(VLOOKUP(F36,Ch4_Storage,2, FALSE),0)</f>
        <v>0</v>
      </c>
    </row>
    <row r="37" ht="18.75" customHeight="1">
      <c r="A37" s="504">
        <f>IFERROR(VLOOKUP(H37,PartyStorage,2, FALSE),0)</f>
        <v>0</v>
      </c>
      <c r="B37" s="753"/>
      <c r="C37" s="754"/>
      <c r="D37" s="754"/>
      <c r="E37" s="755"/>
      <c r="F37" s="760"/>
      <c r="G37" s="756"/>
      <c r="H37" s="744"/>
      <c r="L37" s="664"/>
      <c r="M37" s="745" t="str">
        <f t="shared" si="2"/>
        <v/>
      </c>
      <c r="N37" s="214">
        <f>IFERROR(VLOOKUP(F37,Ch4_Storage,2, FALSE),0)</f>
        <v>0</v>
      </c>
    </row>
    <row r="38" ht="18.75" customHeight="1">
      <c r="A38" s="504">
        <f>IFERROR(VLOOKUP(H38,PartyStorage,2, FALSE),0)</f>
        <v>0</v>
      </c>
      <c r="B38" s="757"/>
      <c r="C38" s="748"/>
      <c r="D38" s="748"/>
      <c r="E38" s="758"/>
      <c r="F38" s="749"/>
      <c r="G38" s="759"/>
      <c r="H38" s="751"/>
      <c r="L38" s="673"/>
      <c r="M38" s="752" t="str">
        <f t="shared" si="2"/>
        <v/>
      </c>
      <c r="N38" s="214">
        <f>IFERROR(VLOOKUP(F38,Ch4_Storage,2, FALSE),0)</f>
        <v>0</v>
      </c>
    </row>
    <row r="39" ht="18.75" customHeight="1">
      <c r="A39" s="504">
        <f>IFERROR(VLOOKUP(H39,PartyStorage,2, FALSE),0)</f>
        <v>0</v>
      </c>
      <c r="B39" s="753"/>
      <c r="C39" s="754"/>
      <c r="D39" s="754"/>
      <c r="E39" s="755"/>
      <c r="F39" s="760"/>
      <c r="G39" s="756"/>
      <c r="H39" s="744"/>
      <c r="L39" s="664"/>
      <c r="M39" s="745" t="str">
        <f t="shared" si="2"/>
        <v/>
      </c>
      <c r="N39" s="214">
        <f>IFERROR(VLOOKUP(F39,Ch4_Storage,2, FALSE),0)</f>
        <v>0</v>
      </c>
    </row>
    <row r="40" ht="18.75" customHeight="1">
      <c r="A40" s="504">
        <f>IFERROR(VLOOKUP(H40,PartyStorage,2, FALSE),0)</f>
        <v>0</v>
      </c>
      <c r="B40" s="757"/>
      <c r="C40" s="748"/>
      <c r="D40" s="748"/>
      <c r="E40" s="758"/>
      <c r="F40" s="749"/>
      <c r="G40" s="759"/>
      <c r="H40" s="751"/>
      <c r="L40" s="673"/>
      <c r="M40" s="752" t="str">
        <f t="shared" si="2"/>
        <v/>
      </c>
      <c r="N40" s="214">
        <f>IFERROR(VLOOKUP(F40,Ch4_Storage,2, FALSE),0)</f>
        <v>0</v>
      </c>
    </row>
    <row r="41" ht="18.75" customHeight="1">
      <c r="A41" s="504">
        <f>IFERROR(VLOOKUP(H41,PartyStorage,2, FALSE),0)</f>
        <v>0</v>
      </c>
      <c r="B41" s="753"/>
      <c r="C41" s="754"/>
      <c r="D41" s="754"/>
      <c r="E41" s="755"/>
      <c r="F41" s="760"/>
      <c r="G41" s="756"/>
      <c r="H41" s="744"/>
      <c r="L41" s="664"/>
      <c r="M41" s="745" t="str">
        <f t="shared" si="2"/>
        <v/>
      </c>
      <c r="N41" s="214">
        <f>IFERROR(VLOOKUP(F41,Ch4_Storage,2, FALSE),0)</f>
        <v>0</v>
      </c>
    </row>
    <row r="42" ht="18.75" customHeight="1">
      <c r="A42" s="504">
        <f>IFERROR(VLOOKUP(H42,PartyStorage,2, FALSE),0)</f>
        <v>0</v>
      </c>
      <c r="B42" s="757"/>
      <c r="C42" s="748"/>
      <c r="D42" s="748"/>
      <c r="E42" s="758"/>
      <c r="F42" s="749"/>
      <c r="G42" s="759"/>
      <c r="H42" s="751"/>
      <c r="L42" s="673"/>
      <c r="M42" s="752" t="str">
        <f t="shared" si="2"/>
        <v/>
      </c>
      <c r="N42" s="214">
        <f>IFERROR(VLOOKUP(F42,Ch4_Storage,2, FALSE),0)</f>
        <v>0</v>
      </c>
    </row>
    <row r="43" ht="18.75" customHeight="1">
      <c r="A43" s="504">
        <f>IFERROR(VLOOKUP(H43,PartyStorage,2, FALSE),0)</f>
        <v>0</v>
      </c>
      <c r="B43" s="753"/>
      <c r="C43" s="754"/>
      <c r="D43" s="754"/>
      <c r="E43" s="755"/>
      <c r="F43" s="760"/>
      <c r="G43" s="756"/>
      <c r="H43" s="744"/>
      <c r="L43" s="664"/>
      <c r="M43" s="745" t="str">
        <f t="shared" si="2"/>
        <v/>
      </c>
      <c r="N43" s="214">
        <f>IFERROR(VLOOKUP(F43,Ch4_Storage,2, FALSE),0)</f>
        <v>0</v>
      </c>
    </row>
    <row r="44" ht="18.75" customHeight="1">
      <c r="A44" s="504">
        <f>IFERROR(VLOOKUP(H44,PartyStorage,2, FALSE),0)</f>
        <v>0</v>
      </c>
      <c r="B44" s="757"/>
      <c r="C44" s="748"/>
      <c r="D44" s="748"/>
      <c r="E44" s="758"/>
      <c r="F44" s="749"/>
      <c r="G44" s="759"/>
      <c r="H44" s="751"/>
      <c r="L44" s="673"/>
      <c r="M44" s="752" t="str">
        <f t="shared" si="2"/>
        <v/>
      </c>
      <c r="N44" s="214">
        <f>IFERROR(VLOOKUP(F44,Ch4_Storage,2, FALSE),0)</f>
        <v>0</v>
      </c>
    </row>
    <row r="45" ht="18.75" customHeight="1">
      <c r="A45" s="504">
        <f>IFERROR(VLOOKUP(H45,PartyStorage,2, FALSE),0)</f>
        <v>0</v>
      </c>
      <c r="B45" s="753"/>
      <c r="C45" s="754"/>
      <c r="D45" s="754"/>
      <c r="E45" s="755"/>
      <c r="F45" s="760"/>
      <c r="G45" s="756"/>
      <c r="H45" s="744"/>
      <c r="L45" s="664"/>
      <c r="M45" s="745" t="str">
        <f t="shared" si="2"/>
        <v/>
      </c>
      <c r="N45" s="214">
        <f>IFERROR(VLOOKUP(F45,Ch4_Storage,2, FALSE),0)</f>
        <v>0</v>
      </c>
    </row>
    <row r="46" ht="18.75" customHeight="1">
      <c r="A46" s="504">
        <f>IFERROR(VLOOKUP(H46,PartyStorage,2, FALSE),0)</f>
        <v>0</v>
      </c>
      <c r="B46" s="757"/>
      <c r="C46" s="748"/>
      <c r="D46" s="748"/>
      <c r="E46" s="758"/>
      <c r="F46" s="749"/>
      <c r="G46" s="759"/>
      <c r="H46" s="751"/>
      <c r="L46" s="673"/>
      <c r="M46" s="752" t="str">
        <f t="shared" si="2"/>
        <v/>
      </c>
      <c r="N46" s="214">
        <f>IFERROR(VLOOKUP(F46,Ch4_Storage,2, FALSE),0)</f>
        <v>0</v>
      </c>
    </row>
    <row r="47" ht="18.75" customHeight="1">
      <c r="A47" s="504">
        <f>IFERROR(VLOOKUP(H47,PartyStorage,2, FALSE),0)</f>
        <v>0</v>
      </c>
      <c r="B47" s="753"/>
      <c r="C47" s="754"/>
      <c r="D47" s="754"/>
      <c r="E47" s="755"/>
      <c r="F47" s="760"/>
      <c r="G47" s="756"/>
      <c r="H47" s="744"/>
      <c r="L47" s="664"/>
      <c r="M47" s="745" t="str">
        <f t="shared" si="2"/>
        <v/>
      </c>
      <c r="N47" s="214">
        <f>IFERROR(VLOOKUP(F47,Ch4_Storage,2, FALSE),0)</f>
        <v>0</v>
      </c>
    </row>
    <row r="48" ht="18.75" customHeight="1">
      <c r="A48" s="504">
        <f>IFERROR(VLOOKUP(H48,PartyStorage,2, FALSE),0)</f>
        <v>0</v>
      </c>
      <c r="B48" s="757"/>
      <c r="C48" s="748"/>
      <c r="D48" s="748"/>
      <c r="E48" s="758"/>
      <c r="F48" s="749"/>
      <c r="G48" s="759"/>
      <c r="H48" s="751"/>
      <c r="L48" s="673"/>
      <c r="M48" s="752" t="str">
        <f t="shared" si="2"/>
        <v/>
      </c>
      <c r="N48" s="214">
        <f>IFERROR(VLOOKUP(F48,Ch4_Storage,2, FALSE),0)</f>
        <v>0</v>
      </c>
    </row>
    <row r="49" ht="18.75" customHeight="1">
      <c r="A49" s="504">
        <f>IFERROR(VLOOKUP(H49,PartyStorage,2, FALSE),0)</f>
        <v>0</v>
      </c>
      <c r="B49" s="753"/>
      <c r="C49" s="754"/>
      <c r="D49" s="754"/>
      <c r="E49" s="755"/>
      <c r="F49" s="760"/>
      <c r="G49" s="756"/>
      <c r="H49" s="744"/>
      <c r="L49" s="664"/>
      <c r="M49" s="745" t="str">
        <f t="shared" si="2"/>
        <v/>
      </c>
      <c r="N49" s="214">
        <f>IFERROR(VLOOKUP(F49,Ch4_Storage,2, FALSE),0)</f>
        <v>0</v>
      </c>
    </row>
    <row r="50" ht="18.75" customHeight="1">
      <c r="A50" s="504">
        <f>IFERROR(VLOOKUP(H50,PartyStorage,2, FALSE),0)</f>
        <v>0</v>
      </c>
      <c r="B50" s="757"/>
      <c r="C50" s="748"/>
      <c r="D50" s="748"/>
      <c r="E50" s="758"/>
      <c r="F50" s="749"/>
      <c r="G50" s="759"/>
      <c r="H50" s="751"/>
      <c r="L50" s="673"/>
      <c r="M50" s="752" t="str">
        <f t="shared" si="2"/>
        <v/>
      </c>
      <c r="N50" s="214">
        <f>IFERROR(VLOOKUP(F50,Ch4_Storage,2, FALSE),0)</f>
        <v>0</v>
      </c>
    </row>
    <row r="51" ht="18.75" customHeight="1">
      <c r="A51" s="504">
        <f>IFERROR(VLOOKUP(H51,PartyStorage,2, FALSE),0)</f>
        <v>0</v>
      </c>
      <c r="B51" s="753"/>
      <c r="C51" s="754"/>
      <c r="D51" s="754"/>
      <c r="E51" s="755"/>
      <c r="F51" s="760"/>
      <c r="G51" s="756"/>
      <c r="H51" s="744"/>
      <c r="L51" s="664"/>
      <c r="M51" s="745" t="str">
        <f t="shared" si="2"/>
        <v/>
      </c>
      <c r="N51" s="214">
        <f>IFERROR(VLOOKUP(F51,Ch4_Storage,2, FALSE),0)</f>
        <v>0</v>
      </c>
    </row>
    <row r="52" ht="18.75" customHeight="1">
      <c r="A52" s="504">
        <f>IFERROR(VLOOKUP(H52,PartyStorage,2, FALSE),0)</f>
        <v>0</v>
      </c>
      <c r="B52" s="757"/>
      <c r="C52" s="748"/>
      <c r="D52" s="748"/>
      <c r="E52" s="758"/>
      <c r="F52" s="749"/>
      <c r="G52" s="759"/>
      <c r="H52" s="751"/>
      <c r="L52" s="673"/>
      <c r="M52" s="752" t="str">
        <f t="shared" si="2"/>
        <v/>
      </c>
      <c r="N52" s="214">
        <f>IFERROR(VLOOKUP(F52,Ch4_Storage,2, FALSE),0)</f>
        <v>0</v>
      </c>
    </row>
    <row r="53" ht="18.75" customHeight="1">
      <c r="A53" s="504">
        <f>IFERROR(VLOOKUP(H53,PartyStorage,2, FALSE),0)</f>
        <v>0</v>
      </c>
      <c r="B53" s="753"/>
      <c r="C53" s="754"/>
      <c r="D53" s="754"/>
      <c r="E53" s="755"/>
      <c r="F53" s="760"/>
      <c r="G53" s="756"/>
      <c r="H53" s="744"/>
      <c r="L53" s="664"/>
      <c r="M53" s="745" t="str">
        <f t="shared" si="2"/>
        <v/>
      </c>
      <c r="N53" s="214">
        <f>IFERROR(VLOOKUP(F53,Ch4_Storage,2, FALSE),0)</f>
        <v>0</v>
      </c>
    </row>
    <row r="54" ht="18.75" customHeight="1">
      <c r="A54" s="504">
        <f>IFERROR(VLOOKUP(H54,PartyStorage,2, FALSE),0)</f>
        <v>0</v>
      </c>
      <c r="B54" s="757"/>
      <c r="C54" s="748"/>
      <c r="D54" s="748"/>
      <c r="E54" s="758"/>
      <c r="F54" s="749"/>
      <c r="G54" s="759"/>
      <c r="H54" s="751"/>
      <c r="L54" s="673"/>
      <c r="M54" s="752" t="str">
        <f t="shared" si="2"/>
        <v/>
      </c>
      <c r="N54" s="214">
        <f>IFERROR(VLOOKUP(F54,Ch4_Storage,2, FALSE),0)</f>
        <v>0</v>
      </c>
    </row>
    <row r="55" ht="18.75" customHeight="1">
      <c r="A55" s="504">
        <f>IFERROR(VLOOKUP(H55,PartyStorage,2, FALSE),0)</f>
        <v>0</v>
      </c>
      <c r="B55" s="753"/>
      <c r="C55" s="754"/>
      <c r="D55" s="754"/>
      <c r="E55" s="755"/>
      <c r="F55" s="760"/>
      <c r="G55" s="756"/>
      <c r="H55" s="744"/>
      <c r="L55" s="664"/>
      <c r="M55" s="745" t="str">
        <f t="shared" si="2"/>
        <v/>
      </c>
      <c r="N55" s="214">
        <f>IFERROR(VLOOKUP(F55,Ch4_Storage,2, FALSE),0)</f>
        <v>0</v>
      </c>
    </row>
    <row r="56" ht="18.75" customHeight="1">
      <c r="A56" s="504">
        <f>IFERROR(VLOOKUP(H56,PartyStorage,2, FALSE),0)</f>
        <v>0</v>
      </c>
      <c r="B56" s="757"/>
      <c r="C56" s="748"/>
      <c r="D56" s="748"/>
      <c r="E56" s="758"/>
      <c r="F56" s="749"/>
      <c r="G56" s="759"/>
      <c r="H56" s="751"/>
      <c r="L56" s="673"/>
      <c r="M56" s="752" t="str">
        <f t="shared" si="2"/>
        <v/>
      </c>
      <c r="N56" s="214">
        <f>IFERROR(VLOOKUP(F56,Ch4_Storage,2, FALSE),0)</f>
        <v>0</v>
      </c>
    </row>
    <row r="57" ht="18.75" customHeight="1">
      <c r="A57" s="504">
        <f>IFERROR(VLOOKUP(H57,PartyStorage,2, FALSE),0)</f>
        <v>0</v>
      </c>
      <c r="B57" s="753"/>
      <c r="C57" s="754"/>
      <c r="D57" s="754"/>
      <c r="E57" s="755"/>
      <c r="F57" s="760"/>
      <c r="G57" s="756"/>
      <c r="H57" s="744"/>
      <c r="L57" s="664"/>
      <c r="M57" s="745" t="str">
        <f t="shared" si="2"/>
        <v/>
      </c>
      <c r="N57" s="214">
        <f>IFERROR(VLOOKUP(F57,Ch4_Storage,2, FALSE),0)</f>
        <v>0</v>
      </c>
    </row>
    <row r="58" ht="18.75" customHeight="1">
      <c r="A58" s="504">
        <f>IFERROR(VLOOKUP(H58,PartyStorage,2, FALSE),0)</f>
        <v>0</v>
      </c>
      <c r="B58" s="757"/>
      <c r="C58" s="748"/>
      <c r="D58" s="748"/>
      <c r="E58" s="758"/>
      <c r="F58" s="749"/>
      <c r="G58" s="759"/>
      <c r="H58" s="751"/>
      <c r="L58" s="673"/>
      <c r="M58" s="752" t="str">
        <f t="shared" si="2"/>
        <v/>
      </c>
      <c r="N58" s="214">
        <f>IFERROR(VLOOKUP(F58,Ch4_Storage,2, FALSE),0)</f>
        <v>0</v>
      </c>
    </row>
    <row r="59" ht="18.75" customHeight="1">
      <c r="A59" s="504">
        <f>IFERROR(VLOOKUP(H59,PartyStorage,2, FALSE),0)</f>
        <v>0</v>
      </c>
      <c r="B59" s="753"/>
      <c r="C59" s="754"/>
      <c r="D59" s="754"/>
      <c r="E59" s="755"/>
      <c r="F59" s="760"/>
      <c r="G59" s="756"/>
      <c r="H59" s="744"/>
      <c r="L59" s="664"/>
      <c r="M59" s="745" t="str">
        <f t="shared" si="2"/>
        <v/>
      </c>
      <c r="N59" s="214">
        <f>IFERROR(VLOOKUP(F59,Ch4_Storage,2, FALSE),0)</f>
        <v>0</v>
      </c>
    </row>
    <row r="60" ht="18.75" customHeight="1">
      <c r="A60" s="504">
        <f>IFERROR(VLOOKUP(H60,PartyStorage,2, FALSE),0)</f>
        <v>0</v>
      </c>
      <c r="B60" s="757"/>
      <c r="C60" s="748"/>
      <c r="D60" s="748"/>
      <c r="E60" s="758"/>
      <c r="F60" s="749"/>
      <c r="G60" s="759"/>
      <c r="H60" s="751"/>
      <c r="L60" s="673"/>
      <c r="M60" s="752" t="str">
        <f t="shared" si="2"/>
        <v/>
      </c>
      <c r="N60" s="214">
        <f>IFERROR(VLOOKUP(F60,Ch4_Storage,2, FALSE),0)</f>
        <v>0</v>
      </c>
    </row>
    <row r="61" ht="18.75" customHeight="1">
      <c r="A61" s="504">
        <f>IFERROR(VLOOKUP(H61,PartyStorage,2, FALSE),0)</f>
        <v>0</v>
      </c>
      <c r="B61" s="753"/>
      <c r="C61" s="754"/>
      <c r="D61" s="754"/>
      <c r="E61" s="755"/>
      <c r="F61" s="760"/>
      <c r="G61" s="756"/>
      <c r="H61" s="744"/>
      <c r="L61" s="664"/>
      <c r="M61" s="745" t="str">
        <f t="shared" si="2"/>
        <v/>
      </c>
      <c r="N61" s="214">
        <f>IFERROR(VLOOKUP(F61,Ch4_Storage,2, FALSE),0)</f>
        <v>0</v>
      </c>
    </row>
    <row r="62" ht="18.75" customHeight="1">
      <c r="A62" s="504">
        <f>IFERROR(VLOOKUP(H62,PartyStorage,2, FALSE),0)</f>
        <v>0</v>
      </c>
      <c r="B62" s="757"/>
      <c r="C62" s="748"/>
      <c r="D62" s="748"/>
      <c r="E62" s="758"/>
      <c r="F62" s="749"/>
      <c r="G62" s="759"/>
      <c r="H62" s="751"/>
      <c r="L62" s="673"/>
      <c r="M62" s="752" t="str">
        <f t="shared" si="2"/>
        <v/>
      </c>
      <c r="N62" s="214">
        <f>IFERROR(VLOOKUP(F62,Ch4_Storage,2, FALSE),0)</f>
        <v>0</v>
      </c>
    </row>
    <row r="63" ht="18.75" customHeight="1">
      <c r="A63" s="504">
        <f>IFERROR(VLOOKUP(H63,PartyStorage,2, FALSE),0)</f>
        <v>0</v>
      </c>
      <c r="B63" s="753"/>
      <c r="C63" s="754"/>
      <c r="D63" s="754"/>
      <c r="E63" s="755"/>
      <c r="F63" s="760"/>
      <c r="G63" s="756"/>
      <c r="H63" s="744"/>
      <c r="L63" s="664"/>
      <c r="M63" s="745" t="str">
        <f t="shared" si="2"/>
        <v/>
      </c>
      <c r="N63" s="214">
        <f>IFERROR(VLOOKUP(F63,Ch4_Storage,2, FALSE),0)</f>
        <v>0</v>
      </c>
    </row>
    <row r="64" ht="18.75" customHeight="1">
      <c r="A64" s="504">
        <f>IFERROR(VLOOKUP(H64,PartyStorage,2, FALSE),0)</f>
        <v>0</v>
      </c>
      <c r="B64" s="757"/>
      <c r="C64" s="748"/>
      <c r="D64" s="748"/>
      <c r="E64" s="758"/>
      <c r="F64" s="749"/>
      <c r="G64" s="759"/>
      <c r="H64" s="751"/>
      <c r="L64" s="673"/>
      <c r="M64" s="752" t="str">
        <f t="shared" si="2"/>
        <v/>
      </c>
      <c r="N64" s="214">
        <f>IFERROR(VLOOKUP(F64,Ch4_Storage,2, FALSE),0)</f>
        <v>0</v>
      </c>
    </row>
    <row r="65" ht="18.75" customHeight="1">
      <c r="A65" s="504">
        <f>IFERROR(VLOOKUP(H65,PartyStorage,2, FALSE),0)</f>
        <v>0</v>
      </c>
      <c r="B65" s="753"/>
      <c r="C65" s="754"/>
      <c r="D65" s="754"/>
      <c r="E65" s="755"/>
      <c r="F65" s="760"/>
      <c r="G65" s="756"/>
      <c r="H65" s="744"/>
      <c r="L65" s="664"/>
      <c r="M65" s="745" t="str">
        <f t="shared" si="2"/>
        <v/>
      </c>
      <c r="N65" s="214">
        <f>IFERROR(VLOOKUP(F65,Ch4_Storage,2, FALSE),0)</f>
        <v>0</v>
      </c>
    </row>
    <row r="66" ht="18.75" customHeight="1">
      <c r="A66" s="504">
        <f>IFERROR(VLOOKUP(H66,PartyStorage,2, FALSE),0)</f>
        <v>0</v>
      </c>
      <c r="B66" s="757"/>
      <c r="C66" s="748"/>
      <c r="D66" s="748"/>
      <c r="E66" s="758"/>
      <c r="F66" s="749"/>
      <c r="G66" s="759"/>
      <c r="H66" s="751"/>
      <c r="L66" s="673"/>
      <c r="M66" s="752" t="str">
        <f t="shared" si="2"/>
        <v/>
      </c>
      <c r="N66" s="214">
        <f>IFERROR(VLOOKUP(F66,Ch4_Storage,2, FALSE),0)</f>
        <v>0</v>
      </c>
    </row>
    <row r="67" ht="18.75" customHeight="1">
      <c r="A67" s="504">
        <f>IFERROR(VLOOKUP(H67,PartyStorage,2, FALSE),0)</f>
        <v>0</v>
      </c>
      <c r="B67" s="753"/>
      <c r="C67" s="754"/>
      <c r="D67" s="754"/>
      <c r="E67" s="755"/>
      <c r="F67" s="760"/>
      <c r="G67" s="756"/>
      <c r="H67" s="744"/>
      <c r="L67" s="664"/>
      <c r="M67" s="745" t="str">
        <f t="shared" si="2"/>
        <v/>
      </c>
      <c r="N67" s="214">
        <f>IFERROR(VLOOKUP(F67,Ch4_Storage,2, FALSE),0)</f>
        <v>0</v>
      </c>
    </row>
    <row r="68" ht="18.75" customHeight="1">
      <c r="A68" s="504">
        <f>IFERROR(VLOOKUP(H68,PartyStorage,2, FALSE),0)</f>
        <v>0</v>
      </c>
      <c r="B68" s="757"/>
      <c r="C68" s="748"/>
      <c r="D68" s="748"/>
      <c r="E68" s="758"/>
      <c r="F68" s="749"/>
      <c r="G68" s="759"/>
      <c r="H68" s="751"/>
      <c r="L68" s="673"/>
      <c r="M68" s="752" t="str">
        <f t="shared" si="2"/>
        <v/>
      </c>
      <c r="N68" s="214">
        <f>IFERROR(VLOOKUP(F68,Ch4_Storage,2, FALSE),0)</f>
        <v>0</v>
      </c>
    </row>
    <row r="69" ht="18.75" customHeight="1">
      <c r="A69" s="504">
        <f>IFERROR(VLOOKUP(H69,PartyStorage,2, FALSE),0)</f>
        <v>0</v>
      </c>
      <c r="B69" s="753"/>
      <c r="C69" s="754"/>
      <c r="D69" s="754"/>
      <c r="E69" s="755"/>
      <c r="F69" s="760"/>
      <c r="G69" s="756"/>
      <c r="H69" s="744"/>
      <c r="L69" s="664"/>
      <c r="M69" s="745" t="str">
        <f t="shared" si="2"/>
        <v/>
      </c>
      <c r="N69" s="214">
        <f>IFERROR(VLOOKUP(F69,Ch4_Storage,2, FALSE),0)</f>
        <v>0</v>
      </c>
    </row>
    <row r="70" ht="18.75" customHeight="1">
      <c r="A70" s="504">
        <f>IFERROR(VLOOKUP(H70,PartyStorage,2, FALSE),0)</f>
        <v>0</v>
      </c>
      <c r="B70" s="757"/>
      <c r="C70" s="748"/>
      <c r="D70" s="748"/>
      <c r="E70" s="758"/>
      <c r="F70" s="749"/>
      <c r="G70" s="759"/>
      <c r="H70" s="751"/>
      <c r="L70" s="673"/>
      <c r="M70" s="752" t="str">
        <f t="shared" si="2"/>
        <v/>
      </c>
      <c r="N70" s="214">
        <f>IFERROR(VLOOKUP(F70,Ch4_Storage,2, FALSE),0)</f>
        <v>0</v>
      </c>
    </row>
    <row r="71" ht="18.75" customHeight="1">
      <c r="A71" s="504">
        <f>IFERROR(VLOOKUP(H71,PartyStorage,2, FALSE),0)</f>
        <v>0</v>
      </c>
      <c r="B71" s="753"/>
      <c r="C71" s="754"/>
      <c r="D71" s="754"/>
      <c r="E71" s="755"/>
      <c r="F71" s="760"/>
      <c r="G71" s="756"/>
      <c r="H71" s="744"/>
      <c r="L71" s="664"/>
      <c r="M71" s="745" t="str">
        <f t="shared" si="2"/>
        <v/>
      </c>
      <c r="N71" s="214">
        <f>IFERROR(VLOOKUP(F71,Ch4_Storage,2, FALSE),0)</f>
        <v>0</v>
      </c>
    </row>
    <row r="72" ht="18.75" customHeight="1">
      <c r="A72" s="504">
        <f>IFERROR(VLOOKUP(H72,PartyStorage,2, FALSE),0)</f>
        <v>0</v>
      </c>
      <c r="B72" s="757"/>
      <c r="C72" s="748"/>
      <c r="D72" s="748"/>
      <c r="E72" s="758"/>
      <c r="F72" s="749"/>
      <c r="G72" s="759"/>
      <c r="H72" s="751"/>
      <c r="L72" s="673"/>
      <c r="M72" s="752" t="str">
        <f t="shared" si="2"/>
        <v/>
      </c>
      <c r="N72" s="214">
        <f>IFERROR(VLOOKUP(F72,Ch4_Storage,2, FALSE),0)</f>
        <v>0</v>
      </c>
    </row>
    <row r="73" ht="18.75" customHeight="1">
      <c r="A73" s="504">
        <f>IFERROR(VLOOKUP(H73,PartyStorage,2, FALSE),0)</f>
        <v>0</v>
      </c>
      <c r="B73" s="753"/>
      <c r="C73" s="754"/>
      <c r="D73" s="754"/>
      <c r="E73" s="755"/>
      <c r="F73" s="760"/>
      <c r="G73" s="756"/>
      <c r="H73" s="744"/>
      <c r="L73" s="664"/>
      <c r="M73" s="745" t="str">
        <f t="shared" si="2"/>
        <v/>
      </c>
      <c r="N73" s="214">
        <f>IFERROR(VLOOKUP(F73,Ch4_Storage,2, FALSE),0)</f>
        <v>0</v>
      </c>
    </row>
    <row r="74" ht="18.75" customHeight="1">
      <c r="A74" s="504">
        <f>IFERROR(VLOOKUP(H74,PartyStorage,2, FALSE),0)</f>
        <v>0</v>
      </c>
      <c r="B74" s="757"/>
      <c r="C74" s="748"/>
      <c r="D74" s="748"/>
      <c r="E74" s="758"/>
      <c r="F74" s="749"/>
      <c r="G74" s="759"/>
      <c r="H74" s="751"/>
      <c r="L74" s="673"/>
      <c r="M74" s="752" t="str">
        <f t="shared" si="2"/>
        <v/>
      </c>
      <c r="N74" s="214">
        <f>IFERROR(VLOOKUP(F74,Ch4_Storage,2, FALSE),0)</f>
        <v>0</v>
      </c>
    </row>
    <row r="75" ht="18.75" customHeight="1">
      <c r="A75" s="504">
        <f>IFERROR(VLOOKUP(H75,PartyStorage,2, FALSE),0)</f>
        <v>0</v>
      </c>
      <c r="B75" s="753"/>
      <c r="C75" s="754"/>
      <c r="D75" s="754"/>
      <c r="E75" s="755"/>
      <c r="F75" s="760"/>
      <c r="G75" s="756"/>
      <c r="H75" s="744"/>
      <c r="L75" s="664"/>
      <c r="M75" s="745" t="str">
        <f t="shared" si="2"/>
        <v/>
      </c>
      <c r="N75" s="214">
        <f>IFERROR(VLOOKUP(F75,Ch4_Storage,2, FALSE),0)</f>
        <v>0</v>
      </c>
    </row>
    <row r="76" ht="18.75" customHeight="1">
      <c r="A76" s="504">
        <f>IFERROR(VLOOKUP(H76,PartyStorage,2, FALSE),0)</f>
        <v>0</v>
      </c>
      <c r="B76" s="757"/>
      <c r="C76" s="748"/>
      <c r="D76" s="748"/>
      <c r="E76" s="758"/>
      <c r="F76" s="749"/>
      <c r="G76" s="759"/>
      <c r="H76" s="751"/>
      <c r="L76" s="673"/>
      <c r="M76" s="752" t="str">
        <f t="shared" si="2"/>
        <v/>
      </c>
      <c r="N76" s="214">
        <f>IFERROR(VLOOKUP(F76,Ch4_Storage,2, FALSE),0)</f>
        <v>0</v>
      </c>
    </row>
    <row r="77" ht="18.75" customHeight="1">
      <c r="A77" s="504">
        <f>IFERROR(VLOOKUP(H77,PartyStorage,2, FALSE),0)</f>
        <v>0</v>
      </c>
      <c r="B77" s="753"/>
      <c r="C77" s="754"/>
      <c r="D77" s="754"/>
      <c r="E77" s="755"/>
      <c r="F77" s="760"/>
      <c r="G77" s="756"/>
      <c r="H77" s="744"/>
      <c r="L77" s="664"/>
      <c r="M77" s="745" t="str">
        <f t="shared" si="2"/>
        <v/>
      </c>
      <c r="N77" s="214">
        <f>IFERROR(VLOOKUP(F77,Ch4_Storage,2, FALSE),0)</f>
        <v>0</v>
      </c>
    </row>
    <row r="78" ht="18.75" customHeight="1">
      <c r="A78" s="504">
        <f>IFERROR(VLOOKUP(H78,PartyStorage,2, FALSE),0)</f>
        <v>0</v>
      </c>
      <c r="B78" s="757"/>
      <c r="C78" s="748"/>
      <c r="D78" s="748"/>
      <c r="E78" s="758"/>
      <c r="F78" s="749"/>
      <c r="G78" s="759"/>
      <c r="H78" s="751"/>
      <c r="L78" s="673"/>
      <c r="M78" s="752" t="str">
        <f t="shared" si="2"/>
        <v/>
      </c>
      <c r="N78" s="214">
        <f>IFERROR(VLOOKUP(F78,Ch4_Storage,2, FALSE),0)</f>
        <v>0</v>
      </c>
    </row>
    <row r="79" ht="18.75" customHeight="1">
      <c r="A79" s="504">
        <f>IFERROR(VLOOKUP(H79,PartyStorage,2, FALSE),0)</f>
        <v>0</v>
      </c>
      <c r="B79" s="753"/>
      <c r="C79" s="754"/>
      <c r="D79" s="754"/>
      <c r="E79" s="755"/>
      <c r="F79" s="760"/>
      <c r="G79" s="756"/>
      <c r="H79" s="744"/>
      <c r="L79" s="664"/>
      <c r="M79" s="745" t="str">
        <f t="shared" si="2"/>
        <v/>
      </c>
      <c r="N79" s="214">
        <f>IFERROR(VLOOKUP(F79,Ch4_Storage,2, FALSE),0)</f>
        <v>0</v>
      </c>
    </row>
    <row r="80" ht="18.75" customHeight="1">
      <c r="A80" s="504">
        <f>IFERROR(VLOOKUP(H80,PartyStorage,2, FALSE),0)</f>
        <v>0</v>
      </c>
      <c r="B80" s="757"/>
      <c r="C80" s="748"/>
      <c r="D80" s="748"/>
      <c r="E80" s="758"/>
      <c r="F80" s="749"/>
      <c r="G80" s="759"/>
      <c r="H80" s="751"/>
      <c r="L80" s="673"/>
      <c r="M80" s="752" t="str">
        <f t="shared" si="2"/>
        <v/>
      </c>
      <c r="N80" s="214">
        <f>IFERROR(VLOOKUP(F80,Ch4_Storage,2, FALSE),0)</f>
        <v>0</v>
      </c>
    </row>
    <row r="81" ht="18.75" customHeight="1">
      <c r="A81" s="504">
        <f>IFERROR(VLOOKUP(H81,PartyStorage,2, FALSE),0)</f>
        <v>0</v>
      </c>
      <c r="B81" s="753"/>
      <c r="C81" s="754"/>
      <c r="D81" s="754"/>
      <c r="E81" s="755"/>
      <c r="F81" s="760"/>
      <c r="G81" s="756"/>
      <c r="H81" s="744"/>
      <c r="L81" s="664"/>
      <c r="M81" s="745" t="str">
        <f t="shared" si="2"/>
        <v/>
      </c>
      <c r="N81" s="214">
        <f>IFERROR(VLOOKUP(F81,Ch4_Storage,2, FALSE),0)</f>
        <v>0</v>
      </c>
    </row>
    <row r="82" ht="18.75" customHeight="1">
      <c r="A82" s="504">
        <f>IFERROR(VLOOKUP(H82,PartyStorage,2, FALSE),0)</f>
        <v>0</v>
      </c>
      <c r="B82" s="757"/>
      <c r="C82" s="748"/>
      <c r="D82" s="748"/>
      <c r="E82" s="758"/>
      <c r="F82" s="749"/>
      <c r="G82" s="759"/>
      <c r="H82" s="751"/>
      <c r="L82" s="673"/>
      <c r="M82" s="752" t="str">
        <f t="shared" si="2"/>
        <v/>
      </c>
      <c r="N82" s="214">
        <f>IFERROR(VLOOKUP(F82,Ch4_Storage,2, FALSE),0)</f>
        <v>0</v>
      </c>
    </row>
    <row r="83" ht="18.75" customHeight="1">
      <c r="A83" s="504">
        <f>IFERROR(VLOOKUP(H83,PartyStorage,2, FALSE),0)</f>
        <v>0</v>
      </c>
      <c r="B83" s="753"/>
      <c r="C83" s="754"/>
      <c r="D83" s="754"/>
      <c r="E83" s="755"/>
      <c r="F83" s="760"/>
      <c r="G83" s="756"/>
      <c r="H83" s="744"/>
      <c r="L83" s="664"/>
      <c r="M83" s="745" t="str">
        <f t="shared" si="2"/>
        <v/>
      </c>
      <c r="N83" s="214">
        <f>IFERROR(VLOOKUP(F83,Ch4_Storage,2, FALSE),0)</f>
        <v>0</v>
      </c>
    </row>
    <row r="84" ht="18.75" customHeight="1">
      <c r="A84" s="504">
        <f>IFERROR(VLOOKUP(H84,PartyStorage,2, FALSE),0)</f>
        <v>0</v>
      </c>
      <c r="B84" s="757"/>
      <c r="C84" s="748"/>
      <c r="D84" s="748"/>
      <c r="E84" s="758"/>
      <c r="F84" s="749"/>
      <c r="G84" s="759"/>
      <c r="H84" s="751"/>
      <c r="L84" s="673"/>
      <c r="M84" s="752" t="str">
        <f t="shared" si="2"/>
        <v/>
      </c>
      <c r="N84" s="214">
        <f>IFERROR(VLOOKUP(F84,Ch4_Storage,2, FALSE),0)</f>
        <v>0</v>
      </c>
    </row>
    <row r="85" ht="18.75" customHeight="1">
      <c r="A85" s="504">
        <f>IFERROR(VLOOKUP(H85,PartyStorage,2, FALSE),0)</f>
        <v>0</v>
      </c>
      <c r="B85" s="753"/>
      <c r="C85" s="754"/>
      <c r="D85" s="754"/>
      <c r="E85" s="755"/>
      <c r="F85" s="760"/>
      <c r="G85" s="756"/>
      <c r="H85" s="744"/>
      <c r="L85" s="664"/>
      <c r="M85" s="745" t="str">
        <f t="shared" si="2"/>
        <v/>
      </c>
      <c r="N85" s="214">
        <f>IFERROR(VLOOKUP(F85,Ch4_Storage,2, FALSE),0)</f>
        <v>0</v>
      </c>
    </row>
    <row r="86" ht="18.75" customHeight="1">
      <c r="A86" s="504">
        <f>IFERROR(VLOOKUP(H86,PartyStorage,2, FALSE),0)</f>
        <v>0</v>
      </c>
      <c r="B86" s="757"/>
      <c r="C86" s="748"/>
      <c r="D86" s="748"/>
      <c r="E86" s="758"/>
      <c r="F86" s="749"/>
      <c r="G86" s="759"/>
      <c r="H86" s="751"/>
      <c r="L86" s="673"/>
      <c r="M86" s="752" t="str">
        <f t="shared" si="2"/>
        <v/>
      </c>
      <c r="N86" s="214">
        <f>IFERROR(VLOOKUP(F86,Ch4_Storage,2, FALSE),0)</f>
        <v>0</v>
      </c>
    </row>
    <row r="87" ht="18.75" customHeight="1">
      <c r="A87" s="504">
        <f>IFERROR(VLOOKUP(H87,PartyStorage,2, FALSE),0)</f>
        <v>0</v>
      </c>
      <c r="B87" s="753"/>
      <c r="C87" s="754"/>
      <c r="D87" s="754"/>
      <c r="E87" s="755"/>
      <c r="F87" s="760"/>
      <c r="G87" s="756"/>
      <c r="H87" s="744"/>
      <c r="L87" s="664"/>
      <c r="M87" s="745" t="str">
        <f t="shared" si="2"/>
        <v/>
      </c>
      <c r="N87" s="214">
        <f>IFERROR(VLOOKUP(F87,Ch4_Storage,2, FALSE),0)</f>
        <v>0</v>
      </c>
    </row>
    <row r="88" ht="18.75" customHeight="1">
      <c r="A88" s="504">
        <f>IFERROR(VLOOKUP(H88,PartyStorage,2, FALSE),0)</f>
        <v>0</v>
      </c>
      <c r="B88" s="757"/>
      <c r="C88" s="748"/>
      <c r="D88" s="748"/>
      <c r="E88" s="758"/>
      <c r="F88" s="749"/>
      <c r="G88" s="759"/>
      <c r="H88" s="751"/>
      <c r="L88" s="673"/>
      <c r="M88" s="752" t="str">
        <f t="shared" si="2"/>
        <v/>
      </c>
      <c r="N88" s="214">
        <f>IFERROR(VLOOKUP(F88,Ch4_Storage,2, FALSE),0)</f>
        <v>0</v>
      </c>
    </row>
    <row r="89" ht="18.75" customHeight="1">
      <c r="A89" s="504">
        <f>IFERROR(VLOOKUP(H89,PartyStorage,2, FALSE),0)</f>
        <v>0</v>
      </c>
      <c r="B89" s="753"/>
      <c r="C89" s="754"/>
      <c r="D89" s="754"/>
      <c r="E89" s="755"/>
      <c r="F89" s="760"/>
      <c r="G89" s="756"/>
      <c r="H89" s="744"/>
      <c r="L89" s="664"/>
      <c r="M89" s="745" t="str">
        <f t="shared" si="2"/>
        <v/>
      </c>
      <c r="N89" s="214">
        <f>IFERROR(VLOOKUP(F89,Ch4_Storage,2, FALSE),0)</f>
        <v>0</v>
      </c>
    </row>
    <row r="90" ht="18.75" customHeight="1">
      <c r="A90" s="504">
        <f>IFERROR(VLOOKUP(H90,PartyStorage,2, FALSE),0)</f>
        <v>0</v>
      </c>
      <c r="B90" s="757"/>
      <c r="C90" s="748"/>
      <c r="D90" s="748"/>
      <c r="E90" s="758"/>
      <c r="F90" s="749"/>
      <c r="G90" s="759"/>
      <c r="H90" s="751"/>
      <c r="L90" s="673"/>
      <c r="M90" s="752" t="str">
        <f t="shared" si="2"/>
        <v/>
      </c>
      <c r="N90" s="214">
        <f>IFERROR(VLOOKUP(F90,Ch4_Storage,2, FALSE),0)</f>
        <v>0</v>
      </c>
    </row>
    <row r="91" ht="18.75" customHeight="1">
      <c r="A91" s="504">
        <f>IFERROR(VLOOKUP(H91,PartyStorage,2, FALSE),0)</f>
        <v>0</v>
      </c>
      <c r="B91" s="753"/>
      <c r="C91" s="754"/>
      <c r="D91" s="754"/>
      <c r="E91" s="755"/>
      <c r="F91" s="760"/>
      <c r="G91" s="756"/>
      <c r="H91" s="744"/>
      <c r="L91" s="664"/>
      <c r="M91" s="745" t="str">
        <f t="shared" si="2"/>
        <v/>
      </c>
      <c r="N91" s="214">
        <f>IFERROR(VLOOKUP(F91,Ch4_Storage,2, FALSE),0)</f>
        <v>0</v>
      </c>
    </row>
    <row r="92" ht="18.75" customHeight="1">
      <c r="A92" s="504">
        <f>IFERROR(VLOOKUP(H92,PartyStorage,2, FALSE),0)</f>
        <v>0</v>
      </c>
      <c r="B92" s="757"/>
      <c r="C92" s="748"/>
      <c r="D92" s="748"/>
      <c r="E92" s="758"/>
      <c r="F92" s="749"/>
      <c r="G92" s="759"/>
      <c r="H92" s="751"/>
      <c r="L92" s="673"/>
      <c r="M92" s="752" t="str">
        <f t="shared" si="2"/>
        <v/>
      </c>
      <c r="N92" s="214">
        <f>IFERROR(VLOOKUP(F92,Ch4_Storage,2, FALSE),0)</f>
        <v>0</v>
      </c>
    </row>
    <row r="93" ht="18.75" customHeight="1">
      <c r="A93" s="504">
        <f>IFERROR(VLOOKUP(H93,PartyStorage,2, FALSE),0)</f>
        <v>0</v>
      </c>
      <c r="B93" s="753"/>
      <c r="C93" s="754"/>
      <c r="D93" s="754"/>
      <c r="E93" s="755"/>
      <c r="F93" s="760"/>
      <c r="G93" s="756"/>
      <c r="H93" s="744"/>
      <c r="L93" s="664"/>
      <c r="M93" s="745" t="str">
        <f t="shared" si="2"/>
        <v/>
      </c>
      <c r="N93" s="214">
        <f>IFERROR(VLOOKUP(F93,Ch4_Storage,2, FALSE),0)</f>
        <v>0</v>
      </c>
    </row>
    <row r="94" ht="18.75" customHeight="1">
      <c r="A94" s="504">
        <f>IFERROR(VLOOKUP(H94,PartyStorage,2, FALSE),0)</f>
        <v>0</v>
      </c>
      <c r="B94" s="757"/>
      <c r="C94" s="748"/>
      <c r="D94" s="748"/>
      <c r="E94" s="758"/>
      <c r="F94" s="749"/>
      <c r="G94" s="759"/>
      <c r="H94" s="751"/>
      <c r="L94" s="673"/>
      <c r="M94" s="752" t="str">
        <f t="shared" si="2"/>
        <v/>
      </c>
      <c r="N94" s="214">
        <f>IFERROR(VLOOKUP(F94,Ch4_Storage,2, FALSE),0)</f>
        <v>0</v>
      </c>
    </row>
    <row r="95" ht="18.75" customHeight="1">
      <c r="A95" s="504">
        <f>IFERROR(VLOOKUP(H95,PartyStorage,2, FALSE),0)</f>
        <v>0</v>
      </c>
      <c r="B95" s="753"/>
      <c r="C95" s="754"/>
      <c r="D95" s="754"/>
      <c r="E95" s="755"/>
      <c r="F95" s="760"/>
      <c r="G95" s="756"/>
      <c r="H95" s="744"/>
      <c r="L95" s="664"/>
      <c r="M95" s="745" t="str">
        <f t="shared" si="2"/>
        <v/>
      </c>
      <c r="N95" s="214">
        <f>IFERROR(VLOOKUP(F95,Ch4_Storage,2, FALSE),0)</f>
        <v>0</v>
      </c>
    </row>
    <row r="96" ht="18.75" customHeight="1">
      <c r="A96" s="504">
        <f>IFERROR(VLOOKUP(H96,PartyStorage,2, FALSE),0)</f>
        <v>0</v>
      </c>
      <c r="B96" s="757"/>
      <c r="C96" s="748"/>
      <c r="D96" s="748"/>
      <c r="E96" s="758"/>
      <c r="F96" s="749"/>
      <c r="G96" s="759"/>
      <c r="H96" s="751"/>
      <c r="L96" s="673"/>
      <c r="M96" s="752" t="str">
        <f t="shared" si="2"/>
        <v/>
      </c>
      <c r="N96" s="214">
        <f>IFERROR(VLOOKUP(F96,Ch4_Storage,2, FALSE),0)</f>
        <v>0</v>
      </c>
    </row>
    <row r="97" ht="18.75" customHeight="1">
      <c r="A97" s="504">
        <f>IFERROR(VLOOKUP(H97,PartyStorage,2, FALSE),0)</f>
        <v>0</v>
      </c>
      <c r="B97" s="753"/>
      <c r="C97" s="754"/>
      <c r="D97" s="754"/>
      <c r="E97" s="755"/>
      <c r="F97" s="760"/>
      <c r="G97" s="756"/>
      <c r="H97" s="744"/>
      <c r="L97" s="664"/>
      <c r="M97" s="745" t="str">
        <f t="shared" si="2"/>
        <v/>
      </c>
      <c r="N97" s="214">
        <f>IFERROR(VLOOKUP(F97,Ch4_Storage,2, FALSE),0)</f>
        <v>0</v>
      </c>
    </row>
    <row r="98" ht="18.75" customHeight="1">
      <c r="A98" s="504">
        <f>IFERROR(VLOOKUP(H98,PartyStorage,2, FALSE),0)</f>
        <v>0</v>
      </c>
      <c r="B98" s="757"/>
      <c r="C98" s="748"/>
      <c r="D98" s="748"/>
      <c r="E98" s="758"/>
      <c r="F98" s="749"/>
      <c r="G98" s="759"/>
      <c r="H98" s="751"/>
      <c r="L98" s="673"/>
      <c r="M98" s="752" t="str">
        <f t="shared" si="2"/>
        <v/>
      </c>
      <c r="N98" s="214">
        <f>IFERROR(VLOOKUP(F98,Ch4_Storage,2, FALSE),0)</f>
        <v>0</v>
      </c>
    </row>
    <row r="99" ht="18.75" customHeight="1">
      <c r="A99" s="504">
        <f>IFERROR(VLOOKUP(H99,PartyStorage,2, FALSE),0)</f>
        <v>0</v>
      </c>
      <c r="B99" s="753"/>
      <c r="C99" s="754"/>
      <c r="D99" s="754"/>
      <c r="E99" s="755"/>
      <c r="F99" s="760"/>
      <c r="G99" s="756"/>
      <c r="H99" s="744"/>
      <c r="L99" s="664"/>
      <c r="M99" s="745" t="str">
        <f t="shared" si="2"/>
        <v/>
      </c>
      <c r="N99" s="214">
        <f>IFERROR(VLOOKUP(F99,Ch4_Storage,2, FALSE),0)</f>
        <v>0</v>
      </c>
    </row>
    <row r="100" ht="18.75" customHeight="1">
      <c r="A100" s="504">
        <f>IFERROR(VLOOKUP(H100,PartyStorage,2, FALSE),0)</f>
        <v>0</v>
      </c>
      <c r="B100" s="757"/>
      <c r="C100" s="748"/>
      <c r="D100" s="748"/>
      <c r="E100" s="758"/>
      <c r="F100" s="749"/>
      <c r="G100" s="759"/>
      <c r="H100" s="751"/>
      <c r="L100" s="673"/>
      <c r="M100" s="752" t="str">
        <f t="shared" si="2"/>
        <v/>
      </c>
      <c r="N100" s="214">
        <f>IFERROR(VLOOKUP(F100,Ch4_Storage,2, FALSE),0)</f>
        <v>0</v>
      </c>
    </row>
    <row r="101" ht="18.75" customHeight="1">
      <c r="A101" s="504">
        <f>IFERROR(VLOOKUP(H101,PartyStorage,2, FALSE),0)</f>
        <v>0</v>
      </c>
      <c r="B101" s="753"/>
      <c r="C101" s="754"/>
      <c r="D101" s="754"/>
      <c r="E101" s="755"/>
      <c r="F101" s="760"/>
      <c r="G101" s="756"/>
      <c r="H101" s="744"/>
      <c r="L101" s="664"/>
      <c r="M101" s="745" t="str">
        <f t="shared" si="2"/>
        <v/>
      </c>
      <c r="N101" s="214">
        <f>IFERROR(VLOOKUP(F101,Ch4_Storage,2, FALSE),0)</f>
        <v>0</v>
      </c>
    </row>
    <row r="102" ht="18.75" customHeight="1">
      <c r="A102" s="504">
        <f>IFERROR(VLOOKUP(H102,PartyStorage,2, FALSE),0)</f>
        <v>0</v>
      </c>
      <c r="B102" s="757"/>
      <c r="C102" s="748"/>
      <c r="D102" s="748"/>
      <c r="E102" s="758"/>
      <c r="F102" s="749"/>
      <c r="G102" s="759"/>
      <c r="H102" s="751"/>
      <c r="L102" s="673"/>
      <c r="M102" s="752" t="str">
        <f t="shared" si="2"/>
        <v/>
      </c>
      <c r="N102" s="214">
        <f>IFERROR(VLOOKUP(F102,Ch4_Storage,2, FALSE),0)</f>
        <v>0</v>
      </c>
    </row>
    <row r="103" ht="18.75" customHeight="1">
      <c r="A103" s="504">
        <f>IFERROR(VLOOKUP(H103,PartyStorage,2, FALSE),0)</f>
        <v>0</v>
      </c>
      <c r="B103" s="753"/>
      <c r="C103" s="754"/>
      <c r="D103" s="754"/>
      <c r="E103" s="755"/>
      <c r="F103" s="760"/>
      <c r="G103" s="756"/>
      <c r="H103" s="744"/>
      <c r="L103" s="664"/>
      <c r="M103" s="745" t="str">
        <f t="shared" si="2"/>
        <v/>
      </c>
      <c r="N103" s="214">
        <f>IFERROR(VLOOKUP(F103,Ch4_Storage,2, FALSE),0)</f>
        <v>0</v>
      </c>
    </row>
    <row r="104" ht="18.75" customHeight="1">
      <c r="A104" s="504">
        <f>IFERROR(VLOOKUP(H104,PartyStorage,2, FALSE),0)</f>
        <v>0</v>
      </c>
      <c r="B104" s="757"/>
      <c r="C104" s="748"/>
      <c r="D104" s="748"/>
      <c r="E104" s="758"/>
      <c r="F104" s="749"/>
      <c r="G104" s="759"/>
      <c r="H104" s="751"/>
      <c r="L104" s="673"/>
      <c r="M104" s="752" t="str">
        <f t="shared" si="2"/>
        <v/>
      </c>
      <c r="N104" s="214">
        <f>IFERROR(VLOOKUP(F104,Ch4_Storage,2, FALSE),0)</f>
        <v>0</v>
      </c>
    </row>
    <row r="105" ht="18.75" customHeight="1">
      <c r="A105" s="504">
        <f>IFERROR(VLOOKUP(H105,PartyStorage,2, FALSE),0)</f>
        <v>0</v>
      </c>
      <c r="B105" s="753"/>
      <c r="C105" s="754"/>
      <c r="D105" s="754"/>
      <c r="E105" s="755"/>
      <c r="F105" s="760"/>
      <c r="G105" s="756"/>
      <c r="H105" s="744"/>
      <c r="L105" s="664"/>
      <c r="M105" s="745" t="str">
        <f t="shared" si="2"/>
        <v/>
      </c>
      <c r="N105" s="214">
        <f>IFERROR(VLOOKUP(F105,Ch4_Storage,2, FALSE),0)</f>
        <v>0</v>
      </c>
    </row>
    <row r="106" ht="18.75" customHeight="1">
      <c r="A106" s="504">
        <f>IFERROR(VLOOKUP(H106,PartyStorage,2, FALSE),0)</f>
        <v>0</v>
      </c>
      <c r="B106" s="757"/>
      <c r="C106" s="748"/>
      <c r="D106" s="748"/>
      <c r="E106" s="758"/>
      <c r="F106" s="749"/>
      <c r="G106" s="759"/>
      <c r="H106" s="751"/>
      <c r="L106" s="673"/>
      <c r="M106" s="752" t="str">
        <f t="shared" si="2"/>
        <v/>
      </c>
      <c r="N106" s="214">
        <f>IFERROR(VLOOKUP(F106,Ch4_Storage,2, FALSE),0)</f>
        <v>0</v>
      </c>
    </row>
    <row r="107" ht="18.75" customHeight="1">
      <c r="A107" s="504">
        <f>IFERROR(VLOOKUP(H107,PartyStorage,2, FALSE),0)</f>
        <v>0</v>
      </c>
      <c r="B107" s="753"/>
      <c r="C107" s="754"/>
      <c r="D107" s="754"/>
      <c r="E107" s="755"/>
      <c r="F107" s="760"/>
      <c r="G107" s="756"/>
      <c r="H107" s="744"/>
      <c r="L107" s="664"/>
      <c r="M107" s="745" t="str">
        <f t="shared" si="2"/>
        <v/>
      </c>
      <c r="N107" s="214">
        <f>IFERROR(VLOOKUP(F107,Ch4_Storage,2, FALSE),0)</f>
        <v>0</v>
      </c>
    </row>
    <row r="108" ht="18.75" customHeight="1">
      <c r="A108" s="504">
        <f>IFERROR(VLOOKUP(H108,PartyStorage,2, FALSE),0)</f>
        <v>0</v>
      </c>
      <c r="B108" s="757"/>
      <c r="C108" s="748"/>
      <c r="D108" s="748"/>
      <c r="E108" s="758"/>
      <c r="F108" s="749"/>
      <c r="G108" s="759"/>
      <c r="H108" s="751"/>
      <c r="L108" s="673"/>
      <c r="M108" s="752" t="str">
        <f t="shared" si="2"/>
        <v/>
      </c>
      <c r="N108" s="214">
        <f>IFERROR(VLOOKUP(F108,Ch4_Storage,2, FALSE),0)</f>
        <v>0</v>
      </c>
    </row>
    <row r="109" ht="18.75" customHeight="1">
      <c r="A109" s="504">
        <f>IFERROR(VLOOKUP(H109,PartyStorage,2, FALSE),0)</f>
        <v>0</v>
      </c>
      <c r="B109" s="753"/>
      <c r="C109" s="754"/>
      <c r="D109" s="754"/>
      <c r="E109" s="755"/>
      <c r="F109" s="760"/>
      <c r="G109" s="756"/>
      <c r="H109" s="744"/>
      <c r="L109" s="664"/>
      <c r="M109" s="745" t="str">
        <f t="shared" si="2"/>
        <v/>
      </c>
      <c r="N109" s="214">
        <f>IFERROR(VLOOKUP(F109,Ch4_Storage,2, FALSE),0)</f>
        <v>0</v>
      </c>
    </row>
    <row r="110" ht="18.75" customHeight="1">
      <c r="A110" s="504">
        <f>IFERROR(VLOOKUP(H110,PartyStorage,2, FALSE),0)</f>
        <v>0</v>
      </c>
      <c r="B110" s="757"/>
      <c r="C110" s="748"/>
      <c r="D110" s="748"/>
      <c r="E110" s="758"/>
      <c r="F110" s="749"/>
      <c r="G110" s="759"/>
      <c r="H110" s="751"/>
      <c r="L110" s="673"/>
      <c r="M110" s="752" t="str">
        <f t="shared" si="2"/>
        <v/>
      </c>
      <c r="N110" s="214">
        <f>IFERROR(VLOOKUP(F110,Ch4_Storage,2, FALSE),0)</f>
        <v>0</v>
      </c>
    </row>
    <row r="111" ht="18.75" customHeight="1">
      <c r="A111" s="504">
        <f>IFERROR(VLOOKUP(H111,PartyStorage,2, FALSE),0)</f>
        <v>0</v>
      </c>
      <c r="B111" s="753"/>
      <c r="C111" s="754"/>
      <c r="D111" s="754"/>
      <c r="E111" s="755"/>
      <c r="F111" s="760"/>
      <c r="G111" s="756"/>
      <c r="H111" s="744"/>
      <c r="L111" s="664"/>
      <c r="M111" s="745" t="str">
        <f t="shared" si="2"/>
        <v/>
      </c>
      <c r="N111" s="214">
        <f>IFERROR(VLOOKUP(F111,Ch4_Storage,2, FALSE),0)</f>
        <v>0</v>
      </c>
    </row>
    <row r="112" ht="18.75" customHeight="1">
      <c r="A112" s="504">
        <f>IFERROR(VLOOKUP(H112,PartyStorage,2, FALSE),0)</f>
        <v>0</v>
      </c>
      <c r="B112" s="757"/>
      <c r="C112" s="748"/>
      <c r="D112" s="748"/>
      <c r="E112" s="758"/>
      <c r="F112" s="749"/>
      <c r="G112" s="759"/>
      <c r="H112" s="751"/>
      <c r="L112" s="673"/>
      <c r="M112" s="752" t="str">
        <f t="shared" si="2"/>
        <v/>
      </c>
      <c r="N112" s="214">
        <f>IFERROR(VLOOKUP(F112,Ch4_Storage,2, FALSE),0)</f>
        <v>0</v>
      </c>
    </row>
    <row r="113" ht="18.75" customHeight="1">
      <c r="A113" s="504">
        <f>IFERROR(VLOOKUP(H113,PartyStorage,2, FALSE),0)</f>
        <v>0</v>
      </c>
      <c r="B113" s="753"/>
      <c r="C113" s="754"/>
      <c r="D113" s="754"/>
      <c r="E113" s="755"/>
      <c r="F113" s="760"/>
      <c r="G113" s="756"/>
      <c r="H113" s="744"/>
      <c r="L113" s="664"/>
      <c r="M113" s="745" t="str">
        <f t="shared" si="2"/>
        <v/>
      </c>
      <c r="N113" s="214">
        <f>IFERROR(VLOOKUP(F113,Ch4_Storage,2, FALSE),0)</f>
        <v>0</v>
      </c>
    </row>
    <row r="114" ht="18.75" customHeight="1">
      <c r="A114" s="504">
        <f>IFERROR(VLOOKUP(H114,PartyStorage,2, FALSE),0)</f>
        <v>0</v>
      </c>
      <c r="B114" s="757"/>
      <c r="C114" s="748"/>
      <c r="D114" s="748"/>
      <c r="E114" s="758"/>
      <c r="F114" s="749"/>
      <c r="G114" s="759"/>
      <c r="H114" s="751"/>
      <c r="L114" s="673"/>
      <c r="M114" s="752" t="str">
        <f t="shared" si="2"/>
        <v/>
      </c>
      <c r="N114" s="214">
        <f>IFERROR(VLOOKUP(F114,Ch4_Storage,2, FALSE),0)</f>
        <v>0</v>
      </c>
    </row>
    <row r="115" ht="18.75" customHeight="1">
      <c r="A115" s="504">
        <f>IFERROR(VLOOKUP(H115,PartyStorage,2, FALSE),0)</f>
        <v>0</v>
      </c>
      <c r="B115" s="753"/>
      <c r="C115" s="754"/>
      <c r="D115" s="754"/>
      <c r="E115" s="755"/>
      <c r="F115" s="760"/>
      <c r="G115" s="756"/>
      <c r="H115" s="744"/>
      <c r="L115" s="664"/>
      <c r="M115" s="745" t="str">
        <f t="shared" si="2"/>
        <v/>
      </c>
      <c r="N115" s="214">
        <f>IFERROR(VLOOKUP(F115,Ch4_Storage,2, FALSE),0)</f>
        <v>0</v>
      </c>
    </row>
    <row r="116" ht="18.75" customHeight="1">
      <c r="A116" s="504">
        <f>IFERROR(VLOOKUP(H116,PartyStorage,2, FALSE),0)</f>
        <v>0</v>
      </c>
      <c r="B116" s="757"/>
      <c r="C116" s="748"/>
      <c r="D116" s="748"/>
      <c r="E116" s="758"/>
      <c r="F116" s="749"/>
      <c r="G116" s="759"/>
      <c r="H116" s="751"/>
      <c r="L116" s="673"/>
      <c r="M116" s="752" t="str">
        <f t="shared" si="2"/>
        <v/>
      </c>
      <c r="N116" s="214">
        <f>IFERROR(VLOOKUP(F116,Ch4_Storage,2, FALSE),0)</f>
        <v>0</v>
      </c>
    </row>
    <row r="117" ht="18.75" customHeight="1">
      <c r="A117" s="504">
        <f>IFERROR(VLOOKUP(H117,PartyStorage,2, FALSE),0)</f>
        <v>0</v>
      </c>
      <c r="B117" s="753"/>
      <c r="C117" s="754"/>
      <c r="D117" s="754"/>
      <c r="E117" s="755"/>
      <c r="F117" s="760"/>
      <c r="G117" s="756"/>
      <c r="H117" s="744"/>
      <c r="L117" s="664"/>
      <c r="M117" s="745" t="str">
        <f t="shared" si="2"/>
        <v/>
      </c>
      <c r="N117" s="214">
        <f>IFERROR(VLOOKUP(F117,Ch4_Storage,2, FALSE),0)</f>
        <v>0</v>
      </c>
    </row>
    <row r="118" ht="18.75" customHeight="1">
      <c r="A118" s="504">
        <f>IFERROR(VLOOKUP(H118,PartyStorage,2, FALSE),0)</f>
        <v>0</v>
      </c>
      <c r="B118" s="757"/>
      <c r="C118" s="748"/>
      <c r="D118" s="748"/>
      <c r="E118" s="758"/>
      <c r="F118" s="749"/>
      <c r="G118" s="759"/>
      <c r="H118" s="751"/>
      <c r="L118" s="673"/>
      <c r="M118" s="752" t="str">
        <f t="shared" si="2"/>
        <v/>
      </c>
      <c r="N118" s="214">
        <f>IFERROR(VLOOKUP(F118,Ch4_Storage,2, FALSE),0)</f>
        <v>0</v>
      </c>
    </row>
    <row r="119" ht="18.75" customHeight="1">
      <c r="A119" s="504">
        <f>IFERROR(VLOOKUP(H119,PartyStorage,2, FALSE),0)</f>
        <v>0</v>
      </c>
      <c r="B119" s="753"/>
      <c r="C119" s="754"/>
      <c r="D119" s="754"/>
      <c r="E119" s="755"/>
      <c r="F119" s="760"/>
      <c r="G119" s="756"/>
      <c r="H119" s="744"/>
      <c r="L119" s="664"/>
      <c r="M119" s="745" t="str">
        <f t="shared" si="2"/>
        <v/>
      </c>
      <c r="N119" s="214">
        <f>IFERROR(VLOOKUP(F119,Ch4_Storage,2, FALSE),0)</f>
        <v>0</v>
      </c>
    </row>
    <row r="120" ht="18.75" customHeight="1">
      <c r="A120" s="504">
        <f>IFERROR(VLOOKUP(H120,PartyStorage,2, FALSE),0)</f>
        <v>0</v>
      </c>
      <c r="B120" s="757"/>
      <c r="C120" s="748"/>
      <c r="D120" s="748"/>
      <c r="E120" s="758"/>
      <c r="F120" s="749"/>
      <c r="G120" s="759"/>
      <c r="H120" s="751"/>
      <c r="L120" s="673"/>
      <c r="M120" s="752" t="str">
        <f t="shared" si="2"/>
        <v/>
      </c>
      <c r="N120" s="214">
        <f>IFERROR(VLOOKUP(F120,Ch4_Storage,2, FALSE),0)</f>
        <v>0</v>
      </c>
    </row>
    <row r="121" ht="18.75" customHeight="1">
      <c r="A121" s="504">
        <f>IFERROR(VLOOKUP(H121,PartyStorage,2, FALSE),0)</f>
        <v>0</v>
      </c>
      <c r="B121" s="753"/>
      <c r="C121" s="754"/>
      <c r="D121" s="754"/>
      <c r="E121" s="755"/>
      <c r="F121" s="760"/>
      <c r="G121" s="756"/>
      <c r="H121" s="744"/>
      <c r="L121" s="664"/>
      <c r="M121" s="745" t="str">
        <f t="shared" si="2"/>
        <v/>
      </c>
      <c r="N121" s="214">
        <f>IFERROR(VLOOKUP(F121,Ch4_Storage,2, FALSE),0)</f>
        <v>0</v>
      </c>
    </row>
    <row r="122" ht="18.75" customHeight="1">
      <c r="A122" s="504">
        <f>IFERROR(VLOOKUP(H122,PartyStorage,2, FALSE),0)</f>
        <v>0</v>
      </c>
      <c r="B122" s="757"/>
      <c r="C122" s="748"/>
      <c r="D122" s="748"/>
      <c r="E122" s="758"/>
      <c r="F122" s="749"/>
      <c r="G122" s="759"/>
      <c r="H122" s="751"/>
      <c r="L122" s="673"/>
      <c r="M122" s="752" t="str">
        <f t="shared" si="2"/>
        <v/>
      </c>
      <c r="N122" s="214">
        <f>IFERROR(VLOOKUP(F122,Ch4_Storage,2, FALSE),0)</f>
        <v>0</v>
      </c>
    </row>
    <row r="123" ht="18.75" customHeight="1">
      <c r="A123" s="504">
        <f>IFERROR(VLOOKUP(H123,PartyStorage,2, FALSE),0)</f>
        <v>0</v>
      </c>
      <c r="B123" s="753"/>
      <c r="C123" s="754"/>
      <c r="D123" s="754"/>
      <c r="E123" s="755"/>
      <c r="F123" s="760"/>
      <c r="G123" s="756"/>
      <c r="H123" s="744"/>
      <c r="L123" s="664"/>
      <c r="M123" s="745" t="str">
        <f t="shared" si="2"/>
        <v/>
      </c>
      <c r="N123" s="214">
        <f>IFERROR(VLOOKUP(F123,Ch4_Storage,2, FALSE),0)</f>
        <v>0</v>
      </c>
    </row>
    <row r="124" ht="18.75" customHeight="1">
      <c r="A124" s="504">
        <f>IFERROR(VLOOKUP(H124,PartyStorage,2, FALSE),0)</f>
        <v>0</v>
      </c>
      <c r="B124" s="757"/>
      <c r="C124" s="748"/>
      <c r="D124" s="748"/>
      <c r="E124" s="758"/>
      <c r="F124" s="749"/>
      <c r="G124" s="759"/>
      <c r="H124" s="751"/>
      <c r="L124" s="673"/>
      <c r="M124" s="752" t="str">
        <f t="shared" si="2"/>
        <v/>
      </c>
      <c r="N124" s="214">
        <f>IFERROR(VLOOKUP(F124,Ch4_Storage,2, FALSE),0)</f>
        <v>0</v>
      </c>
    </row>
    <row r="125" ht="18.75" customHeight="1">
      <c r="A125" s="504">
        <f>IFERROR(VLOOKUP(H125,PartyStorage,2, FALSE),0)</f>
        <v>0</v>
      </c>
      <c r="B125" s="753"/>
      <c r="C125" s="754"/>
      <c r="D125" s="754"/>
      <c r="E125" s="755"/>
      <c r="F125" s="760"/>
      <c r="G125" s="756"/>
      <c r="H125" s="744"/>
      <c r="L125" s="664"/>
      <c r="M125" s="745" t="str">
        <f t="shared" si="2"/>
        <v/>
      </c>
      <c r="N125" s="214">
        <f>IFERROR(VLOOKUP(F125,Ch4_Storage,2, FALSE),0)</f>
        <v>0</v>
      </c>
    </row>
    <row r="126" ht="18.75" customHeight="1">
      <c r="A126" s="504">
        <f>IFERROR(VLOOKUP(H126,PartyStorage,2, FALSE),0)</f>
        <v>0</v>
      </c>
      <c r="B126" s="757"/>
      <c r="C126" s="748"/>
      <c r="D126" s="748"/>
      <c r="E126" s="758"/>
      <c r="F126" s="749"/>
      <c r="G126" s="759"/>
      <c r="H126" s="751"/>
      <c r="L126" s="673"/>
      <c r="M126" s="752" t="str">
        <f t="shared" si="2"/>
        <v/>
      </c>
      <c r="N126" s="214">
        <f>IFERROR(VLOOKUP(F126,Ch4_Storage,2, FALSE),0)</f>
        <v>0</v>
      </c>
    </row>
    <row r="127" ht="18.75" customHeight="1">
      <c r="A127" s="504">
        <f>IFERROR(VLOOKUP(H127,PartyStorage,2, FALSE),0)</f>
        <v>0</v>
      </c>
      <c r="B127" s="753"/>
      <c r="C127" s="754"/>
      <c r="D127" s="754"/>
      <c r="E127" s="755"/>
      <c r="F127" s="760"/>
      <c r="G127" s="756"/>
      <c r="H127" s="744"/>
      <c r="L127" s="664"/>
      <c r="M127" s="745" t="str">
        <f t="shared" si="2"/>
        <v/>
      </c>
      <c r="N127" s="214">
        <f>IFERROR(VLOOKUP(F127,Ch4_Storage,2, FALSE),0)</f>
        <v>0</v>
      </c>
    </row>
    <row r="128" ht="18.75" customHeight="1">
      <c r="A128" s="504">
        <f>IFERROR(VLOOKUP(H128,PartyStorage,2, FALSE),0)</f>
        <v>0</v>
      </c>
      <c r="B128" s="757"/>
      <c r="C128" s="748"/>
      <c r="D128" s="748"/>
      <c r="E128" s="758"/>
      <c r="F128" s="749"/>
      <c r="G128" s="759"/>
      <c r="H128" s="751"/>
      <c r="L128" s="673"/>
      <c r="M128" s="752" t="str">
        <f t="shared" si="2"/>
        <v/>
      </c>
      <c r="N128" s="214">
        <f>IFERROR(VLOOKUP(F128,Ch4_Storage,2, FALSE),0)</f>
        <v>0</v>
      </c>
    </row>
    <row r="129" ht="18.75" customHeight="1">
      <c r="A129" s="504">
        <f>IFERROR(VLOOKUP(H129,PartyStorage,2, FALSE),0)</f>
        <v>0</v>
      </c>
      <c r="B129" s="753"/>
      <c r="C129" s="754"/>
      <c r="D129" s="754"/>
      <c r="E129" s="755"/>
      <c r="F129" s="760"/>
      <c r="G129" s="756"/>
      <c r="H129" s="744"/>
      <c r="L129" s="664"/>
      <c r="M129" s="745" t="str">
        <f t="shared" si="2"/>
        <v/>
      </c>
      <c r="N129" s="214">
        <f>IFERROR(VLOOKUP(F129,Ch4_Storage,2, FALSE),0)</f>
        <v>0</v>
      </c>
    </row>
    <row r="130" ht="18.75" customHeight="1">
      <c r="A130" s="504">
        <f>IFERROR(VLOOKUP(H130,PartyStorage,2, FALSE),0)</f>
        <v>0</v>
      </c>
      <c r="B130" s="757"/>
      <c r="C130" s="748"/>
      <c r="D130" s="748"/>
      <c r="E130" s="758"/>
      <c r="F130" s="749"/>
      <c r="G130" s="759"/>
      <c r="H130" s="751"/>
      <c r="L130" s="673"/>
      <c r="M130" s="752" t="str">
        <f t="shared" si="2"/>
        <v/>
      </c>
      <c r="N130" s="214">
        <f>IFERROR(VLOOKUP(F130,Ch4_Storage,2, FALSE),0)</f>
        <v>0</v>
      </c>
    </row>
    <row r="131" ht="18.75" customHeight="1">
      <c r="A131" s="504">
        <f>IFERROR(VLOOKUP(H131,PartyStorage,2, FALSE),0)</f>
        <v>0</v>
      </c>
      <c r="B131" s="753"/>
      <c r="C131" s="754"/>
      <c r="D131" s="754"/>
      <c r="E131" s="755"/>
      <c r="F131" s="760"/>
      <c r="G131" s="756"/>
      <c r="H131" s="744"/>
      <c r="L131" s="664"/>
      <c r="M131" s="745" t="str">
        <f t="shared" si="2"/>
        <v/>
      </c>
      <c r="N131" s="214">
        <f>IFERROR(VLOOKUP(F131,Ch4_Storage,2, FALSE),0)</f>
        <v>0</v>
      </c>
    </row>
    <row r="132" ht="18.75" customHeight="1">
      <c r="A132" s="504">
        <f>IFERROR(VLOOKUP(H132,PartyStorage,2, FALSE),0)</f>
        <v>0</v>
      </c>
      <c r="B132" s="757"/>
      <c r="C132" s="748"/>
      <c r="D132" s="748"/>
      <c r="E132" s="758"/>
      <c r="F132" s="749"/>
      <c r="G132" s="759"/>
      <c r="H132" s="751"/>
      <c r="L132" s="673"/>
      <c r="M132" s="752" t="str">
        <f t="shared" si="2"/>
        <v/>
      </c>
      <c r="N132" s="214">
        <f>IFERROR(VLOOKUP(F132,Ch4_Storage,2, FALSE),0)</f>
        <v>0</v>
      </c>
    </row>
    <row r="133" ht="18.75" customHeight="1">
      <c r="A133" s="504">
        <f>IFERROR(VLOOKUP(H133,PartyStorage,2, FALSE),0)</f>
        <v>0</v>
      </c>
      <c r="B133" s="753"/>
      <c r="C133" s="754"/>
      <c r="D133" s="754"/>
      <c r="E133" s="755"/>
      <c r="F133" s="760"/>
      <c r="G133" s="756"/>
      <c r="H133" s="744"/>
      <c r="L133" s="664"/>
      <c r="M133" s="745" t="str">
        <f t="shared" si="2"/>
        <v/>
      </c>
      <c r="N133" s="214">
        <f>IFERROR(VLOOKUP(F133,Ch4_Storage,2, FALSE),0)</f>
        <v>0</v>
      </c>
    </row>
    <row r="134" ht="18.75" customHeight="1">
      <c r="A134" s="504">
        <f>IFERROR(VLOOKUP(H134,PartyStorage,2, FALSE),0)</f>
        <v>0</v>
      </c>
      <c r="B134" s="757"/>
      <c r="C134" s="748"/>
      <c r="D134" s="748"/>
      <c r="E134" s="758"/>
      <c r="F134" s="749"/>
      <c r="G134" s="759"/>
      <c r="H134" s="751"/>
      <c r="L134" s="673"/>
      <c r="M134" s="752" t="str">
        <f t="shared" si="2"/>
        <v/>
      </c>
      <c r="N134" s="214">
        <f>IFERROR(VLOOKUP(F134,Ch4_Storage,2, FALSE),0)</f>
        <v>0</v>
      </c>
    </row>
    <row r="135" ht="18.75" customHeight="1">
      <c r="A135" s="504">
        <f>IFERROR(VLOOKUP(H135,PartyStorage,2, FALSE),0)</f>
        <v>0</v>
      </c>
      <c r="B135" s="753"/>
      <c r="C135" s="754"/>
      <c r="D135" s="754"/>
      <c r="E135" s="755"/>
      <c r="F135" s="760"/>
      <c r="G135" s="756"/>
      <c r="H135" s="744"/>
      <c r="L135" s="664"/>
      <c r="M135" s="745" t="str">
        <f t="shared" si="2"/>
        <v/>
      </c>
      <c r="N135" s="214">
        <f>IFERROR(VLOOKUP(F135,Ch4_Storage,2, FALSE),0)</f>
        <v>0</v>
      </c>
    </row>
    <row r="136" ht="18.75" customHeight="1">
      <c r="A136" s="504">
        <f>IFERROR(VLOOKUP(H136,PartyStorage,2, FALSE),0)</f>
        <v>0</v>
      </c>
      <c r="B136" s="757"/>
      <c r="C136" s="748"/>
      <c r="D136" s="748"/>
      <c r="E136" s="758"/>
      <c r="F136" s="749"/>
      <c r="G136" s="759"/>
      <c r="H136" s="751"/>
      <c r="L136" s="673"/>
      <c r="M136" s="752" t="str">
        <f t="shared" si="2"/>
        <v/>
      </c>
      <c r="N136" s="214">
        <f>IFERROR(VLOOKUP(F136,Ch4_Storage,2, FALSE),0)</f>
        <v>0</v>
      </c>
    </row>
    <row r="137" ht="18.75" customHeight="1">
      <c r="A137" s="504">
        <f>IFERROR(VLOOKUP(H137,PartyStorage,2, FALSE),0)</f>
        <v>0</v>
      </c>
      <c r="B137" s="753"/>
      <c r="C137" s="754"/>
      <c r="D137" s="754"/>
      <c r="E137" s="755"/>
      <c r="F137" s="760"/>
      <c r="G137" s="756"/>
      <c r="H137" s="744"/>
      <c r="L137" s="664"/>
      <c r="M137" s="745" t="str">
        <f t="shared" si="2"/>
        <v/>
      </c>
      <c r="N137" s="214">
        <f>IFERROR(VLOOKUP(F137,Ch4_Storage,2, FALSE),0)</f>
        <v>0</v>
      </c>
    </row>
    <row r="138" ht="18.75" customHeight="1">
      <c r="A138" s="504">
        <f>IFERROR(VLOOKUP(H138,PartyStorage,2, FALSE),0)</f>
        <v>0</v>
      </c>
      <c r="B138" s="757"/>
      <c r="C138" s="748"/>
      <c r="D138" s="748"/>
      <c r="E138" s="758"/>
      <c r="F138" s="749"/>
      <c r="G138" s="759"/>
      <c r="H138" s="751"/>
      <c r="L138" s="673"/>
      <c r="M138" s="752" t="str">
        <f t="shared" si="2"/>
        <v/>
      </c>
      <c r="N138" s="214">
        <f>IFERROR(VLOOKUP(F138,Ch4_Storage,2, FALSE),0)</f>
        <v>0</v>
      </c>
    </row>
    <row r="139" ht="18.75" customHeight="1">
      <c r="A139" s="504">
        <f>IFERROR(VLOOKUP(H139,PartyStorage,2, FALSE),0)</f>
        <v>0</v>
      </c>
      <c r="B139" s="753"/>
      <c r="C139" s="754"/>
      <c r="D139" s="754"/>
      <c r="E139" s="755"/>
      <c r="F139" s="760"/>
      <c r="G139" s="756"/>
      <c r="H139" s="744"/>
      <c r="L139" s="664"/>
      <c r="M139" s="745" t="str">
        <f t="shared" si="2"/>
        <v/>
      </c>
      <c r="N139" s="214">
        <f>IFERROR(VLOOKUP(F139,Ch4_Storage,2, FALSE),0)</f>
        <v>0</v>
      </c>
    </row>
    <row r="140" ht="18.75" customHeight="1">
      <c r="A140" s="504">
        <f>IFERROR(VLOOKUP(H140,PartyStorage,2, FALSE),0)</f>
        <v>0</v>
      </c>
      <c r="B140" s="757"/>
      <c r="C140" s="748"/>
      <c r="D140" s="748"/>
      <c r="E140" s="758"/>
      <c r="F140" s="749"/>
      <c r="G140" s="759"/>
      <c r="H140" s="751"/>
      <c r="L140" s="673"/>
      <c r="M140" s="752" t="str">
        <f t="shared" si="2"/>
        <v/>
      </c>
      <c r="N140" s="214">
        <f>IFERROR(VLOOKUP(F140,Ch4_Storage,2, FALSE),0)</f>
        <v>0</v>
      </c>
    </row>
    <row r="141" ht="18.75" customHeight="1">
      <c r="A141" s="504">
        <f>IFERROR(VLOOKUP(H141,PartyStorage,2, FALSE),0)</f>
        <v>0</v>
      </c>
      <c r="B141" s="753"/>
      <c r="C141" s="754"/>
      <c r="D141" s="754"/>
      <c r="E141" s="755"/>
      <c r="F141" s="760"/>
      <c r="G141" s="756"/>
      <c r="H141" s="744"/>
      <c r="L141" s="664"/>
      <c r="M141" s="745" t="str">
        <f t="shared" si="2"/>
        <v/>
      </c>
      <c r="N141" s="214">
        <f>IFERROR(VLOOKUP(F141,Ch4_Storage,2, FALSE),0)</f>
        <v>0</v>
      </c>
    </row>
    <row r="142" ht="18.75" customHeight="1">
      <c r="A142" s="504">
        <f>IFERROR(VLOOKUP(H142,PartyStorage,2, FALSE),0)</f>
        <v>0</v>
      </c>
      <c r="B142" s="757"/>
      <c r="C142" s="748"/>
      <c r="D142" s="748"/>
      <c r="E142" s="758"/>
      <c r="F142" s="749"/>
      <c r="G142" s="759"/>
      <c r="H142" s="751"/>
      <c r="L142" s="673"/>
      <c r="M142" s="752" t="str">
        <f t="shared" si="2"/>
        <v/>
      </c>
      <c r="N142" s="214">
        <f>IFERROR(VLOOKUP(F142,Ch4_Storage,2, FALSE),0)</f>
        <v>0</v>
      </c>
    </row>
    <row r="143" ht="18.75" customHeight="1">
      <c r="A143" s="504">
        <f>IFERROR(VLOOKUP(H143,PartyStorage,2, FALSE),0)</f>
        <v>0</v>
      </c>
      <c r="B143" s="753"/>
      <c r="C143" s="754"/>
      <c r="D143" s="754"/>
      <c r="E143" s="755"/>
      <c r="F143" s="760"/>
      <c r="G143" s="756"/>
      <c r="H143" s="744"/>
      <c r="L143" s="664"/>
      <c r="M143" s="745" t="str">
        <f t="shared" si="2"/>
        <v/>
      </c>
      <c r="N143" s="214">
        <f>IFERROR(VLOOKUP(F143,Ch4_Storage,2, FALSE),0)</f>
        <v>0</v>
      </c>
    </row>
    <row r="144" ht="18.75" customHeight="1">
      <c r="A144" s="504">
        <f>IFERROR(VLOOKUP(H144,PartyStorage,2, FALSE),0)</f>
        <v>0</v>
      </c>
      <c r="B144" s="757"/>
      <c r="C144" s="748"/>
      <c r="D144" s="748"/>
      <c r="E144" s="758"/>
      <c r="F144" s="749"/>
      <c r="G144" s="759"/>
      <c r="H144" s="751"/>
      <c r="L144" s="673"/>
      <c r="M144" s="752" t="str">
        <f t="shared" si="2"/>
        <v/>
      </c>
      <c r="N144" s="214">
        <f>IFERROR(VLOOKUP(F144,Ch4_Storage,2, FALSE),0)</f>
        <v>0</v>
      </c>
    </row>
    <row r="145" ht="18.75" customHeight="1">
      <c r="A145" s="504">
        <f>IFERROR(VLOOKUP(H145,PartyStorage,2, FALSE),0)</f>
        <v>0</v>
      </c>
      <c r="B145" s="753"/>
      <c r="C145" s="754"/>
      <c r="D145" s="754"/>
      <c r="E145" s="755"/>
      <c r="F145" s="760"/>
      <c r="G145" s="756"/>
      <c r="H145" s="744"/>
      <c r="L145" s="664"/>
      <c r="M145" s="745" t="str">
        <f t="shared" si="2"/>
        <v/>
      </c>
      <c r="N145" s="214">
        <f>IFERROR(VLOOKUP(F145,Ch4_Storage,2, FALSE),0)</f>
        <v>0</v>
      </c>
    </row>
    <row r="146" ht="18.75" customHeight="1">
      <c r="A146" s="504">
        <f>IFERROR(VLOOKUP(H146,PartyStorage,2, FALSE),0)</f>
        <v>0</v>
      </c>
      <c r="B146" s="757"/>
      <c r="C146" s="748"/>
      <c r="D146" s="748"/>
      <c r="E146" s="758"/>
      <c r="F146" s="749"/>
      <c r="G146" s="759"/>
      <c r="H146" s="751"/>
      <c r="L146" s="673"/>
      <c r="M146" s="752" t="str">
        <f t="shared" si="2"/>
        <v/>
      </c>
      <c r="N146" s="214">
        <f>IFERROR(VLOOKUP(F146,Ch4_Storage,2, FALSE),0)</f>
        <v>0</v>
      </c>
    </row>
    <row r="147" ht="18.75" customHeight="1">
      <c r="A147" s="504">
        <f>IFERROR(VLOOKUP(H147,PartyStorage,2, FALSE),0)</f>
        <v>0</v>
      </c>
      <c r="B147" s="753"/>
      <c r="C147" s="754"/>
      <c r="D147" s="754"/>
      <c r="E147" s="755"/>
      <c r="F147" s="760"/>
      <c r="G147" s="756"/>
      <c r="H147" s="744"/>
      <c r="L147" s="664"/>
      <c r="M147" s="745" t="str">
        <f t="shared" si="2"/>
        <v/>
      </c>
      <c r="N147" s="214">
        <f>IFERROR(VLOOKUP(F147,Ch4_Storage,2, FALSE),0)</f>
        <v>0</v>
      </c>
    </row>
    <row r="148" ht="18.75" customHeight="1">
      <c r="A148" s="504">
        <f>IFERROR(VLOOKUP(H148,PartyStorage,2, FALSE),0)</f>
        <v>0</v>
      </c>
      <c r="B148" s="757"/>
      <c r="C148" s="748"/>
      <c r="D148" s="748"/>
      <c r="E148" s="758"/>
      <c r="F148" s="749"/>
      <c r="G148" s="759"/>
      <c r="H148" s="751"/>
      <c r="L148" s="673"/>
      <c r="M148" s="752" t="str">
        <f t="shared" si="2"/>
        <v/>
      </c>
      <c r="N148" s="214">
        <f>IFERROR(VLOOKUP(F148,Ch4_Storage,2, FALSE),0)</f>
        <v>0</v>
      </c>
    </row>
    <row r="149" ht="18.75" customHeight="1">
      <c r="A149" s="504">
        <f>IFERROR(VLOOKUP(H149,PartyStorage,2, FALSE),0)</f>
        <v>0</v>
      </c>
      <c r="B149" s="753"/>
      <c r="C149" s="754"/>
      <c r="D149" s="754"/>
      <c r="E149" s="755"/>
      <c r="F149" s="760"/>
      <c r="G149" s="756"/>
      <c r="H149" s="744"/>
      <c r="L149" s="664"/>
      <c r="M149" s="745" t="str">
        <f t="shared" si="2"/>
        <v/>
      </c>
      <c r="N149" s="214">
        <f>IFERROR(VLOOKUP(F149,Ch4_Storage,2, FALSE),0)</f>
        <v>0</v>
      </c>
    </row>
    <row r="150" ht="18.75" customHeight="1">
      <c r="A150" s="504">
        <f>IFERROR(VLOOKUP(H150,PartyStorage,2, FALSE),0)</f>
        <v>0</v>
      </c>
      <c r="B150" s="757"/>
      <c r="C150" s="748"/>
      <c r="D150" s="748"/>
      <c r="E150" s="758"/>
      <c r="F150" s="749"/>
      <c r="G150" s="759"/>
      <c r="H150" s="751"/>
      <c r="L150" s="673"/>
      <c r="M150" s="752" t="str">
        <f t="shared" si="2"/>
        <v/>
      </c>
      <c r="N150" s="214">
        <f>IFERROR(VLOOKUP(F150,Ch4_Storage,2, FALSE),0)</f>
        <v>0</v>
      </c>
    </row>
    <row r="151" ht="18.75" customHeight="1">
      <c r="A151" s="504">
        <f>IFERROR(VLOOKUP(H151,PartyStorage,2, FALSE),0)</f>
        <v>0</v>
      </c>
      <c r="B151" s="753"/>
      <c r="C151" s="754"/>
      <c r="D151" s="754"/>
      <c r="E151" s="755"/>
      <c r="F151" s="760"/>
      <c r="G151" s="756"/>
      <c r="H151" s="744"/>
      <c r="L151" s="664"/>
      <c r="M151" s="745" t="str">
        <f t="shared" si="2"/>
        <v/>
      </c>
      <c r="N151" s="214">
        <f>IFERROR(VLOOKUP(F151,Ch4_Storage,2, FALSE),0)</f>
        <v>0</v>
      </c>
    </row>
    <row r="152" ht="18.75" customHeight="1">
      <c r="A152" s="504">
        <f>IFERROR(VLOOKUP(H152,PartyStorage,2, FALSE),0)</f>
        <v>0</v>
      </c>
      <c r="B152" s="757"/>
      <c r="C152" s="748"/>
      <c r="D152" s="748"/>
      <c r="E152" s="758"/>
      <c r="F152" s="749"/>
      <c r="G152" s="759"/>
      <c r="H152" s="751"/>
      <c r="L152" s="673"/>
      <c r="M152" s="752" t="str">
        <f t="shared" si="2"/>
        <v/>
      </c>
      <c r="N152" s="214">
        <f>IFERROR(VLOOKUP(F152,Ch4_Storage,2, FALSE),0)</f>
        <v>0</v>
      </c>
    </row>
    <row r="153" ht="18.75" customHeight="1">
      <c r="A153" s="504">
        <f>IFERROR(VLOOKUP(H153,PartyStorage,2, FALSE),0)</f>
        <v>0</v>
      </c>
      <c r="B153" s="753"/>
      <c r="C153" s="754"/>
      <c r="D153" s="754"/>
      <c r="E153" s="755"/>
      <c r="F153" s="760"/>
      <c r="G153" s="756"/>
      <c r="H153" s="744"/>
      <c r="L153" s="664"/>
      <c r="M153" s="745" t="str">
        <f t="shared" si="2"/>
        <v/>
      </c>
      <c r="N153" s="214">
        <f>IFERROR(VLOOKUP(F153,Ch4_Storage,2, FALSE),0)</f>
        <v>0</v>
      </c>
    </row>
    <row r="154" ht="18.75" customHeight="1">
      <c r="A154" s="504">
        <f>IFERROR(VLOOKUP(H154,PartyStorage,2, FALSE),0)</f>
        <v>0</v>
      </c>
      <c r="B154" s="757"/>
      <c r="C154" s="748"/>
      <c r="D154" s="748"/>
      <c r="E154" s="758"/>
      <c r="F154" s="749"/>
      <c r="G154" s="759"/>
      <c r="H154" s="751"/>
      <c r="L154" s="673"/>
      <c r="M154" s="752" t="str">
        <f t="shared" si="2"/>
        <v/>
      </c>
      <c r="N154" s="214">
        <f>IFERROR(VLOOKUP(F154,Ch4_Storage,2, FALSE),0)</f>
        <v>0</v>
      </c>
    </row>
    <row r="155" ht="18.75" customHeight="1">
      <c r="A155" s="504">
        <f>IFERROR(VLOOKUP(H155,PartyStorage,2, FALSE),0)</f>
        <v>0</v>
      </c>
      <c r="B155" s="753"/>
      <c r="C155" s="754"/>
      <c r="D155" s="754"/>
      <c r="E155" s="755"/>
      <c r="F155" s="760"/>
      <c r="G155" s="756"/>
      <c r="H155" s="744"/>
      <c r="L155" s="664"/>
      <c r="M155" s="745" t="str">
        <f t="shared" si="2"/>
        <v/>
      </c>
      <c r="N155" s="214">
        <f>IFERROR(VLOOKUP(F155,Ch4_Storage,2, FALSE),0)</f>
        <v>0</v>
      </c>
    </row>
    <row r="156" ht="18.75" customHeight="1">
      <c r="A156" s="504">
        <f>IFERROR(VLOOKUP(H156,PartyStorage,2, FALSE),0)</f>
        <v>0</v>
      </c>
      <c r="B156" s="757"/>
      <c r="C156" s="748"/>
      <c r="D156" s="748"/>
      <c r="E156" s="758"/>
      <c r="F156" s="749"/>
      <c r="G156" s="759"/>
      <c r="H156" s="751"/>
      <c r="L156" s="673"/>
      <c r="M156" s="752" t="str">
        <f t="shared" si="2"/>
        <v/>
      </c>
      <c r="N156" s="214">
        <f>IFERROR(VLOOKUP(F156,Ch4_Storage,2, FALSE),0)</f>
        <v>0</v>
      </c>
    </row>
    <row r="157" ht="18.75" customHeight="1">
      <c r="A157" s="504">
        <f>IFERROR(VLOOKUP(H157,PartyStorage,2, FALSE),0)</f>
        <v>0</v>
      </c>
      <c r="B157" s="753"/>
      <c r="C157" s="754"/>
      <c r="D157" s="754"/>
      <c r="E157" s="755"/>
      <c r="F157" s="760"/>
      <c r="G157" s="756"/>
      <c r="H157" s="744"/>
      <c r="L157" s="664"/>
      <c r="M157" s="745" t="str">
        <f t="shared" si="2"/>
        <v/>
      </c>
      <c r="N157" s="214">
        <f>IFERROR(VLOOKUP(F157,Ch4_Storage,2, FALSE),0)</f>
        <v>0</v>
      </c>
    </row>
    <row r="158" ht="18.75" customHeight="1">
      <c r="A158" s="504">
        <f>IFERROR(VLOOKUP(H158,PartyStorage,2, FALSE),0)</f>
        <v>0</v>
      </c>
      <c r="B158" s="757"/>
      <c r="C158" s="748"/>
      <c r="D158" s="748"/>
      <c r="E158" s="758"/>
      <c r="F158" s="749"/>
      <c r="G158" s="759"/>
      <c r="H158" s="751"/>
      <c r="L158" s="673"/>
      <c r="M158" s="752" t="str">
        <f t="shared" si="2"/>
        <v/>
      </c>
      <c r="N158" s="214">
        <f>IFERROR(VLOOKUP(F158,Ch4_Storage,2, FALSE),0)</f>
        <v>0</v>
      </c>
    </row>
    <row r="159" ht="18.75" customHeight="1">
      <c r="A159" s="504">
        <f>IFERROR(VLOOKUP(H159,PartyStorage,2, FALSE),0)</f>
        <v>0</v>
      </c>
      <c r="B159" s="753"/>
      <c r="C159" s="754"/>
      <c r="D159" s="754"/>
      <c r="E159" s="755"/>
      <c r="F159" s="760"/>
      <c r="G159" s="756"/>
      <c r="H159" s="744"/>
      <c r="L159" s="664"/>
      <c r="M159" s="745" t="str">
        <f t="shared" si="2"/>
        <v/>
      </c>
      <c r="N159" s="214">
        <f>IFERROR(VLOOKUP(F159,Ch4_Storage,2, FALSE),0)</f>
        <v>0</v>
      </c>
    </row>
    <row r="160" ht="18.75" customHeight="1">
      <c r="A160" s="504">
        <f>IFERROR(VLOOKUP(H160,PartyStorage,2, FALSE),0)</f>
        <v>0</v>
      </c>
      <c r="B160" s="757"/>
      <c r="C160" s="748"/>
      <c r="D160" s="748"/>
      <c r="E160" s="758"/>
      <c r="F160" s="749"/>
      <c r="G160" s="759"/>
      <c r="H160" s="751"/>
      <c r="L160" s="673"/>
      <c r="M160" s="752" t="str">
        <f t="shared" si="2"/>
        <v/>
      </c>
      <c r="N160" s="214">
        <f>IFERROR(VLOOKUP(F160,Ch4_Storage,2, FALSE),0)</f>
        <v>0</v>
      </c>
    </row>
    <row r="161" ht="18.75" customHeight="1">
      <c r="A161" s="504">
        <f>IFERROR(VLOOKUP(H161,PartyStorage,2, FALSE),0)</f>
        <v>0</v>
      </c>
      <c r="B161" s="753"/>
      <c r="C161" s="754"/>
      <c r="D161" s="754"/>
      <c r="E161" s="755"/>
      <c r="F161" s="760"/>
      <c r="G161" s="756"/>
      <c r="H161" s="744"/>
      <c r="L161" s="664"/>
      <c r="M161" s="745" t="str">
        <f t="shared" si="2"/>
        <v/>
      </c>
      <c r="N161" s="214">
        <f>IFERROR(VLOOKUP(F161,Ch4_Storage,2, FALSE),0)</f>
        <v>0</v>
      </c>
    </row>
    <row r="162" ht="18.75" customHeight="1">
      <c r="A162" s="504">
        <f>IFERROR(VLOOKUP(H162,PartyStorage,2, FALSE),0)</f>
        <v>0</v>
      </c>
      <c r="B162" s="757"/>
      <c r="C162" s="748"/>
      <c r="D162" s="748"/>
      <c r="E162" s="758"/>
      <c r="F162" s="749"/>
      <c r="G162" s="759"/>
      <c r="H162" s="751"/>
      <c r="L162" s="673"/>
      <c r="M162" s="752" t="str">
        <f t="shared" si="2"/>
        <v/>
      </c>
      <c r="N162" s="214">
        <f>IFERROR(VLOOKUP(F162,Ch4_Storage,2, FALSE),0)</f>
        <v>0</v>
      </c>
    </row>
    <row r="163" ht="18.75" customHeight="1">
      <c r="A163" s="504">
        <f>IFERROR(VLOOKUP(H163,PartyStorage,2, FALSE),0)</f>
        <v>0</v>
      </c>
      <c r="B163" s="753"/>
      <c r="C163" s="754"/>
      <c r="D163" s="754"/>
      <c r="E163" s="755"/>
      <c r="F163" s="760"/>
      <c r="G163" s="756"/>
      <c r="H163" s="744"/>
      <c r="L163" s="664"/>
      <c r="M163" s="745" t="str">
        <f t="shared" si="2"/>
        <v/>
      </c>
      <c r="N163" s="214">
        <f>IFERROR(VLOOKUP(F163,Ch4_Storage,2, FALSE),0)</f>
        <v>0</v>
      </c>
    </row>
    <row r="164" ht="18.75" customHeight="1">
      <c r="A164" s="504">
        <f>IFERROR(VLOOKUP(H164,PartyStorage,2, FALSE),0)</f>
        <v>0</v>
      </c>
      <c r="B164" s="757"/>
      <c r="C164" s="748"/>
      <c r="D164" s="748"/>
      <c r="E164" s="758"/>
      <c r="F164" s="749"/>
      <c r="G164" s="759"/>
      <c r="H164" s="751"/>
      <c r="L164" s="673"/>
      <c r="M164" s="752" t="str">
        <f t="shared" si="2"/>
        <v/>
      </c>
      <c r="N164" s="214">
        <f>IFERROR(VLOOKUP(F164,Ch4_Storage,2, FALSE),0)</f>
        <v>0</v>
      </c>
    </row>
    <row r="165" ht="18.75" customHeight="1">
      <c r="A165" s="504">
        <f>IFERROR(VLOOKUP(H165,PartyStorage,2, FALSE),0)</f>
        <v>0</v>
      </c>
      <c r="B165" s="753"/>
      <c r="C165" s="754"/>
      <c r="D165" s="754"/>
      <c r="E165" s="755"/>
      <c r="F165" s="760"/>
      <c r="G165" s="756"/>
      <c r="H165" s="744"/>
      <c r="L165" s="664"/>
      <c r="M165" s="745" t="str">
        <f t="shared" si="2"/>
        <v/>
      </c>
      <c r="N165" s="214">
        <f>IFERROR(VLOOKUP(F165,Ch4_Storage,2, FALSE),0)</f>
        <v>0</v>
      </c>
    </row>
    <row r="166" ht="18.75" customHeight="1">
      <c r="A166" s="504">
        <f>IFERROR(VLOOKUP(H166,PartyStorage,2, FALSE),0)</f>
        <v>0</v>
      </c>
      <c r="B166" s="757"/>
      <c r="C166" s="748"/>
      <c r="D166" s="748"/>
      <c r="E166" s="758"/>
      <c r="F166" s="749"/>
      <c r="G166" s="759"/>
      <c r="H166" s="751"/>
      <c r="L166" s="673"/>
      <c r="M166" s="752" t="str">
        <f t="shared" si="2"/>
        <v/>
      </c>
      <c r="N166" s="214">
        <f>IFERROR(VLOOKUP(F166,Ch4_Storage,2, FALSE),0)</f>
        <v>0</v>
      </c>
    </row>
    <row r="167" ht="18.75" customHeight="1">
      <c r="A167" s="504">
        <f>IFERROR(VLOOKUP(H167,PartyStorage,2, FALSE),0)</f>
        <v>0</v>
      </c>
      <c r="B167" s="753"/>
      <c r="C167" s="754"/>
      <c r="D167" s="754"/>
      <c r="E167" s="755"/>
      <c r="F167" s="760"/>
      <c r="G167" s="756"/>
      <c r="H167" s="744"/>
      <c r="L167" s="664"/>
      <c r="M167" s="745" t="str">
        <f t="shared" si="2"/>
        <v/>
      </c>
      <c r="N167" s="214">
        <f>IFERROR(VLOOKUP(F167,Ch4_Storage,2, FALSE),0)</f>
        <v>0</v>
      </c>
    </row>
    <row r="168" ht="18.75" customHeight="1">
      <c r="A168" s="504">
        <f>IFERROR(VLOOKUP(H168,PartyStorage,2, FALSE),0)</f>
        <v>0</v>
      </c>
      <c r="B168" s="757"/>
      <c r="C168" s="748"/>
      <c r="D168" s="748"/>
      <c r="E168" s="758"/>
      <c r="F168" s="749"/>
      <c r="G168" s="759"/>
      <c r="H168" s="751"/>
      <c r="L168" s="673"/>
      <c r="M168" s="752" t="str">
        <f t="shared" si="2"/>
        <v/>
      </c>
      <c r="N168" s="214">
        <f>IFERROR(VLOOKUP(F168,Ch4_Storage,2, FALSE),0)</f>
        <v>0</v>
      </c>
    </row>
    <row r="169" ht="18.75" customHeight="1">
      <c r="A169" s="504">
        <f>IFERROR(VLOOKUP(H169,PartyStorage,2, FALSE),0)</f>
        <v>0</v>
      </c>
      <c r="B169" s="753"/>
      <c r="C169" s="754"/>
      <c r="D169" s="754"/>
      <c r="E169" s="755"/>
      <c r="F169" s="760"/>
      <c r="G169" s="756"/>
      <c r="H169" s="744"/>
      <c r="L169" s="664"/>
      <c r="M169" s="745" t="str">
        <f t="shared" si="2"/>
        <v/>
      </c>
      <c r="N169" s="214">
        <f>IFERROR(VLOOKUP(F169,Ch4_Storage,2, FALSE),0)</f>
        <v>0</v>
      </c>
    </row>
    <row r="170" ht="18.75" customHeight="1">
      <c r="A170" s="504">
        <f>IFERROR(VLOOKUP(H170,PartyStorage,2, FALSE),0)</f>
        <v>0</v>
      </c>
      <c r="B170" s="757"/>
      <c r="C170" s="748"/>
      <c r="D170" s="748"/>
      <c r="E170" s="758"/>
      <c r="F170" s="749"/>
      <c r="G170" s="759"/>
      <c r="H170" s="751"/>
      <c r="L170" s="673"/>
      <c r="M170" s="752" t="str">
        <f t="shared" si="2"/>
        <v/>
      </c>
      <c r="N170" s="214">
        <f>IFERROR(VLOOKUP(F170,Ch4_Storage,2, FALSE),0)</f>
        <v>0</v>
      </c>
    </row>
    <row r="171" ht="18.75" customHeight="1">
      <c r="A171" s="504">
        <f>IFERROR(VLOOKUP(H171,PartyStorage,2, FALSE),0)</f>
        <v>0</v>
      </c>
      <c r="B171" s="753"/>
      <c r="C171" s="754"/>
      <c r="D171" s="754"/>
      <c r="E171" s="755"/>
      <c r="F171" s="760"/>
      <c r="G171" s="756"/>
      <c r="H171" s="744"/>
      <c r="L171" s="664"/>
      <c r="M171" s="745" t="str">
        <f t="shared" si="2"/>
        <v/>
      </c>
      <c r="N171" s="214">
        <f>IFERROR(VLOOKUP(F171,Ch4_Storage,2, FALSE),0)</f>
        <v>0</v>
      </c>
    </row>
    <row r="172" ht="18.75" customHeight="1">
      <c r="A172" s="504">
        <f>IFERROR(VLOOKUP(H172,PartyStorage,2, FALSE),0)</f>
        <v>0</v>
      </c>
      <c r="B172" s="757"/>
      <c r="C172" s="748"/>
      <c r="D172" s="748"/>
      <c r="E172" s="758"/>
      <c r="F172" s="749"/>
      <c r="G172" s="759"/>
      <c r="H172" s="751"/>
      <c r="L172" s="673"/>
      <c r="M172" s="752" t="str">
        <f t="shared" si="2"/>
        <v/>
      </c>
      <c r="N172" s="214">
        <f>IFERROR(VLOOKUP(F172,Ch4_Storage,2, FALSE),0)</f>
        <v>0</v>
      </c>
    </row>
    <row r="173" ht="18.75" customHeight="1">
      <c r="A173" s="504">
        <f>IFERROR(VLOOKUP(H173,PartyStorage,2, FALSE),0)</f>
        <v>0</v>
      </c>
      <c r="B173" s="753"/>
      <c r="C173" s="754"/>
      <c r="D173" s="754"/>
      <c r="E173" s="755"/>
      <c r="F173" s="760"/>
      <c r="G173" s="756"/>
      <c r="H173" s="744"/>
      <c r="L173" s="664"/>
      <c r="M173" s="745" t="str">
        <f t="shared" si="2"/>
        <v/>
      </c>
      <c r="N173" s="214">
        <f>IFERROR(VLOOKUP(F173,Ch4_Storage,2, FALSE),0)</f>
        <v>0</v>
      </c>
    </row>
    <row r="174" ht="18.75" customHeight="1">
      <c r="A174" s="504">
        <f>IFERROR(VLOOKUP(H174,PartyStorage,2, FALSE),0)</f>
        <v>0</v>
      </c>
      <c r="B174" s="757"/>
      <c r="C174" s="748"/>
      <c r="D174" s="748"/>
      <c r="E174" s="758"/>
      <c r="F174" s="749"/>
      <c r="G174" s="759"/>
      <c r="H174" s="751"/>
      <c r="L174" s="673"/>
      <c r="M174" s="752" t="str">
        <f t="shared" si="2"/>
        <v/>
      </c>
      <c r="N174" s="214">
        <f>IFERROR(VLOOKUP(F174,Ch4_Storage,2, FALSE),0)</f>
        <v>0</v>
      </c>
    </row>
    <row r="175" ht="18.75" customHeight="1">
      <c r="A175" s="504">
        <f>IFERROR(VLOOKUP(H175,PartyStorage,2, FALSE),0)</f>
        <v>0</v>
      </c>
      <c r="B175" s="753"/>
      <c r="C175" s="754"/>
      <c r="D175" s="754"/>
      <c r="E175" s="755"/>
      <c r="F175" s="760"/>
      <c r="G175" s="756"/>
      <c r="H175" s="744"/>
      <c r="L175" s="664"/>
      <c r="M175" s="745" t="str">
        <f t="shared" si="2"/>
        <v/>
      </c>
      <c r="N175" s="214">
        <f>IFERROR(VLOOKUP(F175,Ch4_Storage,2, FALSE),0)</f>
        <v>0</v>
      </c>
    </row>
    <row r="176" ht="18.75" customHeight="1">
      <c r="A176" s="504">
        <f>IFERROR(VLOOKUP(H176,PartyStorage,2, FALSE),0)</f>
        <v>0</v>
      </c>
      <c r="B176" s="757"/>
      <c r="C176" s="748"/>
      <c r="D176" s="748"/>
      <c r="E176" s="758"/>
      <c r="F176" s="749"/>
      <c r="G176" s="759"/>
      <c r="H176" s="751"/>
      <c r="L176" s="673"/>
      <c r="M176" s="752" t="str">
        <f t="shared" si="2"/>
        <v/>
      </c>
      <c r="N176" s="214">
        <f>IFERROR(VLOOKUP(F176,Ch4_Storage,2, FALSE),0)</f>
        <v>0</v>
      </c>
    </row>
    <row r="177" ht="18.75" customHeight="1">
      <c r="A177" s="504">
        <f>IFERROR(VLOOKUP(H177,PartyStorage,2, FALSE),0)</f>
        <v>0</v>
      </c>
      <c r="B177" s="753"/>
      <c r="C177" s="754"/>
      <c r="D177" s="754"/>
      <c r="E177" s="755"/>
      <c r="F177" s="760"/>
      <c r="G177" s="756"/>
      <c r="H177" s="744"/>
      <c r="L177" s="664"/>
      <c r="M177" s="745" t="str">
        <f t="shared" si="2"/>
        <v/>
      </c>
      <c r="N177" s="214">
        <f>IFERROR(VLOOKUP(F177,Ch4_Storage,2, FALSE),0)</f>
        <v>0</v>
      </c>
    </row>
    <row r="178" ht="18.75" customHeight="1">
      <c r="A178" s="504">
        <f>IFERROR(VLOOKUP(H178,PartyStorage,2, FALSE),0)</f>
        <v>0</v>
      </c>
      <c r="B178" s="757"/>
      <c r="C178" s="748"/>
      <c r="D178" s="748"/>
      <c r="E178" s="758"/>
      <c r="F178" s="749"/>
      <c r="G178" s="759"/>
      <c r="H178" s="751"/>
      <c r="L178" s="673"/>
      <c r="M178" s="752" t="str">
        <f t="shared" si="2"/>
        <v/>
      </c>
      <c r="N178" s="214">
        <f>IFERROR(VLOOKUP(F178,Ch4_Storage,2, FALSE),0)</f>
        <v>0</v>
      </c>
    </row>
    <row r="179" ht="18.75" customHeight="1">
      <c r="A179" s="504">
        <f>IFERROR(VLOOKUP(H179,PartyStorage,2, FALSE),0)</f>
        <v>0</v>
      </c>
      <c r="B179" s="753"/>
      <c r="C179" s="754"/>
      <c r="D179" s="754"/>
      <c r="E179" s="755"/>
      <c r="F179" s="760"/>
      <c r="G179" s="756"/>
      <c r="H179" s="744"/>
      <c r="L179" s="664"/>
      <c r="M179" s="745" t="str">
        <f t="shared" si="2"/>
        <v/>
      </c>
      <c r="N179" s="214">
        <f>IFERROR(VLOOKUP(F179,Ch4_Storage,2, FALSE),0)</f>
        <v>0</v>
      </c>
    </row>
    <row r="180" ht="18.75" customHeight="1">
      <c r="A180" s="504">
        <f>IFERROR(VLOOKUP(H180,PartyStorage,2, FALSE),0)</f>
        <v>0</v>
      </c>
      <c r="B180" s="757"/>
      <c r="C180" s="748"/>
      <c r="D180" s="748"/>
      <c r="E180" s="758"/>
      <c r="F180" s="749"/>
      <c r="G180" s="759"/>
      <c r="H180" s="751"/>
      <c r="L180" s="673"/>
      <c r="M180" s="752" t="str">
        <f t="shared" si="2"/>
        <v/>
      </c>
      <c r="N180" s="214">
        <f>IFERROR(VLOOKUP(F180,Ch4_Storage,2, FALSE),0)</f>
        <v>0</v>
      </c>
    </row>
    <row r="181" ht="18.75" customHeight="1">
      <c r="A181" s="504">
        <f>IFERROR(VLOOKUP(H181,PartyStorage,2, FALSE),0)</f>
        <v>0</v>
      </c>
      <c r="B181" s="753"/>
      <c r="C181" s="754"/>
      <c r="D181" s="754"/>
      <c r="E181" s="755"/>
      <c r="F181" s="760"/>
      <c r="G181" s="756"/>
      <c r="H181" s="744"/>
      <c r="L181" s="664"/>
      <c r="M181" s="745" t="str">
        <f t="shared" si="2"/>
        <v/>
      </c>
      <c r="N181" s="214">
        <f>IFERROR(VLOOKUP(F181,Ch4_Storage,2, FALSE),0)</f>
        <v>0</v>
      </c>
    </row>
    <row r="182" ht="18.75" customHeight="1">
      <c r="A182" s="504">
        <f>IFERROR(VLOOKUP(H182,PartyStorage,2, FALSE),0)</f>
        <v>0</v>
      </c>
      <c r="B182" s="757"/>
      <c r="C182" s="748"/>
      <c r="D182" s="748"/>
      <c r="E182" s="758"/>
      <c r="F182" s="749"/>
      <c r="G182" s="759"/>
      <c r="H182" s="751"/>
      <c r="L182" s="673"/>
      <c r="M182" s="752" t="str">
        <f t="shared" si="2"/>
        <v/>
      </c>
      <c r="N182" s="214">
        <f>IFERROR(VLOOKUP(F182,Ch4_Storage,2, FALSE),0)</f>
        <v>0</v>
      </c>
    </row>
    <row r="183" ht="18.75" customHeight="1">
      <c r="A183" s="504">
        <f>IFERROR(VLOOKUP(H183,PartyStorage,2, FALSE),0)</f>
        <v>0</v>
      </c>
      <c r="B183" s="753"/>
      <c r="C183" s="754"/>
      <c r="D183" s="754"/>
      <c r="E183" s="755"/>
      <c r="F183" s="760"/>
      <c r="G183" s="756"/>
      <c r="H183" s="744"/>
      <c r="L183" s="664"/>
      <c r="M183" s="745" t="str">
        <f t="shared" si="2"/>
        <v/>
      </c>
      <c r="N183" s="214">
        <f>IFERROR(VLOOKUP(F183,Ch4_Storage,2, FALSE),0)</f>
        <v>0</v>
      </c>
    </row>
    <row r="184" ht="18.75" customHeight="1">
      <c r="A184" s="504">
        <f>IFERROR(VLOOKUP(H184,PartyStorage,2, FALSE),0)</f>
        <v>0</v>
      </c>
      <c r="B184" s="757"/>
      <c r="C184" s="748"/>
      <c r="D184" s="748"/>
      <c r="E184" s="758"/>
      <c r="F184" s="749"/>
      <c r="G184" s="759"/>
      <c r="H184" s="751"/>
      <c r="L184" s="673"/>
      <c r="M184" s="752" t="str">
        <f t="shared" si="2"/>
        <v/>
      </c>
      <c r="N184" s="214">
        <f>IFERROR(VLOOKUP(F184,Ch4_Storage,2, FALSE),0)</f>
        <v>0</v>
      </c>
    </row>
    <row r="185" ht="18.75" customHeight="1">
      <c r="A185" s="504">
        <f>IFERROR(VLOOKUP(H185,PartyStorage,2, FALSE),0)</f>
        <v>0</v>
      </c>
      <c r="B185" s="753"/>
      <c r="C185" s="754"/>
      <c r="D185" s="754"/>
      <c r="E185" s="755"/>
      <c r="F185" s="760"/>
      <c r="G185" s="756"/>
      <c r="H185" s="744"/>
      <c r="L185" s="664"/>
      <c r="M185" s="745" t="str">
        <f t="shared" si="2"/>
        <v/>
      </c>
      <c r="N185" s="214">
        <f>IFERROR(VLOOKUP(F185,Ch4_Storage,2, FALSE),0)</f>
        <v>0</v>
      </c>
    </row>
    <row r="186" ht="18.75" customHeight="1">
      <c r="A186" s="504">
        <f>IFERROR(VLOOKUP(H186,PartyStorage,2, FALSE),0)</f>
        <v>0</v>
      </c>
      <c r="B186" s="757"/>
      <c r="C186" s="748"/>
      <c r="D186" s="748"/>
      <c r="E186" s="758"/>
      <c r="F186" s="749"/>
      <c r="G186" s="759"/>
      <c r="H186" s="751"/>
      <c r="L186" s="673"/>
      <c r="M186" s="752" t="str">
        <f t="shared" si="2"/>
        <v/>
      </c>
      <c r="N186" s="214">
        <f>IFERROR(VLOOKUP(F186,Ch4_Storage,2, FALSE),0)</f>
        <v>0</v>
      </c>
    </row>
    <row r="187" ht="18.75" customHeight="1">
      <c r="A187" s="504">
        <f>IFERROR(VLOOKUP(H187,PartyStorage,2, FALSE),0)</f>
        <v>0</v>
      </c>
      <c r="B187" s="753"/>
      <c r="C187" s="754"/>
      <c r="D187" s="754"/>
      <c r="E187" s="755"/>
      <c r="F187" s="760"/>
      <c r="G187" s="756"/>
      <c r="H187" s="744"/>
      <c r="L187" s="664"/>
      <c r="M187" s="745" t="str">
        <f t="shared" si="2"/>
        <v/>
      </c>
      <c r="N187" s="214">
        <f>IFERROR(VLOOKUP(F187,Ch4_Storage,2, FALSE),0)</f>
        <v>0</v>
      </c>
    </row>
    <row r="188" ht="18.75" customHeight="1">
      <c r="A188" s="504">
        <f>IFERROR(VLOOKUP(H188,PartyStorage,2, FALSE),0)</f>
        <v>0</v>
      </c>
      <c r="B188" s="757"/>
      <c r="C188" s="748"/>
      <c r="D188" s="748"/>
      <c r="E188" s="758"/>
      <c r="F188" s="749"/>
      <c r="G188" s="759"/>
      <c r="H188" s="751"/>
      <c r="L188" s="673"/>
      <c r="M188" s="752" t="str">
        <f t="shared" si="2"/>
        <v/>
      </c>
      <c r="N188" s="214">
        <f>IFERROR(VLOOKUP(F188,Ch4_Storage,2, FALSE),0)</f>
        <v>0</v>
      </c>
    </row>
    <row r="189" ht="18.75" customHeight="1">
      <c r="A189" s="504">
        <f>IFERROR(VLOOKUP(H189,PartyStorage,2, FALSE),0)</f>
        <v>0</v>
      </c>
      <c r="B189" s="753"/>
      <c r="C189" s="754"/>
      <c r="D189" s="754"/>
      <c r="E189" s="755"/>
      <c r="F189" s="760"/>
      <c r="G189" s="756"/>
      <c r="H189" s="744"/>
      <c r="L189" s="664"/>
      <c r="M189" s="745" t="str">
        <f t="shared" si="2"/>
        <v/>
      </c>
      <c r="N189" s="214">
        <f>IFERROR(VLOOKUP(F189,Ch4_Storage,2, FALSE),0)</f>
        <v>0</v>
      </c>
    </row>
    <row r="190" ht="18.75" customHeight="1">
      <c r="A190" s="504">
        <f>IFERROR(VLOOKUP(H190,PartyStorage,2, FALSE),0)</f>
        <v>0</v>
      </c>
      <c r="B190" s="757"/>
      <c r="C190" s="748"/>
      <c r="D190" s="748"/>
      <c r="E190" s="758"/>
      <c r="F190" s="749"/>
      <c r="G190" s="759"/>
      <c r="H190" s="751"/>
      <c r="L190" s="673"/>
      <c r="M190" s="752" t="str">
        <f t="shared" si="2"/>
        <v/>
      </c>
      <c r="N190" s="214">
        <f>IFERROR(VLOOKUP(F190,Ch4_Storage,2, FALSE),0)</f>
        <v>0</v>
      </c>
    </row>
    <row r="191" ht="18.75" customHeight="1">
      <c r="A191" s="504">
        <f>IFERROR(VLOOKUP(H191,PartyStorage,2, FALSE),0)</f>
        <v>0</v>
      </c>
      <c r="B191" s="753"/>
      <c r="C191" s="754"/>
      <c r="D191" s="754"/>
      <c r="E191" s="755"/>
      <c r="F191" s="760"/>
      <c r="G191" s="756"/>
      <c r="H191" s="744"/>
      <c r="L191" s="664"/>
      <c r="M191" s="745" t="str">
        <f t="shared" si="2"/>
        <v/>
      </c>
      <c r="N191" s="214">
        <f>IFERROR(VLOOKUP(F191,Ch4_Storage,2, FALSE),0)</f>
        <v>0</v>
      </c>
    </row>
    <row r="192" ht="18.75" customHeight="1">
      <c r="A192" s="504">
        <f>IFERROR(VLOOKUP(H192,PartyStorage,2, FALSE),0)</f>
        <v>0</v>
      </c>
      <c r="B192" s="757"/>
      <c r="C192" s="748"/>
      <c r="D192" s="748"/>
      <c r="E192" s="758"/>
      <c r="F192" s="749"/>
      <c r="G192" s="759"/>
      <c r="H192" s="751"/>
      <c r="L192" s="673"/>
      <c r="M192" s="752" t="str">
        <f t="shared" si="2"/>
        <v/>
      </c>
      <c r="N192" s="214">
        <f>IFERROR(VLOOKUP(F192,Ch4_Storage,2, FALSE),0)</f>
        <v>0</v>
      </c>
    </row>
    <row r="193" ht="18.75" customHeight="1">
      <c r="A193" s="504">
        <f>IFERROR(VLOOKUP(H193,PartyStorage,2, FALSE),0)</f>
        <v>0</v>
      </c>
      <c r="B193" s="753"/>
      <c r="C193" s="754"/>
      <c r="D193" s="754"/>
      <c r="E193" s="755"/>
      <c r="F193" s="760"/>
      <c r="G193" s="756"/>
      <c r="H193" s="744"/>
      <c r="L193" s="664"/>
      <c r="M193" s="745" t="str">
        <f t="shared" si="2"/>
        <v/>
      </c>
      <c r="N193" s="214">
        <f>IFERROR(VLOOKUP(F193,Ch4_Storage,2, FALSE),0)</f>
        <v>0</v>
      </c>
    </row>
    <row r="194" ht="18.75" customHeight="1">
      <c r="A194" s="504">
        <f>IFERROR(VLOOKUP(H194,PartyStorage,2, FALSE),0)</f>
        <v>0</v>
      </c>
      <c r="B194" s="757"/>
      <c r="C194" s="748"/>
      <c r="D194" s="748"/>
      <c r="E194" s="758"/>
      <c r="F194" s="749"/>
      <c r="G194" s="759"/>
      <c r="H194" s="751"/>
      <c r="L194" s="673"/>
      <c r="M194" s="752" t="str">
        <f t="shared" si="2"/>
        <v/>
      </c>
      <c r="N194" s="214">
        <f>IFERROR(VLOOKUP(F194,Ch4_Storage,2, FALSE),0)</f>
        <v>0</v>
      </c>
    </row>
    <row r="195" ht="18.75" customHeight="1">
      <c r="A195" s="504">
        <f>IFERROR(VLOOKUP(H195,PartyStorage,2, FALSE),0)</f>
        <v>0</v>
      </c>
      <c r="B195" s="753"/>
      <c r="C195" s="754"/>
      <c r="D195" s="754"/>
      <c r="E195" s="755"/>
      <c r="F195" s="760"/>
      <c r="G195" s="756"/>
      <c r="H195" s="744"/>
      <c r="L195" s="664"/>
      <c r="M195" s="745" t="str">
        <f t="shared" si="2"/>
        <v/>
      </c>
      <c r="N195" s="214">
        <f>IFERROR(VLOOKUP(F195,Ch4_Storage,2, FALSE),0)</f>
        <v>0</v>
      </c>
    </row>
    <row r="196" ht="18.75" customHeight="1">
      <c r="A196" s="504">
        <f>IFERROR(VLOOKUP(H196,PartyStorage,2, FALSE),0)</f>
        <v>0</v>
      </c>
      <c r="B196" s="757"/>
      <c r="C196" s="748"/>
      <c r="D196" s="748"/>
      <c r="E196" s="758"/>
      <c r="F196" s="749"/>
      <c r="G196" s="759"/>
      <c r="H196" s="751"/>
      <c r="L196" s="673"/>
      <c r="M196" s="752" t="str">
        <f t="shared" si="2"/>
        <v/>
      </c>
      <c r="N196" s="214">
        <f>IFERROR(VLOOKUP(F196,Ch4_Storage,2, FALSE),0)</f>
        <v>0</v>
      </c>
    </row>
    <row r="197" ht="18.75" customHeight="1">
      <c r="A197" s="504">
        <f>IFERROR(VLOOKUP(H197,PartyStorage,2, FALSE),0)</f>
        <v>0</v>
      </c>
      <c r="B197" s="753"/>
      <c r="C197" s="754"/>
      <c r="D197" s="754"/>
      <c r="E197" s="755"/>
      <c r="F197" s="760"/>
      <c r="G197" s="756"/>
      <c r="H197" s="744"/>
      <c r="L197" s="664"/>
      <c r="M197" s="745" t="str">
        <f t="shared" si="2"/>
        <v/>
      </c>
      <c r="N197" s="214">
        <f>IFERROR(VLOOKUP(F197,Ch4_Storage,2, FALSE),0)</f>
        <v>0</v>
      </c>
    </row>
    <row r="198" ht="18.75" customHeight="1">
      <c r="A198" s="504">
        <f>IFERROR(VLOOKUP(H198,PartyStorage,2, FALSE),0)</f>
        <v>0</v>
      </c>
      <c r="B198" s="757"/>
      <c r="C198" s="748"/>
      <c r="D198" s="748"/>
      <c r="E198" s="758"/>
      <c r="F198" s="749"/>
      <c r="G198" s="759"/>
      <c r="H198" s="751"/>
      <c r="L198" s="673"/>
      <c r="M198" s="752" t="str">
        <f t="shared" si="2"/>
        <v/>
      </c>
      <c r="N198" s="214">
        <f>IFERROR(VLOOKUP(F198,Ch4_Storage,2, FALSE),0)</f>
        <v>0</v>
      </c>
    </row>
    <row r="199" ht="18.75" customHeight="1">
      <c r="A199" s="504">
        <f>IFERROR(VLOOKUP(H199,PartyStorage,2, FALSE),0)</f>
        <v>0</v>
      </c>
      <c r="B199" s="753"/>
      <c r="C199" s="754"/>
      <c r="D199" s="754"/>
      <c r="E199" s="755"/>
      <c r="F199" s="760"/>
      <c r="G199" s="756"/>
      <c r="H199" s="744"/>
      <c r="L199" s="664"/>
      <c r="M199" s="745" t="str">
        <f t="shared" si="2"/>
        <v/>
      </c>
      <c r="N199" s="214">
        <f>IFERROR(VLOOKUP(F199,Ch4_Storage,2, FALSE),0)</f>
        <v>0</v>
      </c>
    </row>
    <row r="200" ht="18.75" customHeight="1">
      <c r="A200" s="504">
        <f>IFERROR(VLOOKUP(H200,PartyStorage,2, FALSE),0)</f>
        <v>0</v>
      </c>
      <c r="B200" s="757"/>
      <c r="C200" s="748"/>
      <c r="D200" s="748"/>
      <c r="E200" s="758"/>
      <c r="F200" s="749"/>
      <c r="G200" s="759"/>
      <c r="H200" s="751"/>
      <c r="L200" s="673"/>
      <c r="M200" s="752" t="str">
        <f t="shared" si="2"/>
        <v/>
      </c>
      <c r="N200" s="214">
        <f>IFERROR(VLOOKUP(F200,Ch4_Storage,2, FALSE),0)</f>
        <v>0</v>
      </c>
    </row>
    <row r="201" ht="18.75" customHeight="1">
      <c r="A201" s="504">
        <f>IFERROR(VLOOKUP(H201,PartyStorage,2, FALSE),0)</f>
        <v>0</v>
      </c>
      <c r="B201" s="753"/>
      <c r="C201" s="754"/>
      <c r="D201" s="754"/>
      <c r="E201" s="755"/>
      <c r="F201" s="760"/>
      <c r="G201" s="756"/>
      <c r="H201" s="744"/>
      <c r="L201" s="664"/>
      <c r="M201" s="745" t="str">
        <f t="shared" si="2"/>
        <v/>
      </c>
      <c r="N201" s="214">
        <f>IFERROR(VLOOKUP(F201,Ch4_Storage,2, FALSE),0)</f>
        <v>0</v>
      </c>
    </row>
    <row r="202" ht="18.75" customHeight="1">
      <c r="A202" s="504">
        <f>IFERROR(VLOOKUP(H202,PartyStorage,2, FALSE),0)</f>
        <v>0</v>
      </c>
      <c r="B202" s="757"/>
      <c r="C202" s="748"/>
      <c r="D202" s="748"/>
      <c r="E202" s="758"/>
      <c r="F202" s="749"/>
      <c r="G202" s="759"/>
      <c r="H202" s="751"/>
      <c r="L202" s="673"/>
      <c r="M202" s="752" t="str">
        <f t="shared" si="2"/>
        <v/>
      </c>
      <c r="N202" s="214">
        <f>IFERROR(VLOOKUP(F202,Ch4_Storage,2, FALSE),0)</f>
        <v>0</v>
      </c>
    </row>
    <row r="203" ht="18.75" customHeight="1">
      <c r="A203" s="504">
        <f>IFERROR(VLOOKUP(H203,PartyStorage,2, FALSE),0)</f>
        <v>0</v>
      </c>
      <c r="B203" s="753"/>
      <c r="C203" s="754"/>
      <c r="D203" s="754"/>
      <c r="E203" s="755"/>
      <c r="F203" s="760"/>
      <c r="G203" s="756"/>
      <c r="H203" s="744"/>
      <c r="L203" s="664"/>
      <c r="M203" s="745" t="str">
        <f t="shared" si="2"/>
        <v/>
      </c>
      <c r="N203" s="214">
        <f>IFERROR(VLOOKUP(F203,Ch4_Storage,2, FALSE),0)</f>
        <v>0</v>
      </c>
    </row>
    <row r="204" ht="18.75" customHeight="1">
      <c r="A204" s="504">
        <f>IFERROR(VLOOKUP(H204,PartyStorage,2, FALSE),0)</f>
        <v>0</v>
      </c>
      <c r="B204" s="757"/>
      <c r="C204" s="748"/>
      <c r="D204" s="748"/>
      <c r="E204" s="758"/>
      <c r="F204" s="749"/>
      <c r="G204" s="759"/>
      <c r="H204" s="751"/>
      <c r="L204" s="673"/>
      <c r="M204" s="752" t="str">
        <f t="shared" si="2"/>
        <v/>
      </c>
      <c r="N204" s="214">
        <f>IFERROR(VLOOKUP(F204,Ch4_Storage,2, FALSE),0)</f>
        <v>0</v>
      </c>
    </row>
    <row r="205" ht="18.75" customHeight="1">
      <c r="A205" s="504">
        <f>IFERROR(VLOOKUP(H205,PartyStorage,2, FALSE),0)</f>
        <v>0</v>
      </c>
      <c r="B205" s="753"/>
      <c r="C205" s="754"/>
      <c r="D205" s="754"/>
      <c r="E205" s="755"/>
      <c r="F205" s="760"/>
      <c r="G205" s="756"/>
      <c r="H205" s="744"/>
      <c r="L205" s="664"/>
      <c r="M205" s="745" t="str">
        <f t="shared" si="2"/>
        <v/>
      </c>
      <c r="N205" s="214">
        <f>IFERROR(VLOOKUP(F205,Ch4_Storage,2, FALSE),0)</f>
        <v>0</v>
      </c>
    </row>
    <row r="206" ht="18.75" customHeight="1">
      <c r="A206" s="504">
        <f>IFERROR(VLOOKUP(H206,PartyStorage,2, FALSE),0)</f>
        <v>0</v>
      </c>
      <c r="B206" s="757"/>
      <c r="C206" s="748"/>
      <c r="D206" s="748"/>
      <c r="E206" s="758"/>
      <c r="F206" s="749"/>
      <c r="G206" s="759"/>
      <c r="H206" s="751"/>
      <c r="L206" s="673"/>
      <c r="M206" s="752" t="str">
        <f t="shared" si="2"/>
        <v/>
      </c>
      <c r="N206" s="214">
        <f>IFERROR(VLOOKUP(F206,Ch4_Storage,2, FALSE),0)</f>
        <v>0</v>
      </c>
    </row>
    <row r="207" ht="18.75" customHeight="1">
      <c r="A207" s="504">
        <f>IFERROR(VLOOKUP(H207,PartyStorage,2, FALSE),0)</f>
        <v>0</v>
      </c>
      <c r="B207" s="753"/>
      <c r="C207" s="754"/>
      <c r="D207" s="754"/>
      <c r="E207" s="755"/>
      <c r="F207" s="760"/>
      <c r="G207" s="756"/>
      <c r="H207" s="744"/>
      <c r="L207" s="664"/>
      <c r="M207" s="745" t="str">
        <f t="shared" si="2"/>
        <v/>
      </c>
      <c r="N207" s="214">
        <f>IFERROR(VLOOKUP(F207,Ch4_Storage,2, FALSE),0)</f>
        <v>0</v>
      </c>
    </row>
    <row r="208" ht="18.75" customHeight="1">
      <c r="A208" s="504">
        <f>IFERROR(VLOOKUP(H208,PartyStorage,2, FALSE),0)</f>
        <v>0</v>
      </c>
      <c r="B208" s="841"/>
      <c r="C208" s="842"/>
      <c r="D208" s="842"/>
      <c r="E208" s="843"/>
      <c r="F208" s="844"/>
      <c r="G208" s="845"/>
      <c r="H208" s="846"/>
      <c r="I208" s="847"/>
      <c r="J208" s="847"/>
      <c r="K208" s="847"/>
      <c r="L208" s="848"/>
      <c r="M208" s="849" t="str">
        <f t="shared" si="2"/>
        <v/>
      </c>
      <c r="N208" s="214">
        <f>IFERROR(VLOOKUP(F208,Ch4_Storage,2, FALSE),0)</f>
        <v>0</v>
      </c>
    </row>
    <row r="209" ht="7.5" customHeight="1">
      <c r="A209" s="513"/>
      <c r="B209" s="42"/>
      <c r="C209" s="42"/>
      <c r="D209" s="42"/>
      <c r="E209" s="42"/>
      <c r="F209" s="42"/>
      <c r="G209" s="42"/>
      <c r="H209" s="42"/>
      <c r="I209" s="42"/>
      <c r="J209" s="42"/>
      <c r="K209" s="42"/>
      <c r="L209" s="42"/>
      <c r="M209" s="42"/>
      <c r="N209" s="214"/>
    </row>
  </sheetData>
  <mergeCells count="197">
    <mergeCell ref="H32:L32"/>
    <mergeCell ref="H33:L33"/>
    <mergeCell ref="H28:L28"/>
    <mergeCell ref="H31:L31"/>
    <mergeCell ref="H29:L29"/>
    <mergeCell ref="H30:L30"/>
    <mergeCell ref="H34:L34"/>
    <mergeCell ref="K6:L6"/>
    <mergeCell ref="H39:L39"/>
    <mergeCell ref="H35:L35"/>
    <mergeCell ref="H36:L36"/>
    <mergeCell ref="B7:C7"/>
    <mergeCell ref="B3:C3"/>
    <mergeCell ref="B2:C2"/>
    <mergeCell ref="B5:C5"/>
    <mergeCell ref="B6:C6"/>
    <mergeCell ref="B4:C4"/>
    <mergeCell ref="K5:L5"/>
    <mergeCell ref="K4:L4"/>
    <mergeCell ref="K3:L3"/>
    <mergeCell ref="K2:M2"/>
    <mergeCell ref="I2:J7"/>
    <mergeCell ref="K7:L7"/>
    <mergeCell ref="E2:F7"/>
    <mergeCell ref="H40:L40"/>
    <mergeCell ref="H41:L41"/>
    <mergeCell ref="H42:L42"/>
    <mergeCell ref="H45:L45"/>
    <mergeCell ref="H46:L46"/>
    <mergeCell ref="H47:L47"/>
    <mergeCell ref="H43:L43"/>
    <mergeCell ref="H44:L44"/>
    <mergeCell ref="H26:L26"/>
    <mergeCell ref="H27:L27"/>
    <mergeCell ref="H52:L52"/>
    <mergeCell ref="H53:L53"/>
    <mergeCell ref="H37:L37"/>
    <mergeCell ref="H38:L38"/>
    <mergeCell ref="H198:L198"/>
    <mergeCell ref="H199:L199"/>
    <mergeCell ref="H205:L205"/>
    <mergeCell ref="H206:L206"/>
    <mergeCell ref="H207:L207"/>
    <mergeCell ref="H208:L208"/>
    <mergeCell ref="H203:L203"/>
    <mergeCell ref="H202:L202"/>
    <mergeCell ref="H196:L196"/>
    <mergeCell ref="H132:L132"/>
    <mergeCell ref="H127:L127"/>
    <mergeCell ref="H143:L143"/>
    <mergeCell ref="H142:L142"/>
    <mergeCell ref="H139:L139"/>
    <mergeCell ref="H138:L138"/>
    <mergeCell ref="H140:L140"/>
    <mergeCell ref="H141:L141"/>
    <mergeCell ref="H111:L111"/>
    <mergeCell ref="H137:L137"/>
    <mergeCell ref="H145:L145"/>
    <mergeCell ref="H144:L144"/>
    <mergeCell ref="H150:L150"/>
    <mergeCell ref="H146:L146"/>
    <mergeCell ref="H147:L147"/>
    <mergeCell ref="H148:L148"/>
    <mergeCell ref="H149:L149"/>
    <mergeCell ref="H151:L151"/>
    <mergeCell ref="H133:L133"/>
    <mergeCell ref="H134:L134"/>
    <mergeCell ref="H135:L135"/>
    <mergeCell ref="H136:L136"/>
    <mergeCell ref="H128:L128"/>
    <mergeCell ref="H129:L129"/>
    <mergeCell ref="H130:L130"/>
    <mergeCell ref="H131:L131"/>
    <mergeCell ref="H112:L112"/>
    <mergeCell ref="H113:L113"/>
    <mergeCell ref="H115:L115"/>
    <mergeCell ref="H114:L114"/>
    <mergeCell ref="H125:L125"/>
    <mergeCell ref="H126:L126"/>
    <mergeCell ref="H118:L118"/>
    <mergeCell ref="H119:L119"/>
    <mergeCell ref="H122:L122"/>
    <mergeCell ref="H120:L120"/>
    <mergeCell ref="H121:L121"/>
    <mergeCell ref="H123:L123"/>
    <mergeCell ref="H124:L124"/>
    <mergeCell ref="H153:L153"/>
    <mergeCell ref="H154:L154"/>
    <mergeCell ref="H152:L152"/>
    <mergeCell ref="H163:L163"/>
    <mergeCell ref="H164:L164"/>
    <mergeCell ref="H165:L165"/>
    <mergeCell ref="H166:L166"/>
    <mergeCell ref="H155:L155"/>
    <mergeCell ref="H156:L156"/>
    <mergeCell ref="H157:L157"/>
    <mergeCell ref="H158:L158"/>
    <mergeCell ref="H159:L159"/>
    <mergeCell ref="H160:L160"/>
    <mergeCell ref="H161:L161"/>
    <mergeCell ref="H162:L162"/>
    <mergeCell ref="H66:L66"/>
    <mergeCell ref="H67:L67"/>
    <mergeCell ref="H195:L195"/>
    <mergeCell ref="H184:L184"/>
    <mergeCell ref="H185:L185"/>
    <mergeCell ref="H183:L183"/>
    <mergeCell ref="H187:L187"/>
    <mergeCell ref="H186:L186"/>
    <mergeCell ref="H99:L99"/>
    <mergeCell ref="H97:L97"/>
    <mergeCell ref="H98:L98"/>
    <mergeCell ref="H95:L95"/>
    <mergeCell ref="H96:L96"/>
    <mergeCell ref="H116:L116"/>
    <mergeCell ref="H117:L117"/>
    <mergeCell ref="H172:L172"/>
    <mergeCell ref="H173:L173"/>
    <mergeCell ref="H175:L175"/>
    <mergeCell ref="H168:L168"/>
    <mergeCell ref="H174:L174"/>
    <mergeCell ref="H170:L170"/>
    <mergeCell ref="H171:L171"/>
    <mergeCell ref="H169:L169"/>
    <mergeCell ref="H167:L167"/>
    <mergeCell ref="H108:L108"/>
    <mergeCell ref="H109:L109"/>
    <mergeCell ref="H101:L101"/>
    <mergeCell ref="H102:L102"/>
    <mergeCell ref="H100:L100"/>
    <mergeCell ref="H110:L110"/>
    <mergeCell ref="H107:L107"/>
    <mergeCell ref="H105:L105"/>
    <mergeCell ref="H106:L106"/>
    <mergeCell ref="H103:L103"/>
    <mergeCell ref="H104:L104"/>
    <mergeCell ref="H74:L74"/>
    <mergeCell ref="H75:L75"/>
    <mergeCell ref="H70:L70"/>
    <mergeCell ref="H71:L71"/>
    <mergeCell ref="H80:L80"/>
    <mergeCell ref="H81:L81"/>
    <mergeCell ref="H59:L59"/>
    <mergeCell ref="H60:L60"/>
    <mergeCell ref="H61:L61"/>
    <mergeCell ref="H62:L62"/>
    <mergeCell ref="H63:L63"/>
    <mergeCell ref="H64:L64"/>
    <mergeCell ref="H94:L94"/>
    <mergeCell ref="H77:L77"/>
    <mergeCell ref="H78:L78"/>
    <mergeCell ref="H79:L79"/>
    <mergeCell ref="H55:L55"/>
    <mergeCell ref="H56:L56"/>
    <mergeCell ref="H73:L73"/>
    <mergeCell ref="H65:L65"/>
    <mergeCell ref="H57:L57"/>
    <mergeCell ref="H58:L58"/>
    <mergeCell ref="H88:L88"/>
    <mergeCell ref="H89:L89"/>
    <mergeCell ref="H90:L90"/>
    <mergeCell ref="H91:L91"/>
    <mergeCell ref="H92:L92"/>
    <mergeCell ref="H93:L93"/>
    <mergeCell ref="H82:L82"/>
    <mergeCell ref="H83:L83"/>
    <mergeCell ref="H84:L84"/>
    <mergeCell ref="H85:L85"/>
    <mergeCell ref="H86:L86"/>
    <mergeCell ref="H87:L87"/>
    <mergeCell ref="H69:L69"/>
    <mergeCell ref="H72:L72"/>
    <mergeCell ref="H54:L54"/>
    <mergeCell ref="H48:L48"/>
    <mergeCell ref="H50:L50"/>
    <mergeCell ref="H51:L51"/>
    <mergeCell ref="H49:L49"/>
    <mergeCell ref="H68:L68"/>
    <mergeCell ref="H76:L76"/>
    <mergeCell ref="H188:L188"/>
    <mergeCell ref="H189:L189"/>
    <mergeCell ref="H176:L176"/>
    <mergeCell ref="H181:L181"/>
    <mergeCell ref="H182:L182"/>
    <mergeCell ref="H177:L177"/>
    <mergeCell ref="H178:L178"/>
    <mergeCell ref="H179:L179"/>
    <mergeCell ref="H180:L180"/>
    <mergeCell ref="H193:L193"/>
    <mergeCell ref="H194:L194"/>
    <mergeCell ref="H200:L200"/>
    <mergeCell ref="H201:L201"/>
    <mergeCell ref="H204:L204"/>
    <mergeCell ref="H190:L190"/>
    <mergeCell ref="H191:L191"/>
    <mergeCell ref="H192:L192"/>
    <mergeCell ref="H197:L197"/>
  </mergeCells>
  <conditionalFormatting sqref="F27:F208">
    <cfRule type="expression" dxfId="0" priority="1">
      <formula>AND(AND(NOT(ISBLANK(C27)), ISBLANK(F27)), ISBLANK(H27))</formula>
    </cfRule>
  </conditionalFormatting>
  <conditionalFormatting sqref="F27:F208">
    <cfRule type="expression" dxfId="0" priority="2">
      <formula>AND(AND(NOT(ISBLANK(C27)), ISBLANK(F27)), ISBLANK(G27))</formula>
    </cfRule>
  </conditionalFormatting>
  <conditionalFormatting sqref="K2:M2">
    <cfRule type="expression" dxfId="17" priority="3">
      <formula>IF($N$2="",true,false)</formula>
    </cfRule>
  </conditionalFormatting>
  <conditionalFormatting sqref="K3:M7">
    <cfRule type="expression" dxfId="18" priority="4">
      <formula>IF($N$2="",true,false)</formula>
    </cfRule>
  </conditionalFormatting>
  <dataValidations>
    <dataValidation type="list" allowBlank="1" showInputMessage="1" showErrorMessage="1" prompt="Every item must have a storage location." sqref="F27:F208">
      <formula1>PartyStorage</formula1>
    </dataValidation>
    <dataValidation type="list" allowBlank="1" sqref="G27:G208">
      <formula1>"Mundane,Magic,Attunement"</formula1>
    </dataValidation>
  </dataValidations>
  <hyperlinks>
    <hyperlink r:id="rId2" ref="E1"/>
    <hyperlink r:id="rId3" ref="I1"/>
  </hyperlinks>
  <drawing r:id="rId4"/>
  <legacyDrawing r:id="rId5"/>
  <tableParts count="4">
    <tablePart r:id="rId10"/>
    <tablePart r:id="rId11"/>
    <tablePart r:id="rId12"/>
    <tablePart r:id="rId1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5818E"/>
  </sheetPr>
  <sheetViews>
    <sheetView showGridLines="0" workbookViewId="0"/>
  </sheetViews>
  <sheetFormatPr customHeight="1" defaultColWidth="14.43" defaultRowHeight="15.75"/>
  <cols>
    <col customWidth="1" min="1" max="1" width="1.57"/>
    <col customWidth="1" min="2" max="2" width="5.86"/>
    <col customWidth="1" min="3" max="3" width="21.57"/>
    <col customWidth="1" min="4" max="13" width="15.86"/>
    <col customWidth="1" min="14" max="14" width="1.57"/>
  </cols>
  <sheetData>
    <row r="1" ht="7.5" customHeight="1">
      <c r="A1" s="170" t="str">
        <f>Ch5_Name&amp;"'s Inventory"</f>
        <v>Character 5's Inventory</v>
      </c>
      <c r="B1" s="172"/>
      <c r="C1" s="174"/>
      <c r="D1" s="174"/>
      <c r="E1" s="4" t="s">
        <v>52</v>
      </c>
      <c r="F1" s="174"/>
      <c r="G1" s="176"/>
      <c r="H1" s="176"/>
      <c r="I1" s="179" t="s">
        <v>53</v>
      </c>
      <c r="J1" s="181"/>
      <c r="K1" s="176"/>
      <c r="L1" s="176"/>
      <c r="M1" s="176"/>
      <c r="N1" s="176"/>
    </row>
    <row r="2" ht="18.75" customHeight="1">
      <c r="A2" s="614">
        <f>IF(ISBLANK(Ch5_Size),"",VLOOKUP(Ch5_Size,SizeMultipliers,2, FALSE))</f>
        <v>1</v>
      </c>
      <c r="B2" s="769" t="s">
        <v>56</v>
      </c>
      <c r="C2" s="770"/>
      <c r="D2" s="771"/>
      <c r="E2" s="537" t="str">
        <f>IMAGE(E1,1)</f>
        <v/>
      </c>
      <c r="G2" s="772" t="s">
        <v>57</v>
      </c>
      <c r="H2" s="773"/>
      <c r="I2" s="194" t="str">
        <f>IMAGE(I1,1)</f>
        <v/>
      </c>
      <c r="K2" s="769" t="str">
        <f>IF(ISBLANK(Ch5_MountName),"Mount",Ch5_MountName)&amp;"'s Encumbrance"</f>
        <v>Mount's Encumbrance</v>
      </c>
      <c r="L2" s="283"/>
      <c r="M2" s="774"/>
      <c r="N2" s="577" t="str">
        <f>IF(ISBLANK(Ch5_MountSize),"",VLOOKUP(Ch5_MountSize,SizeMultipliers,2, FALSE))</f>
        <v/>
      </c>
    </row>
    <row r="3" ht="18.75" customHeight="1">
      <c r="A3" s="48"/>
      <c r="B3" s="201" t="s">
        <v>60</v>
      </c>
      <c r="C3" s="775"/>
      <c r="D3" s="776">
        <f>Ch5_Str*Ch5_SizeMultiplier*5</f>
        <v>50</v>
      </c>
      <c r="G3" s="777" t="s">
        <v>61</v>
      </c>
      <c r="H3" s="778">
        <v>0.0</v>
      </c>
      <c r="K3" s="210" t="s">
        <v>60</v>
      </c>
      <c r="L3" s="775"/>
      <c r="M3" s="776">
        <f>Ch5_MountStr*Ch5_MountSizeMult*5</f>
        <v>0</v>
      </c>
      <c r="N3" s="779"/>
    </row>
    <row r="4" ht="18.75" customHeight="1">
      <c r="A4" s="48"/>
      <c r="B4" s="780" t="s">
        <v>64</v>
      </c>
      <c r="C4" s="781"/>
      <c r="D4" s="782">
        <f>Ch5_Str*Ch5_SizeMultiplier*10</f>
        <v>100</v>
      </c>
      <c r="G4" s="783" t="s">
        <v>65</v>
      </c>
      <c r="H4" s="778">
        <f>(VLOOKUP(ADD(Ch5_Level,1),XPTable_v,2))-Ch5_XP</f>
        <v>300</v>
      </c>
      <c r="K4" s="784" t="s">
        <v>64</v>
      </c>
      <c r="L4" s="781"/>
      <c r="M4" s="782">
        <f>Ch5_MountStr*Ch5_MountSizeMult*10</f>
        <v>0</v>
      </c>
      <c r="N4" s="779"/>
    </row>
    <row r="5" ht="18.75" customHeight="1">
      <c r="A5" s="48"/>
      <c r="B5" s="201" t="s">
        <v>7</v>
      </c>
      <c r="C5" s="775"/>
      <c r="D5" s="776">
        <f>Ch5_Str*Ch5_SizeMultiplier*15</f>
        <v>150</v>
      </c>
      <c r="G5" s="785" t="s">
        <v>67</v>
      </c>
      <c r="H5" s="786">
        <f>MATCH(Ch5_XP,XPTable_m,2)</f>
        <v>1</v>
      </c>
      <c r="K5" s="210" t="s">
        <v>7</v>
      </c>
      <c r="L5" s="775"/>
      <c r="M5" s="776">
        <f>Ch5_MountStr*Ch5_MountSizeMult*15</f>
        <v>0</v>
      </c>
      <c r="N5" s="779"/>
    </row>
    <row r="6" ht="18.75" customHeight="1">
      <c r="A6" s="48"/>
      <c r="B6" s="780" t="s">
        <v>68</v>
      </c>
      <c r="C6" s="781"/>
      <c r="D6" s="782">
        <f>Ch5_Str*Ch5_SizeMultiplier*30</f>
        <v>300</v>
      </c>
      <c r="G6" s="29"/>
      <c r="H6" s="29"/>
      <c r="K6" s="784" t="s">
        <v>68</v>
      </c>
      <c r="L6" s="781"/>
      <c r="M6" s="782">
        <f>Ch5_MountStr*Ch5_MountSizeMult*30</f>
        <v>0</v>
      </c>
      <c r="N6" s="779"/>
    </row>
    <row r="7" ht="18.75" customHeight="1">
      <c r="A7" s="48"/>
      <c r="B7" s="234" t="s">
        <v>45</v>
      </c>
      <c r="C7" s="787"/>
      <c r="D7" s="788">
        <f t="array" ref="D7">SUMIF(Ch5_EquipStatus,"=yes",Ch5_InventoryWeights)</f>
        <v>0</v>
      </c>
      <c r="G7" s="29"/>
      <c r="H7" s="29"/>
      <c r="K7" s="240" t="s">
        <v>45</v>
      </c>
      <c r="L7" s="787"/>
      <c r="M7" s="789">
        <f t="array" ref="M7">SUMIF(Ch5_EquipStatus,"=mount", Ch5_InventoryWeights)+Ch5_Weight+D7</f>
        <v>0</v>
      </c>
      <c r="N7" s="779"/>
    </row>
    <row r="8" ht="7.5" customHeight="1">
      <c r="A8" s="48"/>
      <c r="B8" s="255"/>
      <c r="C8" s="257"/>
      <c r="D8" s="258"/>
      <c r="E8" s="257"/>
      <c r="F8" s="257"/>
      <c r="G8" s="257"/>
      <c r="H8" s="257"/>
      <c r="I8" s="259"/>
      <c r="J8" s="261"/>
      <c r="K8" s="261"/>
      <c r="L8" s="261"/>
      <c r="M8" s="261"/>
      <c r="N8" s="779"/>
    </row>
    <row r="9" ht="18.75" customHeight="1">
      <c r="A9" s="48"/>
      <c r="B9" s="790" t="s">
        <v>16</v>
      </c>
      <c r="C9" s="791"/>
      <c r="D9" s="792" t="s">
        <v>17</v>
      </c>
      <c r="E9" s="793"/>
      <c r="F9" s="793"/>
      <c r="G9" s="793"/>
      <c r="H9" s="793"/>
      <c r="I9" s="794"/>
      <c r="J9" s="795"/>
      <c r="K9" s="795"/>
      <c r="L9" s="795"/>
      <c r="M9" s="796"/>
      <c r="N9" s="779"/>
    </row>
    <row r="10" ht="18.75" customHeight="1">
      <c r="A10" s="48"/>
      <c r="B10" s="797" t="s">
        <v>23</v>
      </c>
      <c r="C10" s="798" t="s">
        <v>10</v>
      </c>
      <c r="D10" s="798" t="s">
        <v>24</v>
      </c>
      <c r="E10" s="798" t="s">
        <v>25</v>
      </c>
      <c r="F10" s="798" t="s">
        <v>26</v>
      </c>
      <c r="G10" s="798" t="s">
        <v>27</v>
      </c>
      <c r="H10" s="798" t="s">
        <v>28</v>
      </c>
      <c r="I10" s="798" t="s">
        <v>29</v>
      </c>
      <c r="J10" s="798" t="s">
        <v>30</v>
      </c>
      <c r="K10" s="798" t="s">
        <v>31</v>
      </c>
      <c r="L10" s="798" t="s">
        <v>32</v>
      </c>
      <c r="M10" s="799" t="s">
        <v>33</v>
      </c>
      <c r="N10" s="71"/>
    </row>
    <row r="11" ht="18.75" customHeight="1">
      <c r="A11" s="48"/>
      <c r="B11" s="800">
        <v>0.0</v>
      </c>
      <c r="C11" s="801" t="s">
        <v>36</v>
      </c>
      <c r="D11" s="802">
        <f>B11</f>
        <v>0</v>
      </c>
      <c r="E11" s="802">
        <f>B11/10</f>
        <v>0</v>
      </c>
      <c r="F11" s="802">
        <f>B11/50</f>
        <v>0</v>
      </c>
      <c r="G11" s="802">
        <f>B11/100</f>
        <v>0</v>
      </c>
      <c r="H11" s="802">
        <f>B11/1000</f>
        <v>0</v>
      </c>
      <c r="I11" s="803">
        <f>B11/5000</f>
        <v>0</v>
      </c>
      <c r="J11" s="804">
        <f>B11/10000</f>
        <v>0</v>
      </c>
      <c r="K11" s="804">
        <f>B11/50000</f>
        <v>0</v>
      </c>
      <c r="L11" s="804">
        <f>B11/100000</f>
        <v>0</v>
      </c>
      <c r="M11" s="805">
        <f>B11/500000</f>
        <v>0</v>
      </c>
      <c r="N11" s="779"/>
    </row>
    <row r="12" ht="18.75" customHeight="1">
      <c r="A12" s="48"/>
      <c r="B12" s="800">
        <v>0.0</v>
      </c>
      <c r="C12" s="801" t="s">
        <v>50</v>
      </c>
      <c r="D12" s="802">
        <f>B12*10</f>
        <v>0</v>
      </c>
      <c r="E12" s="802">
        <f>B12</f>
        <v>0</v>
      </c>
      <c r="F12" s="802">
        <f>B12/5</f>
        <v>0</v>
      </c>
      <c r="G12" s="802">
        <f>B12/10</f>
        <v>0</v>
      </c>
      <c r="H12" s="802">
        <f>B12/100</f>
        <v>0</v>
      </c>
      <c r="I12" s="802">
        <f>B12/500</f>
        <v>0</v>
      </c>
      <c r="J12" s="802">
        <f>B12/1000</f>
        <v>0</v>
      </c>
      <c r="K12" s="802">
        <f>B12/5000</f>
        <v>0</v>
      </c>
      <c r="L12" s="802">
        <f>B12/10000</f>
        <v>0</v>
      </c>
      <c r="M12" s="806">
        <f>B12/50000</f>
        <v>0</v>
      </c>
      <c r="N12" s="779"/>
    </row>
    <row r="13" ht="18.75" customHeight="1">
      <c r="A13" s="48"/>
      <c r="B13" s="800">
        <v>0.0</v>
      </c>
      <c r="C13" s="801" t="s">
        <v>54</v>
      </c>
      <c r="D13" s="802">
        <f>B13*50</f>
        <v>0</v>
      </c>
      <c r="E13" s="802">
        <f>B13*5</f>
        <v>0</v>
      </c>
      <c r="F13" s="802">
        <f>B13</f>
        <v>0</v>
      </c>
      <c r="G13" s="802">
        <f>B13/2</f>
        <v>0</v>
      </c>
      <c r="H13" s="802">
        <f>B13/20</f>
        <v>0</v>
      </c>
      <c r="I13" s="802">
        <f>B13/100</f>
        <v>0</v>
      </c>
      <c r="J13" s="804">
        <f>B13/200</f>
        <v>0</v>
      </c>
      <c r="K13" s="804">
        <f>B13/1000</f>
        <v>0</v>
      </c>
      <c r="L13" s="804">
        <f>B13/2000</f>
        <v>0</v>
      </c>
      <c r="M13" s="805">
        <f>B13/10000</f>
        <v>0</v>
      </c>
      <c r="N13" s="779"/>
    </row>
    <row r="14" ht="18.75" customHeight="1">
      <c r="A14" s="48"/>
      <c r="B14" s="800">
        <v>0.0</v>
      </c>
      <c r="C14" s="801" t="s">
        <v>59</v>
      </c>
      <c r="D14" s="802">
        <f>B14*100</f>
        <v>0</v>
      </c>
      <c r="E14" s="802">
        <f>B14*10</f>
        <v>0</v>
      </c>
      <c r="F14" s="802">
        <f>B14*2</f>
        <v>0</v>
      </c>
      <c r="G14" s="802">
        <f>B14</f>
        <v>0</v>
      </c>
      <c r="H14" s="802">
        <f>B14/10</f>
        <v>0</v>
      </c>
      <c r="I14" s="802">
        <f>B14/50</f>
        <v>0</v>
      </c>
      <c r="J14" s="804">
        <f>B14/100</f>
        <v>0</v>
      </c>
      <c r="K14" s="804">
        <f>B14/500</f>
        <v>0</v>
      </c>
      <c r="L14" s="804">
        <f>B14/1000</f>
        <v>0</v>
      </c>
      <c r="M14" s="805">
        <f>B14/5000</f>
        <v>0</v>
      </c>
      <c r="N14" s="779"/>
    </row>
    <row r="15" ht="18.75" customHeight="1">
      <c r="A15" s="48"/>
      <c r="B15" s="807">
        <v>0.0</v>
      </c>
      <c r="C15" s="808" t="s">
        <v>63</v>
      </c>
      <c r="D15" s="809">
        <f>B15*1000</f>
        <v>0</v>
      </c>
      <c r="E15" s="809">
        <f>B15*100</f>
        <v>0</v>
      </c>
      <c r="F15" s="809">
        <f>B15*20</f>
        <v>0</v>
      </c>
      <c r="G15" s="809">
        <f>B15*10</f>
        <v>0</v>
      </c>
      <c r="H15" s="809">
        <f>B15*1</f>
        <v>0</v>
      </c>
      <c r="I15" s="809">
        <f>B15/5</f>
        <v>0</v>
      </c>
      <c r="J15" s="810">
        <f>B15/10</f>
        <v>0</v>
      </c>
      <c r="K15" s="810">
        <f>B15/50</f>
        <v>0</v>
      </c>
      <c r="L15" s="810">
        <f>B15/100</f>
        <v>0</v>
      </c>
      <c r="M15" s="811">
        <f>B15/500</f>
        <v>0</v>
      </c>
      <c r="N15" s="779"/>
    </row>
    <row r="16" ht="7.5" customHeight="1">
      <c r="A16" s="48"/>
      <c r="B16" s="265"/>
      <c r="C16" s="267"/>
      <c r="D16" s="267"/>
      <c r="E16" s="267"/>
      <c r="F16" s="267"/>
      <c r="G16" s="267"/>
      <c r="H16" s="267"/>
      <c r="I16" s="267"/>
      <c r="J16" s="269"/>
      <c r="K16" s="269"/>
      <c r="L16" s="269"/>
      <c r="M16" s="269"/>
      <c r="N16" s="812"/>
    </row>
    <row r="17" ht="18.75" customHeight="1">
      <c r="A17" s="48"/>
      <c r="B17" s="790" t="s">
        <v>69</v>
      </c>
      <c r="C17" s="793"/>
      <c r="D17" s="792" t="s">
        <v>17</v>
      </c>
      <c r="E17" s="793"/>
      <c r="F17" s="793"/>
      <c r="G17" s="793"/>
      <c r="H17" s="793"/>
      <c r="I17" s="793"/>
      <c r="J17" s="795"/>
      <c r="K17" s="795"/>
      <c r="L17" s="795"/>
      <c r="M17" s="796"/>
      <c r="N17" s="779"/>
    </row>
    <row r="18" ht="18.75" customHeight="1">
      <c r="A18" s="48"/>
      <c r="B18" s="797" t="s">
        <v>23</v>
      </c>
      <c r="C18" s="798" t="s">
        <v>10</v>
      </c>
      <c r="D18" s="798" t="s">
        <v>24</v>
      </c>
      <c r="E18" s="798" t="s">
        <v>25</v>
      </c>
      <c r="F18" s="798" t="s">
        <v>26</v>
      </c>
      <c r="G18" s="798" t="s">
        <v>27</v>
      </c>
      <c r="H18" s="798" t="s">
        <v>28</v>
      </c>
      <c r="I18" s="798" t="s">
        <v>29</v>
      </c>
      <c r="J18" s="798" t="s">
        <v>30</v>
      </c>
      <c r="K18" s="798" t="s">
        <v>31</v>
      </c>
      <c r="L18" s="798" t="s">
        <v>32</v>
      </c>
      <c r="M18" s="799" t="s">
        <v>33</v>
      </c>
      <c r="N18" s="779"/>
    </row>
    <row r="19" ht="18.75" customHeight="1">
      <c r="A19" s="48"/>
      <c r="B19" s="800">
        <v>0.0</v>
      </c>
      <c r="C19" s="801" t="s">
        <v>70</v>
      </c>
      <c r="D19" s="802">
        <f>B19*1000</f>
        <v>0</v>
      </c>
      <c r="E19" s="802">
        <f>B19*100</f>
        <v>0</v>
      </c>
      <c r="F19" s="802">
        <f>B19*20</f>
        <v>0</v>
      </c>
      <c r="G19" s="802">
        <f>B19*10</f>
        <v>0</v>
      </c>
      <c r="H19" s="802">
        <f>B19*1</f>
        <v>0</v>
      </c>
      <c r="I19" s="802">
        <f>B19/5</f>
        <v>0</v>
      </c>
      <c r="J19" s="804">
        <f>B19/10</f>
        <v>0</v>
      </c>
      <c r="K19" s="804">
        <f>B19/50</f>
        <v>0</v>
      </c>
      <c r="L19" s="804">
        <f>B19/100</f>
        <v>0</v>
      </c>
      <c r="M19" s="805">
        <f>B19/500</f>
        <v>0</v>
      </c>
      <c r="N19" s="779"/>
    </row>
    <row r="20" ht="18.75" customHeight="1">
      <c r="A20" s="48"/>
      <c r="B20" s="800">
        <v>0.0</v>
      </c>
      <c r="C20" s="801" t="s">
        <v>71</v>
      </c>
      <c r="D20" s="802">
        <f>B20*5000</f>
        <v>0</v>
      </c>
      <c r="E20" s="802">
        <f>B20*500</f>
        <v>0</v>
      </c>
      <c r="F20" s="802">
        <f>B20*100</f>
        <v>0</v>
      </c>
      <c r="G20" s="802">
        <f>B20*50</f>
        <v>0</v>
      </c>
      <c r="H20" s="802">
        <f>B20*5</f>
        <v>0</v>
      </c>
      <c r="I20" s="802">
        <f>B20</f>
        <v>0</v>
      </c>
      <c r="J20" s="804">
        <f>B20/2</f>
        <v>0</v>
      </c>
      <c r="K20" s="804">
        <f>B20/10</f>
        <v>0</v>
      </c>
      <c r="L20" s="804">
        <f>B20/20</f>
        <v>0</v>
      </c>
      <c r="M20" s="805">
        <f>B20/100</f>
        <v>0</v>
      </c>
      <c r="N20" s="779"/>
    </row>
    <row r="21" ht="18.75" customHeight="1">
      <c r="A21" s="48"/>
      <c r="B21" s="800">
        <v>0.0</v>
      </c>
      <c r="C21" s="801" t="s">
        <v>72</v>
      </c>
      <c r="D21" s="802">
        <f>B21*10000</f>
        <v>0</v>
      </c>
      <c r="E21" s="802">
        <f>B21*1000</f>
        <v>0</v>
      </c>
      <c r="F21" s="802">
        <f>B21*200</f>
        <v>0</v>
      </c>
      <c r="G21" s="802">
        <f>B21*100</f>
        <v>0</v>
      </c>
      <c r="H21" s="802">
        <f>B21*10</f>
        <v>0</v>
      </c>
      <c r="I21" s="802">
        <f>B21/5*10</f>
        <v>0</v>
      </c>
      <c r="J21" s="804">
        <f>B21</f>
        <v>0</v>
      </c>
      <c r="K21" s="804">
        <f>B21/5</f>
        <v>0</v>
      </c>
      <c r="L21" s="804">
        <f>B21/10</f>
        <v>0</v>
      </c>
      <c r="M21" s="805">
        <f>B21/50</f>
        <v>0</v>
      </c>
      <c r="N21" s="779"/>
    </row>
    <row r="22" ht="18.75" customHeight="1">
      <c r="A22" s="48"/>
      <c r="B22" s="800">
        <v>0.0</v>
      </c>
      <c r="C22" s="801" t="s">
        <v>73</v>
      </c>
      <c r="D22" s="802">
        <f>B22*50000</f>
        <v>0</v>
      </c>
      <c r="E22" s="802">
        <f>B22*5000</f>
        <v>0</v>
      </c>
      <c r="F22" s="802">
        <f>B22*1000</f>
        <v>0</v>
      </c>
      <c r="G22" s="802">
        <f>B22*500</f>
        <v>0</v>
      </c>
      <c r="H22" s="802">
        <f>B22*50</f>
        <v>0</v>
      </c>
      <c r="I22" s="802">
        <f>B22*10</f>
        <v>0</v>
      </c>
      <c r="J22" s="804">
        <f>B22/2*10</f>
        <v>0</v>
      </c>
      <c r="K22" s="804">
        <f>B22</f>
        <v>0</v>
      </c>
      <c r="L22" s="804">
        <f>B22/2</f>
        <v>0</v>
      </c>
      <c r="M22" s="805">
        <f>B22/10</f>
        <v>0</v>
      </c>
      <c r="N22" s="779"/>
    </row>
    <row r="23" ht="18.75" customHeight="1">
      <c r="A23" s="48"/>
      <c r="B23" s="800">
        <v>0.0</v>
      </c>
      <c r="C23" s="801" t="s">
        <v>74</v>
      </c>
      <c r="D23" s="802">
        <f>B23*100000</f>
        <v>0</v>
      </c>
      <c r="E23" s="802">
        <f>B23*10000</f>
        <v>0</v>
      </c>
      <c r="F23" s="802">
        <f>B23*2000</f>
        <v>0</v>
      </c>
      <c r="G23" s="802">
        <f>B23*1000</f>
        <v>0</v>
      </c>
      <c r="H23" s="802">
        <f>B23*100</f>
        <v>0</v>
      </c>
      <c r="I23" s="802">
        <f>B23/5*100</f>
        <v>0</v>
      </c>
      <c r="J23" s="804">
        <f>B23*10</f>
        <v>0</v>
      </c>
      <c r="K23" s="804">
        <f>B23/5*10</f>
        <v>0</v>
      </c>
      <c r="L23" s="804">
        <f>B23</f>
        <v>0</v>
      </c>
      <c r="M23" s="805">
        <f>B23/5</f>
        <v>0</v>
      </c>
      <c r="N23" s="779"/>
    </row>
    <row r="24" ht="18.75" customHeight="1">
      <c r="A24" s="48"/>
      <c r="B24" s="807">
        <v>0.0</v>
      </c>
      <c r="C24" s="808" t="s">
        <v>75</v>
      </c>
      <c r="D24" s="809">
        <f>B24*500000</f>
        <v>0</v>
      </c>
      <c r="E24" s="809">
        <f>B24*50000</f>
        <v>0</v>
      </c>
      <c r="F24" s="809">
        <f>B24*10000</f>
        <v>0</v>
      </c>
      <c r="G24" s="809">
        <f>B24*5000</f>
        <v>0</v>
      </c>
      <c r="H24" s="809">
        <f>B24*500</f>
        <v>0</v>
      </c>
      <c r="I24" s="809">
        <f>B24*100</f>
        <v>0</v>
      </c>
      <c r="J24" s="810">
        <f>B24/2*100</f>
        <v>0</v>
      </c>
      <c r="K24" s="810">
        <f>B24*10</f>
        <v>0</v>
      </c>
      <c r="L24" s="810">
        <f>B24/2*10</f>
        <v>0</v>
      </c>
      <c r="M24" s="811">
        <f>B24</f>
        <v>0</v>
      </c>
      <c r="N24" s="779"/>
    </row>
    <row r="25" ht="7.5" customHeight="1">
      <c r="A25" s="48"/>
      <c r="B25" s="199"/>
      <c r="C25" s="19"/>
      <c r="D25" s="19"/>
      <c r="E25" s="19"/>
      <c r="F25" s="19"/>
      <c r="G25" s="19"/>
      <c r="H25" s="19"/>
      <c r="I25" s="19"/>
      <c r="J25" s="42"/>
      <c r="K25" s="42"/>
      <c r="L25" s="42"/>
      <c r="M25" s="42"/>
      <c r="N25" s="779"/>
    </row>
    <row r="26" ht="18.75" customHeight="1">
      <c r="A26" s="48"/>
      <c r="B26" s="813" t="s">
        <v>23</v>
      </c>
      <c r="C26" s="814" t="s">
        <v>76</v>
      </c>
      <c r="D26" s="814" t="s">
        <v>77</v>
      </c>
      <c r="E26" s="815" t="s">
        <v>78</v>
      </c>
      <c r="F26" s="814" t="s">
        <v>11</v>
      </c>
      <c r="G26" s="816" t="s">
        <v>79</v>
      </c>
      <c r="H26" s="817" t="s">
        <v>80</v>
      </c>
      <c r="I26" s="283"/>
      <c r="J26" s="283"/>
      <c r="K26" s="283"/>
      <c r="L26" s="770"/>
      <c r="M26" s="818" t="s">
        <v>81</v>
      </c>
      <c r="N26" s="819"/>
    </row>
    <row r="27" ht="18.75" customHeight="1">
      <c r="A27" s="716">
        <f>IFERROR(VLOOKUP(H27,PartyStorage,2, FALSE),0)</f>
        <v>0</v>
      </c>
      <c r="B27" s="820">
        <f>sum(Ch5_Money)</f>
        <v>0</v>
      </c>
      <c r="C27" s="821" t="s">
        <v>16</v>
      </c>
      <c r="D27" s="821">
        <v>0.02</v>
      </c>
      <c r="E27" s="821"/>
      <c r="F27" s="822"/>
      <c r="G27" s="823"/>
      <c r="H27" s="824"/>
      <c r="L27" s="775"/>
      <c r="M27" s="825">
        <f t="shared" ref="M27:M28" si="1">IF(ISBLANK(C27),"",IF(ISBLANK(B27),D27,D27*B27))</f>
        <v>0</v>
      </c>
      <c r="N27" s="779">
        <f>IFERROR(VLOOKUP(F27,Ch5_Storage,2, FALSE),0)</f>
        <v>0</v>
      </c>
    </row>
    <row r="28" ht="18.75" customHeight="1">
      <c r="A28" s="716">
        <f>IFERROR(VLOOKUP(H28,PartyStorage,2, FALSE),0)</f>
        <v>0</v>
      </c>
      <c r="B28" s="826">
        <f>sum(Ch5_Gems)</f>
        <v>0</v>
      </c>
      <c r="C28" s="827" t="s">
        <v>69</v>
      </c>
      <c r="D28" s="827">
        <v>0.02</v>
      </c>
      <c r="E28" s="828"/>
      <c r="F28" s="829"/>
      <c r="G28" s="830"/>
      <c r="H28" s="831"/>
      <c r="L28" s="781"/>
      <c r="M28" s="832">
        <f t="shared" si="1"/>
        <v>0</v>
      </c>
      <c r="N28" s="779">
        <f>IFERROR(VLOOKUP(F28,Ch5_Storage,2, FALSE),0)</f>
        <v>0</v>
      </c>
    </row>
    <row r="29" ht="18.75" customHeight="1">
      <c r="A29" s="716">
        <f>IFERROR(VLOOKUP(H29,PartyStorage,2, FALSE),0)</f>
        <v>0</v>
      </c>
      <c r="B29" s="820"/>
      <c r="C29" s="821"/>
      <c r="D29" s="821"/>
      <c r="E29" s="833"/>
      <c r="F29" s="822"/>
      <c r="G29" s="834"/>
      <c r="H29" s="824"/>
      <c r="L29" s="775"/>
      <c r="M29" s="825"/>
      <c r="N29" s="779">
        <f>IFERROR(VLOOKUP(F29,Ch5_Storage,2, FALSE),0)</f>
        <v>0</v>
      </c>
    </row>
    <row r="30" ht="18.75" customHeight="1">
      <c r="A30" s="716">
        <f>IFERROR(VLOOKUP(H30,PartyStorage,2, FALSE),0)</f>
        <v>0</v>
      </c>
      <c r="B30" s="835"/>
      <c r="C30" s="828"/>
      <c r="D30" s="828"/>
      <c r="E30" s="836"/>
      <c r="F30" s="829"/>
      <c r="G30" s="837"/>
      <c r="H30" s="831"/>
      <c r="L30" s="781"/>
      <c r="M30" s="832" t="str">
        <f t="shared" ref="M30:M208" si="2">IF(ISBLANK(C30),"",IF(ISBLANK(B30),D30,D30*B30))</f>
        <v/>
      </c>
      <c r="N30" s="779">
        <f>IFERROR(VLOOKUP(F30,Ch5_Storage,2, FALSE),0)</f>
        <v>0</v>
      </c>
    </row>
    <row r="31" ht="18.75" customHeight="1">
      <c r="A31" s="716">
        <f>IFERROR(VLOOKUP(H31,PartyStorage,2, FALSE),0)</f>
        <v>0</v>
      </c>
      <c r="B31" s="838"/>
      <c r="C31" s="839"/>
      <c r="D31" s="839"/>
      <c r="E31" s="833"/>
      <c r="F31" s="840"/>
      <c r="G31" s="834"/>
      <c r="H31" s="824"/>
      <c r="L31" s="775"/>
      <c r="M31" s="825" t="str">
        <f t="shared" si="2"/>
        <v/>
      </c>
      <c r="N31" s="779">
        <f>IFERROR(VLOOKUP(F31,Ch5_Storage,2, FALSE),0)</f>
        <v>0</v>
      </c>
    </row>
    <row r="32" ht="18.75" customHeight="1">
      <c r="A32" s="716">
        <f>IFERROR(VLOOKUP(H32,PartyStorage,2, FALSE),0)</f>
        <v>0</v>
      </c>
      <c r="B32" s="835"/>
      <c r="C32" s="828"/>
      <c r="D32" s="828"/>
      <c r="E32" s="836"/>
      <c r="F32" s="829"/>
      <c r="G32" s="837"/>
      <c r="H32" s="831"/>
      <c r="L32" s="781"/>
      <c r="M32" s="832" t="str">
        <f t="shared" si="2"/>
        <v/>
      </c>
      <c r="N32" s="779">
        <f>IFERROR(VLOOKUP(F32,Ch5_Storage,2, FALSE),0)</f>
        <v>0</v>
      </c>
    </row>
    <row r="33" ht="18.75" customHeight="1">
      <c r="A33" s="716">
        <f>IFERROR(VLOOKUP(H33,PartyStorage,2, FALSE),0)</f>
        <v>0</v>
      </c>
      <c r="B33" s="838"/>
      <c r="C33" s="839"/>
      <c r="D33" s="839"/>
      <c r="E33" s="833"/>
      <c r="F33" s="840"/>
      <c r="G33" s="834"/>
      <c r="H33" s="824"/>
      <c r="L33" s="775"/>
      <c r="M33" s="825" t="str">
        <f t="shared" si="2"/>
        <v/>
      </c>
      <c r="N33" s="779">
        <f>IFERROR(VLOOKUP(F33,Ch5_Storage,2, FALSE),0)</f>
        <v>0</v>
      </c>
    </row>
    <row r="34" ht="18.75" customHeight="1">
      <c r="A34" s="716">
        <f>IFERROR(VLOOKUP(H34,PartyStorage,2, FALSE),0)</f>
        <v>0</v>
      </c>
      <c r="B34" s="835"/>
      <c r="C34" s="828"/>
      <c r="D34" s="828"/>
      <c r="E34" s="836"/>
      <c r="F34" s="829"/>
      <c r="G34" s="837"/>
      <c r="H34" s="831"/>
      <c r="L34" s="781"/>
      <c r="M34" s="832" t="str">
        <f t="shared" si="2"/>
        <v/>
      </c>
      <c r="N34" s="779">
        <f>IFERROR(VLOOKUP(F34,Ch5_Storage,2, FALSE),0)</f>
        <v>0</v>
      </c>
    </row>
    <row r="35" ht="18.75" customHeight="1">
      <c r="A35" s="716">
        <f>IFERROR(VLOOKUP(H35,PartyStorage,2, FALSE),0)</f>
        <v>0</v>
      </c>
      <c r="B35" s="838"/>
      <c r="C35" s="839"/>
      <c r="D35" s="839"/>
      <c r="E35" s="833"/>
      <c r="F35" s="840"/>
      <c r="G35" s="834"/>
      <c r="H35" s="824"/>
      <c r="L35" s="775"/>
      <c r="M35" s="825" t="str">
        <f t="shared" si="2"/>
        <v/>
      </c>
      <c r="N35" s="779">
        <f>IFERROR(VLOOKUP(F35,Ch5_Storage,2, FALSE),0)</f>
        <v>0</v>
      </c>
    </row>
    <row r="36" ht="18.75" customHeight="1">
      <c r="A36" s="716">
        <f>IFERROR(VLOOKUP(H36,PartyStorage,2, FALSE),0)</f>
        <v>0</v>
      </c>
      <c r="B36" s="835"/>
      <c r="C36" s="828"/>
      <c r="D36" s="828"/>
      <c r="E36" s="836"/>
      <c r="F36" s="829"/>
      <c r="G36" s="837"/>
      <c r="H36" s="831"/>
      <c r="L36" s="781"/>
      <c r="M36" s="832" t="str">
        <f t="shared" si="2"/>
        <v/>
      </c>
      <c r="N36" s="779">
        <f>IFERROR(VLOOKUP(F36,Ch5_Storage,2, FALSE),0)</f>
        <v>0</v>
      </c>
    </row>
    <row r="37" ht="18.75" customHeight="1">
      <c r="A37" s="716">
        <f>IFERROR(VLOOKUP(H37,PartyStorage,2, FALSE),0)</f>
        <v>0</v>
      </c>
      <c r="B37" s="838"/>
      <c r="C37" s="839"/>
      <c r="D37" s="839"/>
      <c r="E37" s="833"/>
      <c r="F37" s="840"/>
      <c r="G37" s="834"/>
      <c r="H37" s="824"/>
      <c r="L37" s="775"/>
      <c r="M37" s="825" t="str">
        <f t="shared" si="2"/>
        <v/>
      </c>
      <c r="N37" s="779">
        <f>IFERROR(VLOOKUP(F37,Ch5_Storage,2, FALSE),0)</f>
        <v>0</v>
      </c>
    </row>
    <row r="38" ht="18.75" customHeight="1">
      <c r="A38" s="716">
        <f>IFERROR(VLOOKUP(H38,PartyStorage,2, FALSE),0)</f>
        <v>0</v>
      </c>
      <c r="B38" s="835"/>
      <c r="C38" s="828"/>
      <c r="D38" s="828"/>
      <c r="E38" s="836"/>
      <c r="F38" s="829"/>
      <c r="G38" s="837"/>
      <c r="H38" s="831"/>
      <c r="L38" s="781"/>
      <c r="M38" s="832" t="str">
        <f t="shared" si="2"/>
        <v/>
      </c>
      <c r="N38" s="779">
        <f>IFERROR(VLOOKUP(F38,Ch5_Storage,2, FALSE),0)</f>
        <v>0</v>
      </c>
    </row>
    <row r="39" ht="18.75" customHeight="1">
      <c r="A39" s="716">
        <f>IFERROR(VLOOKUP(H39,PartyStorage,2, FALSE),0)</f>
        <v>0</v>
      </c>
      <c r="B39" s="838"/>
      <c r="C39" s="839"/>
      <c r="D39" s="839"/>
      <c r="E39" s="833"/>
      <c r="F39" s="840"/>
      <c r="G39" s="834"/>
      <c r="H39" s="824"/>
      <c r="L39" s="775"/>
      <c r="M39" s="825" t="str">
        <f t="shared" si="2"/>
        <v/>
      </c>
      <c r="N39" s="779">
        <f>IFERROR(VLOOKUP(F39,Ch5_Storage,2, FALSE),0)</f>
        <v>0</v>
      </c>
    </row>
    <row r="40" ht="18.75" customHeight="1">
      <c r="A40" s="716">
        <f>IFERROR(VLOOKUP(H40,PartyStorage,2, FALSE),0)</f>
        <v>0</v>
      </c>
      <c r="B40" s="835"/>
      <c r="C40" s="828"/>
      <c r="D40" s="828"/>
      <c r="E40" s="836"/>
      <c r="F40" s="829"/>
      <c r="G40" s="837"/>
      <c r="H40" s="831"/>
      <c r="L40" s="781"/>
      <c r="M40" s="832" t="str">
        <f t="shared" si="2"/>
        <v/>
      </c>
      <c r="N40" s="779">
        <f>IFERROR(VLOOKUP(F40,Ch5_Storage,2, FALSE),0)</f>
        <v>0</v>
      </c>
    </row>
    <row r="41" ht="18.75" customHeight="1">
      <c r="A41" s="716">
        <f>IFERROR(VLOOKUP(H41,PartyStorage,2, FALSE),0)</f>
        <v>0</v>
      </c>
      <c r="B41" s="838"/>
      <c r="C41" s="839"/>
      <c r="D41" s="839"/>
      <c r="E41" s="833"/>
      <c r="F41" s="840"/>
      <c r="G41" s="834"/>
      <c r="H41" s="824"/>
      <c r="L41" s="775"/>
      <c r="M41" s="825" t="str">
        <f t="shared" si="2"/>
        <v/>
      </c>
      <c r="N41" s="779">
        <f>IFERROR(VLOOKUP(F41,Ch5_Storage,2, FALSE),0)</f>
        <v>0</v>
      </c>
    </row>
    <row r="42" ht="18.75" customHeight="1">
      <c r="A42" s="716">
        <f>IFERROR(VLOOKUP(H42,PartyStorage,2, FALSE),0)</f>
        <v>0</v>
      </c>
      <c r="B42" s="835"/>
      <c r="C42" s="828"/>
      <c r="D42" s="828"/>
      <c r="E42" s="836"/>
      <c r="F42" s="829"/>
      <c r="G42" s="837"/>
      <c r="H42" s="831"/>
      <c r="L42" s="781"/>
      <c r="M42" s="832" t="str">
        <f t="shared" si="2"/>
        <v/>
      </c>
      <c r="N42" s="779">
        <f>IFERROR(VLOOKUP(F42,Ch5_Storage,2, FALSE),0)</f>
        <v>0</v>
      </c>
    </row>
    <row r="43" ht="18.75" customHeight="1">
      <c r="A43" s="716">
        <f>IFERROR(VLOOKUP(H43,PartyStorage,2, FALSE),0)</f>
        <v>0</v>
      </c>
      <c r="B43" s="838"/>
      <c r="C43" s="839"/>
      <c r="D43" s="839"/>
      <c r="E43" s="833"/>
      <c r="F43" s="840"/>
      <c r="G43" s="834"/>
      <c r="H43" s="824"/>
      <c r="L43" s="775"/>
      <c r="M43" s="825" t="str">
        <f t="shared" si="2"/>
        <v/>
      </c>
      <c r="N43" s="779">
        <f>IFERROR(VLOOKUP(F43,Ch5_Storage,2, FALSE),0)</f>
        <v>0</v>
      </c>
    </row>
    <row r="44" ht="18.75" customHeight="1">
      <c r="A44" s="716">
        <f>IFERROR(VLOOKUP(H44,PartyStorage,2, FALSE),0)</f>
        <v>0</v>
      </c>
      <c r="B44" s="835"/>
      <c r="C44" s="828"/>
      <c r="D44" s="828"/>
      <c r="E44" s="836"/>
      <c r="F44" s="829"/>
      <c r="G44" s="837"/>
      <c r="H44" s="831"/>
      <c r="L44" s="781"/>
      <c r="M44" s="832" t="str">
        <f t="shared" si="2"/>
        <v/>
      </c>
      <c r="N44" s="779">
        <f>IFERROR(VLOOKUP(F44,Ch5_Storage,2, FALSE),0)</f>
        <v>0</v>
      </c>
    </row>
    <row r="45" ht="18.75" customHeight="1">
      <c r="A45" s="716">
        <f>IFERROR(VLOOKUP(H45,PartyStorage,2, FALSE),0)</f>
        <v>0</v>
      </c>
      <c r="B45" s="838"/>
      <c r="C45" s="839"/>
      <c r="D45" s="839"/>
      <c r="E45" s="833"/>
      <c r="F45" s="840"/>
      <c r="G45" s="834"/>
      <c r="H45" s="824"/>
      <c r="L45" s="775"/>
      <c r="M45" s="825" t="str">
        <f t="shared" si="2"/>
        <v/>
      </c>
      <c r="N45" s="779">
        <f>IFERROR(VLOOKUP(F45,Ch5_Storage,2, FALSE),0)</f>
        <v>0</v>
      </c>
    </row>
    <row r="46" ht="18.75" customHeight="1">
      <c r="A46" s="716">
        <f>IFERROR(VLOOKUP(H46,PartyStorage,2, FALSE),0)</f>
        <v>0</v>
      </c>
      <c r="B46" s="835"/>
      <c r="C46" s="828"/>
      <c r="D46" s="828"/>
      <c r="E46" s="836"/>
      <c r="F46" s="829"/>
      <c r="G46" s="837"/>
      <c r="H46" s="831"/>
      <c r="L46" s="781"/>
      <c r="M46" s="832" t="str">
        <f t="shared" si="2"/>
        <v/>
      </c>
      <c r="N46" s="779">
        <f>IFERROR(VLOOKUP(F46,Ch5_Storage,2, FALSE),0)</f>
        <v>0</v>
      </c>
    </row>
    <row r="47" ht="18.75" customHeight="1">
      <c r="A47" s="716">
        <f>IFERROR(VLOOKUP(H47,PartyStorage,2, FALSE),0)</f>
        <v>0</v>
      </c>
      <c r="B47" s="838"/>
      <c r="C47" s="839"/>
      <c r="D47" s="839"/>
      <c r="E47" s="833"/>
      <c r="F47" s="840"/>
      <c r="G47" s="834"/>
      <c r="H47" s="824"/>
      <c r="L47" s="775"/>
      <c r="M47" s="825" t="str">
        <f t="shared" si="2"/>
        <v/>
      </c>
      <c r="N47" s="779">
        <f>IFERROR(VLOOKUP(F47,Ch5_Storage,2, FALSE),0)</f>
        <v>0</v>
      </c>
    </row>
    <row r="48" ht="18.75" customHeight="1">
      <c r="A48" s="716">
        <f>IFERROR(VLOOKUP(H48,PartyStorage,2, FALSE),0)</f>
        <v>0</v>
      </c>
      <c r="B48" s="835"/>
      <c r="C48" s="828"/>
      <c r="D48" s="828"/>
      <c r="E48" s="836"/>
      <c r="F48" s="829"/>
      <c r="G48" s="837"/>
      <c r="H48" s="831"/>
      <c r="L48" s="781"/>
      <c r="M48" s="832" t="str">
        <f t="shared" si="2"/>
        <v/>
      </c>
      <c r="N48" s="779">
        <f>IFERROR(VLOOKUP(F48,Ch5_Storage,2, FALSE),0)</f>
        <v>0</v>
      </c>
    </row>
    <row r="49" ht="18.75" customHeight="1">
      <c r="A49" s="716">
        <f>IFERROR(VLOOKUP(H49,PartyStorage,2, FALSE),0)</f>
        <v>0</v>
      </c>
      <c r="B49" s="838"/>
      <c r="C49" s="839"/>
      <c r="D49" s="839"/>
      <c r="E49" s="833"/>
      <c r="F49" s="840"/>
      <c r="G49" s="834"/>
      <c r="H49" s="824"/>
      <c r="L49" s="775"/>
      <c r="M49" s="825" t="str">
        <f t="shared" si="2"/>
        <v/>
      </c>
      <c r="N49" s="779">
        <f>IFERROR(VLOOKUP(F49,Ch5_Storage,2, FALSE),0)</f>
        <v>0</v>
      </c>
    </row>
    <row r="50" ht="18.75" customHeight="1">
      <c r="A50" s="716">
        <f>IFERROR(VLOOKUP(H50,PartyStorage,2, FALSE),0)</f>
        <v>0</v>
      </c>
      <c r="B50" s="835"/>
      <c r="C50" s="828"/>
      <c r="D50" s="828"/>
      <c r="E50" s="836"/>
      <c r="F50" s="829"/>
      <c r="G50" s="837"/>
      <c r="H50" s="831"/>
      <c r="L50" s="781"/>
      <c r="M50" s="832" t="str">
        <f t="shared" si="2"/>
        <v/>
      </c>
      <c r="N50" s="779">
        <f>IFERROR(VLOOKUP(F50,Ch5_Storage,2, FALSE),0)</f>
        <v>0</v>
      </c>
    </row>
    <row r="51" ht="18.75" customHeight="1">
      <c r="A51" s="716">
        <f>IFERROR(VLOOKUP(H51,PartyStorage,2, FALSE),0)</f>
        <v>0</v>
      </c>
      <c r="B51" s="838"/>
      <c r="C51" s="839"/>
      <c r="D51" s="839"/>
      <c r="E51" s="833"/>
      <c r="F51" s="840"/>
      <c r="G51" s="834"/>
      <c r="H51" s="824"/>
      <c r="L51" s="775"/>
      <c r="M51" s="825" t="str">
        <f t="shared" si="2"/>
        <v/>
      </c>
      <c r="N51" s="779">
        <f>IFERROR(VLOOKUP(F51,Ch5_Storage,2, FALSE),0)</f>
        <v>0</v>
      </c>
    </row>
    <row r="52" ht="18.75" customHeight="1">
      <c r="A52" s="716">
        <f>IFERROR(VLOOKUP(H52,PartyStorage,2, FALSE),0)</f>
        <v>0</v>
      </c>
      <c r="B52" s="835"/>
      <c r="C52" s="828"/>
      <c r="D52" s="828"/>
      <c r="E52" s="836"/>
      <c r="F52" s="829"/>
      <c r="G52" s="837"/>
      <c r="H52" s="831"/>
      <c r="L52" s="781"/>
      <c r="M52" s="832" t="str">
        <f t="shared" si="2"/>
        <v/>
      </c>
      <c r="N52" s="779">
        <f>IFERROR(VLOOKUP(F52,Ch5_Storage,2, FALSE),0)</f>
        <v>0</v>
      </c>
    </row>
    <row r="53" ht="18.75" customHeight="1">
      <c r="A53" s="716">
        <f>IFERROR(VLOOKUP(H53,PartyStorage,2, FALSE),0)</f>
        <v>0</v>
      </c>
      <c r="B53" s="838"/>
      <c r="C53" s="839"/>
      <c r="D53" s="839"/>
      <c r="E53" s="833"/>
      <c r="F53" s="840"/>
      <c r="G53" s="834"/>
      <c r="H53" s="824"/>
      <c r="L53" s="775"/>
      <c r="M53" s="825" t="str">
        <f t="shared" si="2"/>
        <v/>
      </c>
      <c r="N53" s="779">
        <f>IFERROR(VLOOKUP(F53,Ch5_Storage,2, FALSE),0)</f>
        <v>0</v>
      </c>
    </row>
    <row r="54" ht="18.75" customHeight="1">
      <c r="A54" s="716">
        <f>IFERROR(VLOOKUP(H54,PartyStorage,2, FALSE),0)</f>
        <v>0</v>
      </c>
      <c r="B54" s="835"/>
      <c r="C54" s="828"/>
      <c r="D54" s="828"/>
      <c r="E54" s="836"/>
      <c r="F54" s="829"/>
      <c r="G54" s="837"/>
      <c r="H54" s="831"/>
      <c r="L54" s="781"/>
      <c r="M54" s="832" t="str">
        <f t="shared" si="2"/>
        <v/>
      </c>
      <c r="N54" s="779">
        <f>IFERROR(VLOOKUP(F54,Ch5_Storage,2, FALSE),0)</f>
        <v>0</v>
      </c>
    </row>
    <row r="55" ht="18.75" customHeight="1">
      <c r="A55" s="716">
        <f>IFERROR(VLOOKUP(H55,PartyStorage,2, FALSE),0)</f>
        <v>0</v>
      </c>
      <c r="B55" s="838"/>
      <c r="C55" s="839"/>
      <c r="D55" s="839"/>
      <c r="E55" s="833"/>
      <c r="F55" s="840"/>
      <c r="G55" s="834"/>
      <c r="H55" s="824"/>
      <c r="L55" s="775"/>
      <c r="M55" s="825" t="str">
        <f t="shared" si="2"/>
        <v/>
      </c>
      <c r="N55" s="779">
        <f>IFERROR(VLOOKUP(F55,Ch5_Storage,2, FALSE),0)</f>
        <v>0</v>
      </c>
    </row>
    <row r="56" ht="18.75" customHeight="1">
      <c r="A56" s="716">
        <f>IFERROR(VLOOKUP(H56,PartyStorage,2, FALSE),0)</f>
        <v>0</v>
      </c>
      <c r="B56" s="835"/>
      <c r="C56" s="828"/>
      <c r="D56" s="828"/>
      <c r="E56" s="836"/>
      <c r="F56" s="829"/>
      <c r="G56" s="837"/>
      <c r="H56" s="831"/>
      <c r="L56" s="781"/>
      <c r="M56" s="832" t="str">
        <f t="shared" si="2"/>
        <v/>
      </c>
      <c r="N56" s="779">
        <f>IFERROR(VLOOKUP(F56,Ch5_Storage,2, FALSE),0)</f>
        <v>0</v>
      </c>
    </row>
    <row r="57" ht="18.75" customHeight="1">
      <c r="A57" s="716">
        <f>IFERROR(VLOOKUP(H57,PartyStorage,2, FALSE),0)</f>
        <v>0</v>
      </c>
      <c r="B57" s="838"/>
      <c r="C57" s="839"/>
      <c r="D57" s="839"/>
      <c r="E57" s="833"/>
      <c r="F57" s="840"/>
      <c r="G57" s="834"/>
      <c r="H57" s="824"/>
      <c r="L57" s="775"/>
      <c r="M57" s="825" t="str">
        <f t="shared" si="2"/>
        <v/>
      </c>
      <c r="N57" s="779">
        <f>IFERROR(VLOOKUP(F57,Ch5_Storage,2, FALSE),0)</f>
        <v>0</v>
      </c>
    </row>
    <row r="58" ht="18.75" customHeight="1">
      <c r="A58" s="716">
        <f>IFERROR(VLOOKUP(H58,PartyStorage,2, FALSE),0)</f>
        <v>0</v>
      </c>
      <c r="B58" s="835"/>
      <c r="C58" s="828"/>
      <c r="D58" s="828"/>
      <c r="E58" s="836"/>
      <c r="F58" s="829"/>
      <c r="G58" s="837"/>
      <c r="H58" s="831"/>
      <c r="L58" s="781"/>
      <c r="M58" s="832" t="str">
        <f t="shared" si="2"/>
        <v/>
      </c>
      <c r="N58" s="779">
        <f>IFERROR(VLOOKUP(F58,Ch5_Storage,2, FALSE),0)</f>
        <v>0</v>
      </c>
    </row>
    <row r="59" ht="18.75" customHeight="1">
      <c r="A59" s="716">
        <f>IFERROR(VLOOKUP(H59,PartyStorage,2, FALSE),0)</f>
        <v>0</v>
      </c>
      <c r="B59" s="838"/>
      <c r="C59" s="839"/>
      <c r="D59" s="839"/>
      <c r="E59" s="833"/>
      <c r="F59" s="840"/>
      <c r="G59" s="834"/>
      <c r="H59" s="824"/>
      <c r="L59" s="775"/>
      <c r="M59" s="825" t="str">
        <f t="shared" si="2"/>
        <v/>
      </c>
      <c r="N59" s="779">
        <f>IFERROR(VLOOKUP(F59,Ch5_Storage,2, FALSE),0)</f>
        <v>0</v>
      </c>
    </row>
    <row r="60" ht="18.75" customHeight="1">
      <c r="A60" s="716">
        <f>IFERROR(VLOOKUP(H60,PartyStorage,2, FALSE),0)</f>
        <v>0</v>
      </c>
      <c r="B60" s="835"/>
      <c r="C60" s="828"/>
      <c r="D60" s="828"/>
      <c r="E60" s="836"/>
      <c r="F60" s="829"/>
      <c r="G60" s="837"/>
      <c r="H60" s="831"/>
      <c r="L60" s="781"/>
      <c r="M60" s="832" t="str">
        <f t="shared" si="2"/>
        <v/>
      </c>
      <c r="N60" s="779">
        <f>IFERROR(VLOOKUP(F60,Ch5_Storage,2, FALSE),0)</f>
        <v>0</v>
      </c>
    </row>
    <row r="61" ht="18.75" customHeight="1">
      <c r="A61" s="716">
        <f>IFERROR(VLOOKUP(H61,PartyStorage,2, FALSE),0)</f>
        <v>0</v>
      </c>
      <c r="B61" s="838"/>
      <c r="C61" s="839"/>
      <c r="D61" s="839"/>
      <c r="E61" s="833"/>
      <c r="F61" s="840"/>
      <c r="G61" s="834"/>
      <c r="H61" s="824"/>
      <c r="L61" s="775"/>
      <c r="M61" s="825" t="str">
        <f t="shared" si="2"/>
        <v/>
      </c>
      <c r="N61" s="779">
        <f>IFERROR(VLOOKUP(F61,Ch5_Storage,2, FALSE),0)</f>
        <v>0</v>
      </c>
    </row>
    <row r="62" ht="18.75" customHeight="1">
      <c r="A62" s="716">
        <f>IFERROR(VLOOKUP(H62,PartyStorage,2, FALSE),0)</f>
        <v>0</v>
      </c>
      <c r="B62" s="835"/>
      <c r="C62" s="828"/>
      <c r="D62" s="828"/>
      <c r="E62" s="836"/>
      <c r="F62" s="829"/>
      <c r="G62" s="837"/>
      <c r="H62" s="831"/>
      <c r="L62" s="781"/>
      <c r="M62" s="832" t="str">
        <f t="shared" si="2"/>
        <v/>
      </c>
      <c r="N62" s="779">
        <f>IFERROR(VLOOKUP(F62,Ch5_Storage,2, FALSE),0)</f>
        <v>0</v>
      </c>
    </row>
    <row r="63" ht="18.75" customHeight="1">
      <c r="A63" s="716">
        <f>IFERROR(VLOOKUP(H63,PartyStorage,2, FALSE),0)</f>
        <v>0</v>
      </c>
      <c r="B63" s="838"/>
      <c r="C63" s="839"/>
      <c r="D63" s="839"/>
      <c r="E63" s="833"/>
      <c r="F63" s="840"/>
      <c r="G63" s="834"/>
      <c r="H63" s="824"/>
      <c r="L63" s="775"/>
      <c r="M63" s="825" t="str">
        <f t="shared" si="2"/>
        <v/>
      </c>
      <c r="N63" s="779">
        <f>IFERROR(VLOOKUP(F63,Ch5_Storage,2, FALSE),0)</f>
        <v>0</v>
      </c>
    </row>
    <row r="64" ht="18.75" customHeight="1">
      <c r="A64" s="716">
        <f>IFERROR(VLOOKUP(H64,PartyStorage,2, FALSE),0)</f>
        <v>0</v>
      </c>
      <c r="B64" s="835"/>
      <c r="C64" s="828"/>
      <c r="D64" s="828"/>
      <c r="E64" s="836"/>
      <c r="F64" s="829"/>
      <c r="G64" s="837"/>
      <c r="H64" s="831"/>
      <c r="L64" s="781"/>
      <c r="M64" s="832" t="str">
        <f t="shared" si="2"/>
        <v/>
      </c>
      <c r="N64" s="779">
        <f>IFERROR(VLOOKUP(F64,Ch5_Storage,2, FALSE),0)</f>
        <v>0</v>
      </c>
    </row>
    <row r="65" ht="18.75" customHeight="1">
      <c r="A65" s="716">
        <f>IFERROR(VLOOKUP(H65,PartyStorage,2, FALSE),0)</f>
        <v>0</v>
      </c>
      <c r="B65" s="838"/>
      <c r="C65" s="839"/>
      <c r="D65" s="839"/>
      <c r="E65" s="833"/>
      <c r="F65" s="840"/>
      <c r="G65" s="834"/>
      <c r="H65" s="824"/>
      <c r="L65" s="775"/>
      <c r="M65" s="825" t="str">
        <f t="shared" si="2"/>
        <v/>
      </c>
      <c r="N65" s="779">
        <f>IFERROR(VLOOKUP(F65,Ch5_Storage,2, FALSE),0)</f>
        <v>0</v>
      </c>
    </row>
    <row r="66" ht="18.75" customHeight="1">
      <c r="A66" s="716">
        <f>IFERROR(VLOOKUP(H66,PartyStorage,2, FALSE),0)</f>
        <v>0</v>
      </c>
      <c r="B66" s="835"/>
      <c r="C66" s="828"/>
      <c r="D66" s="828"/>
      <c r="E66" s="836"/>
      <c r="F66" s="829"/>
      <c r="G66" s="837"/>
      <c r="H66" s="831"/>
      <c r="L66" s="781"/>
      <c r="M66" s="832" t="str">
        <f t="shared" si="2"/>
        <v/>
      </c>
      <c r="N66" s="779">
        <f>IFERROR(VLOOKUP(F66,Ch5_Storage,2, FALSE),0)</f>
        <v>0</v>
      </c>
    </row>
    <row r="67" ht="18.75" customHeight="1">
      <c r="A67" s="716">
        <f>IFERROR(VLOOKUP(H67,PartyStorage,2, FALSE),0)</f>
        <v>0</v>
      </c>
      <c r="B67" s="838"/>
      <c r="C67" s="839"/>
      <c r="D67" s="839"/>
      <c r="E67" s="833"/>
      <c r="F67" s="840"/>
      <c r="G67" s="834"/>
      <c r="H67" s="824"/>
      <c r="L67" s="775"/>
      <c r="M67" s="825" t="str">
        <f t="shared" si="2"/>
        <v/>
      </c>
      <c r="N67" s="779">
        <f>IFERROR(VLOOKUP(F67,Ch5_Storage,2, FALSE),0)</f>
        <v>0</v>
      </c>
    </row>
    <row r="68" ht="18.75" customHeight="1">
      <c r="A68" s="716">
        <f>IFERROR(VLOOKUP(H68,PartyStorage,2, FALSE),0)</f>
        <v>0</v>
      </c>
      <c r="B68" s="835"/>
      <c r="C68" s="828"/>
      <c r="D68" s="828"/>
      <c r="E68" s="836"/>
      <c r="F68" s="829"/>
      <c r="G68" s="837"/>
      <c r="H68" s="831"/>
      <c r="L68" s="781"/>
      <c r="M68" s="832" t="str">
        <f t="shared" si="2"/>
        <v/>
      </c>
      <c r="N68" s="779">
        <f>IFERROR(VLOOKUP(F68,Ch5_Storage,2, FALSE),0)</f>
        <v>0</v>
      </c>
    </row>
    <row r="69" ht="18.75" customHeight="1">
      <c r="A69" s="716">
        <f>IFERROR(VLOOKUP(H69,PartyStorage,2, FALSE),0)</f>
        <v>0</v>
      </c>
      <c r="B69" s="838"/>
      <c r="C69" s="839"/>
      <c r="D69" s="839"/>
      <c r="E69" s="833"/>
      <c r="F69" s="840"/>
      <c r="G69" s="834"/>
      <c r="H69" s="824"/>
      <c r="L69" s="775"/>
      <c r="M69" s="825" t="str">
        <f t="shared" si="2"/>
        <v/>
      </c>
      <c r="N69" s="779">
        <f>IFERROR(VLOOKUP(F69,Ch5_Storage,2, FALSE),0)</f>
        <v>0</v>
      </c>
    </row>
    <row r="70" ht="18.75" customHeight="1">
      <c r="A70" s="716">
        <f>IFERROR(VLOOKUP(H70,PartyStorage,2, FALSE),0)</f>
        <v>0</v>
      </c>
      <c r="B70" s="835"/>
      <c r="C70" s="828"/>
      <c r="D70" s="828"/>
      <c r="E70" s="836"/>
      <c r="F70" s="829"/>
      <c r="G70" s="837"/>
      <c r="H70" s="831"/>
      <c r="L70" s="781"/>
      <c r="M70" s="832" t="str">
        <f t="shared" si="2"/>
        <v/>
      </c>
      <c r="N70" s="779">
        <f>IFERROR(VLOOKUP(F70,Ch5_Storage,2, FALSE),0)</f>
        <v>0</v>
      </c>
    </row>
    <row r="71" ht="18.75" customHeight="1">
      <c r="A71" s="716">
        <f>IFERROR(VLOOKUP(H71,PartyStorage,2, FALSE),0)</f>
        <v>0</v>
      </c>
      <c r="B71" s="838"/>
      <c r="C71" s="839"/>
      <c r="D71" s="839"/>
      <c r="E71" s="833"/>
      <c r="F71" s="840"/>
      <c r="G71" s="834"/>
      <c r="H71" s="824"/>
      <c r="L71" s="775"/>
      <c r="M71" s="825" t="str">
        <f t="shared" si="2"/>
        <v/>
      </c>
      <c r="N71" s="779">
        <f>IFERROR(VLOOKUP(F71,Ch5_Storage,2, FALSE),0)</f>
        <v>0</v>
      </c>
    </row>
    <row r="72" ht="18.75" customHeight="1">
      <c r="A72" s="716">
        <f>IFERROR(VLOOKUP(H72,PartyStorage,2, FALSE),0)</f>
        <v>0</v>
      </c>
      <c r="B72" s="835"/>
      <c r="C72" s="828"/>
      <c r="D72" s="828"/>
      <c r="E72" s="836"/>
      <c r="F72" s="829"/>
      <c r="G72" s="837"/>
      <c r="H72" s="831"/>
      <c r="L72" s="781"/>
      <c r="M72" s="832" t="str">
        <f t="shared" si="2"/>
        <v/>
      </c>
      <c r="N72" s="779">
        <f>IFERROR(VLOOKUP(F72,Ch5_Storage,2, FALSE),0)</f>
        <v>0</v>
      </c>
    </row>
    <row r="73" ht="18.75" customHeight="1">
      <c r="A73" s="716">
        <f>IFERROR(VLOOKUP(H73,PartyStorage,2, FALSE),0)</f>
        <v>0</v>
      </c>
      <c r="B73" s="838"/>
      <c r="C73" s="839"/>
      <c r="D73" s="839"/>
      <c r="E73" s="833"/>
      <c r="F73" s="840"/>
      <c r="G73" s="834"/>
      <c r="H73" s="824"/>
      <c r="L73" s="775"/>
      <c r="M73" s="825" t="str">
        <f t="shared" si="2"/>
        <v/>
      </c>
      <c r="N73" s="779">
        <f>IFERROR(VLOOKUP(F73,Ch5_Storage,2, FALSE),0)</f>
        <v>0</v>
      </c>
    </row>
    <row r="74" ht="18.75" customHeight="1">
      <c r="A74" s="716">
        <f>IFERROR(VLOOKUP(H74,PartyStorage,2, FALSE),0)</f>
        <v>0</v>
      </c>
      <c r="B74" s="835"/>
      <c r="C74" s="828"/>
      <c r="D74" s="828"/>
      <c r="E74" s="836"/>
      <c r="F74" s="829"/>
      <c r="G74" s="837"/>
      <c r="H74" s="831"/>
      <c r="L74" s="781"/>
      <c r="M74" s="832" t="str">
        <f t="shared" si="2"/>
        <v/>
      </c>
      <c r="N74" s="779">
        <f>IFERROR(VLOOKUP(F74,Ch5_Storage,2, FALSE),0)</f>
        <v>0</v>
      </c>
    </row>
    <row r="75" ht="18.75" customHeight="1">
      <c r="A75" s="716">
        <f>IFERROR(VLOOKUP(H75,PartyStorage,2, FALSE),0)</f>
        <v>0</v>
      </c>
      <c r="B75" s="838"/>
      <c r="C75" s="839"/>
      <c r="D75" s="839"/>
      <c r="E75" s="833"/>
      <c r="F75" s="840"/>
      <c r="G75" s="834"/>
      <c r="H75" s="824"/>
      <c r="L75" s="775"/>
      <c r="M75" s="825" t="str">
        <f t="shared" si="2"/>
        <v/>
      </c>
      <c r="N75" s="779">
        <f>IFERROR(VLOOKUP(F75,Ch5_Storage,2, FALSE),0)</f>
        <v>0</v>
      </c>
    </row>
    <row r="76" ht="18.75" customHeight="1">
      <c r="A76" s="716">
        <f>IFERROR(VLOOKUP(H76,PartyStorage,2, FALSE),0)</f>
        <v>0</v>
      </c>
      <c r="B76" s="835"/>
      <c r="C76" s="828"/>
      <c r="D76" s="828"/>
      <c r="E76" s="836"/>
      <c r="F76" s="829"/>
      <c r="G76" s="837"/>
      <c r="H76" s="831"/>
      <c r="L76" s="781"/>
      <c r="M76" s="832" t="str">
        <f t="shared" si="2"/>
        <v/>
      </c>
      <c r="N76" s="779">
        <f>IFERROR(VLOOKUP(F76,Ch5_Storage,2, FALSE),0)</f>
        <v>0</v>
      </c>
    </row>
    <row r="77" ht="18.75" customHeight="1">
      <c r="A77" s="716">
        <f>IFERROR(VLOOKUP(H77,PartyStorage,2, FALSE),0)</f>
        <v>0</v>
      </c>
      <c r="B77" s="838"/>
      <c r="C77" s="839"/>
      <c r="D77" s="839"/>
      <c r="E77" s="833"/>
      <c r="F77" s="840"/>
      <c r="G77" s="834"/>
      <c r="H77" s="824"/>
      <c r="L77" s="775"/>
      <c r="M77" s="825" t="str">
        <f t="shared" si="2"/>
        <v/>
      </c>
      <c r="N77" s="779">
        <f>IFERROR(VLOOKUP(F77,Ch5_Storage,2, FALSE),0)</f>
        <v>0</v>
      </c>
    </row>
    <row r="78" ht="18.75" customHeight="1">
      <c r="A78" s="716">
        <f>IFERROR(VLOOKUP(H78,PartyStorage,2, FALSE),0)</f>
        <v>0</v>
      </c>
      <c r="B78" s="835"/>
      <c r="C78" s="828"/>
      <c r="D78" s="828"/>
      <c r="E78" s="836"/>
      <c r="F78" s="829"/>
      <c r="G78" s="837"/>
      <c r="H78" s="831"/>
      <c r="L78" s="781"/>
      <c r="M78" s="832" t="str">
        <f t="shared" si="2"/>
        <v/>
      </c>
      <c r="N78" s="779">
        <f>IFERROR(VLOOKUP(F78,Ch5_Storage,2, FALSE),0)</f>
        <v>0</v>
      </c>
    </row>
    <row r="79" ht="18.75" customHeight="1">
      <c r="A79" s="716">
        <f>IFERROR(VLOOKUP(H79,PartyStorage,2, FALSE),0)</f>
        <v>0</v>
      </c>
      <c r="B79" s="838"/>
      <c r="C79" s="839"/>
      <c r="D79" s="839"/>
      <c r="E79" s="833"/>
      <c r="F79" s="840"/>
      <c r="G79" s="834"/>
      <c r="H79" s="824"/>
      <c r="L79" s="775"/>
      <c r="M79" s="825" t="str">
        <f t="shared" si="2"/>
        <v/>
      </c>
      <c r="N79" s="779">
        <f>IFERROR(VLOOKUP(F79,Ch5_Storage,2, FALSE),0)</f>
        <v>0</v>
      </c>
    </row>
    <row r="80" ht="18.75" customHeight="1">
      <c r="A80" s="716">
        <f>IFERROR(VLOOKUP(H80,PartyStorage,2, FALSE),0)</f>
        <v>0</v>
      </c>
      <c r="B80" s="835"/>
      <c r="C80" s="828"/>
      <c r="D80" s="828"/>
      <c r="E80" s="836"/>
      <c r="F80" s="829"/>
      <c r="G80" s="837"/>
      <c r="H80" s="831"/>
      <c r="L80" s="781"/>
      <c r="M80" s="832" t="str">
        <f t="shared" si="2"/>
        <v/>
      </c>
      <c r="N80" s="779">
        <f>IFERROR(VLOOKUP(F80,Ch5_Storage,2, FALSE),0)</f>
        <v>0</v>
      </c>
    </row>
    <row r="81" ht="18.75" customHeight="1">
      <c r="A81" s="716">
        <f>IFERROR(VLOOKUP(H81,PartyStorage,2, FALSE),0)</f>
        <v>0</v>
      </c>
      <c r="B81" s="838"/>
      <c r="C81" s="839"/>
      <c r="D81" s="839"/>
      <c r="E81" s="833"/>
      <c r="F81" s="840"/>
      <c r="G81" s="834"/>
      <c r="H81" s="824"/>
      <c r="L81" s="775"/>
      <c r="M81" s="825" t="str">
        <f t="shared" si="2"/>
        <v/>
      </c>
      <c r="N81" s="779">
        <f>IFERROR(VLOOKUP(F81,Ch5_Storage,2, FALSE),0)</f>
        <v>0</v>
      </c>
    </row>
    <row r="82" ht="18.75" customHeight="1">
      <c r="A82" s="716">
        <f>IFERROR(VLOOKUP(H82,PartyStorage,2, FALSE),0)</f>
        <v>0</v>
      </c>
      <c r="B82" s="835"/>
      <c r="C82" s="828"/>
      <c r="D82" s="828"/>
      <c r="E82" s="836"/>
      <c r="F82" s="829"/>
      <c r="G82" s="837"/>
      <c r="H82" s="831"/>
      <c r="L82" s="781"/>
      <c r="M82" s="832" t="str">
        <f t="shared" si="2"/>
        <v/>
      </c>
      <c r="N82" s="779">
        <f>IFERROR(VLOOKUP(F82,Ch5_Storage,2, FALSE),0)</f>
        <v>0</v>
      </c>
    </row>
    <row r="83" ht="18.75" customHeight="1">
      <c r="A83" s="716">
        <f>IFERROR(VLOOKUP(H83,PartyStorage,2, FALSE),0)</f>
        <v>0</v>
      </c>
      <c r="B83" s="838"/>
      <c r="C83" s="839"/>
      <c r="D83" s="839"/>
      <c r="E83" s="833"/>
      <c r="F83" s="840"/>
      <c r="G83" s="834"/>
      <c r="H83" s="824"/>
      <c r="L83" s="775"/>
      <c r="M83" s="825" t="str">
        <f t="shared" si="2"/>
        <v/>
      </c>
      <c r="N83" s="779">
        <f>IFERROR(VLOOKUP(F83,Ch5_Storage,2, FALSE),0)</f>
        <v>0</v>
      </c>
    </row>
    <row r="84" ht="18.75" customHeight="1">
      <c r="A84" s="716">
        <f>IFERROR(VLOOKUP(H84,PartyStorage,2, FALSE),0)</f>
        <v>0</v>
      </c>
      <c r="B84" s="835"/>
      <c r="C84" s="828"/>
      <c r="D84" s="828"/>
      <c r="E84" s="836"/>
      <c r="F84" s="829"/>
      <c r="G84" s="837"/>
      <c r="H84" s="831"/>
      <c r="L84" s="781"/>
      <c r="M84" s="832" t="str">
        <f t="shared" si="2"/>
        <v/>
      </c>
      <c r="N84" s="779">
        <f>IFERROR(VLOOKUP(F84,Ch5_Storage,2, FALSE),0)</f>
        <v>0</v>
      </c>
    </row>
    <row r="85" ht="18.75" customHeight="1">
      <c r="A85" s="716">
        <f>IFERROR(VLOOKUP(H85,PartyStorage,2, FALSE),0)</f>
        <v>0</v>
      </c>
      <c r="B85" s="838"/>
      <c r="C85" s="839"/>
      <c r="D85" s="839"/>
      <c r="E85" s="833"/>
      <c r="F85" s="840"/>
      <c r="G85" s="834"/>
      <c r="H85" s="824"/>
      <c r="L85" s="775"/>
      <c r="M85" s="825" t="str">
        <f t="shared" si="2"/>
        <v/>
      </c>
      <c r="N85" s="779">
        <f>IFERROR(VLOOKUP(F85,Ch5_Storage,2, FALSE),0)</f>
        <v>0</v>
      </c>
    </row>
    <row r="86" ht="18.75" customHeight="1">
      <c r="A86" s="716">
        <f>IFERROR(VLOOKUP(H86,PartyStorage,2, FALSE),0)</f>
        <v>0</v>
      </c>
      <c r="B86" s="835"/>
      <c r="C86" s="828"/>
      <c r="D86" s="828"/>
      <c r="E86" s="836"/>
      <c r="F86" s="829"/>
      <c r="G86" s="837"/>
      <c r="H86" s="831"/>
      <c r="L86" s="781"/>
      <c r="M86" s="832" t="str">
        <f t="shared" si="2"/>
        <v/>
      </c>
      <c r="N86" s="779">
        <f>IFERROR(VLOOKUP(F86,Ch5_Storage,2, FALSE),0)</f>
        <v>0</v>
      </c>
    </row>
    <row r="87" ht="18.75" customHeight="1">
      <c r="A87" s="716">
        <f>IFERROR(VLOOKUP(H87,PartyStorage,2, FALSE),0)</f>
        <v>0</v>
      </c>
      <c r="B87" s="838"/>
      <c r="C87" s="839"/>
      <c r="D87" s="839"/>
      <c r="E87" s="833"/>
      <c r="F87" s="840"/>
      <c r="G87" s="834"/>
      <c r="H87" s="824"/>
      <c r="L87" s="775"/>
      <c r="M87" s="825" t="str">
        <f t="shared" si="2"/>
        <v/>
      </c>
      <c r="N87" s="779">
        <f>IFERROR(VLOOKUP(F87,Ch5_Storage,2, FALSE),0)</f>
        <v>0</v>
      </c>
    </row>
    <row r="88" ht="18.75" customHeight="1">
      <c r="A88" s="716">
        <f>IFERROR(VLOOKUP(H88,PartyStorage,2, FALSE),0)</f>
        <v>0</v>
      </c>
      <c r="B88" s="835"/>
      <c r="C88" s="828"/>
      <c r="D88" s="828"/>
      <c r="E88" s="836"/>
      <c r="F88" s="829"/>
      <c r="G88" s="837"/>
      <c r="H88" s="831"/>
      <c r="L88" s="781"/>
      <c r="M88" s="832" t="str">
        <f t="shared" si="2"/>
        <v/>
      </c>
      <c r="N88" s="779">
        <f>IFERROR(VLOOKUP(F88,Ch5_Storage,2, FALSE),0)</f>
        <v>0</v>
      </c>
    </row>
    <row r="89" ht="18.75" customHeight="1">
      <c r="A89" s="716">
        <f>IFERROR(VLOOKUP(H89,PartyStorage,2, FALSE),0)</f>
        <v>0</v>
      </c>
      <c r="B89" s="838"/>
      <c r="C89" s="839"/>
      <c r="D89" s="839"/>
      <c r="E89" s="833"/>
      <c r="F89" s="840"/>
      <c r="G89" s="834"/>
      <c r="H89" s="824"/>
      <c r="L89" s="775"/>
      <c r="M89" s="825" t="str">
        <f t="shared" si="2"/>
        <v/>
      </c>
      <c r="N89" s="779">
        <f>IFERROR(VLOOKUP(F89,Ch5_Storage,2, FALSE),0)</f>
        <v>0</v>
      </c>
    </row>
    <row r="90" ht="18.75" customHeight="1">
      <c r="A90" s="716">
        <f>IFERROR(VLOOKUP(H90,PartyStorage,2, FALSE),0)</f>
        <v>0</v>
      </c>
      <c r="B90" s="835"/>
      <c r="C90" s="828"/>
      <c r="D90" s="828"/>
      <c r="E90" s="836"/>
      <c r="F90" s="829"/>
      <c r="G90" s="837"/>
      <c r="H90" s="831"/>
      <c r="L90" s="781"/>
      <c r="M90" s="832" t="str">
        <f t="shared" si="2"/>
        <v/>
      </c>
      <c r="N90" s="779">
        <f>IFERROR(VLOOKUP(F90,Ch5_Storage,2, FALSE),0)</f>
        <v>0</v>
      </c>
    </row>
    <row r="91" ht="18.75" customHeight="1">
      <c r="A91" s="716">
        <f>IFERROR(VLOOKUP(H91,PartyStorage,2, FALSE),0)</f>
        <v>0</v>
      </c>
      <c r="B91" s="838"/>
      <c r="C91" s="839"/>
      <c r="D91" s="839"/>
      <c r="E91" s="833"/>
      <c r="F91" s="840"/>
      <c r="G91" s="834"/>
      <c r="H91" s="824"/>
      <c r="L91" s="775"/>
      <c r="M91" s="825" t="str">
        <f t="shared" si="2"/>
        <v/>
      </c>
      <c r="N91" s="779">
        <f>IFERROR(VLOOKUP(F91,Ch5_Storage,2, FALSE),0)</f>
        <v>0</v>
      </c>
    </row>
    <row r="92" ht="18.75" customHeight="1">
      <c r="A92" s="716">
        <f>IFERROR(VLOOKUP(H92,PartyStorage,2, FALSE),0)</f>
        <v>0</v>
      </c>
      <c r="B92" s="835"/>
      <c r="C92" s="828"/>
      <c r="D92" s="828"/>
      <c r="E92" s="836"/>
      <c r="F92" s="829"/>
      <c r="G92" s="837"/>
      <c r="H92" s="831"/>
      <c r="L92" s="781"/>
      <c r="M92" s="832" t="str">
        <f t="shared" si="2"/>
        <v/>
      </c>
      <c r="N92" s="779">
        <f>IFERROR(VLOOKUP(F92,Ch5_Storage,2, FALSE),0)</f>
        <v>0</v>
      </c>
    </row>
    <row r="93" ht="18.75" customHeight="1">
      <c r="A93" s="716">
        <f>IFERROR(VLOOKUP(H93,PartyStorage,2, FALSE),0)</f>
        <v>0</v>
      </c>
      <c r="B93" s="838"/>
      <c r="C93" s="839"/>
      <c r="D93" s="839"/>
      <c r="E93" s="833"/>
      <c r="F93" s="840"/>
      <c r="G93" s="834"/>
      <c r="H93" s="824"/>
      <c r="L93" s="775"/>
      <c r="M93" s="825" t="str">
        <f t="shared" si="2"/>
        <v/>
      </c>
      <c r="N93" s="779">
        <f>IFERROR(VLOOKUP(F93,Ch5_Storage,2, FALSE),0)</f>
        <v>0</v>
      </c>
    </row>
    <row r="94" ht="18.75" customHeight="1">
      <c r="A94" s="716">
        <f>IFERROR(VLOOKUP(H94,PartyStorage,2, FALSE),0)</f>
        <v>0</v>
      </c>
      <c r="B94" s="835"/>
      <c r="C94" s="828"/>
      <c r="D94" s="828"/>
      <c r="E94" s="836"/>
      <c r="F94" s="829"/>
      <c r="G94" s="837"/>
      <c r="H94" s="831"/>
      <c r="L94" s="781"/>
      <c r="M94" s="832" t="str">
        <f t="shared" si="2"/>
        <v/>
      </c>
      <c r="N94" s="779">
        <f>IFERROR(VLOOKUP(F94,Ch5_Storage,2, FALSE),0)</f>
        <v>0</v>
      </c>
    </row>
    <row r="95" ht="18.75" customHeight="1">
      <c r="A95" s="716">
        <f>IFERROR(VLOOKUP(H95,PartyStorage,2, FALSE),0)</f>
        <v>0</v>
      </c>
      <c r="B95" s="838"/>
      <c r="C95" s="839"/>
      <c r="D95" s="839"/>
      <c r="E95" s="833"/>
      <c r="F95" s="840"/>
      <c r="G95" s="834"/>
      <c r="H95" s="824"/>
      <c r="L95" s="775"/>
      <c r="M95" s="825" t="str">
        <f t="shared" si="2"/>
        <v/>
      </c>
      <c r="N95" s="779">
        <f>IFERROR(VLOOKUP(F95,Ch5_Storage,2, FALSE),0)</f>
        <v>0</v>
      </c>
    </row>
    <row r="96" ht="18.75" customHeight="1">
      <c r="A96" s="716">
        <f>IFERROR(VLOOKUP(H96,PartyStorage,2, FALSE),0)</f>
        <v>0</v>
      </c>
      <c r="B96" s="835"/>
      <c r="C96" s="828"/>
      <c r="D96" s="828"/>
      <c r="E96" s="836"/>
      <c r="F96" s="829"/>
      <c r="G96" s="837"/>
      <c r="H96" s="831"/>
      <c r="L96" s="781"/>
      <c r="M96" s="832" t="str">
        <f t="shared" si="2"/>
        <v/>
      </c>
      <c r="N96" s="779">
        <f>IFERROR(VLOOKUP(F96,Ch5_Storage,2, FALSE),0)</f>
        <v>0</v>
      </c>
    </row>
    <row r="97" ht="18.75" customHeight="1">
      <c r="A97" s="716">
        <f>IFERROR(VLOOKUP(H97,PartyStorage,2, FALSE),0)</f>
        <v>0</v>
      </c>
      <c r="B97" s="838"/>
      <c r="C97" s="839"/>
      <c r="D97" s="839"/>
      <c r="E97" s="833"/>
      <c r="F97" s="840"/>
      <c r="G97" s="834"/>
      <c r="H97" s="824"/>
      <c r="L97" s="775"/>
      <c r="M97" s="825" t="str">
        <f t="shared" si="2"/>
        <v/>
      </c>
      <c r="N97" s="779">
        <f>IFERROR(VLOOKUP(F97,Ch5_Storage,2, FALSE),0)</f>
        <v>0</v>
      </c>
    </row>
    <row r="98" ht="18.75" customHeight="1">
      <c r="A98" s="716">
        <f>IFERROR(VLOOKUP(H98,PartyStorage,2, FALSE),0)</f>
        <v>0</v>
      </c>
      <c r="B98" s="835"/>
      <c r="C98" s="828"/>
      <c r="D98" s="828"/>
      <c r="E98" s="836"/>
      <c r="F98" s="829"/>
      <c r="G98" s="837"/>
      <c r="H98" s="831"/>
      <c r="L98" s="781"/>
      <c r="M98" s="832" t="str">
        <f t="shared" si="2"/>
        <v/>
      </c>
      <c r="N98" s="779">
        <f>IFERROR(VLOOKUP(F98,Ch5_Storage,2, FALSE),0)</f>
        <v>0</v>
      </c>
    </row>
    <row r="99" ht="18.75" customHeight="1">
      <c r="A99" s="716">
        <f>IFERROR(VLOOKUP(H99,PartyStorage,2, FALSE),0)</f>
        <v>0</v>
      </c>
      <c r="B99" s="838"/>
      <c r="C99" s="839"/>
      <c r="D99" s="839"/>
      <c r="E99" s="833"/>
      <c r="F99" s="840"/>
      <c r="G99" s="834"/>
      <c r="H99" s="824"/>
      <c r="L99" s="775"/>
      <c r="M99" s="825" t="str">
        <f t="shared" si="2"/>
        <v/>
      </c>
      <c r="N99" s="779">
        <f>IFERROR(VLOOKUP(F99,Ch5_Storage,2, FALSE),0)</f>
        <v>0</v>
      </c>
    </row>
    <row r="100" ht="18.75" customHeight="1">
      <c r="A100" s="716">
        <f>IFERROR(VLOOKUP(H100,PartyStorage,2, FALSE),0)</f>
        <v>0</v>
      </c>
      <c r="B100" s="835"/>
      <c r="C100" s="828"/>
      <c r="D100" s="828"/>
      <c r="E100" s="836"/>
      <c r="F100" s="829"/>
      <c r="G100" s="837"/>
      <c r="H100" s="831"/>
      <c r="L100" s="781"/>
      <c r="M100" s="832" t="str">
        <f t="shared" si="2"/>
        <v/>
      </c>
      <c r="N100" s="779">
        <f>IFERROR(VLOOKUP(F100,Ch5_Storage,2, FALSE),0)</f>
        <v>0</v>
      </c>
    </row>
    <row r="101" ht="18.75" customHeight="1">
      <c r="A101" s="716">
        <f>IFERROR(VLOOKUP(H101,PartyStorage,2, FALSE),0)</f>
        <v>0</v>
      </c>
      <c r="B101" s="838"/>
      <c r="C101" s="839"/>
      <c r="D101" s="839"/>
      <c r="E101" s="833"/>
      <c r="F101" s="840"/>
      <c r="G101" s="834"/>
      <c r="H101" s="824"/>
      <c r="L101" s="775"/>
      <c r="M101" s="825" t="str">
        <f t="shared" si="2"/>
        <v/>
      </c>
      <c r="N101" s="779">
        <f>IFERROR(VLOOKUP(F101,Ch5_Storage,2, FALSE),0)</f>
        <v>0</v>
      </c>
    </row>
    <row r="102" ht="18.75" customHeight="1">
      <c r="A102" s="716">
        <f>IFERROR(VLOOKUP(H102,PartyStorage,2, FALSE),0)</f>
        <v>0</v>
      </c>
      <c r="B102" s="835"/>
      <c r="C102" s="828"/>
      <c r="D102" s="828"/>
      <c r="E102" s="836"/>
      <c r="F102" s="829"/>
      <c r="G102" s="837"/>
      <c r="H102" s="831"/>
      <c r="L102" s="781"/>
      <c r="M102" s="832" t="str">
        <f t="shared" si="2"/>
        <v/>
      </c>
      <c r="N102" s="779">
        <f>IFERROR(VLOOKUP(F102,Ch5_Storage,2, FALSE),0)</f>
        <v>0</v>
      </c>
    </row>
    <row r="103" ht="18.75" customHeight="1">
      <c r="A103" s="716">
        <f>IFERROR(VLOOKUP(H103,PartyStorage,2, FALSE),0)</f>
        <v>0</v>
      </c>
      <c r="B103" s="838"/>
      <c r="C103" s="839"/>
      <c r="D103" s="839"/>
      <c r="E103" s="833"/>
      <c r="F103" s="840"/>
      <c r="G103" s="834"/>
      <c r="H103" s="824"/>
      <c r="L103" s="775"/>
      <c r="M103" s="825" t="str">
        <f t="shared" si="2"/>
        <v/>
      </c>
      <c r="N103" s="779">
        <f>IFERROR(VLOOKUP(F103,Ch5_Storage,2, FALSE),0)</f>
        <v>0</v>
      </c>
    </row>
    <row r="104" ht="18.75" customHeight="1">
      <c r="A104" s="716">
        <f>IFERROR(VLOOKUP(H104,PartyStorage,2, FALSE),0)</f>
        <v>0</v>
      </c>
      <c r="B104" s="835"/>
      <c r="C104" s="828"/>
      <c r="D104" s="828"/>
      <c r="E104" s="836"/>
      <c r="F104" s="829"/>
      <c r="G104" s="837"/>
      <c r="H104" s="831"/>
      <c r="L104" s="781"/>
      <c r="M104" s="832" t="str">
        <f t="shared" si="2"/>
        <v/>
      </c>
      <c r="N104" s="779">
        <f>IFERROR(VLOOKUP(F104,Ch5_Storage,2, FALSE),0)</f>
        <v>0</v>
      </c>
    </row>
    <row r="105" ht="18.75" customHeight="1">
      <c r="A105" s="716">
        <f>IFERROR(VLOOKUP(H105,PartyStorage,2, FALSE),0)</f>
        <v>0</v>
      </c>
      <c r="B105" s="838"/>
      <c r="C105" s="839"/>
      <c r="D105" s="839"/>
      <c r="E105" s="833"/>
      <c r="F105" s="840"/>
      <c r="G105" s="834"/>
      <c r="H105" s="824"/>
      <c r="L105" s="775"/>
      <c r="M105" s="825" t="str">
        <f t="shared" si="2"/>
        <v/>
      </c>
      <c r="N105" s="779">
        <f>IFERROR(VLOOKUP(F105,Ch5_Storage,2, FALSE),0)</f>
        <v>0</v>
      </c>
    </row>
    <row r="106" ht="18.75" customHeight="1">
      <c r="A106" s="716">
        <f>IFERROR(VLOOKUP(H106,PartyStorage,2, FALSE),0)</f>
        <v>0</v>
      </c>
      <c r="B106" s="835"/>
      <c r="C106" s="828"/>
      <c r="D106" s="828"/>
      <c r="E106" s="836"/>
      <c r="F106" s="829"/>
      <c r="G106" s="837"/>
      <c r="H106" s="831"/>
      <c r="L106" s="781"/>
      <c r="M106" s="832" t="str">
        <f t="shared" si="2"/>
        <v/>
      </c>
      <c r="N106" s="779">
        <f>IFERROR(VLOOKUP(F106,Ch5_Storage,2, FALSE),0)</f>
        <v>0</v>
      </c>
    </row>
    <row r="107" ht="18.75" customHeight="1">
      <c r="A107" s="716">
        <f>IFERROR(VLOOKUP(H107,PartyStorage,2, FALSE),0)</f>
        <v>0</v>
      </c>
      <c r="B107" s="838"/>
      <c r="C107" s="839"/>
      <c r="D107" s="839"/>
      <c r="E107" s="833"/>
      <c r="F107" s="840"/>
      <c r="G107" s="834"/>
      <c r="H107" s="824"/>
      <c r="L107" s="775"/>
      <c r="M107" s="825" t="str">
        <f t="shared" si="2"/>
        <v/>
      </c>
      <c r="N107" s="779">
        <f>IFERROR(VLOOKUP(F107,Ch5_Storage,2, FALSE),0)</f>
        <v>0</v>
      </c>
    </row>
    <row r="108" ht="18.75" customHeight="1">
      <c r="A108" s="716">
        <f>IFERROR(VLOOKUP(H108,PartyStorage,2, FALSE),0)</f>
        <v>0</v>
      </c>
      <c r="B108" s="835"/>
      <c r="C108" s="828"/>
      <c r="D108" s="828"/>
      <c r="E108" s="836"/>
      <c r="F108" s="829"/>
      <c r="G108" s="837"/>
      <c r="H108" s="831"/>
      <c r="L108" s="781"/>
      <c r="M108" s="832" t="str">
        <f t="shared" si="2"/>
        <v/>
      </c>
      <c r="N108" s="779">
        <f>IFERROR(VLOOKUP(F108,Ch5_Storage,2, FALSE),0)</f>
        <v>0</v>
      </c>
    </row>
    <row r="109" ht="18.75" customHeight="1">
      <c r="A109" s="716">
        <f>IFERROR(VLOOKUP(H109,PartyStorage,2, FALSE),0)</f>
        <v>0</v>
      </c>
      <c r="B109" s="838"/>
      <c r="C109" s="839"/>
      <c r="D109" s="839"/>
      <c r="E109" s="833"/>
      <c r="F109" s="840"/>
      <c r="G109" s="834"/>
      <c r="H109" s="824"/>
      <c r="L109" s="775"/>
      <c r="M109" s="825" t="str">
        <f t="shared" si="2"/>
        <v/>
      </c>
      <c r="N109" s="779">
        <f>IFERROR(VLOOKUP(F109,Ch5_Storage,2, FALSE),0)</f>
        <v>0</v>
      </c>
    </row>
    <row r="110" ht="18.75" customHeight="1">
      <c r="A110" s="716">
        <f>IFERROR(VLOOKUP(H110,PartyStorage,2, FALSE),0)</f>
        <v>0</v>
      </c>
      <c r="B110" s="835"/>
      <c r="C110" s="828"/>
      <c r="D110" s="828"/>
      <c r="E110" s="836"/>
      <c r="F110" s="829"/>
      <c r="G110" s="837"/>
      <c r="H110" s="831"/>
      <c r="L110" s="781"/>
      <c r="M110" s="832" t="str">
        <f t="shared" si="2"/>
        <v/>
      </c>
      <c r="N110" s="779">
        <f>IFERROR(VLOOKUP(F110,Ch5_Storage,2, FALSE),0)</f>
        <v>0</v>
      </c>
    </row>
    <row r="111" ht="18.75" customHeight="1">
      <c r="A111" s="716">
        <f>IFERROR(VLOOKUP(H111,PartyStorage,2, FALSE),0)</f>
        <v>0</v>
      </c>
      <c r="B111" s="838"/>
      <c r="C111" s="839"/>
      <c r="D111" s="839"/>
      <c r="E111" s="833"/>
      <c r="F111" s="840"/>
      <c r="G111" s="834"/>
      <c r="H111" s="824"/>
      <c r="L111" s="775"/>
      <c r="M111" s="825" t="str">
        <f t="shared" si="2"/>
        <v/>
      </c>
      <c r="N111" s="779">
        <f>IFERROR(VLOOKUP(F111,Ch5_Storage,2, FALSE),0)</f>
        <v>0</v>
      </c>
    </row>
    <row r="112" ht="18.75" customHeight="1">
      <c r="A112" s="716">
        <f>IFERROR(VLOOKUP(H112,PartyStorage,2, FALSE),0)</f>
        <v>0</v>
      </c>
      <c r="B112" s="835"/>
      <c r="C112" s="828"/>
      <c r="D112" s="828"/>
      <c r="E112" s="836"/>
      <c r="F112" s="829"/>
      <c r="G112" s="837"/>
      <c r="H112" s="831"/>
      <c r="L112" s="781"/>
      <c r="M112" s="832" t="str">
        <f t="shared" si="2"/>
        <v/>
      </c>
      <c r="N112" s="779">
        <f>IFERROR(VLOOKUP(F112,Ch5_Storage,2, FALSE),0)</f>
        <v>0</v>
      </c>
    </row>
    <row r="113" ht="18.75" customHeight="1">
      <c r="A113" s="716">
        <f>IFERROR(VLOOKUP(H113,PartyStorage,2, FALSE),0)</f>
        <v>0</v>
      </c>
      <c r="B113" s="838"/>
      <c r="C113" s="839"/>
      <c r="D113" s="839"/>
      <c r="E113" s="833"/>
      <c r="F113" s="840"/>
      <c r="G113" s="834"/>
      <c r="H113" s="824"/>
      <c r="L113" s="775"/>
      <c r="M113" s="825" t="str">
        <f t="shared" si="2"/>
        <v/>
      </c>
      <c r="N113" s="779">
        <f>IFERROR(VLOOKUP(F113,Ch5_Storage,2, FALSE),0)</f>
        <v>0</v>
      </c>
    </row>
    <row r="114" ht="18.75" customHeight="1">
      <c r="A114" s="716">
        <f>IFERROR(VLOOKUP(H114,PartyStorage,2, FALSE),0)</f>
        <v>0</v>
      </c>
      <c r="B114" s="835"/>
      <c r="C114" s="828"/>
      <c r="D114" s="828"/>
      <c r="E114" s="836"/>
      <c r="F114" s="829"/>
      <c r="G114" s="837"/>
      <c r="H114" s="831"/>
      <c r="L114" s="781"/>
      <c r="M114" s="832" t="str">
        <f t="shared" si="2"/>
        <v/>
      </c>
      <c r="N114" s="779">
        <f>IFERROR(VLOOKUP(F114,Ch5_Storage,2, FALSE),0)</f>
        <v>0</v>
      </c>
    </row>
    <row r="115" ht="18.75" customHeight="1">
      <c r="A115" s="716">
        <f>IFERROR(VLOOKUP(H115,PartyStorage,2, FALSE),0)</f>
        <v>0</v>
      </c>
      <c r="B115" s="838"/>
      <c r="C115" s="839"/>
      <c r="D115" s="839"/>
      <c r="E115" s="833"/>
      <c r="F115" s="840"/>
      <c r="G115" s="834"/>
      <c r="H115" s="824"/>
      <c r="L115" s="775"/>
      <c r="M115" s="825" t="str">
        <f t="shared" si="2"/>
        <v/>
      </c>
      <c r="N115" s="779">
        <f>IFERROR(VLOOKUP(F115,Ch5_Storage,2, FALSE),0)</f>
        <v>0</v>
      </c>
    </row>
    <row r="116" ht="18.75" customHeight="1">
      <c r="A116" s="716">
        <f>IFERROR(VLOOKUP(H116,PartyStorage,2, FALSE),0)</f>
        <v>0</v>
      </c>
      <c r="B116" s="835"/>
      <c r="C116" s="828"/>
      <c r="D116" s="828"/>
      <c r="E116" s="836"/>
      <c r="F116" s="829"/>
      <c r="G116" s="837"/>
      <c r="H116" s="831"/>
      <c r="L116" s="781"/>
      <c r="M116" s="832" t="str">
        <f t="shared" si="2"/>
        <v/>
      </c>
      <c r="N116" s="779">
        <f>IFERROR(VLOOKUP(F116,Ch5_Storage,2, FALSE),0)</f>
        <v>0</v>
      </c>
    </row>
    <row r="117" ht="18.75" customHeight="1">
      <c r="A117" s="716">
        <f>IFERROR(VLOOKUP(H117,PartyStorage,2, FALSE),0)</f>
        <v>0</v>
      </c>
      <c r="B117" s="838"/>
      <c r="C117" s="839"/>
      <c r="D117" s="839"/>
      <c r="E117" s="833"/>
      <c r="F117" s="840"/>
      <c r="G117" s="834"/>
      <c r="H117" s="824"/>
      <c r="L117" s="775"/>
      <c r="M117" s="825" t="str">
        <f t="shared" si="2"/>
        <v/>
      </c>
      <c r="N117" s="779">
        <f>IFERROR(VLOOKUP(F117,Ch5_Storage,2, FALSE),0)</f>
        <v>0</v>
      </c>
    </row>
    <row r="118" ht="18.75" customHeight="1">
      <c r="A118" s="716">
        <f>IFERROR(VLOOKUP(H118,PartyStorage,2, FALSE),0)</f>
        <v>0</v>
      </c>
      <c r="B118" s="835"/>
      <c r="C118" s="828"/>
      <c r="D118" s="828"/>
      <c r="E118" s="836"/>
      <c r="F118" s="829"/>
      <c r="G118" s="837"/>
      <c r="H118" s="831"/>
      <c r="L118" s="781"/>
      <c r="M118" s="832" t="str">
        <f t="shared" si="2"/>
        <v/>
      </c>
      <c r="N118" s="779">
        <f>IFERROR(VLOOKUP(F118,Ch5_Storage,2, FALSE),0)</f>
        <v>0</v>
      </c>
    </row>
    <row r="119" ht="18.75" customHeight="1">
      <c r="A119" s="716">
        <f>IFERROR(VLOOKUP(H119,PartyStorage,2, FALSE),0)</f>
        <v>0</v>
      </c>
      <c r="B119" s="838"/>
      <c r="C119" s="839"/>
      <c r="D119" s="839"/>
      <c r="E119" s="833"/>
      <c r="F119" s="840"/>
      <c r="G119" s="834"/>
      <c r="H119" s="824"/>
      <c r="L119" s="775"/>
      <c r="M119" s="825" t="str">
        <f t="shared" si="2"/>
        <v/>
      </c>
      <c r="N119" s="779">
        <f>IFERROR(VLOOKUP(F119,Ch5_Storage,2, FALSE),0)</f>
        <v>0</v>
      </c>
    </row>
    <row r="120" ht="18.75" customHeight="1">
      <c r="A120" s="716">
        <f>IFERROR(VLOOKUP(H120,PartyStorage,2, FALSE),0)</f>
        <v>0</v>
      </c>
      <c r="B120" s="835"/>
      <c r="C120" s="828"/>
      <c r="D120" s="828"/>
      <c r="E120" s="836"/>
      <c r="F120" s="829"/>
      <c r="G120" s="837"/>
      <c r="H120" s="831"/>
      <c r="L120" s="781"/>
      <c r="M120" s="832" t="str">
        <f t="shared" si="2"/>
        <v/>
      </c>
      <c r="N120" s="779">
        <f>IFERROR(VLOOKUP(F120,Ch5_Storage,2, FALSE),0)</f>
        <v>0</v>
      </c>
    </row>
    <row r="121" ht="18.75" customHeight="1">
      <c r="A121" s="716">
        <f>IFERROR(VLOOKUP(H121,PartyStorage,2, FALSE),0)</f>
        <v>0</v>
      </c>
      <c r="B121" s="838"/>
      <c r="C121" s="839"/>
      <c r="D121" s="839"/>
      <c r="E121" s="833"/>
      <c r="F121" s="840"/>
      <c r="G121" s="834"/>
      <c r="H121" s="824"/>
      <c r="L121" s="775"/>
      <c r="M121" s="825" t="str">
        <f t="shared" si="2"/>
        <v/>
      </c>
      <c r="N121" s="779">
        <f>IFERROR(VLOOKUP(F121,Ch5_Storage,2, FALSE),0)</f>
        <v>0</v>
      </c>
    </row>
    <row r="122" ht="18.75" customHeight="1">
      <c r="A122" s="716">
        <f>IFERROR(VLOOKUP(H122,PartyStorage,2, FALSE),0)</f>
        <v>0</v>
      </c>
      <c r="B122" s="835"/>
      <c r="C122" s="828"/>
      <c r="D122" s="828"/>
      <c r="E122" s="836"/>
      <c r="F122" s="829"/>
      <c r="G122" s="837"/>
      <c r="H122" s="831"/>
      <c r="L122" s="781"/>
      <c r="M122" s="832" t="str">
        <f t="shared" si="2"/>
        <v/>
      </c>
      <c r="N122" s="779">
        <f>IFERROR(VLOOKUP(F122,Ch5_Storage,2, FALSE),0)</f>
        <v>0</v>
      </c>
    </row>
    <row r="123" ht="18.75" customHeight="1">
      <c r="A123" s="716">
        <f>IFERROR(VLOOKUP(H123,PartyStorage,2, FALSE),0)</f>
        <v>0</v>
      </c>
      <c r="B123" s="838"/>
      <c r="C123" s="839"/>
      <c r="D123" s="839"/>
      <c r="E123" s="833"/>
      <c r="F123" s="840"/>
      <c r="G123" s="834"/>
      <c r="H123" s="824"/>
      <c r="L123" s="775"/>
      <c r="M123" s="825" t="str">
        <f t="shared" si="2"/>
        <v/>
      </c>
      <c r="N123" s="779">
        <f>IFERROR(VLOOKUP(F123,Ch5_Storage,2, FALSE),0)</f>
        <v>0</v>
      </c>
    </row>
    <row r="124" ht="18.75" customHeight="1">
      <c r="A124" s="716">
        <f>IFERROR(VLOOKUP(H124,PartyStorage,2, FALSE),0)</f>
        <v>0</v>
      </c>
      <c r="B124" s="835"/>
      <c r="C124" s="828"/>
      <c r="D124" s="828"/>
      <c r="E124" s="836"/>
      <c r="F124" s="829"/>
      <c r="G124" s="837"/>
      <c r="H124" s="831"/>
      <c r="L124" s="781"/>
      <c r="M124" s="832" t="str">
        <f t="shared" si="2"/>
        <v/>
      </c>
      <c r="N124" s="779">
        <f>IFERROR(VLOOKUP(F124,Ch5_Storage,2, FALSE),0)</f>
        <v>0</v>
      </c>
    </row>
    <row r="125" ht="18.75" customHeight="1">
      <c r="A125" s="716">
        <f>IFERROR(VLOOKUP(H125,PartyStorage,2, FALSE),0)</f>
        <v>0</v>
      </c>
      <c r="B125" s="838"/>
      <c r="C125" s="839"/>
      <c r="D125" s="839"/>
      <c r="E125" s="833"/>
      <c r="F125" s="840"/>
      <c r="G125" s="834"/>
      <c r="H125" s="824"/>
      <c r="L125" s="775"/>
      <c r="M125" s="825" t="str">
        <f t="shared" si="2"/>
        <v/>
      </c>
      <c r="N125" s="779">
        <f>IFERROR(VLOOKUP(F125,Ch5_Storage,2, FALSE),0)</f>
        <v>0</v>
      </c>
    </row>
    <row r="126" ht="18.75" customHeight="1">
      <c r="A126" s="716">
        <f>IFERROR(VLOOKUP(H126,PartyStorage,2, FALSE),0)</f>
        <v>0</v>
      </c>
      <c r="B126" s="835"/>
      <c r="C126" s="828"/>
      <c r="D126" s="828"/>
      <c r="E126" s="836"/>
      <c r="F126" s="829"/>
      <c r="G126" s="837"/>
      <c r="H126" s="831"/>
      <c r="L126" s="781"/>
      <c r="M126" s="832" t="str">
        <f t="shared" si="2"/>
        <v/>
      </c>
      <c r="N126" s="779">
        <f>IFERROR(VLOOKUP(F126,Ch5_Storage,2, FALSE),0)</f>
        <v>0</v>
      </c>
    </row>
    <row r="127" ht="18.75" customHeight="1">
      <c r="A127" s="716">
        <f>IFERROR(VLOOKUP(H127,PartyStorage,2, FALSE),0)</f>
        <v>0</v>
      </c>
      <c r="B127" s="838"/>
      <c r="C127" s="839"/>
      <c r="D127" s="839"/>
      <c r="E127" s="833"/>
      <c r="F127" s="840"/>
      <c r="G127" s="834"/>
      <c r="H127" s="824"/>
      <c r="L127" s="775"/>
      <c r="M127" s="825" t="str">
        <f t="shared" si="2"/>
        <v/>
      </c>
      <c r="N127" s="779">
        <f>IFERROR(VLOOKUP(F127,Ch5_Storage,2, FALSE),0)</f>
        <v>0</v>
      </c>
    </row>
    <row r="128" ht="18.75" customHeight="1">
      <c r="A128" s="716">
        <f>IFERROR(VLOOKUP(H128,PartyStorage,2, FALSE),0)</f>
        <v>0</v>
      </c>
      <c r="B128" s="835"/>
      <c r="C128" s="828"/>
      <c r="D128" s="828"/>
      <c r="E128" s="836"/>
      <c r="F128" s="829"/>
      <c r="G128" s="837"/>
      <c r="H128" s="831"/>
      <c r="L128" s="781"/>
      <c r="M128" s="832" t="str">
        <f t="shared" si="2"/>
        <v/>
      </c>
      <c r="N128" s="779">
        <f>IFERROR(VLOOKUP(F128,Ch5_Storage,2, FALSE),0)</f>
        <v>0</v>
      </c>
    </row>
    <row r="129" ht="18.75" customHeight="1">
      <c r="A129" s="716">
        <f>IFERROR(VLOOKUP(H129,PartyStorage,2, FALSE),0)</f>
        <v>0</v>
      </c>
      <c r="B129" s="838"/>
      <c r="C129" s="839"/>
      <c r="D129" s="839"/>
      <c r="E129" s="833"/>
      <c r="F129" s="840"/>
      <c r="G129" s="834"/>
      <c r="H129" s="824"/>
      <c r="L129" s="775"/>
      <c r="M129" s="825" t="str">
        <f t="shared" si="2"/>
        <v/>
      </c>
      <c r="N129" s="779">
        <f>IFERROR(VLOOKUP(F129,Ch5_Storage,2, FALSE),0)</f>
        <v>0</v>
      </c>
    </row>
    <row r="130" ht="18.75" customHeight="1">
      <c r="A130" s="716">
        <f>IFERROR(VLOOKUP(H130,PartyStorage,2, FALSE),0)</f>
        <v>0</v>
      </c>
      <c r="B130" s="835"/>
      <c r="C130" s="828"/>
      <c r="D130" s="828"/>
      <c r="E130" s="836"/>
      <c r="F130" s="829"/>
      <c r="G130" s="837"/>
      <c r="H130" s="831"/>
      <c r="L130" s="781"/>
      <c r="M130" s="832" t="str">
        <f t="shared" si="2"/>
        <v/>
      </c>
      <c r="N130" s="779">
        <f>IFERROR(VLOOKUP(F130,Ch5_Storage,2, FALSE),0)</f>
        <v>0</v>
      </c>
    </row>
    <row r="131" ht="18.75" customHeight="1">
      <c r="A131" s="716">
        <f>IFERROR(VLOOKUP(H131,PartyStorage,2, FALSE),0)</f>
        <v>0</v>
      </c>
      <c r="B131" s="838"/>
      <c r="C131" s="839"/>
      <c r="D131" s="839"/>
      <c r="E131" s="833"/>
      <c r="F131" s="840"/>
      <c r="G131" s="834"/>
      <c r="H131" s="824"/>
      <c r="L131" s="775"/>
      <c r="M131" s="825" t="str">
        <f t="shared" si="2"/>
        <v/>
      </c>
      <c r="N131" s="779">
        <f>IFERROR(VLOOKUP(F131,Ch5_Storage,2, FALSE),0)</f>
        <v>0</v>
      </c>
    </row>
    <row r="132" ht="18.75" customHeight="1">
      <c r="A132" s="716">
        <f>IFERROR(VLOOKUP(H132,PartyStorage,2, FALSE),0)</f>
        <v>0</v>
      </c>
      <c r="B132" s="835"/>
      <c r="C132" s="828"/>
      <c r="D132" s="828"/>
      <c r="E132" s="836"/>
      <c r="F132" s="829"/>
      <c r="G132" s="837"/>
      <c r="H132" s="831"/>
      <c r="L132" s="781"/>
      <c r="M132" s="832" t="str">
        <f t="shared" si="2"/>
        <v/>
      </c>
      <c r="N132" s="779">
        <f>IFERROR(VLOOKUP(F132,Ch5_Storage,2, FALSE),0)</f>
        <v>0</v>
      </c>
    </row>
    <row r="133" ht="18.75" customHeight="1">
      <c r="A133" s="716">
        <f>IFERROR(VLOOKUP(H133,PartyStorage,2, FALSE),0)</f>
        <v>0</v>
      </c>
      <c r="B133" s="838"/>
      <c r="C133" s="839"/>
      <c r="D133" s="839"/>
      <c r="E133" s="833"/>
      <c r="F133" s="840"/>
      <c r="G133" s="834"/>
      <c r="H133" s="824"/>
      <c r="L133" s="775"/>
      <c r="M133" s="825" t="str">
        <f t="shared" si="2"/>
        <v/>
      </c>
      <c r="N133" s="779">
        <f>IFERROR(VLOOKUP(F133,Ch5_Storage,2, FALSE),0)</f>
        <v>0</v>
      </c>
    </row>
    <row r="134" ht="18.75" customHeight="1">
      <c r="A134" s="716">
        <f>IFERROR(VLOOKUP(H134,PartyStorage,2, FALSE),0)</f>
        <v>0</v>
      </c>
      <c r="B134" s="835"/>
      <c r="C134" s="828"/>
      <c r="D134" s="828"/>
      <c r="E134" s="836"/>
      <c r="F134" s="829"/>
      <c r="G134" s="837"/>
      <c r="H134" s="831"/>
      <c r="L134" s="781"/>
      <c r="M134" s="832" t="str">
        <f t="shared" si="2"/>
        <v/>
      </c>
      <c r="N134" s="779">
        <f>IFERROR(VLOOKUP(F134,Ch5_Storage,2, FALSE),0)</f>
        <v>0</v>
      </c>
    </row>
    <row r="135" ht="18.75" customHeight="1">
      <c r="A135" s="716">
        <f>IFERROR(VLOOKUP(H135,PartyStorage,2, FALSE),0)</f>
        <v>0</v>
      </c>
      <c r="B135" s="838"/>
      <c r="C135" s="839"/>
      <c r="D135" s="839"/>
      <c r="E135" s="833"/>
      <c r="F135" s="840"/>
      <c r="G135" s="834"/>
      <c r="H135" s="824"/>
      <c r="L135" s="775"/>
      <c r="M135" s="825" t="str">
        <f t="shared" si="2"/>
        <v/>
      </c>
      <c r="N135" s="779">
        <f>IFERROR(VLOOKUP(F135,Ch5_Storage,2, FALSE),0)</f>
        <v>0</v>
      </c>
    </row>
    <row r="136" ht="18.75" customHeight="1">
      <c r="A136" s="716">
        <f>IFERROR(VLOOKUP(H136,PartyStorage,2, FALSE),0)</f>
        <v>0</v>
      </c>
      <c r="B136" s="835"/>
      <c r="C136" s="828"/>
      <c r="D136" s="828"/>
      <c r="E136" s="836"/>
      <c r="F136" s="829"/>
      <c r="G136" s="837"/>
      <c r="H136" s="831"/>
      <c r="L136" s="781"/>
      <c r="M136" s="832" t="str">
        <f t="shared" si="2"/>
        <v/>
      </c>
      <c r="N136" s="779">
        <f>IFERROR(VLOOKUP(F136,Ch5_Storage,2, FALSE),0)</f>
        <v>0</v>
      </c>
    </row>
    <row r="137" ht="18.75" customHeight="1">
      <c r="A137" s="716">
        <f>IFERROR(VLOOKUP(H137,PartyStorage,2, FALSE),0)</f>
        <v>0</v>
      </c>
      <c r="B137" s="838"/>
      <c r="C137" s="839"/>
      <c r="D137" s="839"/>
      <c r="E137" s="833"/>
      <c r="F137" s="840"/>
      <c r="G137" s="834"/>
      <c r="H137" s="824"/>
      <c r="L137" s="775"/>
      <c r="M137" s="825" t="str">
        <f t="shared" si="2"/>
        <v/>
      </c>
      <c r="N137" s="779">
        <f>IFERROR(VLOOKUP(F137,Ch5_Storage,2, FALSE),0)</f>
        <v>0</v>
      </c>
    </row>
    <row r="138" ht="18.75" customHeight="1">
      <c r="A138" s="716">
        <f>IFERROR(VLOOKUP(H138,PartyStorage,2, FALSE),0)</f>
        <v>0</v>
      </c>
      <c r="B138" s="835"/>
      <c r="C138" s="828"/>
      <c r="D138" s="828"/>
      <c r="E138" s="836"/>
      <c r="F138" s="829"/>
      <c r="G138" s="837"/>
      <c r="H138" s="831"/>
      <c r="L138" s="781"/>
      <c r="M138" s="832" t="str">
        <f t="shared" si="2"/>
        <v/>
      </c>
      <c r="N138" s="779">
        <f>IFERROR(VLOOKUP(F138,Ch5_Storage,2, FALSE),0)</f>
        <v>0</v>
      </c>
    </row>
    <row r="139" ht="18.75" customHeight="1">
      <c r="A139" s="716">
        <f>IFERROR(VLOOKUP(H139,PartyStorage,2, FALSE),0)</f>
        <v>0</v>
      </c>
      <c r="B139" s="838"/>
      <c r="C139" s="839"/>
      <c r="D139" s="839"/>
      <c r="E139" s="833"/>
      <c r="F139" s="840"/>
      <c r="G139" s="834"/>
      <c r="H139" s="824"/>
      <c r="L139" s="775"/>
      <c r="M139" s="825" t="str">
        <f t="shared" si="2"/>
        <v/>
      </c>
      <c r="N139" s="779">
        <f>IFERROR(VLOOKUP(F139,Ch5_Storage,2, FALSE),0)</f>
        <v>0</v>
      </c>
    </row>
    <row r="140" ht="18.75" customHeight="1">
      <c r="A140" s="716">
        <f>IFERROR(VLOOKUP(H140,PartyStorage,2, FALSE),0)</f>
        <v>0</v>
      </c>
      <c r="B140" s="835"/>
      <c r="C140" s="828"/>
      <c r="D140" s="828"/>
      <c r="E140" s="836"/>
      <c r="F140" s="829"/>
      <c r="G140" s="837"/>
      <c r="H140" s="831"/>
      <c r="L140" s="781"/>
      <c r="M140" s="832" t="str">
        <f t="shared" si="2"/>
        <v/>
      </c>
      <c r="N140" s="779">
        <f>IFERROR(VLOOKUP(F140,Ch5_Storage,2, FALSE),0)</f>
        <v>0</v>
      </c>
    </row>
    <row r="141" ht="18.75" customHeight="1">
      <c r="A141" s="716">
        <f>IFERROR(VLOOKUP(H141,PartyStorage,2, FALSE),0)</f>
        <v>0</v>
      </c>
      <c r="B141" s="838"/>
      <c r="C141" s="839"/>
      <c r="D141" s="839"/>
      <c r="E141" s="833"/>
      <c r="F141" s="840"/>
      <c r="G141" s="834"/>
      <c r="H141" s="824"/>
      <c r="L141" s="775"/>
      <c r="M141" s="825" t="str">
        <f t="shared" si="2"/>
        <v/>
      </c>
      <c r="N141" s="779">
        <f>IFERROR(VLOOKUP(F141,Ch5_Storage,2, FALSE),0)</f>
        <v>0</v>
      </c>
    </row>
    <row r="142" ht="18.75" customHeight="1">
      <c r="A142" s="716">
        <f>IFERROR(VLOOKUP(H142,PartyStorage,2, FALSE),0)</f>
        <v>0</v>
      </c>
      <c r="B142" s="835"/>
      <c r="C142" s="828"/>
      <c r="D142" s="828"/>
      <c r="E142" s="836"/>
      <c r="F142" s="829"/>
      <c r="G142" s="837"/>
      <c r="H142" s="831"/>
      <c r="L142" s="781"/>
      <c r="M142" s="832" t="str">
        <f t="shared" si="2"/>
        <v/>
      </c>
      <c r="N142" s="779">
        <f>IFERROR(VLOOKUP(F142,Ch5_Storage,2, FALSE),0)</f>
        <v>0</v>
      </c>
    </row>
    <row r="143" ht="18.75" customHeight="1">
      <c r="A143" s="716">
        <f>IFERROR(VLOOKUP(H143,PartyStorage,2, FALSE),0)</f>
        <v>0</v>
      </c>
      <c r="B143" s="838"/>
      <c r="C143" s="839"/>
      <c r="D143" s="839"/>
      <c r="E143" s="833"/>
      <c r="F143" s="840"/>
      <c r="G143" s="834"/>
      <c r="H143" s="824"/>
      <c r="L143" s="775"/>
      <c r="M143" s="825" t="str">
        <f t="shared" si="2"/>
        <v/>
      </c>
      <c r="N143" s="779">
        <f>IFERROR(VLOOKUP(F143,Ch5_Storage,2, FALSE),0)</f>
        <v>0</v>
      </c>
    </row>
    <row r="144" ht="18.75" customHeight="1">
      <c r="A144" s="716">
        <f>IFERROR(VLOOKUP(H144,PartyStorage,2, FALSE),0)</f>
        <v>0</v>
      </c>
      <c r="B144" s="835"/>
      <c r="C144" s="828"/>
      <c r="D144" s="828"/>
      <c r="E144" s="836"/>
      <c r="F144" s="829"/>
      <c r="G144" s="837"/>
      <c r="H144" s="831"/>
      <c r="L144" s="781"/>
      <c r="M144" s="832" t="str">
        <f t="shared" si="2"/>
        <v/>
      </c>
      <c r="N144" s="779">
        <f>IFERROR(VLOOKUP(F144,Ch5_Storage,2, FALSE),0)</f>
        <v>0</v>
      </c>
    </row>
    <row r="145" ht="18.75" customHeight="1">
      <c r="A145" s="716">
        <f>IFERROR(VLOOKUP(H145,PartyStorage,2, FALSE),0)</f>
        <v>0</v>
      </c>
      <c r="B145" s="838"/>
      <c r="C145" s="839"/>
      <c r="D145" s="839"/>
      <c r="E145" s="833"/>
      <c r="F145" s="840"/>
      <c r="G145" s="834"/>
      <c r="H145" s="824"/>
      <c r="L145" s="775"/>
      <c r="M145" s="825" t="str">
        <f t="shared" si="2"/>
        <v/>
      </c>
      <c r="N145" s="779">
        <f>IFERROR(VLOOKUP(F145,Ch5_Storage,2, FALSE),0)</f>
        <v>0</v>
      </c>
    </row>
    <row r="146" ht="18.75" customHeight="1">
      <c r="A146" s="716">
        <f>IFERROR(VLOOKUP(H146,PartyStorage,2, FALSE),0)</f>
        <v>0</v>
      </c>
      <c r="B146" s="835"/>
      <c r="C146" s="828"/>
      <c r="D146" s="828"/>
      <c r="E146" s="836"/>
      <c r="F146" s="829"/>
      <c r="G146" s="837"/>
      <c r="H146" s="831"/>
      <c r="L146" s="781"/>
      <c r="M146" s="832" t="str">
        <f t="shared" si="2"/>
        <v/>
      </c>
      <c r="N146" s="779">
        <f>IFERROR(VLOOKUP(F146,Ch5_Storage,2, FALSE),0)</f>
        <v>0</v>
      </c>
    </row>
    <row r="147" ht="18.75" customHeight="1">
      <c r="A147" s="716">
        <f>IFERROR(VLOOKUP(H147,PartyStorage,2, FALSE),0)</f>
        <v>0</v>
      </c>
      <c r="B147" s="838"/>
      <c r="C147" s="839"/>
      <c r="D147" s="839"/>
      <c r="E147" s="833"/>
      <c r="F147" s="840"/>
      <c r="G147" s="834"/>
      <c r="H147" s="824"/>
      <c r="L147" s="775"/>
      <c r="M147" s="825" t="str">
        <f t="shared" si="2"/>
        <v/>
      </c>
      <c r="N147" s="779">
        <f>IFERROR(VLOOKUP(F147,Ch5_Storage,2, FALSE),0)</f>
        <v>0</v>
      </c>
    </row>
    <row r="148" ht="18.75" customHeight="1">
      <c r="A148" s="716">
        <f>IFERROR(VLOOKUP(H148,PartyStorage,2, FALSE),0)</f>
        <v>0</v>
      </c>
      <c r="B148" s="835"/>
      <c r="C148" s="828"/>
      <c r="D148" s="828"/>
      <c r="E148" s="836"/>
      <c r="F148" s="829"/>
      <c r="G148" s="837"/>
      <c r="H148" s="831"/>
      <c r="L148" s="781"/>
      <c r="M148" s="832" t="str">
        <f t="shared" si="2"/>
        <v/>
      </c>
      <c r="N148" s="779">
        <f>IFERROR(VLOOKUP(F148,Ch5_Storage,2, FALSE),0)</f>
        <v>0</v>
      </c>
    </row>
    <row r="149" ht="18.75" customHeight="1">
      <c r="A149" s="716">
        <f>IFERROR(VLOOKUP(H149,PartyStorage,2, FALSE),0)</f>
        <v>0</v>
      </c>
      <c r="B149" s="838"/>
      <c r="C149" s="839"/>
      <c r="D149" s="839"/>
      <c r="E149" s="833"/>
      <c r="F149" s="840"/>
      <c r="G149" s="834"/>
      <c r="H149" s="824"/>
      <c r="L149" s="775"/>
      <c r="M149" s="825" t="str">
        <f t="shared" si="2"/>
        <v/>
      </c>
      <c r="N149" s="779">
        <f>IFERROR(VLOOKUP(F149,Ch5_Storage,2, FALSE),0)</f>
        <v>0</v>
      </c>
    </row>
    <row r="150" ht="18.75" customHeight="1">
      <c r="A150" s="716">
        <f>IFERROR(VLOOKUP(H150,PartyStorage,2, FALSE),0)</f>
        <v>0</v>
      </c>
      <c r="B150" s="835"/>
      <c r="C150" s="828"/>
      <c r="D150" s="828"/>
      <c r="E150" s="836"/>
      <c r="F150" s="829"/>
      <c r="G150" s="837"/>
      <c r="H150" s="831"/>
      <c r="L150" s="781"/>
      <c r="M150" s="832" t="str">
        <f t="shared" si="2"/>
        <v/>
      </c>
      <c r="N150" s="779">
        <f>IFERROR(VLOOKUP(F150,Ch5_Storage,2, FALSE),0)</f>
        <v>0</v>
      </c>
    </row>
    <row r="151" ht="18.75" customHeight="1">
      <c r="A151" s="716">
        <f>IFERROR(VLOOKUP(H151,PartyStorage,2, FALSE),0)</f>
        <v>0</v>
      </c>
      <c r="B151" s="838"/>
      <c r="C151" s="839"/>
      <c r="D151" s="839"/>
      <c r="E151" s="833"/>
      <c r="F151" s="840"/>
      <c r="G151" s="834"/>
      <c r="H151" s="824"/>
      <c r="L151" s="775"/>
      <c r="M151" s="825" t="str">
        <f t="shared" si="2"/>
        <v/>
      </c>
      <c r="N151" s="779">
        <f>IFERROR(VLOOKUP(F151,Ch5_Storage,2, FALSE),0)</f>
        <v>0</v>
      </c>
    </row>
    <row r="152" ht="18.75" customHeight="1">
      <c r="A152" s="716">
        <f>IFERROR(VLOOKUP(H152,PartyStorage,2, FALSE),0)</f>
        <v>0</v>
      </c>
      <c r="B152" s="835"/>
      <c r="C152" s="828"/>
      <c r="D152" s="828"/>
      <c r="E152" s="836"/>
      <c r="F152" s="829"/>
      <c r="G152" s="837"/>
      <c r="H152" s="831"/>
      <c r="L152" s="781"/>
      <c r="M152" s="832" t="str">
        <f t="shared" si="2"/>
        <v/>
      </c>
      <c r="N152" s="779">
        <f>IFERROR(VLOOKUP(F152,Ch5_Storage,2, FALSE),0)</f>
        <v>0</v>
      </c>
    </row>
    <row r="153" ht="18.75" customHeight="1">
      <c r="A153" s="716">
        <f>IFERROR(VLOOKUP(H153,PartyStorage,2, FALSE),0)</f>
        <v>0</v>
      </c>
      <c r="B153" s="838"/>
      <c r="C153" s="839"/>
      <c r="D153" s="839"/>
      <c r="E153" s="833"/>
      <c r="F153" s="840"/>
      <c r="G153" s="834"/>
      <c r="H153" s="824"/>
      <c r="L153" s="775"/>
      <c r="M153" s="825" t="str">
        <f t="shared" si="2"/>
        <v/>
      </c>
      <c r="N153" s="779">
        <f>IFERROR(VLOOKUP(F153,Ch5_Storage,2, FALSE),0)</f>
        <v>0</v>
      </c>
    </row>
    <row r="154" ht="18.75" customHeight="1">
      <c r="A154" s="716">
        <f>IFERROR(VLOOKUP(H154,PartyStorage,2, FALSE),0)</f>
        <v>0</v>
      </c>
      <c r="B154" s="835"/>
      <c r="C154" s="828"/>
      <c r="D154" s="828"/>
      <c r="E154" s="836"/>
      <c r="F154" s="829"/>
      <c r="G154" s="837"/>
      <c r="H154" s="831"/>
      <c r="L154" s="781"/>
      <c r="M154" s="832" t="str">
        <f t="shared" si="2"/>
        <v/>
      </c>
      <c r="N154" s="779">
        <f>IFERROR(VLOOKUP(F154,Ch5_Storage,2, FALSE),0)</f>
        <v>0</v>
      </c>
    </row>
    <row r="155" ht="18.75" customHeight="1">
      <c r="A155" s="716">
        <f>IFERROR(VLOOKUP(H155,PartyStorage,2, FALSE),0)</f>
        <v>0</v>
      </c>
      <c r="B155" s="838"/>
      <c r="C155" s="839"/>
      <c r="D155" s="839"/>
      <c r="E155" s="833"/>
      <c r="F155" s="840"/>
      <c r="G155" s="834"/>
      <c r="H155" s="824"/>
      <c r="L155" s="775"/>
      <c r="M155" s="825" t="str">
        <f t="shared" si="2"/>
        <v/>
      </c>
      <c r="N155" s="779">
        <f>IFERROR(VLOOKUP(F155,Ch5_Storage,2, FALSE),0)</f>
        <v>0</v>
      </c>
    </row>
    <row r="156" ht="18.75" customHeight="1">
      <c r="A156" s="716">
        <f>IFERROR(VLOOKUP(H156,PartyStorage,2, FALSE),0)</f>
        <v>0</v>
      </c>
      <c r="B156" s="835"/>
      <c r="C156" s="828"/>
      <c r="D156" s="828"/>
      <c r="E156" s="836"/>
      <c r="F156" s="829"/>
      <c r="G156" s="837"/>
      <c r="H156" s="831"/>
      <c r="L156" s="781"/>
      <c r="M156" s="832" t="str">
        <f t="shared" si="2"/>
        <v/>
      </c>
      <c r="N156" s="779">
        <f>IFERROR(VLOOKUP(F156,Ch5_Storage,2, FALSE),0)</f>
        <v>0</v>
      </c>
    </row>
    <row r="157" ht="18.75" customHeight="1">
      <c r="A157" s="716">
        <f>IFERROR(VLOOKUP(H157,PartyStorage,2, FALSE),0)</f>
        <v>0</v>
      </c>
      <c r="B157" s="838"/>
      <c r="C157" s="839"/>
      <c r="D157" s="839"/>
      <c r="E157" s="833"/>
      <c r="F157" s="840"/>
      <c r="G157" s="834"/>
      <c r="H157" s="824"/>
      <c r="L157" s="775"/>
      <c r="M157" s="825" t="str">
        <f t="shared" si="2"/>
        <v/>
      </c>
      <c r="N157" s="779">
        <f>IFERROR(VLOOKUP(F157,Ch5_Storage,2, FALSE),0)</f>
        <v>0</v>
      </c>
    </row>
    <row r="158" ht="18.75" customHeight="1">
      <c r="A158" s="716">
        <f>IFERROR(VLOOKUP(H158,PartyStorage,2, FALSE),0)</f>
        <v>0</v>
      </c>
      <c r="B158" s="835"/>
      <c r="C158" s="828"/>
      <c r="D158" s="828"/>
      <c r="E158" s="836"/>
      <c r="F158" s="829"/>
      <c r="G158" s="837"/>
      <c r="H158" s="831"/>
      <c r="L158" s="781"/>
      <c r="M158" s="832" t="str">
        <f t="shared" si="2"/>
        <v/>
      </c>
      <c r="N158" s="779">
        <f>IFERROR(VLOOKUP(F158,Ch5_Storage,2, FALSE),0)</f>
        <v>0</v>
      </c>
    </row>
    <row r="159" ht="18.75" customHeight="1">
      <c r="A159" s="716">
        <f>IFERROR(VLOOKUP(H159,PartyStorage,2, FALSE),0)</f>
        <v>0</v>
      </c>
      <c r="B159" s="838"/>
      <c r="C159" s="839"/>
      <c r="D159" s="839"/>
      <c r="E159" s="833"/>
      <c r="F159" s="840"/>
      <c r="G159" s="834"/>
      <c r="H159" s="824"/>
      <c r="L159" s="775"/>
      <c r="M159" s="825" t="str">
        <f t="shared" si="2"/>
        <v/>
      </c>
      <c r="N159" s="779">
        <f>IFERROR(VLOOKUP(F159,Ch5_Storage,2, FALSE),0)</f>
        <v>0</v>
      </c>
    </row>
    <row r="160" ht="18.75" customHeight="1">
      <c r="A160" s="716">
        <f>IFERROR(VLOOKUP(H160,PartyStorage,2, FALSE),0)</f>
        <v>0</v>
      </c>
      <c r="B160" s="835"/>
      <c r="C160" s="828"/>
      <c r="D160" s="828"/>
      <c r="E160" s="836"/>
      <c r="F160" s="829"/>
      <c r="G160" s="837"/>
      <c r="H160" s="831"/>
      <c r="L160" s="781"/>
      <c r="M160" s="832" t="str">
        <f t="shared" si="2"/>
        <v/>
      </c>
      <c r="N160" s="779">
        <f>IFERROR(VLOOKUP(F160,Ch5_Storage,2, FALSE),0)</f>
        <v>0</v>
      </c>
    </row>
    <row r="161" ht="18.75" customHeight="1">
      <c r="A161" s="716">
        <f>IFERROR(VLOOKUP(H161,PartyStorage,2, FALSE),0)</f>
        <v>0</v>
      </c>
      <c r="B161" s="838"/>
      <c r="C161" s="839"/>
      <c r="D161" s="839"/>
      <c r="E161" s="833"/>
      <c r="F161" s="840"/>
      <c r="G161" s="834"/>
      <c r="H161" s="824"/>
      <c r="L161" s="775"/>
      <c r="M161" s="825" t="str">
        <f t="shared" si="2"/>
        <v/>
      </c>
      <c r="N161" s="779">
        <f>IFERROR(VLOOKUP(F161,Ch5_Storage,2, FALSE),0)</f>
        <v>0</v>
      </c>
    </row>
    <row r="162" ht="18.75" customHeight="1">
      <c r="A162" s="716">
        <f>IFERROR(VLOOKUP(H162,PartyStorage,2, FALSE),0)</f>
        <v>0</v>
      </c>
      <c r="B162" s="835"/>
      <c r="C162" s="828"/>
      <c r="D162" s="828"/>
      <c r="E162" s="836"/>
      <c r="F162" s="829"/>
      <c r="G162" s="837"/>
      <c r="H162" s="831"/>
      <c r="L162" s="781"/>
      <c r="M162" s="832" t="str">
        <f t="shared" si="2"/>
        <v/>
      </c>
      <c r="N162" s="779">
        <f>IFERROR(VLOOKUP(F162,Ch5_Storage,2, FALSE),0)</f>
        <v>0</v>
      </c>
    </row>
    <row r="163" ht="18.75" customHeight="1">
      <c r="A163" s="716">
        <f>IFERROR(VLOOKUP(H163,PartyStorage,2, FALSE),0)</f>
        <v>0</v>
      </c>
      <c r="B163" s="838"/>
      <c r="C163" s="839"/>
      <c r="D163" s="839"/>
      <c r="E163" s="833"/>
      <c r="F163" s="840"/>
      <c r="G163" s="834"/>
      <c r="H163" s="824"/>
      <c r="L163" s="775"/>
      <c r="M163" s="825" t="str">
        <f t="shared" si="2"/>
        <v/>
      </c>
      <c r="N163" s="779">
        <f>IFERROR(VLOOKUP(F163,Ch5_Storage,2, FALSE),0)</f>
        <v>0</v>
      </c>
    </row>
    <row r="164" ht="18.75" customHeight="1">
      <c r="A164" s="716">
        <f>IFERROR(VLOOKUP(H164,PartyStorage,2, FALSE),0)</f>
        <v>0</v>
      </c>
      <c r="B164" s="835"/>
      <c r="C164" s="828"/>
      <c r="D164" s="828"/>
      <c r="E164" s="836"/>
      <c r="F164" s="829"/>
      <c r="G164" s="837"/>
      <c r="H164" s="831"/>
      <c r="L164" s="781"/>
      <c r="M164" s="832" t="str">
        <f t="shared" si="2"/>
        <v/>
      </c>
      <c r="N164" s="779">
        <f>IFERROR(VLOOKUP(F164,Ch5_Storage,2, FALSE),0)</f>
        <v>0</v>
      </c>
    </row>
    <row r="165" ht="18.75" customHeight="1">
      <c r="A165" s="716">
        <f>IFERROR(VLOOKUP(H165,PartyStorage,2, FALSE),0)</f>
        <v>0</v>
      </c>
      <c r="B165" s="838"/>
      <c r="C165" s="839"/>
      <c r="D165" s="839"/>
      <c r="E165" s="833"/>
      <c r="F165" s="840"/>
      <c r="G165" s="834"/>
      <c r="H165" s="824"/>
      <c r="L165" s="775"/>
      <c r="M165" s="825" t="str">
        <f t="shared" si="2"/>
        <v/>
      </c>
      <c r="N165" s="779">
        <f>IFERROR(VLOOKUP(F165,Ch5_Storage,2, FALSE),0)</f>
        <v>0</v>
      </c>
    </row>
    <row r="166" ht="18.75" customHeight="1">
      <c r="A166" s="716">
        <f>IFERROR(VLOOKUP(H166,PartyStorage,2, FALSE),0)</f>
        <v>0</v>
      </c>
      <c r="B166" s="835"/>
      <c r="C166" s="828"/>
      <c r="D166" s="828"/>
      <c r="E166" s="836"/>
      <c r="F166" s="829"/>
      <c r="G166" s="837"/>
      <c r="H166" s="831"/>
      <c r="L166" s="781"/>
      <c r="M166" s="832" t="str">
        <f t="shared" si="2"/>
        <v/>
      </c>
      <c r="N166" s="779">
        <f>IFERROR(VLOOKUP(F166,Ch5_Storage,2, FALSE),0)</f>
        <v>0</v>
      </c>
    </row>
    <row r="167" ht="18.75" customHeight="1">
      <c r="A167" s="716">
        <f>IFERROR(VLOOKUP(H167,PartyStorage,2, FALSE),0)</f>
        <v>0</v>
      </c>
      <c r="B167" s="838"/>
      <c r="C167" s="839"/>
      <c r="D167" s="839"/>
      <c r="E167" s="833"/>
      <c r="F167" s="840"/>
      <c r="G167" s="834"/>
      <c r="H167" s="824"/>
      <c r="L167" s="775"/>
      <c r="M167" s="825" t="str">
        <f t="shared" si="2"/>
        <v/>
      </c>
      <c r="N167" s="779">
        <f>IFERROR(VLOOKUP(F167,Ch5_Storage,2, FALSE),0)</f>
        <v>0</v>
      </c>
    </row>
    <row r="168" ht="18.75" customHeight="1">
      <c r="A168" s="716">
        <f>IFERROR(VLOOKUP(H168,PartyStorage,2, FALSE),0)</f>
        <v>0</v>
      </c>
      <c r="B168" s="835"/>
      <c r="C168" s="828"/>
      <c r="D168" s="828"/>
      <c r="E168" s="836"/>
      <c r="F168" s="829"/>
      <c r="G168" s="837"/>
      <c r="H168" s="831"/>
      <c r="L168" s="781"/>
      <c r="M168" s="832" t="str">
        <f t="shared" si="2"/>
        <v/>
      </c>
      <c r="N168" s="779">
        <f>IFERROR(VLOOKUP(F168,Ch5_Storage,2, FALSE),0)</f>
        <v>0</v>
      </c>
    </row>
    <row r="169" ht="18.75" customHeight="1">
      <c r="A169" s="716">
        <f>IFERROR(VLOOKUP(H169,PartyStorage,2, FALSE),0)</f>
        <v>0</v>
      </c>
      <c r="B169" s="838"/>
      <c r="C169" s="839"/>
      <c r="D169" s="839"/>
      <c r="E169" s="833"/>
      <c r="F169" s="840"/>
      <c r="G169" s="834"/>
      <c r="H169" s="824"/>
      <c r="L169" s="775"/>
      <c r="M169" s="825" t="str">
        <f t="shared" si="2"/>
        <v/>
      </c>
      <c r="N169" s="779">
        <f>IFERROR(VLOOKUP(F169,Ch5_Storage,2, FALSE),0)</f>
        <v>0</v>
      </c>
    </row>
    <row r="170" ht="18.75" customHeight="1">
      <c r="A170" s="716">
        <f>IFERROR(VLOOKUP(H170,PartyStorage,2, FALSE),0)</f>
        <v>0</v>
      </c>
      <c r="B170" s="835"/>
      <c r="C170" s="828"/>
      <c r="D170" s="828"/>
      <c r="E170" s="836"/>
      <c r="F170" s="829"/>
      <c r="G170" s="837"/>
      <c r="H170" s="831"/>
      <c r="L170" s="781"/>
      <c r="M170" s="832" t="str">
        <f t="shared" si="2"/>
        <v/>
      </c>
      <c r="N170" s="779">
        <f>IFERROR(VLOOKUP(F170,Ch5_Storage,2, FALSE),0)</f>
        <v>0</v>
      </c>
    </row>
    <row r="171" ht="18.75" customHeight="1">
      <c r="A171" s="716">
        <f>IFERROR(VLOOKUP(H171,PartyStorage,2, FALSE),0)</f>
        <v>0</v>
      </c>
      <c r="B171" s="838"/>
      <c r="C171" s="839"/>
      <c r="D171" s="839"/>
      <c r="E171" s="833"/>
      <c r="F171" s="840"/>
      <c r="G171" s="834"/>
      <c r="H171" s="824"/>
      <c r="L171" s="775"/>
      <c r="M171" s="825" t="str">
        <f t="shared" si="2"/>
        <v/>
      </c>
      <c r="N171" s="779">
        <f>IFERROR(VLOOKUP(F171,Ch5_Storage,2, FALSE),0)</f>
        <v>0</v>
      </c>
    </row>
    <row r="172" ht="18.75" customHeight="1">
      <c r="A172" s="716">
        <f>IFERROR(VLOOKUP(H172,PartyStorage,2, FALSE),0)</f>
        <v>0</v>
      </c>
      <c r="B172" s="835"/>
      <c r="C172" s="828"/>
      <c r="D172" s="828"/>
      <c r="E172" s="836"/>
      <c r="F172" s="829"/>
      <c r="G172" s="837"/>
      <c r="H172" s="831"/>
      <c r="L172" s="781"/>
      <c r="M172" s="832" t="str">
        <f t="shared" si="2"/>
        <v/>
      </c>
      <c r="N172" s="779">
        <f>IFERROR(VLOOKUP(F172,Ch5_Storage,2, FALSE),0)</f>
        <v>0</v>
      </c>
    </row>
    <row r="173" ht="18.75" customHeight="1">
      <c r="A173" s="716">
        <f>IFERROR(VLOOKUP(H173,PartyStorage,2, FALSE),0)</f>
        <v>0</v>
      </c>
      <c r="B173" s="838"/>
      <c r="C173" s="839"/>
      <c r="D173" s="839"/>
      <c r="E173" s="833"/>
      <c r="F173" s="840"/>
      <c r="G173" s="834"/>
      <c r="H173" s="824"/>
      <c r="L173" s="775"/>
      <c r="M173" s="825" t="str">
        <f t="shared" si="2"/>
        <v/>
      </c>
      <c r="N173" s="779">
        <f>IFERROR(VLOOKUP(F173,Ch5_Storage,2, FALSE),0)</f>
        <v>0</v>
      </c>
    </row>
    <row r="174" ht="18.75" customHeight="1">
      <c r="A174" s="716">
        <f>IFERROR(VLOOKUP(H174,PartyStorage,2, FALSE),0)</f>
        <v>0</v>
      </c>
      <c r="B174" s="835"/>
      <c r="C174" s="828"/>
      <c r="D174" s="828"/>
      <c r="E174" s="836"/>
      <c r="F174" s="829"/>
      <c r="G174" s="837"/>
      <c r="H174" s="831"/>
      <c r="L174" s="781"/>
      <c r="M174" s="832" t="str">
        <f t="shared" si="2"/>
        <v/>
      </c>
      <c r="N174" s="779">
        <f>IFERROR(VLOOKUP(F174,Ch5_Storage,2, FALSE),0)</f>
        <v>0</v>
      </c>
    </row>
    <row r="175" ht="18.75" customHeight="1">
      <c r="A175" s="716">
        <f>IFERROR(VLOOKUP(H175,PartyStorage,2, FALSE),0)</f>
        <v>0</v>
      </c>
      <c r="B175" s="838"/>
      <c r="C175" s="839"/>
      <c r="D175" s="839"/>
      <c r="E175" s="833"/>
      <c r="F175" s="840"/>
      <c r="G175" s="834"/>
      <c r="H175" s="824"/>
      <c r="L175" s="775"/>
      <c r="M175" s="825" t="str">
        <f t="shared" si="2"/>
        <v/>
      </c>
      <c r="N175" s="779">
        <f>IFERROR(VLOOKUP(F175,Ch5_Storage,2, FALSE),0)</f>
        <v>0</v>
      </c>
    </row>
    <row r="176" ht="18.75" customHeight="1">
      <c r="A176" s="716">
        <f>IFERROR(VLOOKUP(H176,PartyStorage,2, FALSE),0)</f>
        <v>0</v>
      </c>
      <c r="B176" s="835"/>
      <c r="C176" s="828"/>
      <c r="D176" s="828"/>
      <c r="E176" s="836"/>
      <c r="F176" s="829"/>
      <c r="G176" s="837"/>
      <c r="H176" s="831"/>
      <c r="L176" s="781"/>
      <c r="M176" s="832" t="str">
        <f t="shared" si="2"/>
        <v/>
      </c>
      <c r="N176" s="779">
        <f>IFERROR(VLOOKUP(F176,Ch5_Storage,2, FALSE),0)</f>
        <v>0</v>
      </c>
    </row>
    <row r="177" ht="18.75" customHeight="1">
      <c r="A177" s="716">
        <f>IFERROR(VLOOKUP(H177,PartyStorage,2, FALSE),0)</f>
        <v>0</v>
      </c>
      <c r="B177" s="838"/>
      <c r="C177" s="839"/>
      <c r="D177" s="839"/>
      <c r="E177" s="833"/>
      <c r="F177" s="840"/>
      <c r="G177" s="834"/>
      <c r="H177" s="824"/>
      <c r="L177" s="775"/>
      <c r="M177" s="825" t="str">
        <f t="shared" si="2"/>
        <v/>
      </c>
      <c r="N177" s="779">
        <f>IFERROR(VLOOKUP(F177,Ch5_Storage,2, FALSE),0)</f>
        <v>0</v>
      </c>
    </row>
    <row r="178" ht="18.75" customHeight="1">
      <c r="A178" s="716">
        <f>IFERROR(VLOOKUP(H178,PartyStorage,2, FALSE),0)</f>
        <v>0</v>
      </c>
      <c r="B178" s="835"/>
      <c r="C178" s="828"/>
      <c r="D178" s="828"/>
      <c r="E178" s="836"/>
      <c r="F178" s="829"/>
      <c r="G178" s="837"/>
      <c r="H178" s="831"/>
      <c r="L178" s="781"/>
      <c r="M178" s="832" t="str">
        <f t="shared" si="2"/>
        <v/>
      </c>
      <c r="N178" s="779">
        <f>IFERROR(VLOOKUP(F178,Ch5_Storage,2, FALSE),0)</f>
        <v>0</v>
      </c>
    </row>
    <row r="179" ht="18.75" customHeight="1">
      <c r="A179" s="716">
        <f>IFERROR(VLOOKUP(H179,PartyStorage,2, FALSE),0)</f>
        <v>0</v>
      </c>
      <c r="B179" s="838"/>
      <c r="C179" s="839"/>
      <c r="D179" s="839"/>
      <c r="E179" s="833"/>
      <c r="F179" s="840"/>
      <c r="G179" s="834"/>
      <c r="H179" s="824"/>
      <c r="L179" s="775"/>
      <c r="M179" s="825" t="str">
        <f t="shared" si="2"/>
        <v/>
      </c>
      <c r="N179" s="779">
        <f>IFERROR(VLOOKUP(F179,Ch5_Storage,2, FALSE),0)</f>
        <v>0</v>
      </c>
    </row>
    <row r="180" ht="18.75" customHeight="1">
      <c r="A180" s="716">
        <f>IFERROR(VLOOKUP(H180,PartyStorage,2, FALSE),0)</f>
        <v>0</v>
      </c>
      <c r="B180" s="835"/>
      <c r="C180" s="828"/>
      <c r="D180" s="828"/>
      <c r="E180" s="836"/>
      <c r="F180" s="829"/>
      <c r="G180" s="837"/>
      <c r="H180" s="831"/>
      <c r="L180" s="781"/>
      <c r="M180" s="832" t="str">
        <f t="shared" si="2"/>
        <v/>
      </c>
      <c r="N180" s="779">
        <f>IFERROR(VLOOKUP(F180,Ch5_Storage,2, FALSE),0)</f>
        <v>0</v>
      </c>
    </row>
    <row r="181" ht="18.75" customHeight="1">
      <c r="A181" s="716">
        <f>IFERROR(VLOOKUP(H181,PartyStorage,2, FALSE),0)</f>
        <v>0</v>
      </c>
      <c r="B181" s="838"/>
      <c r="C181" s="839"/>
      <c r="D181" s="839"/>
      <c r="E181" s="833"/>
      <c r="F181" s="840"/>
      <c r="G181" s="834"/>
      <c r="H181" s="824"/>
      <c r="L181" s="775"/>
      <c r="M181" s="825" t="str">
        <f t="shared" si="2"/>
        <v/>
      </c>
      <c r="N181" s="779">
        <f>IFERROR(VLOOKUP(F181,Ch5_Storage,2, FALSE),0)</f>
        <v>0</v>
      </c>
    </row>
    <row r="182" ht="18.75" customHeight="1">
      <c r="A182" s="716">
        <f>IFERROR(VLOOKUP(H182,PartyStorage,2, FALSE),0)</f>
        <v>0</v>
      </c>
      <c r="B182" s="835"/>
      <c r="C182" s="828"/>
      <c r="D182" s="828"/>
      <c r="E182" s="836"/>
      <c r="F182" s="829"/>
      <c r="G182" s="837"/>
      <c r="H182" s="831"/>
      <c r="L182" s="781"/>
      <c r="M182" s="832" t="str">
        <f t="shared" si="2"/>
        <v/>
      </c>
      <c r="N182" s="779">
        <f>IFERROR(VLOOKUP(F182,Ch5_Storage,2, FALSE),0)</f>
        <v>0</v>
      </c>
    </row>
    <row r="183" ht="18.75" customHeight="1">
      <c r="A183" s="716">
        <f>IFERROR(VLOOKUP(H183,PartyStorage,2, FALSE),0)</f>
        <v>0</v>
      </c>
      <c r="B183" s="838"/>
      <c r="C183" s="839"/>
      <c r="D183" s="839"/>
      <c r="E183" s="833"/>
      <c r="F183" s="840"/>
      <c r="G183" s="834"/>
      <c r="H183" s="824"/>
      <c r="L183" s="775"/>
      <c r="M183" s="825" t="str">
        <f t="shared" si="2"/>
        <v/>
      </c>
      <c r="N183" s="779">
        <f>IFERROR(VLOOKUP(F183,Ch5_Storage,2, FALSE),0)</f>
        <v>0</v>
      </c>
    </row>
    <row r="184" ht="18.75" customHeight="1">
      <c r="A184" s="716">
        <f>IFERROR(VLOOKUP(H184,PartyStorage,2, FALSE),0)</f>
        <v>0</v>
      </c>
      <c r="B184" s="835"/>
      <c r="C184" s="828"/>
      <c r="D184" s="828"/>
      <c r="E184" s="836"/>
      <c r="F184" s="829"/>
      <c r="G184" s="837"/>
      <c r="H184" s="831"/>
      <c r="L184" s="781"/>
      <c r="M184" s="832" t="str">
        <f t="shared" si="2"/>
        <v/>
      </c>
      <c r="N184" s="779">
        <f>IFERROR(VLOOKUP(F184,Ch5_Storage,2, FALSE),0)</f>
        <v>0</v>
      </c>
    </row>
    <row r="185" ht="18.75" customHeight="1">
      <c r="A185" s="716">
        <f>IFERROR(VLOOKUP(H185,PartyStorage,2, FALSE),0)</f>
        <v>0</v>
      </c>
      <c r="B185" s="838"/>
      <c r="C185" s="839"/>
      <c r="D185" s="839"/>
      <c r="E185" s="833"/>
      <c r="F185" s="840"/>
      <c r="G185" s="834"/>
      <c r="H185" s="824"/>
      <c r="L185" s="775"/>
      <c r="M185" s="825" t="str">
        <f t="shared" si="2"/>
        <v/>
      </c>
      <c r="N185" s="779">
        <f>IFERROR(VLOOKUP(F185,Ch5_Storage,2, FALSE),0)</f>
        <v>0</v>
      </c>
    </row>
    <row r="186" ht="18.75" customHeight="1">
      <c r="A186" s="716">
        <f>IFERROR(VLOOKUP(H186,PartyStorage,2, FALSE),0)</f>
        <v>0</v>
      </c>
      <c r="B186" s="835"/>
      <c r="C186" s="828"/>
      <c r="D186" s="828"/>
      <c r="E186" s="836"/>
      <c r="F186" s="829"/>
      <c r="G186" s="837"/>
      <c r="H186" s="831"/>
      <c r="L186" s="781"/>
      <c r="M186" s="832" t="str">
        <f t="shared" si="2"/>
        <v/>
      </c>
      <c r="N186" s="779">
        <f>IFERROR(VLOOKUP(F186,Ch5_Storage,2, FALSE),0)</f>
        <v>0</v>
      </c>
    </row>
    <row r="187" ht="18.75" customHeight="1">
      <c r="A187" s="716">
        <f>IFERROR(VLOOKUP(H187,PartyStorage,2, FALSE),0)</f>
        <v>0</v>
      </c>
      <c r="B187" s="838"/>
      <c r="C187" s="839"/>
      <c r="D187" s="839"/>
      <c r="E187" s="833"/>
      <c r="F187" s="840"/>
      <c r="G187" s="834"/>
      <c r="H187" s="824"/>
      <c r="L187" s="775"/>
      <c r="M187" s="825" t="str">
        <f t="shared" si="2"/>
        <v/>
      </c>
      <c r="N187" s="779">
        <f>IFERROR(VLOOKUP(F187,Ch5_Storage,2, FALSE),0)</f>
        <v>0</v>
      </c>
    </row>
    <row r="188" ht="18.75" customHeight="1">
      <c r="A188" s="716">
        <f>IFERROR(VLOOKUP(H188,PartyStorage,2, FALSE),0)</f>
        <v>0</v>
      </c>
      <c r="B188" s="835"/>
      <c r="C188" s="828"/>
      <c r="D188" s="828"/>
      <c r="E188" s="836"/>
      <c r="F188" s="829"/>
      <c r="G188" s="837"/>
      <c r="H188" s="831"/>
      <c r="L188" s="781"/>
      <c r="M188" s="832" t="str">
        <f t="shared" si="2"/>
        <v/>
      </c>
      <c r="N188" s="779">
        <f>IFERROR(VLOOKUP(F188,Ch5_Storage,2, FALSE),0)</f>
        <v>0</v>
      </c>
    </row>
    <row r="189" ht="18.75" customHeight="1">
      <c r="A189" s="716">
        <f>IFERROR(VLOOKUP(H189,PartyStorage,2, FALSE),0)</f>
        <v>0</v>
      </c>
      <c r="B189" s="838"/>
      <c r="C189" s="839"/>
      <c r="D189" s="839"/>
      <c r="E189" s="833"/>
      <c r="F189" s="840"/>
      <c r="G189" s="834"/>
      <c r="H189" s="824"/>
      <c r="L189" s="775"/>
      <c r="M189" s="825" t="str">
        <f t="shared" si="2"/>
        <v/>
      </c>
      <c r="N189" s="779">
        <f>IFERROR(VLOOKUP(F189,Ch5_Storage,2, FALSE),0)</f>
        <v>0</v>
      </c>
    </row>
    <row r="190" ht="18.75" customHeight="1">
      <c r="A190" s="716">
        <f>IFERROR(VLOOKUP(H190,PartyStorage,2, FALSE),0)</f>
        <v>0</v>
      </c>
      <c r="B190" s="835"/>
      <c r="C190" s="828"/>
      <c r="D190" s="828"/>
      <c r="E190" s="836"/>
      <c r="F190" s="829"/>
      <c r="G190" s="837"/>
      <c r="H190" s="831"/>
      <c r="L190" s="781"/>
      <c r="M190" s="832" t="str">
        <f t="shared" si="2"/>
        <v/>
      </c>
      <c r="N190" s="779">
        <f>IFERROR(VLOOKUP(F190,Ch5_Storage,2, FALSE),0)</f>
        <v>0</v>
      </c>
    </row>
    <row r="191" ht="18.75" customHeight="1">
      <c r="A191" s="716">
        <f>IFERROR(VLOOKUP(H191,PartyStorage,2, FALSE),0)</f>
        <v>0</v>
      </c>
      <c r="B191" s="838"/>
      <c r="C191" s="839"/>
      <c r="D191" s="839"/>
      <c r="E191" s="833"/>
      <c r="F191" s="840"/>
      <c r="G191" s="834"/>
      <c r="H191" s="824"/>
      <c r="L191" s="775"/>
      <c r="M191" s="825" t="str">
        <f t="shared" si="2"/>
        <v/>
      </c>
      <c r="N191" s="779">
        <f>IFERROR(VLOOKUP(F191,Ch5_Storage,2, FALSE),0)</f>
        <v>0</v>
      </c>
    </row>
    <row r="192" ht="18.75" customHeight="1">
      <c r="A192" s="716">
        <f>IFERROR(VLOOKUP(H192,PartyStorage,2, FALSE),0)</f>
        <v>0</v>
      </c>
      <c r="B192" s="835"/>
      <c r="C192" s="828"/>
      <c r="D192" s="828"/>
      <c r="E192" s="836"/>
      <c r="F192" s="829"/>
      <c r="G192" s="837"/>
      <c r="H192" s="831"/>
      <c r="L192" s="781"/>
      <c r="M192" s="832" t="str">
        <f t="shared" si="2"/>
        <v/>
      </c>
      <c r="N192" s="779">
        <f>IFERROR(VLOOKUP(F192,Ch5_Storage,2, FALSE),0)</f>
        <v>0</v>
      </c>
    </row>
    <row r="193" ht="18.75" customHeight="1">
      <c r="A193" s="716">
        <f>IFERROR(VLOOKUP(H193,PartyStorage,2, FALSE),0)</f>
        <v>0</v>
      </c>
      <c r="B193" s="838"/>
      <c r="C193" s="839"/>
      <c r="D193" s="839"/>
      <c r="E193" s="833"/>
      <c r="F193" s="840"/>
      <c r="G193" s="834"/>
      <c r="H193" s="824"/>
      <c r="L193" s="775"/>
      <c r="M193" s="825" t="str">
        <f t="shared" si="2"/>
        <v/>
      </c>
      <c r="N193" s="779">
        <f>IFERROR(VLOOKUP(F193,Ch5_Storage,2, FALSE),0)</f>
        <v>0</v>
      </c>
    </row>
    <row r="194" ht="18.75" customHeight="1">
      <c r="A194" s="716">
        <f>IFERROR(VLOOKUP(H194,PartyStorage,2, FALSE),0)</f>
        <v>0</v>
      </c>
      <c r="B194" s="835"/>
      <c r="C194" s="828"/>
      <c r="D194" s="828"/>
      <c r="E194" s="836"/>
      <c r="F194" s="829"/>
      <c r="G194" s="837"/>
      <c r="H194" s="831"/>
      <c r="L194" s="781"/>
      <c r="M194" s="832" t="str">
        <f t="shared" si="2"/>
        <v/>
      </c>
      <c r="N194" s="779">
        <f>IFERROR(VLOOKUP(F194,Ch5_Storage,2, FALSE),0)</f>
        <v>0</v>
      </c>
    </row>
    <row r="195" ht="18.75" customHeight="1">
      <c r="A195" s="716">
        <f>IFERROR(VLOOKUP(H195,PartyStorage,2, FALSE),0)</f>
        <v>0</v>
      </c>
      <c r="B195" s="838"/>
      <c r="C195" s="839"/>
      <c r="D195" s="839"/>
      <c r="E195" s="833"/>
      <c r="F195" s="840"/>
      <c r="G195" s="834"/>
      <c r="H195" s="824"/>
      <c r="L195" s="775"/>
      <c r="M195" s="825" t="str">
        <f t="shared" si="2"/>
        <v/>
      </c>
      <c r="N195" s="779">
        <f>IFERROR(VLOOKUP(F195,Ch5_Storage,2, FALSE),0)</f>
        <v>0</v>
      </c>
    </row>
    <row r="196" ht="18.75" customHeight="1">
      <c r="A196" s="716">
        <f>IFERROR(VLOOKUP(H196,PartyStorage,2, FALSE),0)</f>
        <v>0</v>
      </c>
      <c r="B196" s="835"/>
      <c r="C196" s="828"/>
      <c r="D196" s="828"/>
      <c r="E196" s="836"/>
      <c r="F196" s="829"/>
      <c r="G196" s="837"/>
      <c r="H196" s="831"/>
      <c r="L196" s="781"/>
      <c r="M196" s="832" t="str">
        <f t="shared" si="2"/>
        <v/>
      </c>
      <c r="N196" s="779">
        <f>IFERROR(VLOOKUP(F196,Ch5_Storage,2, FALSE),0)</f>
        <v>0</v>
      </c>
    </row>
    <row r="197" ht="18.75" customHeight="1">
      <c r="A197" s="716">
        <f>IFERROR(VLOOKUP(H197,PartyStorage,2, FALSE),0)</f>
        <v>0</v>
      </c>
      <c r="B197" s="838"/>
      <c r="C197" s="839"/>
      <c r="D197" s="839"/>
      <c r="E197" s="833"/>
      <c r="F197" s="840"/>
      <c r="G197" s="834"/>
      <c r="H197" s="824"/>
      <c r="L197" s="775"/>
      <c r="M197" s="825" t="str">
        <f t="shared" si="2"/>
        <v/>
      </c>
      <c r="N197" s="779">
        <f>IFERROR(VLOOKUP(F197,Ch5_Storage,2, FALSE),0)</f>
        <v>0</v>
      </c>
    </row>
    <row r="198" ht="18.75" customHeight="1">
      <c r="A198" s="716">
        <f>IFERROR(VLOOKUP(H198,PartyStorage,2, FALSE),0)</f>
        <v>0</v>
      </c>
      <c r="B198" s="835"/>
      <c r="C198" s="828"/>
      <c r="D198" s="828"/>
      <c r="E198" s="836"/>
      <c r="F198" s="829"/>
      <c r="G198" s="837"/>
      <c r="H198" s="831"/>
      <c r="L198" s="781"/>
      <c r="M198" s="832" t="str">
        <f t="shared" si="2"/>
        <v/>
      </c>
      <c r="N198" s="779">
        <f>IFERROR(VLOOKUP(F198,Ch5_Storage,2, FALSE),0)</f>
        <v>0</v>
      </c>
    </row>
    <row r="199" ht="18.75" customHeight="1">
      <c r="A199" s="716">
        <f>IFERROR(VLOOKUP(H199,PartyStorage,2, FALSE),0)</f>
        <v>0</v>
      </c>
      <c r="B199" s="838"/>
      <c r="C199" s="839"/>
      <c r="D199" s="839"/>
      <c r="E199" s="833"/>
      <c r="F199" s="840"/>
      <c r="G199" s="834"/>
      <c r="H199" s="824"/>
      <c r="L199" s="775"/>
      <c r="M199" s="825" t="str">
        <f t="shared" si="2"/>
        <v/>
      </c>
      <c r="N199" s="779">
        <f>IFERROR(VLOOKUP(F199,Ch5_Storage,2, FALSE),0)</f>
        <v>0</v>
      </c>
    </row>
    <row r="200" ht="18.75" customHeight="1">
      <c r="A200" s="716">
        <f>IFERROR(VLOOKUP(H200,PartyStorage,2, FALSE),0)</f>
        <v>0</v>
      </c>
      <c r="B200" s="835"/>
      <c r="C200" s="828"/>
      <c r="D200" s="828"/>
      <c r="E200" s="836"/>
      <c r="F200" s="829"/>
      <c r="G200" s="837"/>
      <c r="H200" s="831"/>
      <c r="L200" s="781"/>
      <c r="M200" s="832" t="str">
        <f t="shared" si="2"/>
        <v/>
      </c>
      <c r="N200" s="779">
        <f>IFERROR(VLOOKUP(F200,Ch5_Storage,2, FALSE),0)</f>
        <v>0</v>
      </c>
    </row>
    <row r="201" ht="18.75" customHeight="1">
      <c r="A201" s="716">
        <f>IFERROR(VLOOKUP(H201,PartyStorage,2, FALSE),0)</f>
        <v>0</v>
      </c>
      <c r="B201" s="838"/>
      <c r="C201" s="839"/>
      <c r="D201" s="839"/>
      <c r="E201" s="833"/>
      <c r="F201" s="840"/>
      <c r="G201" s="834"/>
      <c r="H201" s="824"/>
      <c r="L201" s="775"/>
      <c r="M201" s="825" t="str">
        <f t="shared" si="2"/>
        <v/>
      </c>
      <c r="N201" s="779">
        <f>IFERROR(VLOOKUP(F201,Ch5_Storage,2, FALSE),0)</f>
        <v>0</v>
      </c>
    </row>
    <row r="202" ht="18.75" customHeight="1">
      <c r="A202" s="716">
        <f>IFERROR(VLOOKUP(H202,PartyStorage,2, FALSE),0)</f>
        <v>0</v>
      </c>
      <c r="B202" s="835"/>
      <c r="C202" s="828"/>
      <c r="D202" s="828"/>
      <c r="E202" s="836"/>
      <c r="F202" s="829"/>
      <c r="G202" s="837"/>
      <c r="H202" s="831"/>
      <c r="L202" s="781"/>
      <c r="M202" s="832" t="str">
        <f t="shared" si="2"/>
        <v/>
      </c>
      <c r="N202" s="779">
        <f>IFERROR(VLOOKUP(F202,Ch5_Storage,2, FALSE),0)</f>
        <v>0</v>
      </c>
    </row>
    <row r="203" ht="18.75" customHeight="1">
      <c r="A203" s="716">
        <f>IFERROR(VLOOKUP(H203,PartyStorage,2, FALSE),0)</f>
        <v>0</v>
      </c>
      <c r="B203" s="838"/>
      <c r="C203" s="839"/>
      <c r="D203" s="839"/>
      <c r="E203" s="833"/>
      <c r="F203" s="840"/>
      <c r="G203" s="834"/>
      <c r="H203" s="824"/>
      <c r="L203" s="775"/>
      <c r="M203" s="825" t="str">
        <f t="shared" si="2"/>
        <v/>
      </c>
      <c r="N203" s="779">
        <f>IFERROR(VLOOKUP(F203,Ch5_Storage,2, FALSE),0)</f>
        <v>0</v>
      </c>
    </row>
    <row r="204" ht="18.75" customHeight="1">
      <c r="A204" s="716">
        <f>IFERROR(VLOOKUP(H204,PartyStorage,2, FALSE),0)</f>
        <v>0</v>
      </c>
      <c r="B204" s="835"/>
      <c r="C204" s="828"/>
      <c r="D204" s="828"/>
      <c r="E204" s="836"/>
      <c r="F204" s="829"/>
      <c r="G204" s="837"/>
      <c r="H204" s="831"/>
      <c r="L204" s="781"/>
      <c r="M204" s="832" t="str">
        <f t="shared" si="2"/>
        <v/>
      </c>
      <c r="N204" s="779">
        <f>IFERROR(VLOOKUP(F204,Ch5_Storage,2, FALSE),0)</f>
        <v>0</v>
      </c>
    </row>
    <row r="205" ht="18.75" customHeight="1">
      <c r="A205" s="716">
        <f>IFERROR(VLOOKUP(H205,PartyStorage,2, FALSE),0)</f>
        <v>0</v>
      </c>
      <c r="B205" s="838"/>
      <c r="C205" s="839"/>
      <c r="D205" s="839"/>
      <c r="E205" s="833"/>
      <c r="F205" s="840"/>
      <c r="G205" s="834"/>
      <c r="H205" s="824"/>
      <c r="L205" s="775"/>
      <c r="M205" s="825" t="str">
        <f t="shared" si="2"/>
        <v/>
      </c>
      <c r="N205" s="779">
        <f>IFERROR(VLOOKUP(F205,Ch5_Storage,2, FALSE),0)</f>
        <v>0</v>
      </c>
    </row>
    <row r="206" ht="18.75" customHeight="1">
      <c r="A206" s="716">
        <f>IFERROR(VLOOKUP(H206,PartyStorage,2, FALSE),0)</f>
        <v>0</v>
      </c>
      <c r="B206" s="835"/>
      <c r="C206" s="828"/>
      <c r="D206" s="828"/>
      <c r="E206" s="836"/>
      <c r="F206" s="829"/>
      <c r="G206" s="837"/>
      <c r="H206" s="831"/>
      <c r="L206" s="781"/>
      <c r="M206" s="832" t="str">
        <f t="shared" si="2"/>
        <v/>
      </c>
      <c r="N206" s="779">
        <f>IFERROR(VLOOKUP(F206,Ch5_Storage,2, FALSE),0)</f>
        <v>0</v>
      </c>
    </row>
    <row r="207" ht="18.75" customHeight="1">
      <c r="A207" s="716">
        <f>IFERROR(VLOOKUP(H207,PartyStorage,2, FALSE),0)</f>
        <v>0</v>
      </c>
      <c r="B207" s="838"/>
      <c r="C207" s="839"/>
      <c r="D207" s="839"/>
      <c r="E207" s="833"/>
      <c r="F207" s="840"/>
      <c r="G207" s="834"/>
      <c r="H207" s="824"/>
      <c r="L207" s="775"/>
      <c r="M207" s="825" t="str">
        <f t="shared" si="2"/>
        <v/>
      </c>
      <c r="N207" s="779">
        <f>IFERROR(VLOOKUP(F207,Ch5_Storage,2, FALSE),0)</f>
        <v>0</v>
      </c>
    </row>
    <row r="208" ht="18.75" customHeight="1">
      <c r="A208" s="716">
        <f>IFERROR(VLOOKUP(H208,PartyStorage,2, FALSE),0)</f>
        <v>0</v>
      </c>
      <c r="B208" s="988"/>
      <c r="C208" s="989"/>
      <c r="D208" s="989"/>
      <c r="E208" s="990"/>
      <c r="F208" s="991"/>
      <c r="G208" s="992"/>
      <c r="H208" s="993"/>
      <c r="I208" s="994"/>
      <c r="J208" s="994"/>
      <c r="K208" s="994"/>
      <c r="L208" s="995"/>
      <c r="M208" s="996" t="str">
        <f t="shared" si="2"/>
        <v/>
      </c>
      <c r="N208" s="779">
        <f>IFERROR(VLOOKUP(F208,Ch5_Storage,2, FALSE),0)</f>
        <v>0</v>
      </c>
    </row>
    <row r="209" ht="7.5" customHeight="1">
      <c r="A209" s="513"/>
      <c r="B209" s="42"/>
      <c r="C209" s="42"/>
      <c r="D209" s="42"/>
      <c r="E209" s="42"/>
      <c r="F209" s="42"/>
      <c r="G209" s="42"/>
      <c r="H209" s="42"/>
      <c r="I209" s="42"/>
      <c r="J209" s="42"/>
      <c r="K209" s="42"/>
      <c r="L209" s="42"/>
      <c r="M209" s="42"/>
      <c r="N209" s="779"/>
    </row>
  </sheetData>
  <mergeCells count="197">
    <mergeCell ref="E2:F7"/>
    <mergeCell ref="H39:L39"/>
    <mergeCell ref="H36:L36"/>
    <mergeCell ref="H26:L26"/>
    <mergeCell ref="H27:L27"/>
    <mergeCell ref="H28:L28"/>
    <mergeCell ref="H31:L31"/>
    <mergeCell ref="H101:L101"/>
    <mergeCell ref="H102:L102"/>
    <mergeCell ref="H100:L100"/>
    <mergeCell ref="H110:L110"/>
    <mergeCell ref="H107:L107"/>
    <mergeCell ref="H105:L105"/>
    <mergeCell ref="H106:L106"/>
    <mergeCell ref="H108:L108"/>
    <mergeCell ref="H109:L109"/>
    <mergeCell ref="H103:L103"/>
    <mergeCell ref="H104:L104"/>
    <mergeCell ref="H49:L49"/>
    <mergeCell ref="H66:L66"/>
    <mergeCell ref="H122:L122"/>
    <mergeCell ref="H111:L111"/>
    <mergeCell ref="H112:L112"/>
    <mergeCell ref="H113:L113"/>
    <mergeCell ref="H115:L115"/>
    <mergeCell ref="H114:L114"/>
    <mergeCell ref="H116:L116"/>
    <mergeCell ref="H117:L117"/>
    <mergeCell ref="H123:L123"/>
    <mergeCell ref="B2:C2"/>
    <mergeCell ref="B3:C3"/>
    <mergeCell ref="B4:C4"/>
    <mergeCell ref="B7:C7"/>
    <mergeCell ref="H93:L93"/>
    <mergeCell ref="H67:L67"/>
    <mergeCell ref="H82:L82"/>
    <mergeCell ref="H83:L83"/>
    <mergeCell ref="H85:L85"/>
    <mergeCell ref="H86:L86"/>
    <mergeCell ref="H74:L74"/>
    <mergeCell ref="H75:L75"/>
    <mergeCell ref="H76:L76"/>
    <mergeCell ref="H68:L68"/>
    <mergeCell ref="H69:L69"/>
    <mergeCell ref="H70:L70"/>
    <mergeCell ref="H71:L71"/>
    <mergeCell ref="H72:L72"/>
    <mergeCell ref="H73:L73"/>
    <mergeCell ref="H80:L80"/>
    <mergeCell ref="H81:L81"/>
    <mergeCell ref="H95:L95"/>
    <mergeCell ref="H96:L96"/>
    <mergeCell ref="H207:L207"/>
    <mergeCell ref="H208:L208"/>
    <mergeCell ref="H175:L175"/>
    <mergeCell ref="H181:L181"/>
    <mergeCell ref="H180:L180"/>
    <mergeCell ref="H182:L182"/>
    <mergeCell ref="H184:L184"/>
    <mergeCell ref="H183:L183"/>
    <mergeCell ref="H185:L185"/>
    <mergeCell ref="H187:L187"/>
    <mergeCell ref="H186:L186"/>
    <mergeCell ref="H189:L189"/>
    <mergeCell ref="H190:L190"/>
    <mergeCell ref="H188:L188"/>
    <mergeCell ref="H191:L191"/>
    <mergeCell ref="H192:L192"/>
    <mergeCell ref="H193:L193"/>
    <mergeCell ref="H194:L194"/>
    <mergeCell ref="H147:L147"/>
    <mergeCell ref="H150:L150"/>
    <mergeCell ref="H151:L151"/>
    <mergeCell ref="H155:L155"/>
    <mergeCell ref="H153:L153"/>
    <mergeCell ref="H154:L154"/>
    <mergeCell ref="H152:L152"/>
    <mergeCell ref="H164:L164"/>
    <mergeCell ref="H165:L165"/>
    <mergeCell ref="H168:L168"/>
    <mergeCell ref="H158:L158"/>
    <mergeCell ref="H159:L159"/>
    <mergeCell ref="H160:L160"/>
    <mergeCell ref="H161:L161"/>
    <mergeCell ref="H162:L162"/>
    <mergeCell ref="H163:L163"/>
    <mergeCell ref="H166:L166"/>
    <mergeCell ref="H167:L167"/>
    <mergeCell ref="H169:L169"/>
    <mergeCell ref="H145:L145"/>
    <mergeCell ref="H146:L146"/>
    <mergeCell ref="H143:L143"/>
    <mergeCell ref="H142:L142"/>
    <mergeCell ref="H141:L141"/>
    <mergeCell ref="H144:L144"/>
    <mergeCell ref="H202:L202"/>
    <mergeCell ref="H196:L196"/>
    <mergeCell ref="H198:L198"/>
    <mergeCell ref="H199:L199"/>
    <mergeCell ref="H200:L200"/>
    <mergeCell ref="H201:L201"/>
    <mergeCell ref="H197:L197"/>
    <mergeCell ref="H176:L176"/>
    <mergeCell ref="H177:L177"/>
    <mergeCell ref="H173:L173"/>
    <mergeCell ref="H178:L178"/>
    <mergeCell ref="H174:L174"/>
    <mergeCell ref="H148:L148"/>
    <mergeCell ref="H149:L149"/>
    <mergeCell ref="H156:L156"/>
    <mergeCell ref="H157:L157"/>
    <mergeCell ref="H170:L170"/>
    <mergeCell ref="H171:L171"/>
    <mergeCell ref="H172:L172"/>
    <mergeCell ref="H204:L204"/>
    <mergeCell ref="H203:L203"/>
    <mergeCell ref="H205:L205"/>
    <mergeCell ref="H206:L206"/>
    <mergeCell ref="H195:L195"/>
    <mergeCell ref="H179:L179"/>
    <mergeCell ref="H124:L124"/>
    <mergeCell ref="H125:L125"/>
    <mergeCell ref="H138:L138"/>
    <mergeCell ref="H135:L135"/>
    <mergeCell ref="H136:L136"/>
    <mergeCell ref="H137:L137"/>
    <mergeCell ref="H128:L128"/>
    <mergeCell ref="H129:L129"/>
    <mergeCell ref="H130:L130"/>
    <mergeCell ref="H131:L131"/>
    <mergeCell ref="H132:L132"/>
    <mergeCell ref="H133:L133"/>
    <mergeCell ref="H126:L126"/>
    <mergeCell ref="H127:L127"/>
    <mergeCell ref="H139:L139"/>
    <mergeCell ref="H140:L140"/>
    <mergeCell ref="H120:L120"/>
    <mergeCell ref="H119:L119"/>
    <mergeCell ref="H118:L118"/>
    <mergeCell ref="H121:L121"/>
    <mergeCell ref="H134:L134"/>
    <mergeCell ref="H94:L94"/>
    <mergeCell ref="H64:L64"/>
    <mergeCell ref="H65:L65"/>
    <mergeCell ref="H77:L77"/>
    <mergeCell ref="H78:L78"/>
    <mergeCell ref="H79:L79"/>
    <mergeCell ref="H88:L88"/>
    <mergeCell ref="K7:L7"/>
    <mergeCell ref="I2:J7"/>
    <mergeCell ref="K3:L3"/>
    <mergeCell ref="K5:L5"/>
    <mergeCell ref="K4:L4"/>
    <mergeCell ref="K6:L6"/>
    <mergeCell ref="K2:M2"/>
    <mergeCell ref="H32:L32"/>
    <mergeCell ref="H33:L33"/>
    <mergeCell ref="H34:L34"/>
    <mergeCell ref="H35:L35"/>
    <mergeCell ref="B5:C5"/>
    <mergeCell ref="B6:C6"/>
    <mergeCell ref="H40:L40"/>
    <mergeCell ref="H50:L50"/>
    <mergeCell ref="H60:L60"/>
    <mergeCell ref="H61:L61"/>
    <mergeCell ref="H62:L62"/>
    <mergeCell ref="H63:L63"/>
    <mergeCell ref="H51:L51"/>
    <mergeCell ref="H52:L52"/>
    <mergeCell ref="H55:L55"/>
    <mergeCell ref="H56:L56"/>
    <mergeCell ref="H59:L59"/>
    <mergeCell ref="H57:L57"/>
    <mergeCell ref="H58:L58"/>
    <mergeCell ref="H53:L53"/>
    <mergeCell ref="H54:L54"/>
    <mergeCell ref="H29:L29"/>
    <mergeCell ref="H30:L30"/>
    <mergeCell ref="H43:L43"/>
    <mergeCell ref="H44:L44"/>
    <mergeCell ref="H41:L41"/>
    <mergeCell ref="H42:L42"/>
    <mergeCell ref="H45:L45"/>
    <mergeCell ref="H46:L46"/>
    <mergeCell ref="H47:L47"/>
    <mergeCell ref="H48:L48"/>
    <mergeCell ref="H37:L37"/>
    <mergeCell ref="H38:L38"/>
    <mergeCell ref="H91:L91"/>
    <mergeCell ref="H92:L92"/>
    <mergeCell ref="H99:L99"/>
    <mergeCell ref="H84:L84"/>
    <mergeCell ref="H87:L87"/>
    <mergeCell ref="H97:L97"/>
    <mergeCell ref="H98:L98"/>
    <mergeCell ref="H89:L89"/>
    <mergeCell ref="H90:L90"/>
  </mergeCells>
  <conditionalFormatting sqref="F27:F208">
    <cfRule type="expression" dxfId="0" priority="1">
      <formula>AND(AND(NOT(ISBLANK(C27)), ISBLANK(F27)), ISBLANK(H27))</formula>
    </cfRule>
  </conditionalFormatting>
  <conditionalFormatting sqref="F27:F208">
    <cfRule type="expression" dxfId="0" priority="2">
      <formula>AND(AND(NOT(ISBLANK(C27)), ISBLANK(F27)), ISBLANK(G27))</formula>
    </cfRule>
  </conditionalFormatting>
  <conditionalFormatting sqref="K2:M2">
    <cfRule type="expression" dxfId="25" priority="3">
      <formula>IF($N$2="",true,false)</formula>
    </cfRule>
  </conditionalFormatting>
  <conditionalFormatting sqref="K3:M7">
    <cfRule type="expression" dxfId="26" priority="4">
      <formula>IF($N$2="",true,false)</formula>
    </cfRule>
  </conditionalFormatting>
  <dataValidations>
    <dataValidation type="list" allowBlank="1" showInputMessage="1" showErrorMessage="1" prompt="Every item must have a storage location." sqref="F27:F208">
      <formula1>PartyStorage</formula1>
    </dataValidation>
    <dataValidation type="list" allowBlank="1" sqref="G27:G208">
      <formula1>"Mundane,Magic,Attunement"</formula1>
    </dataValidation>
  </dataValidations>
  <hyperlinks>
    <hyperlink r:id="rId2" ref="E1"/>
    <hyperlink r:id="rId3" ref="I1"/>
  </hyperlinks>
  <drawing r:id="rId4"/>
  <legacyDrawing r:id="rId5"/>
  <tableParts count="4">
    <tablePart r:id="rId10"/>
    <tablePart r:id="rId11"/>
    <tablePart r:id="rId12"/>
    <tablePart r:id="rId1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D85C6"/>
  </sheetPr>
  <sheetViews>
    <sheetView showGridLines="0" workbookViewId="0"/>
  </sheetViews>
  <sheetFormatPr customHeight="1" defaultColWidth="14.43" defaultRowHeight="15.75"/>
  <cols>
    <col customWidth="1" min="1" max="1" width="1.57"/>
    <col customWidth="1" min="2" max="2" width="5.86"/>
    <col customWidth="1" min="3" max="3" width="21.57"/>
    <col customWidth="1" min="4" max="13" width="15.86"/>
    <col customWidth="1" min="14" max="14" width="1.57"/>
    <col hidden="1" min="15" max="28" width="14.43"/>
  </cols>
  <sheetData>
    <row r="1" ht="7.5" customHeight="1">
      <c r="A1" s="170" t="str">
        <f>Ch6_Name&amp;"'s Inventory"</f>
        <v>Character 6's Inventory</v>
      </c>
      <c r="B1" s="172"/>
      <c r="C1" s="174"/>
      <c r="D1" s="174"/>
      <c r="E1" s="4" t="s">
        <v>52</v>
      </c>
      <c r="F1" s="174"/>
      <c r="G1" s="176"/>
      <c r="H1" s="176"/>
      <c r="I1" s="179" t="s">
        <v>53</v>
      </c>
      <c r="J1" s="181"/>
      <c r="K1" s="176"/>
      <c r="L1" s="176"/>
      <c r="M1" s="176"/>
      <c r="N1" s="176"/>
      <c r="O1" s="176"/>
      <c r="P1" s="176"/>
      <c r="Q1" s="176"/>
      <c r="R1" s="176"/>
      <c r="S1" s="176"/>
      <c r="T1" s="176"/>
      <c r="U1" s="176"/>
      <c r="V1" s="176"/>
      <c r="W1" s="176"/>
      <c r="X1" s="176"/>
      <c r="Y1" s="176"/>
      <c r="Z1" s="176"/>
      <c r="AA1" s="176"/>
      <c r="AB1" s="176"/>
    </row>
    <row r="2" ht="18.75" customHeight="1">
      <c r="A2" s="614">
        <f>IF(ISBLANK(Ch6_Size),"",VLOOKUP(Ch6_Size,SizeMultipliers,2, FALSE))</f>
        <v>1</v>
      </c>
      <c r="B2" s="850" t="s">
        <v>56</v>
      </c>
      <c r="C2" s="851"/>
      <c r="D2" s="852"/>
      <c r="E2" s="537" t="str">
        <f>IMAGE(E1,1)</f>
        <v/>
      </c>
      <c r="G2" s="853" t="s">
        <v>57</v>
      </c>
      <c r="H2" s="852"/>
      <c r="I2" s="194" t="str">
        <f>IMAGE(I1,1)</f>
        <v/>
      </c>
      <c r="K2" s="850" t="str">
        <f>IF(ISBLANK(Ch6_MountName),"Mount",Ch6_MountName)&amp;"'s Encumbrance"</f>
        <v>Mount's Encumbrance</v>
      </c>
      <c r="L2" s="289"/>
      <c r="M2" s="854"/>
      <c r="N2" s="577" t="str">
        <f>IF(ISBLANK(Ch6_MountSize),"",VLOOKUP(Ch6_MountSize,SizeMultipliers,2, FALSE))</f>
        <v/>
      </c>
    </row>
    <row r="3" ht="18.75" customHeight="1">
      <c r="A3" s="48"/>
      <c r="B3" s="201" t="s">
        <v>60</v>
      </c>
      <c r="C3" s="855"/>
      <c r="D3" s="856">
        <f>Ch6_Str*Ch6_SizeMultiplier*5</f>
        <v>50</v>
      </c>
      <c r="G3" s="857" t="s">
        <v>61</v>
      </c>
      <c r="H3" s="858">
        <v>0.0</v>
      </c>
      <c r="K3" s="210" t="s">
        <v>60</v>
      </c>
      <c r="L3" s="855"/>
      <c r="M3" s="856">
        <f>Ch6_MountStr*Ch6_MountSizeMult*5</f>
        <v>0</v>
      </c>
      <c r="N3" s="779"/>
    </row>
    <row r="4" ht="18.75" customHeight="1">
      <c r="A4" s="48"/>
      <c r="B4" s="859" t="s">
        <v>64</v>
      </c>
      <c r="C4" s="860"/>
      <c r="D4" s="861">
        <f>Ch6_Str*Ch6_SizeMultiplier*10</f>
        <v>100</v>
      </c>
      <c r="G4" s="862" t="s">
        <v>65</v>
      </c>
      <c r="H4" s="858">
        <f>(VLOOKUP(ADD(Ch6_Level,1),XPTable_v,2))-Ch6_XP</f>
        <v>300</v>
      </c>
      <c r="K4" s="863" t="s">
        <v>64</v>
      </c>
      <c r="L4" s="860"/>
      <c r="M4" s="861">
        <f>Ch6_MountStr*Ch6_MountSizeMult*10</f>
        <v>0</v>
      </c>
      <c r="N4" s="779"/>
    </row>
    <row r="5" ht="18.75" customHeight="1">
      <c r="A5" s="48"/>
      <c r="B5" s="201" t="s">
        <v>7</v>
      </c>
      <c r="C5" s="855"/>
      <c r="D5" s="856">
        <f>Ch6_Str*Ch6_SizeMultiplier*15</f>
        <v>150</v>
      </c>
      <c r="G5" s="864" t="s">
        <v>67</v>
      </c>
      <c r="H5" s="865">
        <f>MATCH(Ch6_XP,XPTable_m,2)</f>
        <v>1</v>
      </c>
      <c r="K5" s="210" t="s">
        <v>7</v>
      </c>
      <c r="L5" s="855"/>
      <c r="M5" s="856">
        <f>Ch6_MountStr*Ch6_MountSizeMult*15</f>
        <v>0</v>
      </c>
      <c r="N5" s="779"/>
    </row>
    <row r="6" ht="18.75" customHeight="1">
      <c r="A6" s="48"/>
      <c r="B6" s="859" t="s">
        <v>68</v>
      </c>
      <c r="C6" s="860"/>
      <c r="D6" s="861">
        <f>Ch6_Str*Ch6_SizeMultiplier*30</f>
        <v>300</v>
      </c>
      <c r="G6" s="29"/>
      <c r="H6" s="29"/>
      <c r="K6" s="863" t="s">
        <v>68</v>
      </c>
      <c r="L6" s="860"/>
      <c r="M6" s="861">
        <f>Ch6_MountStr*Ch6_MountSizeMult*30</f>
        <v>0</v>
      </c>
      <c r="N6" s="779"/>
    </row>
    <row r="7" ht="18.75" customHeight="1">
      <c r="A7" s="48"/>
      <c r="B7" s="234" t="s">
        <v>45</v>
      </c>
      <c r="C7" s="866"/>
      <c r="D7" s="867">
        <f t="array" ref="D7">SUMIF(Ch6_EquipStatus,"=yes",Ch6_InventoryWeights)</f>
        <v>0</v>
      </c>
      <c r="G7" s="29"/>
      <c r="H7" s="29"/>
      <c r="K7" s="240" t="s">
        <v>45</v>
      </c>
      <c r="L7" s="866"/>
      <c r="M7" s="868">
        <f t="array" ref="M7">SUMIF(Ch6_EquipStatus,"=mount",Ch6_InventoryWeights)++Ch6_Weight+D7</f>
        <v>0</v>
      </c>
      <c r="N7" s="779"/>
    </row>
    <row r="8" ht="7.5" customHeight="1">
      <c r="A8" s="48"/>
      <c r="B8" s="255"/>
      <c r="C8" s="257"/>
      <c r="D8" s="258"/>
      <c r="E8" s="257"/>
      <c r="F8" s="257"/>
      <c r="G8" s="257"/>
      <c r="H8" s="257"/>
      <c r="I8" s="259"/>
      <c r="J8" s="261"/>
      <c r="K8" s="261"/>
      <c r="L8" s="261"/>
      <c r="M8" s="261"/>
      <c r="N8" s="779"/>
    </row>
    <row r="9" ht="18.75" customHeight="1">
      <c r="A9" s="48"/>
      <c r="B9" s="869" t="s">
        <v>16</v>
      </c>
      <c r="C9" s="870"/>
      <c r="D9" s="871" t="s">
        <v>17</v>
      </c>
      <c r="E9" s="872"/>
      <c r="F9" s="872"/>
      <c r="G9" s="872"/>
      <c r="H9" s="872"/>
      <c r="I9" s="873"/>
      <c r="J9" s="874"/>
      <c r="K9" s="874"/>
      <c r="L9" s="874"/>
      <c r="M9" s="875"/>
      <c r="N9" s="779"/>
    </row>
    <row r="10" ht="18.75" customHeight="1">
      <c r="A10" s="48"/>
      <c r="B10" s="876" t="s">
        <v>23</v>
      </c>
      <c r="C10" s="877" t="s">
        <v>10</v>
      </c>
      <c r="D10" s="877" t="s">
        <v>24</v>
      </c>
      <c r="E10" s="877" t="s">
        <v>25</v>
      </c>
      <c r="F10" s="877" t="s">
        <v>26</v>
      </c>
      <c r="G10" s="877" t="s">
        <v>27</v>
      </c>
      <c r="H10" s="877" t="s">
        <v>28</v>
      </c>
      <c r="I10" s="877" t="s">
        <v>29</v>
      </c>
      <c r="J10" s="877" t="s">
        <v>30</v>
      </c>
      <c r="K10" s="877" t="s">
        <v>31</v>
      </c>
      <c r="L10" s="877" t="s">
        <v>32</v>
      </c>
      <c r="M10" s="878" t="s">
        <v>33</v>
      </c>
      <c r="N10" s="71"/>
    </row>
    <row r="11" ht="18.75" customHeight="1">
      <c r="A11" s="48"/>
      <c r="B11" s="566">
        <v>0.0</v>
      </c>
      <c r="C11" s="879" t="s">
        <v>36</v>
      </c>
      <c r="D11" s="880">
        <f>B11</f>
        <v>0</v>
      </c>
      <c r="E11" s="880">
        <f>B11/10</f>
        <v>0</v>
      </c>
      <c r="F11" s="880">
        <f>B11/50</f>
        <v>0</v>
      </c>
      <c r="G11" s="880">
        <f>B11/100</f>
        <v>0</v>
      </c>
      <c r="H11" s="880">
        <f>B11/1000</f>
        <v>0</v>
      </c>
      <c r="I11" s="881">
        <f>B11/5000</f>
        <v>0</v>
      </c>
      <c r="J11" s="882">
        <f>B11/10000</f>
        <v>0</v>
      </c>
      <c r="K11" s="882">
        <f>B11/50000</f>
        <v>0</v>
      </c>
      <c r="L11" s="882">
        <f>B11/100000</f>
        <v>0</v>
      </c>
      <c r="M11" s="883">
        <f>B11/500000</f>
        <v>0</v>
      </c>
      <c r="N11" s="779"/>
    </row>
    <row r="12" ht="18.75" customHeight="1">
      <c r="A12" s="48"/>
      <c r="B12" s="566">
        <v>0.0</v>
      </c>
      <c r="C12" s="879" t="s">
        <v>50</v>
      </c>
      <c r="D12" s="880">
        <f>B12*10</f>
        <v>0</v>
      </c>
      <c r="E12" s="880">
        <f>B12</f>
        <v>0</v>
      </c>
      <c r="F12" s="880">
        <f>B12/5</f>
        <v>0</v>
      </c>
      <c r="G12" s="880">
        <f>B12/10</f>
        <v>0</v>
      </c>
      <c r="H12" s="880">
        <f>B12/100</f>
        <v>0</v>
      </c>
      <c r="I12" s="880">
        <f>B12/500</f>
        <v>0</v>
      </c>
      <c r="J12" s="880">
        <f>B12/1000</f>
        <v>0</v>
      </c>
      <c r="K12" s="880">
        <f>B12/5000</f>
        <v>0</v>
      </c>
      <c r="L12" s="880">
        <f>B12/10000</f>
        <v>0</v>
      </c>
      <c r="M12" s="884">
        <f>B12/50000</f>
        <v>0</v>
      </c>
      <c r="N12" s="779"/>
    </row>
    <row r="13" ht="18.75" customHeight="1">
      <c r="A13" s="48"/>
      <c r="B13" s="566">
        <v>0.0</v>
      </c>
      <c r="C13" s="879" t="s">
        <v>54</v>
      </c>
      <c r="D13" s="880">
        <f>B13*50</f>
        <v>0</v>
      </c>
      <c r="E13" s="880">
        <f>B13*5</f>
        <v>0</v>
      </c>
      <c r="F13" s="880">
        <f>B13</f>
        <v>0</v>
      </c>
      <c r="G13" s="880">
        <f>B13/2</f>
        <v>0</v>
      </c>
      <c r="H13" s="880">
        <f>B13/20</f>
        <v>0</v>
      </c>
      <c r="I13" s="880">
        <f>B13/100</f>
        <v>0</v>
      </c>
      <c r="J13" s="882">
        <f>B13/200</f>
        <v>0</v>
      </c>
      <c r="K13" s="882">
        <f>B13/1000</f>
        <v>0</v>
      </c>
      <c r="L13" s="882">
        <f>B13/2000</f>
        <v>0</v>
      </c>
      <c r="M13" s="883">
        <f>B13/10000</f>
        <v>0</v>
      </c>
      <c r="N13" s="779"/>
    </row>
    <row r="14" ht="18.75" customHeight="1">
      <c r="A14" s="48"/>
      <c r="B14" s="566">
        <v>0.0</v>
      </c>
      <c r="C14" s="879" t="s">
        <v>59</v>
      </c>
      <c r="D14" s="880">
        <f>B14*100</f>
        <v>0</v>
      </c>
      <c r="E14" s="880">
        <f>B14*10</f>
        <v>0</v>
      </c>
      <c r="F14" s="880">
        <f>B14*2</f>
        <v>0</v>
      </c>
      <c r="G14" s="880">
        <f>B14</f>
        <v>0</v>
      </c>
      <c r="H14" s="880">
        <f>B14/10</f>
        <v>0</v>
      </c>
      <c r="I14" s="880">
        <f>B14/50</f>
        <v>0</v>
      </c>
      <c r="J14" s="882">
        <f>B14/100</f>
        <v>0</v>
      </c>
      <c r="K14" s="882">
        <f>B14/500</f>
        <v>0</v>
      </c>
      <c r="L14" s="882">
        <f>B14/1000</f>
        <v>0</v>
      </c>
      <c r="M14" s="883">
        <f>B14/5000</f>
        <v>0</v>
      </c>
      <c r="N14" s="779"/>
    </row>
    <row r="15" ht="18.75" customHeight="1">
      <c r="A15" s="48"/>
      <c r="B15" s="574">
        <v>0.0</v>
      </c>
      <c r="C15" s="885" t="s">
        <v>63</v>
      </c>
      <c r="D15" s="886">
        <f>B15*1000</f>
        <v>0</v>
      </c>
      <c r="E15" s="886">
        <f>B15*100</f>
        <v>0</v>
      </c>
      <c r="F15" s="886">
        <f>B15*20</f>
        <v>0</v>
      </c>
      <c r="G15" s="886">
        <f>B15*10</f>
        <v>0</v>
      </c>
      <c r="H15" s="886">
        <f>B15*1</f>
        <v>0</v>
      </c>
      <c r="I15" s="886">
        <f>B15/5</f>
        <v>0</v>
      </c>
      <c r="J15" s="887">
        <f>B15/10</f>
        <v>0</v>
      </c>
      <c r="K15" s="887">
        <f>B15/50</f>
        <v>0</v>
      </c>
      <c r="L15" s="887">
        <f>B15/100</f>
        <v>0</v>
      </c>
      <c r="M15" s="888">
        <f>B15/500</f>
        <v>0</v>
      </c>
      <c r="N15" s="779"/>
    </row>
    <row r="16" ht="7.5" customHeight="1">
      <c r="A16" s="48"/>
      <c r="B16" s="265"/>
      <c r="C16" s="267"/>
      <c r="D16" s="267"/>
      <c r="E16" s="267"/>
      <c r="F16" s="267"/>
      <c r="G16" s="267"/>
      <c r="H16" s="267"/>
      <c r="I16" s="267"/>
      <c r="J16" s="269"/>
      <c r="K16" s="269"/>
      <c r="L16" s="269"/>
      <c r="M16" s="269"/>
      <c r="N16" s="812"/>
      <c r="O16" s="233"/>
      <c r="P16" s="233"/>
      <c r="Q16" s="233"/>
      <c r="R16" s="233"/>
      <c r="S16" s="233"/>
      <c r="T16" s="233"/>
      <c r="U16" s="233"/>
      <c r="V16" s="233"/>
      <c r="W16" s="233"/>
      <c r="X16" s="233"/>
      <c r="Y16" s="233"/>
      <c r="Z16" s="233"/>
      <c r="AA16" s="233"/>
      <c r="AB16" s="233"/>
    </row>
    <row r="17" ht="18.75" customHeight="1">
      <c r="A17" s="48"/>
      <c r="B17" s="869" t="s">
        <v>69</v>
      </c>
      <c r="C17" s="872"/>
      <c r="D17" s="871" t="s">
        <v>17</v>
      </c>
      <c r="E17" s="872"/>
      <c r="F17" s="872"/>
      <c r="G17" s="872"/>
      <c r="H17" s="872"/>
      <c r="I17" s="872"/>
      <c r="J17" s="874"/>
      <c r="K17" s="874"/>
      <c r="L17" s="874"/>
      <c r="M17" s="875"/>
      <c r="N17" s="779"/>
    </row>
    <row r="18" ht="18.75" customHeight="1">
      <c r="A18" s="48"/>
      <c r="B18" s="876" t="s">
        <v>23</v>
      </c>
      <c r="C18" s="877" t="s">
        <v>10</v>
      </c>
      <c r="D18" s="877" t="s">
        <v>24</v>
      </c>
      <c r="E18" s="877" t="s">
        <v>25</v>
      </c>
      <c r="F18" s="877" t="s">
        <v>26</v>
      </c>
      <c r="G18" s="877" t="s">
        <v>27</v>
      </c>
      <c r="H18" s="877" t="s">
        <v>28</v>
      </c>
      <c r="I18" s="877" t="s">
        <v>29</v>
      </c>
      <c r="J18" s="877" t="s">
        <v>30</v>
      </c>
      <c r="K18" s="877" t="s">
        <v>31</v>
      </c>
      <c r="L18" s="877" t="s">
        <v>32</v>
      </c>
      <c r="M18" s="878" t="s">
        <v>33</v>
      </c>
      <c r="N18" s="779"/>
    </row>
    <row r="19" ht="18.75" customHeight="1">
      <c r="A19" s="48"/>
      <c r="B19" s="889">
        <v>0.0</v>
      </c>
      <c r="C19" s="879" t="s">
        <v>70</v>
      </c>
      <c r="D19" s="880">
        <f>B19*1000</f>
        <v>0</v>
      </c>
      <c r="E19" s="880">
        <f>B19*100</f>
        <v>0</v>
      </c>
      <c r="F19" s="880">
        <f>B19*20</f>
        <v>0</v>
      </c>
      <c r="G19" s="880">
        <f>B19*10</f>
        <v>0</v>
      </c>
      <c r="H19" s="880">
        <f>B19*1</f>
        <v>0</v>
      </c>
      <c r="I19" s="880">
        <f>B19/5</f>
        <v>0</v>
      </c>
      <c r="J19" s="882">
        <f>B19/10</f>
        <v>0</v>
      </c>
      <c r="K19" s="882">
        <f>B19/50</f>
        <v>0</v>
      </c>
      <c r="L19" s="882">
        <f>B19/100</f>
        <v>0</v>
      </c>
      <c r="M19" s="883">
        <f>B19/500</f>
        <v>0</v>
      </c>
      <c r="N19" s="779"/>
    </row>
    <row r="20" ht="18.75" customHeight="1">
      <c r="A20" s="48"/>
      <c r="B20" s="889">
        <v>0.0</v>
      </c>
      <c r="C20" s="879" t="s">
        <v>71</v>
      </c>
      <c r="D20" s="880">
        <f>B20*5000</f>
        <v>0</v>
      </c>
      <c r="E20" s="880">
        <f>B20*500</f>
        <v>0</v>
      </c>
      <c r="F20" s="880">
        <f>B20*100</f>
        <v>0</v>
      </c>
      <c r="G20" s="880">
        <f>B20*50</f>
        <v>0</v>
      </c>
      <c r="H20" s="880">
        <f>B20*5</f>
        <v>0</v>
      </c>
      <c r="I20" s="880">
        <f>B20</f>
        <v>0</v>
      </c>
      <c r="J20" s="882">
        <f>B20/2</f>
        <v>0</v>
      </c>
      <c r="K20" s="882">
        <f>B20/10</f>
        <v>0</v>
      </c>
      <c r="L20" s="882">
        <f>B20/20</f>
        <v>0</v>
      </c>
      <c r="M20" s="883">
        <f>B20/100</f>
        <v>0</v>
      </c>
      <c r="N20" s="779"/>
    </row>
    <row r="21" ht="18.75" customHeight="1">
      <c r="A21" s="48"/>
      <c r="B21" s="889">
        <v>0.0</v>
      </c>
      <c r="C21" s="879" t="s">
        <v>72</v>
      </c>
      <c r="D21" s="880">
        <f>B21*10000</f>
        <v>0</v>
      </c>
      <c r="E21" s="880">
        <f>B21*1000</f>
        <v>0</v>
      </c>
      <c r="F21" s="880">
        <f>B21*200</f>
        <v>0</v>
      </c>
      <c r="G21" s="880">
        <f>B21*100</f>
        <v>0</v>
      </c>
      <c r="H21" s="880">
        <f>B21*10</f>
        <v>0</v>
      </c>
      <c r="I21" s="880">
        <f>B21/5*10</f>
        <v>0</v>
      </c>
      <c r="J21" s="882">
        <f>B21</f>
        <v>0</v>
      </c>
      <c r="K21" s="882">
        <f>B21/5</f>
        <v>0</v>
      </c>
      <c r="L21" s="882">
        <f>B21/10</f>
        <v>0</v>
      </c>
      <c r="M21" s="883">
        <f>B21/50</f>
        <v>0</v>
      </c>
      <c r="N21" s="779"/>
    </row>
    <row r="22" ht="18.75" customHeight="1">
      <c r="A22" s="48"/>
      <c r="B22" s="889">
        <v>0.0</v>
      </c>
      <c r="C22" s="879" t="s">
        <v>73</v>
      </c>
      <c r="D22" s="880">
        <f>B22*50000</f>
        <v>0</v>
      </c>
      <c r="E22" s="880">
        <f>B22*5000</f>
        <v>0</v>
      </c>
      <c r="F22" s="880">
        <f>B22*1000</f>
        <v>0</v>
      </c>
      <c r="G22" s="880">
        <f>B22*500</f>
        <v>0</v>
      </c>
      <c r="H22" s="880">
        <f>B22*50</f>
        <v>0</v>
      </c>
      <c r="I22" s="880">
        <f>B22*10</f>
        <v>0</v>
      </c>
      <c r="J22" s="882">
        <f>B22/2*10</f>
        <v>0</v>
      </c>
      <c r="K22" s="882">
        <f>B22</f>
        <v>0</v>
      </c>
      <c r="L22" s="882">
        <f>B22/2</f>
        <v>0</v>
      </c>
      <c r="M22" s="883">
        <f>B22/10</f>
        <v>0</v>
      </c>
      <c r="N22" s="779"/>
    </row>
    <row r="23" ht="18.75" customHeight="1">
      <c r="A23" s="48"/>
      <c r="B23" s="889">
        <v>0.0</v>
      </c>
      <c r="C23" s="879" t="s">
        <v>74</v>
      </c>
      <c r="D23" s="880">
        <f>B23*100000</f>
        <v>0</v>
      </c>
      <c r="E23" s="880">
        <f>B23*10000</f>
        <v>0</v>
      </c>
      <c r="F23" s="880">
        <f>B23*2000</f>
        <v>0</v>
      </c>
      <c r="G23" s="880">
        <f>B23*1000</f>
        <v>0</v>
      </c>
      <c r="H23" s="880">
        <f>B23*100</f>
        <v>0</v>
      </c>
      <c r="I23" s="880">
        <f>B23/5*100</f>
        <v>0</v>
      </c>
      <c r="J23" s="882">
        <f>B23*10</f>
        <v>0</v>
      </c>
      <c r="K23" s="882">
        <f>B23/5*10</f>
        <v>0</v>
      </c>
      <c r="L23" s="882">
        <f>B23</f>
        <v>0</v>
      </c>
      <c r="M23" s="883">
        <f>B23/5</f>
        <v>0</v>
      </c>
      <c r="N23" s="779"/>
    </row>
    <row r="24" ht="18.75" customHeight="1">
      <c r="A24" s="48"/>
      <c r="B24" s="891">
        <v>0.0</v>
      </c>
      <c r="C24" s="885" t="s">
        <v>75</v>
      </c>
      <c r="D24" s="886">
        <f>B24*500000</f>
        <v>0</v>
      </c>
      <c r="E24" s="886">
        <f>B24*50000</f>
        <v>0</v>
      </c>
      <c r="F24" s="886">
        <f>B24*10000</f>
        <v>0</v>
      </c>
      <c r="G24" s="886">
        <f>B24*5000</f>
        <v>0</v>
      </c>
      <c r="H24" s="886">
        <f>B24*500</f>
        <v>0</v>
      </c>
      <c r="I24" s="886">
        <f>B24*100</f>
        <v>0</v>
      </c>
      <c r="J24" s="887">
        <f>B24/2*100</f>
        <v>0</v>
      </c>
      <c r="K24" s="887">
        <f>B24*10</f>
        <v>0</v>
      </c>
      <c r="L24" s="887">
        <f>B24/2*10</f>
        <v>0</v>
      </c>
      <c r="M24" s="888">
        <f>B24</f>
        <v>0</v>
      </c>
      <c r="N24" s="779"/>
    </row>
    <row r="25" ht="7.5" customHeight="1">
      <c r="A25" s="48"/>
      <c r="B25" s="199"/>
      <c r="C25" s="19"/>
      <c r="D25" s="19"/>
      <c r="E25" s="19"/>
      <c r="F25" s="19"/>
      <c r="G25" s="19"/>
      <c r="H25" s="19"/>
      <c r="I25" s="19"/>
      <c r="J25" s="42"/>
      <c r="K25" s="42"/>
      <c r="L25" s="42"/>
      <c r="M25" s="42"/>
      <c r="N25" s="779"/>
    </row>
    <row r="26" ht="18.75" customHeight="1">
      <c r="A26" s="48"/>
      <c r="B26" s="898" t="s">
        <v>23</v>
      </c>
      <c r="C26" s="899" t="s">
        <v>76</v>
      </c>
      <c r="D26" s="899" t="s">
        <v>77</v>
      </c>
      <c r="E26" s="899" t="s">
        <v>78</v>
      </c>
      <c r="F26" s="899" t="s">
        <v>11</v>
      </c>
      <c r="G26" s="900" t="s">
        <v>79</v>
      </c>
      <c r="H26" s="901" t="s">
        <v>80</v>
      </c>
      <c r="I26" s="289"/>
      <c r="J26" s="289"/>
      <c r="K26" s="289"/>
      <c r="L26" s="851"/>
      <c r="M26" s="902" t="s">
        <v>81</v>
      </c>
      <c r="N26" s="819"/>
    </row>
    <row r="27" ht="18.75" customHeight="1">
      <c r="A27" s="716">
        <f>IFERROR(VLOOKUP(H27,PartyStorage,2, FALSE),0)</f>
        <v>0</v>
      </c>
      <c r="B27" s="903">
        <f>sum(Ch6_Money)</f>
        <v>0</v>
      </c>
      <c r="C27" s="904" t="s">
        <v>16</v>
      </c>
      <c r="D27" s="904">
        <v>0.02</v>
      </c>
      <c r="E27" s="904"/>
      <c r="F27" s="905"/>
      <c r="G27" s="906"/>
      <c r="H27" s="907"/>
      <c r="L27" s="855"/>
      <c r="M27" s="908">
        <f t="shared" ref="M27:M28" si="1">IF(ISBLANK(C27),"",IF(ISBLANK(B27),D27,D27*B27))</f>
        <v>0</v>
      </c>
      <c r="N27" s="779">
        <f>IFERROR(VLOOKUP(F27,Ch6_Storage,2, FALSE),0)</f>
        <v>0</v>
      </c>
    </row>
    <row r="28" ht="18.75" customHeight="1">
      <c r="A28" s="716">
        <f>IFERROR(VLOOKUP(H28,PartyStorage,2, FALSE),0)</f>
        <v>0</v>
      </c>
      <c r="B28" s="909">
        <f>sum(Ch6_Gems)</f>
        <v>0</v>
      </c>
      <c r="C28" s="911" t="s">
        <v>69</v>
      </c>
      <c r="D28" s="911">
        <v>0.02</v>
      </c>
      <c r="E28" s="914"/>
      <c r="F28" s="916"/>
      <c r="G28" s="918"/>
      <c r="H28" s="919"/>
      <c r="L28" s="860"/>
      <c r="M28" s="921">
        <f t="shared" si="1"/>
        <v>0</v>
      </c>
      <c r="N28" s="779">
        <f>IFERROR(VLOOKUP(F28,Ch6_Storage,2, FALSE),0)</f>
        <v>0</v>
      </c>
    </row>
    <row r="29" ht="18.75" customHeight="1">
      <c r="A29" s="716">
        <f>IFERROR(VLOOKUP(H29,PartyStorage,2, FALSE),0)</f>
        <v>0</v>
      </c>
      <c r="B29" s="924"/>
      <c r="C29" s="926"/>
      <c r="D29" s="926"/>
      <c r="E29" s="926"/>
      <c r="F29" s="905"/>
      <c r="G29" s="928"/>
      <c r="H29" s="907"/>
      <c r="L29" s="855"/>
      <c r="M29" s="908"/>
      <c r="N29" s="779">
        <f>IFERROR(VLOOKUP(F29,Ch6_Storage,2, FALSE),0)</f>
        <v>0</v>
      </c>
    </row>
    <row r="30" ht="18.75" customHeight="1">
      <c r="A30" s="716">
        <f>IFERROR(VLOOKUP(H30,PartyStorage,2, FALSE),0)</f>
        <v>0</v>
      </c>
      <c r="B30" s="932"/>
      <c r="C30" s="914"/>
      <c r="D30" s="914"/>
      <c r="E30" s="914"/>
      <c r="F30" s="916"/>
      <c r="G30" s="934"/>
      <c r="H30" s="919"/>
      <c r="L30" s="860"/>
      <c r="M30" s="921" t="str">
        <f t="shared" ref="M30:M208" si="2">IF(ISBLANK(C30),"",IF(ISBLANK(B30),D30,D30*B30))</f>
        <v/>
      </c>
      <c r="N30" s="779">
        <f>IFERROR(VLOOKUP(F30,Ch6_Storage,2, FALSE),0)</f>
        <v>0</v>
      </c>
    </row>
    <row r="31" ht="18.75" customHeight="1">
      <c r="A31" s="716">
        <f>IFERROR(VLOOKUP(H31,PartyStorage,2, FALSE),0)</f>
        <v>0</v>
      </c>
      <c r="B31" s="924"/>
      <c r="C31" s="926"/>
      <c r="D31" s="926"/>
      <c r="E31" s="926"/>
      <c r="F31" s="937"/>
      <c r="G31" s="928"/>
      <c r="H31" s="907"/>
      <c r="L31" s="855"/>
      <c r="M31" s="908" t="str">
        <f t="shared" si="2"/>
        <v/>
      </c>
      <c r="N31" s="779">
        <f>IFERROR(VLOOKUP(F31,Ch6_Storage,2, FALSE),0)</f>
        <v>0</v>
      </c>
    </row>
    <row r="32" ht="18.75" customHeight="1">
      <c r="A32" s="716">
        <f>IFERROR(VLOOKUP(H32,PartyStorage,2, FALSE),0)</f>
        <v>0</v>
      </c>
      <c r="B32" s="932"/>
      <c r="C32" s="914"/>
      <c r="D32" s="914"/>
      <c r="E32" s="914"/>
      <c r="F32" s="916"/>
      <c r="G32" s="934"/>
      <c r="H32" s="919"/>
      <c r="L32" s="860"/>
      <c r="M32" s="921" t="str">
        <f t="shared" si="2"/>
        <v/>
      </c>
      <c r="N32" s="779">
        <f>IFERROR(VLOOKUP(F32,Ch6_Storage,2, FALSE),0)</f>
        <v>0</v>
      </c>
    </row>
    <row r="33" ht="18.75" customHeight="1">
      <c r="A33" s="716">
        <f>IFERROR(VLOOKUP(H33,PartyStorage,2, FALSE),0)</f>
        <v>0</v>
      </c>
      <c r="B33" s="924"/>
      <c r="C33" s="926"/>
      <c r="D33" s="926"/>
      <c r="E33" s="926"/>
      <c r="F33" s="937"/>
      <c r="G33" s="928"/>
      <c r="H33" s="907"/>
      <c r="L33" s="855"/>
      <c r="M33" s="908" t="str">
        <f t="shared" si="2"/>
        <v/>
      </c>
      <c r="N33" s="779">
        <f>IFERROR(VLOOKUP(F33,Ch6_Storage,2, FALSE),0)</f>
        <v>0</v>
      </c>
    </row>
    <row r="34" ht="18.75" customHeight="1">
      <c r="A34" s="716">
        <f>IFERROR(VLOOKUP(H34,PartyStorage,2, FALSE),0)</f>
        <v>0</v>
      </c>
      <c r="B34" s="932"/>
      <c r="C34" s="914"/>
      <c r="D34" s="914"/>
      <c r="E34" s="914"/>
      <c r="F34" s="916"/>
      <c r="G34" s="934"/>
      <c r="H34" s="919"/>
      <c r="L34" s="860"/>
      <c r="M34" s="921" t="str">
        <f t="shared" si="2"/>
        <v/>
      </c>
      <c r="N34" s="779">
        <f>IFERROR(VLOOKUP(F34,Ch6_Storage,2, FALSE),0)</f>
        <v>0</v>
      </c>
    </row>
    <row r="35" ht="18.75" customHeight="1">
      <c r="A35" s="716">
        <f>IFERROR(VLOOKUP(H35,PartyStorage,2, FALSE),0)</f>
        <v>0</v>
      </c>
      <c r="B35" s="924"/>
      <c r="C35" s="926"/>
      <c r="D35" s="926"/>
      <c r="E35" s="926"/>
      <c r="F35" s="937"/>
      <c r="G35" s="928"/>
      <c r="H35" s="907"/>
      <c r="L35" s="855"/>
      <c r="M35" s="908" t="str">
        <f t="shared" si="2"/>
        <v/>
      </c>
      <c r="N35" s="779">
        <f>IFERROR(VLOOKUP(F35,Ch6_Storage,2, FALSE),0)</f>
        <v>0</v>
      </c>
    </row>
    <row r="36" ht="18.75" customHeight="1">
      <c r="A36" s="716">
        <f>IFERROR(VLOOKUP(H36,PartyStorage,2, FALSE),0)</f>
        <v>0</v>
      </c>
      <c r="B36" s="932"/>
      <c r="C36" s="914"/>
      <c r="D36" s="914"/>
      <c r="E36" s="914"/>
      <c r="F36" s="916"/>
      <c r="G36" s="934"/>
      <c r="H36" s="919"/>
      <c r="L36" s="860"/>
      <c r="M36" s="921" t="str">
        <f t="shared" si="2"/>
        <v/>
      </c>
      <c r="N36" s="779">
        <f>IFERROR(VLOOKUP(F36,Ch6_Storage,2, FALSE),0)</f>
        <v>0</v>
      </c>
    </row>
    <row r="37" ht="18.75" customHeight="1">
      <c r="A37" s="716">
        <f>IFERROR(VLOOKUP(H37,PartyStorage,2, FALSE),0)</f>
        <v>0</v>
      </c>
      <c r="B37" s="924"/>
      <c r="C37" s="926"/>
      <c r="D37" s="926"/>
      <c r="E37" s="926"/>
      <c r="F37" s="937"/>
      <c r="G37" s="928"/>
      <c r="H37" s="907"/>
      <c r="L37" s="855"/>
      <c r="M37" s="908" t="str">
        <f t="shared" si="2"/>
        <v/>
      </c>
      <c r="N37" s="779">
        <f>IFERROR(VLOOKUP(F37,Ch6_Storage,2, FALSE),0)</f>
        <v>0</v>
      </c>
    </row>
    <row r="38" ht="18.75" customHeight="1">
      <c r="A38" s="716">
        <f>IFERROR(VLOOKUP(H38,PartyStorage,2, FALSE),0)</f>
        <v>0</v>
      </c>
      <c r="B38" s="932"/>
      <c r="C38" s="914"/>
      <c r="D38" s="914"/>
      <c r="E38" s="914"/>
      <c r="F38" s="916"/>
      <c r="G38" s="934"/>
      <c r="H38" s="919"/>
      <c r="L38" s="860"/>
      <c r="M38" s="921" t="str">
        <f t="shared" si="2"/>
        <v/>
      </c>
      <c r="N38" s="779">
        <f>IFERROR(VLOOKUP(F38,Ch6_Storage,2, FALSE),0)</f>
        <v>0</v>
      </c>
    </row>
    <row r="39" ht="18.75" customHeight="1">
      <c r="A39" s="716">
        <f>IFERROR(VLOOKUP(H39,PartyStorage,2, FALSE),0)</f>
        <v>0</v>
      </c>
      <c r="B39" s="924"/>
      <c r="C39" s="926"/>
      <c r="D39" s="926"/>
      <c r="E39" s="926"/>
      <c r="F39" s="937"/>
      <c r="G39" s="928"/>
      <c r="H39" s="907"/>
      <c r="L39" s="855"/>
      <c r="M39" s="908" t="str">
        <f t="shared" si="2"/>
        <v/>
      </c>
      <c r="N39" s="779">
        <f>IFERROR(VLOOKUP(F39,Ch6_Storage,2, FALSE),0)</f>
        <v>0</v>
      </c>
    </row>
    <row r="40" ht="18.75" customHeight="1">
      <c r="A40" s="716">
        <f>IFERROR(VLOOKUP(H40,PartyStorage,2, FALSE),0)</f>
        <v>0</v>
      </c>
      <c r="B40" s="932"/>
      <c r="C40" s="914"/>
      <c r="D40" s="914"/>
      <c r="E40" s="914"/>
      <c r="F40" s="916"/>
      <c r="G40" s="934"/>
      <c r="H40" s="919"/>
      <c r="L40" s="860"/>
      <c r="M40" s="921" t="str">
        <f t="shared" si="2"/>
        <v/>
      </c>
      <c r="N40" s="779">
        <f>IFERROR(VLOOKUP(F40,Ch6_Storage,2, FALSE),0)</f>
        <v>0</v>
      </c>
    </row>
    <row r="41" ht="18.75" customHeight="1">
      <c r="A41" s="716">
        <f>IFERROR(VLOOKUP(H41,PartyStorage,2, FALSE),0)</f>
        <v>0</v>
      </c>
      <c r="B41" s="924"/>
      <c r="C41" s="926"/>
      <c r="D41" s="926"/>
      <c r="E41" s="926"/>
      <c r="F41" s="937"/>
      <c r="G41" s="928"/>
      <c r="H41" s="907"/>
      <c r="L41" s="855"/>
      <c r="M41" s="908" t="str">
        <f t="shared" si="2"/>
        <v/>
      </c>
      <c r="N41" s="779">
        <f>IFERROR(VLOOKUP(F41,Ch6_Storage,2, FALSE),0)</f>
        <v>0</v>
      </c>
    </row>
    <row r="42" ht="18.75" customHeight="1">
      <c r="A42" s="716">
        <f>IFERROR(VLOOKUP(H42,PartyStorage,2, FALSE),0)</f>
        <v>0</v>
      </c>
      <c r="B42" s="932"/>
      <c r="C42" s="914"/>
      <c r="D42" s="914"/>
      <c r="E42" s="914"/>
      <c r="F42" s="916"/>
      <c r="G42" s="934"/>
      <c r="H42" s="919"/>
      <c r="L42" s="860"/>
      <c r="M42" s="921" t="str">
        <f t="shared" si="2"/>
        <v/>
      </c>
      <c r="N42" s="779">
        <f>IFERROR(VLOOKUP(F42,Ch6_Storage,2, FALSE),0)</f>
        <v>0</v>
      </c>
    </row>
    <row r="43" ht="18.75" customHeight="1">
      <c r="A43" s="716">
        <f>IFERROR(VLOOKUP(H43,PartyStorage,2, FALSE),0)</f>
        <v>0</v>
      </c>
      <c r="B43" s="924"/>
      <c r="C43" s="926"/>
      <c r="D43" s="926"/>
      <c r="E43" s="926"/>
      <c r="F43" s="937"/>
      <c r="G43" s="928"/>
      <c r="H43" s="907"/>
      <c r="L43" s="855"/>
      <c r="M43" s="908" t="str">
        <f t="shared" si="2"/>
        <v/>
      </c>
      <c r="N43" s="779">
        <f>IFERROR(VLOOKUP(F43,Ch6_Storage,2, FALSE),0)</f>
        <v>0</v>
      </c>
    </row>
    <row r="44" ht="18.75" customHeight="1">
      <c r="A44" s="716">
        <f>IFERROR(VLOOKUP(H44,PartyStorage,2, FALSE),0)</f>
        <v>0</v>
      </c>
      <c r="B44" s="932"/>
      <c r="C44" s="914"/>
      <c r="D44" s="914"/>
      <c r="E44" s="914"/>
      <c r="F44" s="916"/>
      <c r="G44" s="934"/>
      <c r="H44" s="919"/>
      <c r="L44" s="860"/>
      <c r="M44" s="921" t="str">
        <f t="shared" si="2"/>
        <v/>
      </c>
      <c r="N44" s="779">
        <f>IFERROR(VLOOKUP(F44,Ch6_Storage,2, FALSE),0)</f>
        <v>0</v>
      </c>
    </row>
    <row r="45" ht="18.75" customHeight="1">
      <c r="A45" s="716">
        <f>IFERROR(VLOOKUP(H45,PartyStorage,2, FALSE),0)</f>
        <v>0</v>
      </c>
      <c r="B45" s="924"/>
      <c r="C45" s="926"/>
      <c r="D45" s="926"/>
      <c r="E45" s="926"/>
      <c r="F45" s="937"/>
      <c r="G45" s="928"/>
      <c r="H45" s="907"/>
      <c r="L45" s="855"/>
      <c r="M45" s="908" t="str">
        <f t="shared" si="2"/>
        <v/>
      </c>
      <c r="N45" s="779">
        <f>IFERROR(VLOOKUP(F45,Ch6_Storage,2, FALSE),0)</f>
        <v>0</v>
      </c>
    </row>
    <row r="46" ht="18.75" customHeight="1">
      <c r="A46" s="716">
        <f>IFERROR(VLOOKUP(H46,PartyStorage,2, FALSE),0)</f>
        <v>0</v>
      </c>
      <c r="B46" s="932"/>
      <c r="C46" s="914"/>
      <c r="D46" s="914"/>
      <c r="E46" s="914"/>
      <c r="F46" s="916"/>
      <c r="G46" s="934"/>
      <c r="H46" s="919"/>
      <c r="L46" s="860"/>
      <c r="M46" s="921" t="str">
        <f t="shared" si="2"/>
        <v/>
      </c>
      <c r="N46" s="779">
        <f>IFERROR(VLOOKUP(F46,Ch6_Storage,2, FALSE),0)</f>
        <v>0</v>
      </c>
    </row>
    <row r="47" ht="18.75" customHeight="1">
      <c r="A47" s="716">
        <f>IFERROR(VLOOKUP(H47,PartyStorage,2, FALSE),0)</f>
        <v>0</v>
      </c>
      <c r="B47" s="924"/>
      <c r="C47" s="926"/>
      <c r="D47" s="926"/>
      <c r="E47" s="926"/>
      <c r="F47" s="937"/>
      <c r="G47" s="928"/>
      <c r="H47" s="907"/>
      <c r="L47" s="855"/>
      <c r="M47" s="908" t="str">
        <f t="shared" si="2"/>
        <v/>
      </c>
      <c r="N47" s="779">
        <f>IFERROR(VLOOKUP(F47,Ch6_Storage,2, FALSE),0)</f>
        <v>0</v>
      </c>
    </row>
    <row r="48" ht="18.75" customHeight="1">
      <c r="A48" s="716">
        <f>IFERROR(VLOOKUP(H48,PartyStorage,2, FALSE),0)</f>
        <v>0</v>
      </c>
      <c r="B48" s="932"/>
      <c r="C48" s="914"/>
      <c r="D48" s="914"/>
      <c r="E48" s="914"/>
      <c r="F48" s="916"/>
      <c r="G48" s="934"/>
      <c r="H48" s="919"/>
      <c r="L48" s="860"/>
      <c r="M48" s="921" t="str">
        <f t="shared" si="2"/>
        <v/>
      </c>
      <c r="N48" s="779">
        <f>IFERROR(VLOOKUP(F48,Ch6_Storage,2, FALSE),0)</f>
        <v>0</v>
      </c>
    </row>
    <row r="49" ht="18.75" customHeight="1">
      <c r="A49" s="716">
        <f>IFERROR(VLOOKUP(H49,PartyStorage,2, FALSE),0)</f>
        <v>0</v>
      </c>
      <c r="B49" s="924"/>
      <c r="C49" s="926"/>
      <c r="D49" s="926"/>
      <c r="E49" s="926"/>
      <c r="F49" s="937"/>
      <c r="G49" s="928"/>
      <c r="H49" s="907"/>
      <c r="L49" s="855"/>
      <c r="M49" s="908" t="str">
        <f t="shared" si="2"/>
        <v/>
      </c>
      <c r="N49" s="779">
        <f>IFERROR(VLOOKUP(F49,Ch6_Storage,2, FALSE),0)</f>
        <v>0</v>
      </c>
    </row>
    <row r="50" ht="18.75" customHeight="1">
      <c r="A50" s="716">
        <f>IFERROR(VLOOKUP(H50,PartyStorage,2, FALSE),0)</f>
        <v>0</v>
      </c>
      <c r="B50" s="932"/>
      <c r="C50" s="914"/>
      <c r="D50" s="914"/>
      <c r="E50" s="914"/>
      <c r="F50" s="916"/>
      <c r="G50" s="934"/>
      <c r="H50" s="919"/>
      <c r="L50" s="860"/>
      <c r="M50" s="921" t="str">
        <f t="shared" si="2"/>
        <v/>
      </c>
      <c r="N50" s="779">
        <f>IFERROR(VLOOKUP(F50,Ch6_Storage,2, FALSE),0)</f>
        <v>0</v>
      </c>
    </row>
    <row r="51" ht="18.75" customHeight="1">
      <c r="A51" s="716">
        <f>IFERROR(VLOOKUP(H51,PartyStorage,2, FALSE),0)</f>
        <v>0</v>
      </c>
      <c r="B51" s="924"/>
      <c r="C51" s="926"/>
      <c r="D51" s="926"/>
      <c r="E51" s="926"/>
      <c r="F51" s="937"/>
      <c r="G51" s="928"/>
      <c r="H51" s="907"/>
      <c r="L51" s="855"/>
      <c r="M51" s="908" t="str">
        <f t="shared" si="2"/>
        <v/>
      </c>
      <c r="N51" s="779">
        <f>IFERROR(VLOOKUP(F51,Ch6_Storage,2, FALSE),0)</f>
        <v>0</v>
      </c>
    </row>
    <row r="52" ht="18.75" customHeight="1">
      <c r="A52" s="716">
        <f>IFERROR(VLOOKUP(H52,PartyStorage,2, FALSE),0)</f>
        <v>0</v>
      </c>
      <c r="B52" s="932"/>
      <c r="C52" s="914"/>
      <c r="D52" s="914"/>
      <c r="E52" s="914"/>
      <c r="F52" s="916"/>
      <c r="G52" s="934"/>
      <c r="H52" s="919"/>
      <c r="L52" s="860"/>
      <c r="M52" s="921" t="str">
        <f t="shared" si="2"/>
        <v/>
      </c>
      <c r="N52" s="779">
        <f>IFERROR(VLOOKUP(F52,Ch6_Storage,2, FALSE),0)</f>
        <v>0</v>
      </c>
    </row>
    <row r="53" ht="18.75" customHeight="1">
      <c r="A53" s="716">
        <f>IFERROR(VLOOKUP(H53,PartyStorage,2, FALSE),0)</f>
        <v>0</v>
      </c>
      <c r="B53" s="924"/>
      <c r="C53" s="926"/>
      <c r="D53" s="926"/>
      <c r="E53" s="926"/>
      <c r="F53" s="937"/>
      <c r="G53" s="928"/>
      <c r="H53" s="907"/>
      <c r="L53" s="855"/>
      <c r="M53" s="908" t="str">
        <f t="shared" si="2"/>
        <v/>
      </c>
      <c r="N53" s="779">
        <f>IFERROR(VLOOKUP(F53,Ch6_Storage,2, FALSE),0)</f>
        <v>0</v>
      </c>
    </row>
    <row r="54" ht="18.75" customHeight="1">
      <c r="A54" s="716">
        <f>IFERROR(VLOOKUP(H54,PartyStorage,2, FALSE),0)</f>
        <v>0</v>
      </c>
      <c r="B54" s="932"/>
      <c r="C54" s="914"/>
      <c r="D54" s="914"/>
      <c r="E54" s="914"/>
      <c r="F54" s="916"/>
      <c r="G54" s="934"/>
      <c r="H54" s="919"/>
      <c r="L54" s="860"/>
      <c r="M54" s="921" t="str">
        <f t="shared" si="2"/>
        <v/>
      </c>
      <c r="N54" s="779">
        <f>IFERROR(VLOOKUP(F54,Ch6_Storage,2, FALSE),0)</f>
        <v>0</v>
      </c>
    </row>
    <row r="55" ht="18.75" customHeight="1">
      <c r="A55" s="716">
        <f>IFERROR(VLOOKUP(H55,PartyStorage,2, FALSE),0)</f>
        <v>0</v>
      </c>
      <c r="B55" s="924"/>
      <c r="C55" s="926"/>
      <c r="D55" s="926"/>
      <c r="E55" s="926"/>
      <c r="F55" s="937"/>
      <c r="G55" s="928"/>
      <c r="H55" s="907"/>
      <c r="L55" s="855"/>
      <c r="M55" s="908" t="str">
        <f t="shared" si="2"/>
        <v/>
      </c>
      <c r="N55" s="779">
        <f>IFERROR(VLOOKUP(F55,Ch6_Storage,2, FALSE),0)</f>
        <v>0</v>
      </c>
    </row>
    <row r="56" ht="18.75" customHeight="1">
      <c r="A56" s="716">
        <f>IFERROR(VLOOKUP(H56,PartyStorage,2, FALSE),0)</f>
        <v>0</v>
      </c>
      <c r="B56" s="932"/>
      <c r="C56" s="914"/>
      <c r="D56" s="914"/>
      <c r="E56" s="914"/>
      <c r="F56" s="916"/>
      <c r="G56" s="934"/>
      <c r="H56" s="919"/>
      <c r="L56" s="860"/>
      <c r="M56" s="921" t="str">
        <f t="shared" si="2"/>
        <v/>
      </c>
      <c r="N56" s="779">
        <f>IFERROR(VLOOKUP(F56,Ch6_Storage,2, FALSE),0)</f>
        <v>0</v>
      </c>
    </row>
    <row r="57" ht="18.75" customHeight="1">
      <c r="A57" s="716">
        <f>IFERROR(VLOOKUP(H57,PartyStorage,2, FALSE),0)</f>
        <v>0</v>
      </c>
      <c r="B57" s="924"/>
      <c r="C57" s="926"/>
      <c r="D57" s="926"/>
      <c r="E57" s="926"/>
      <c r="F57" s="937"/>
      <c r="G57" s="928"/>
      <c r="H57" s="907"/>
      <c r="L57" s="855"/>
      <c r="M57" s="908" t="str">
        <f t="shared" si="2"/>
        <v/>
      </c>
      <c r="N57" s="779">
        <f>IFERROR(VLOOKUP(F57,Ch6_Storage,2, FALSE),0)</f>
        <v>0</v>
      </c>
    </row>
    <row r="58" ht="18.75" customHeight="1">
      <c r="A58" s="716">
        <f>IFERROR(VLOOKUP(H58,PartyStorage,2, FALSE),0)</f>
        <v>0</v>
      </c>
      <c r="B58" s="932"/>
      <c r="C58" s="914"/>
      <c r="D58" s="914"/>
      <c r="E58" s="914"/>
      <c r="F58" s="916"/>
      <c r="G58" s="934"/>
      <c r="H58" s="919"/>
      <c r="L58" s="860"/>
      <c r="M58" s="921" t="str">
        <f t="shared" si="2"/>
        <v/>
      </c>
      <c r="N58" s="779">
        <f>IFERROR(VLOOKUP(F58,Ch6_Storage,2, FALSE),0)</f>
        <v>0</v>
      </c>
    </row>
    <row r="59" ht="18.75" customHeight="1">
      <c r="A59" s="716">
        <f>IFERROR(VLOOKUP(H59,PartyStorage,2, FALSE),0)</f>
        <v>0</v>
      </c>
      <c r="B59" s="924"/>
      <c r="C59" s="926"/>
      <c r="D59" s="926"/>
      <c r="E59" s="926"/>
      <c r="F59" s="937"/>
      <c r="G59" s="928"/>
      <c r="H59" s="907"/>
      <c r="L59" s="855"/>
      <c r="M59" s="908" t="str">
        <f t="shared" si="2"/>
        <v/>
      </c>
      <c r="N59" s="779">
        <f>IFERROR(VLOOKUP(F59,Ch6_Storage,2, FALSE),0)</f>
        <v>0</v>
      </c>
    </row>
    <row r="60" ht="18.75" customHeight="1">
      <c r="A60" s="716">
        <f>IFERROR(VLOOKUP(H60,PartyStorage,2, FALSE),0)</f>
        <v>0</v>
      </c>
      <c r="B60" s="932"/>
      <c r="C60" s="914"/>
      <c r="D60" s="914"/>
      <c r="E60" s="914"/>
      <c r="F60" s="916"/>
      <c r="G60" s="934"/>
      <c r="H60" s="919"/>
      <c r="L60" s="860"/>
      <c r="M60" s="921" t="str">
        <f t="shared" si="2"/>
        <v/>
      </c>
      <c r="N60" s="779">
        <f>IFERROR(VLOOKUP(F60,Ch6_Storage,2, FALSE),0)</f>
        <v>0</v>
      </c>
    </row>
    <row r="61" ht="18.75" customHeight="1">
      <c r="A61" s="716">
        <f>IFERROR(VLOOKUP(H61,PartyStorage,2, FALSE),0)</f>
        <v>0</v>
      </c>
      <c r="B61" s="924"/>
      <c r="C61" s="926"/>
      <c r="D61" s="926"/>
      <c r="E61" s="926"/>
      <c r="F61" s="937"/>
      <c r="G61" s="928"/>
      <c r="H61" s="907"/>
      <c r="L61" s="855"/>
      <c r="M61" s="908" t="str">
        <f t="shared" si="2"/>
        <v/>
      </c>
      <c r="N61" s="779">
        <f>IFERROR(VLOOKUP(F61,Ch6_Storage,2, FALSE),0)</f>
        <v>0</v>
      </c>
    </row>
    <row r="62" ht="18.75" customHeight="1">
      <c r="A62" s="716">
        <f>IFERROR(VLOOKUP(H62,PartyStorage,2, FALSE),0)</f>
        <v>0</v>
      </c>
      <c r="B62" s="932"/>
      <c r="C62" s="914"/>
      <c r="D62" s="914"/>
      <c r="E62" s="914"/>
      <c r="F62" s="916"/>
      <c r="G62" s="934"/>
      <c r="H62" s="919"/>
      <c r="L62" s="860"/>
      <c r="M62" s="921" t="str">
        <f t="shared" si="2"/>
        <v/>
      </c>
      <c r="N62" s="779">
        <f>IFERROR(VLOOKUP(F62,Ch6_Storage,2, FALSE),0)</f>
        <v>0</v>
      </c>
    </row>
    <row r="63" ht="18.75" customHeight="1">
      <c r="A63" s="716">
        <f>IFERROR(VLOOKUP(H63,PartyStorage,2, FALSE),0)</f>
        <v>0</v>
      </c>
      <c r="B63" s="924"/>
      <c r="C63" s="926"/>
      <c r="D63" s="926"/>
      <c r="E63" s="926"/>
      <c r="F63" s="937"/>
      <c r="G63" s="928"/>
      <c r="H63" s="907"/>
      <c r="L63" s="855"/>
      <c r="M63" s="908" t="str">
        <f t="shared" si="2"/>
        <v/>
      </c>
      <c r="N63" s="779">
        <f>IFERROR(VLOOKUP(F63,Ch6_Storage,2, FALSE),0)</f>
        <v>0</v>
      </c>
    </row>
    <row r="64" ht="18.75" customHeight="1">
      <c r="A64" s="716">
        <f>IFERROR(VLOOKUP(H64,PartyStorage,2, FALSE),0)</f>
        <v>0</v>
      </c>
      <c r="B64" s="932"/>
      <c r="C64" s="914"/>
      <c r="D64" s="914"/>
      <c r="E64" s="914"/>
      <c r="F64" s="916"/>
      <c r="G64" s="934"/>
      <c r="H64" s="919"/>
      <c r="L64" s="860"/>
      <c r="M64" s="921" t="str">
        <f t="shared" si="2"/>
        <v/>
      </c>
      <c r="N64" s="779">
        <f>IFERROR(VLOOKUP(F64,Ch6_Storage,2, FALSE),0)</f>
        <v>0</v>
      </c>
    </row>
    <row r="65" ht="18.75" customHeight="1">
      <c r="A65" s="716">
        <f>IFERROR(VLOOKUP(H65,PartyStorage,2, FALSE),0)</f>
        <v>0</v>
      </c>
      <c r="B65" s="924"/>
      <c r="C65" s="926"/>
      <c r="D65" s="926"/>
      <c r="E65" s="926"/>
      <c r="F65" s="937"/>
      <c r="G65" s="928"/>
      <c r="H65" s="907"/>
      <c r="L65" s="855"/>
      <c r="M65" s="908" t="str">
        <f t="shared" si="2"/>
        <v/>
      </c>
      <c r="N65" s="779">
        <f>IFERROR(VLOOKUP(F65,Ch6_Storage,2, FALSE),0)</f>
        <v>0</v>
      </c>
    </row>
    <row r="66" ht="18.75" customHeight="1">
      <c r="A66" s="716">
        <f>IFERROR(VLOOKUP(H66,PartyStorage,2, FALSE),0)</f>
        <v>0</v>
      </c>
      <c r="B66" s="932"/>
      <c r="C66" s="914"/>
      <c r="D66" s="914"/>
      <c r="E66" s="914"/>
      <c r="F66" s="916"/>
      <c r="G66" s="934"/>
      <c r="H66" s="919"/>
      <c r="L66" s="860"/>
      <c r="M66" s="921" t="str">
        <f t="shared" si="2"/>
        <v/>
      </c>
      <c r="N66" s="779">
        <f>IFERROR(VLOOKUP(F66,Ch6_Storage,2, FALSE),0)</f>
        <v>0</v>
      </c>
    </row>
    <row r="67" ht="18.75" customHeight="1">
      <c r="A67" s="716">
        <f>IFERROR(VLOOKUP(H67,PartyStorage,2, FALSE),0)</f>
        <v>0</v>
      </c>
      <c r="B67" s="924"/>
      <c r="C67" s="926"/>
      <c r="D67" s="926"/>
      <c r="E67" s="926"/>
      <c r="F67" s="937"/>
      <c r="G67" s="928"/>
      <c r="H67" s="907"/>
      <c r="L67" s="855"/>
      <c r="M67" s="908" t="str">
        <f t="shared" si="2"/>
        <v/>
      </c>
      <c r="N67" s="779">
        <f>IFERROR(VLOOKUP(F67,Ch6_Storage,2, FALSE),0)</f>
        <v>0</v>
      </c>
    </row>
    <row r="68" ht="18.75" customHeight="1">
      <c r="A68" s="716">
        <f>IFERROR(VLOOKUP(H68,PartyStorage,2, FALSE),0)</f>
        <v>0</v>
      </c>
      <c r="B68" s="932"/>
      <c r="C68" s="914"/>
      <c r="D68" s="914"/>
      <c r="E68" s="914"/>
      <c r="F68" s="916"/>
      <c r="G68" s="934"/>
      <c r="H68" s="919"/>
      <c r="L68" s="860"/>
      <c r="M68" s="921" t="str">
        <f t="shared" si="2"/>
        <v/>
      </c>
      <c r="N68" s="779">
        <f>IFERROR(VLOOKUP(F68,Ch6_Storage,2, FALSE),0)</f>
        <v>0</v>
      </c>
    </row>
    <row r="69" ht="18.75" customHeight="1">
      <c r="A69" s="716">
        <f>IFERROR(VLOOKUP(H69,PartyStorage,2, FALSE),0)</f>
        <v>0</v>
      </c>
      <c r="B69" s="924"/>
      <c r="C69" s="926"/>
      <c r="D69" s="926"/>
      <c r="E69" s="926"/>
      <c r="F69" s="937"/>
      <c r="G69" s="928"/>
      <c r="H69" s="907"/>
      <c r="L69" s="855"/>
      <c r="M69" s="908" t="str">
        <f t="shared" si="2"/>
        <v/>
      </c>
      <c r="N69" s="779">
        <f>IFERROR(VLOOKUP(F69,Ch6_Storage,2, FALSE),0)</f>
        <v>0</v>
      </c>
    </row>
    <row r="70" ht="18.75" customHeight="1">
      <c r="A70" s="716">
        <f>IFERROR(VLOOKUP(H70,PartyStorage,2, FALSE),0)</f>
        <v>0</v>
      </c>
      <c r="B70" s="932"/>
      <c r="C70" s="914"/>
      <c r="D70" s="914"/>
      <c r="E70" s="914"/>
      <c r="F70" s="916"/>
      <c r="G70" s="934"/>
      <c r="H70" s="919"/>
      <c r="L70" s="860"/>
      <c r="M70" s="921" t="str">
        <f t="shared" si="2"/>
        <v/>
      </c>
      <c r="N70" s="779">
        <f>IFERROR(VLOOKUP(F70,Ch6_Storage,2, FALSE),0)</f>
        <v>0</v>
      </c>
    </row>
    <row r="71" ht="18.75" customHeight="1">
      <c r="A71" s="716">
        <f>IFERROR(VLOOKUP(H71,PartyStorage,2, FALSE),0)</f>
        <v>0</v>
      </c>
      <c r="B71" s="924"/>
      <c r="C71" s="926"/>
      <c r="D71" s="926"/>
      <c r="E71" s="926"/>
      <c r="F71" s="937"/>
      <c r="G71" s="928"/>
      <c r="H71" s="907"/>
      <c r="L71" s="855"/>
      <c r="M71" s="908" t="str">
        <f t="shared" si="2"/>
        <v/>
      </c>
      <c r="N71" s="779">
        <f>IFERROR(VLOOKUP(F71,Ch6_Storage,2, FALSE),0)</f>
        <v>0</v>
      </c>
    </row>
    <row r="72" ht="18.75" customHeight="1">
      <c r="A72" s="716">
        <f>IFERROR(VLOOKUP(H72,PartyStorage,2, FALSE),0)</f>
        <v>0</v>
      </c>
      <c r="B72" s="932"/>
      <c r="C72" s="914"/>
      <c r="D72" s="914"/>
      <c r="E72" s="914"/>
      <c r="F72" s="916"/>
      <c r="G72" s="934"/>
      <c r="H72" s="919"/>
      <c r="L72" s="860"/>
      <c r="M72" s="921" t="str">
        <f t="shared" si="2"/>
        <v/>
      </c>
      <c r="N72" s="779">
        <f>IFERROR(VLOOKUP(F72,Ch6_Storage,2, FALSE),0)</f>
        <v>0</v>
      </c>
    </row>
    <row r="73" ht="18.75" customHeight="1">
      <c r="A73" s="716">
        <f>IFERROR(VLOOKUP(H73,PartyStorage,2, FALSE),0)</f>
        <v>0</v>
      </c>
      <c r="B73" s="924"/>
      <c r="C73" s="926"/>
      <c r="D73" s="926"/>
      <c r="E73" s="926"/>
      <c r="F73" s="937"/>
      <c r="G73" s="928"/>
      <c r="H73" s="907"/>
      <c r="L73" s="855"/>
      <c r="M73" s="908" t="str">
        <f t="shared" si="2"/>
        <v/>
      </c>
      <c r="N73" s="779">
        <f>IFERROR(VLOOKUP(F73,Ch6_Storage,2, FALSE),0)</f>
        <v>0</v>
      </c>
    </row>
    <row r="74" ht="18.75" customHeight="1">
      <c r="A74" s="716">
        <f>IFERROR(VLOOKUP(H74,PartyStorage,2, FALSE),0)</f>
        <v>0</v>
      </c>
      <c r="B74" s="932"/>
      <c r="C74" s="914"/>
      <c r="D74" s="914"/>
      <c r="E74" s="914"/>
      <c r="F74" s="916"/>
      <c r="G74" s="934"/>
      <c r="H74" s="919"/>
      <c r="L74" s="860"/>
      <c r="M74" s="921" t="str">
        <f t="shared" si="2"/>
        <v/>
      </c>
      <c r="N74" s="779">
        <f>IFERROR(VLOOKUP(F74,Ch6_Storage,2, FALSE),0)</f>
        <v>0</v>
      </c>
    </row>
    <row r="75" ht="18.75" customHeight="1">
      <c r="A75" s="716">
        <f>IFERROR(VLOOKUP(H75,PartyStorage,2, FALSE),0)</f>
        <v>0</v>
      </c>
      <c r="B75" s="924"/>
      <c r="C75" s="926"/>
      <c r="D75" s="926"/>
      <c r="E75" s="926"/>
      <c r="F75" s="937"/>
      <c r="G75" s="928"/>
      <c r="H75" s="907"/>
      <c r="L75" s="855"/>
      <c r="M75" s="908" t="str">
        <f t="shared" si="2"/>
        <v/>
      </c>
      <c r="N75" s="779">
        <f>IFERROR(VLOOKUP(F75,Ch6_Storage,2, FALSE),0)</f>
        <v>0</v>
      </c>
    </row>
    <row r="76" ht="18.75" customHeight="1">
      <c r="A76" s="716">
        <f>IFERROR(VLOOKUP(H76,PartyStorage,2, FALSE),0)</f>
        <v>0</v>
      </c>
      <c r="B76" s="932"/>
      <c r="C76" s="914"/>
      <c r="D76" s="914"/>
      <c r="E76" s="914"/>
      <c r="F76" s="916"/>
      <c r="G76" s="934"/>
      <c r="H76" s="919"/>
      <c r="L76" s="860"/>
      <c r="M76" s="921" t="str">
        <f t="shared" si="2"/>
        <v/>
      </c>
      <c r="N76" s="779">
        <f>IFERROR(VLOOKUP(F76,Ch6_Storage,2, FALSE),0)</f>
        <v>0</v>
      </c>
    </row>
    <row r="77" ht="18.75" customHeight="1">
      <c r="A77" s="716">
        <f>IFERROR(VLOOKUP(H77,PartyStorage,2, FALSE),0)</f>
        <v>0</v>
      </c>
      <c r="B77" s="924"/>
      <c r="C77" s="926"/>
      <c r="D77" s="926"/>
      <c r="E77" s="926"/>
      <c r="F77" s="937"/>
      <c r="G77" s="928"/>
      <c r="H77" s="907"/>
      <c r="L77" s="855"/>
      <c r="M77" s="908" t="str">
        <f t="shared" si="2"/>
        <v/>
      </c>
      <c r="N77" s="779">
        <f>IFERROR(VLOOKUP(F77,Ch6_Storage,2, FALSE),0)</f>
        <v>0</v>
      </c>
    </row>
    <row r="78" ht="18.75" customHeight="1">
      <c r="A78" s="716">
        <f>IFERROR(VLOOKUP(H78,PartyStorage,2, FALSE),0)</f>
        <v>0</v>
      </c>
      <c r="B78" s="932"/>
      <c r="C78" s="914"/>
      <c r="D78" s="914"/>
      <c r="E78" s="914"/>
      <c r="F78" s="916"/>
      <c r="G78" s="934"/>
      <c r="H78" s="919"/>
      <c r="L78" s="860"/>
      <c r="M78" s="921" t="str">
        <f t="shared" si="2"/>
        <v/>
      </c>
      <c r="N78" s="779">
        <f>IFERROR(VLOOKUP(F78,Ch6_Storage,2, FALSE),0)</f>
        <v>0</v>
      </c>
    </row>
    <row r="79" ht="18.75" customHeight="1">
      <c r="A79" s="716">
        <f>IFERROR(VLOOKUP(H79,PartyStorage,2, FALSE),0)</f>
        <v>0</v>
      </c>
      <c r="B79" s="924"/>
      <c r="C79" s="926"/>
      <c r="D79" s="926"/>
      <c r="E79" s="926"/>
      <c r="F79" s="937"/>
      <c r="G79" s="928"/>
      <c r="H79" s="907"/>
      <c r="L79" s="855"/>
      <c r="M79" s="908" t="str">
        <f t="shared" si="2"/>
        <v/>
      </c>
      <c r="N79" s="779">
        <f>IFERROR(VLOOKUP(F79,Ch6_Storage,2, FALSE),0)</f>
        <v>0</v>
      </c>
    </row>
    <row r="80" ht="18.75" customHeight="1">
      <c r="A80" s="716">
        <f>IFERROR(VLOOKUP(H80,PartyStorage,2, FALSE),0)</f>
        <v>0</v>
      </c>
      <c r="B80" s="932"/>
      <c r="C80" s="914"/>
      <c r="D80" s="914"/>
      <c r="E80" s="914"/>
      <c r="F80" s="916"/>
      <c r="G80" s="934"/>
      <c r="H80" s="919"/>
      <c r="L80" s="860"/>
      <c r="M80" s="921" t="str">
        <f t="shared" si="2"/>
        <v/>
      </c>
      <c r="N80" s="779">
        <f>IFERROR(VLOOKUP(F80,Ch6_Storage,2, FALSE),0)</f>
        <v>0</v>
      </c>
    </row>
    <row r="81" ht="18.75" customHeight="1">
      <c r="A81" s="716">
        <f>IFERROR(VLOOKUP(H81,PartyStorage,2, FALSE),0)</f>
        <v>0</v>
      </c>
      <c r="B81" s="924"/>
      <c r="C81" s="926"/>
      <c r="D81" s="926"/>
      <c r="E81" s="926"/>
      <c r="F81" s="937"/>
      <c r="G81" s="928"/>
      <c r="H81" s="907"/>
      <c r="L81" s="855"/>
      <c r="M81" s="908" t="str">
        <f t="shared" si="2"/>
        <v/>
      </c>
      <c r="N81" s="779">
        <f>IFERROR(VLOOKUP(F81,Ch6_Storage,2, FALSE),0)</f>
        <v>0</v>
      </c>
    </row>
    <row r="82" ht="18.75" customHeight="1">
      <c r="A82" s="716">
        <f>IFERROR(VLOOKUP(H82,PartyStorage,2, FALSE),0)</f>
        <v>0</v>
      </c>
      <c r="B82" s="932"/>
      <c r="C82" s="914"/>
      <c r="D82" s="914"/>
      <c r="E82" s="914"/>
      <c r="F82" s="916"/>
      <c r="G82" s="934"/>
      <c r="H82" s="919"/>
      <c r="L82" s="860"/>
      <c r="M82" s="921" t="str">
        <f t="shared" si="2"/>
        <v/>
      </c>
      <c r="N82" s="779">
        <f>IFERROR(VLOOKUP(F82,Ch6_Storage,2, FALSE),0)</f>
        <v>0</v>
      </c>
    </row>
    <row r="83" ht="18.75" customHeight="1">
      <c r="A83" s="716">
        <f>IFERROR(VLOOKUP(H83,PartyStorage,2, FALSE),0)</f>
        <v>0</v>
      </c>
      <c r="B83" s="924"/>
      <c r="C83" s="926"/>
      <c r="D83" s="926"/>
      <c r="E83" s="926"/>
      <c r="F83" s="937"/>
      <c r="G83" s="928"/>
      <c r="H83" s="907"/>
      <c r="L83" s="855"/>
      <c r="M83" s="908" t="str">
        <f t="shared" si="2"/>
        <v/>
      </c>
      <c r="N83" s="779">
        <f>IFERROR(VLOOKUP(F83,Ch6_Storage,2, FALSE),0)</f>
        <v>0</v>
      </c>
    </row>
    <row r="84" ht="18.75" customHeight="1">
      <c r="A84" s="716">
        <f>IFERROR(VLOOKUP(H84,PartyStorage,2, FALSE),0)</f>
        <v>0</v>
      </c>
      <c r="B84" s="932"/>
      <c r="C84" s="914"/>
      <c r="D84" s="914"/>
      <c r="E84" s="914"/>
      <c r="F84" s="916"/>
      <c r="G84" s="934"/>
      <c r="H84" s="919"/>
      <c r="L84" s="860"/>
      <c r="M84" s="921" t="str">
        <f t="shared" si="2"/>
        <v/>
      </c>
      <c r="N84" s="779">
        <f>IFERROR(VLOOKUP(F84,Ch6_Storage,2, FALSE),0)</f>
        <v>0</v>
      </c>
    </row>
    <row r="85" ht="18.75" customHeight="1">
      <c r="A85" s="716">
        <f>IFERROR(VLOOKUP(H85,PartyStorage,2, FALSE),0)</f>
        <v>0</v>
      </c>
      <c r="B85" s="924"/>
      <c r="C85" s="926"/>
      <c r="D85" s="926"/>
      <c r="E85" s="926"/>
      <c r="F85" s="937"/>
      <c r="G85" s="928"/>
      <c r="H85" s="907"/>
      <c r="L85" s="855"/>
      <c r="M85" s="908" t="str">
        <f t="shared" si="2"/>
        <v/>
      </c>
      <c r="N85" s="779">
        <f>IFERROR(VLOOKUP(F85,Ch6_Storage,2, FALSE),0)</f>
        <v>0</v>
      </c>
    </row>
    <row r="86" ht="18.75" customHeight="1">
      <c r="A86" s="716">
        <f>IFERROR(VLOOKUP(H86,PartyStorage,2, FALSE),0)</f>
        <v>0</v>
      </c>
      <c r="B86" s="932"/>
      <c r="C86" s="914"/>
      <c r="D86" s="914"/>
      <c r="E86" s="914"/>
      <c r="F86" s="916"/>
      <c r="G86" s="934"/>
      <c r="H86" s="919"/>
      <c r="L86" s="860"/>
      <c r="M86" s="921" t="str">
        <f t="shared" si="2"/>
        <v/>
      </c>
      <c r="N86" s="779">
        <f>IFERROR(VLOOKUP(F86,Ch6_Storage,2, FALSE),0)</f>
        <v>0</v>
      </c>
    </row>
    <row r="87" ht="18.75" customHeight="1">
      <c r="A87" s="716">
        <f>IFERROR(VLOOKUP(H87,PartyStorage,2, FALSE),0)</f>
        <v>0</v>
      </c>
      <c r="B87" s="924"/>
      <c r="C87" s="926"/>
      <c r="D87" s="926"/>
      <c r="E87" s="926"/>
      <c r="F87" s="937"/>
      <c r="G87" s="928"/>
      <c r="H87" s="907"/>
      <c r="L87" s="855"/>
      <c r="M87" s="908" t="str">
        <f t="shared" si="2"/>
        <v/>
      </c>
      <c r="N87" s="779">
        <f>IFERROR(VLOOKUP(F87,Ch6_Storage,2, FALSE),0)</f>
        <v>0</v>
      </c>
    </row>
    <row r="88" ht="18.75" customHeight="1">
      <c r="A88" s="716">
        <f>IFERROR(VLOOKUP(H88,PartyStorage,2, FALSE),0)</f>
        <v>0</v>
      </c>
      <c r="B88" s="932"/>
      <c r="C88" s="914"/>
      <c r="D88" s="914"/>
      <c r="E88" s="914"/>
      <c r="F88" s="916"/>
      <c r="G88" s="934"/>
      <c r="H88" s="919"/>
      <c r="L88" s="860"/>
      <c r="M88" s="921" t="str">
        <f t="shared" si="2"/>
        <v/>
      </c>
      <c r="N88" s="779">
        <f>IFERROR(VLOOKUP(F88,Ch6_Storage,2, FALSE),0)</f>
        <v>0</v>
      </c>
    </row>
    <row r="89" ht="18.75" customHeight="1">
      <c r="A89" s="716">
        <f>IFERROR(VLOOKUP(H89,PartyStorage,2, FALSE),0)</f>
        <v>0</v>
      </c>
      <c r="B89" s="924"/>
      <c r="C89" s="926"/>
      <c r="D89" s="926"/>
      <c r="E89" s="926"/>
      <c r="F89" s="937"/>
      <c r="G89" s="928"/>
      <c r="H89" s="907"/>
      <c r="L89" s="855"/>
      <c r="M89" s="908" t="str">
        <f t="shared" si="2"/>
        <v/>
      </c>
      <c r="N89" s="779">
        <f>IFERROR(VLOOKUP(F89,Ch6_Storage,2, FALSE),0)</f>
        <v>0</v>
      </c>
    </row>
    <row r="90" ht="18.75" customHeight="1">
      <c r="A90" s="716">
        <f>IFERROR(VLOOKUP(H90,PartyStorage,2, FALSE),0)</f>
        <v>0</v>
      </c>
      <c r="B90" s="932"/>
      <c r="C90" s="914"/>
      <c r="D90" s="914"/>
      <c r="E90" s="914"/>
      <c r="F90" s="916"/>
      <c r="G90" s="934"/>
      <c r="H90" s="919"/>
      <c r="L90" s="860"/>
      <c r="M90" s="921" t="str">
        <f t="shared" si="2"/>
        <v/>
      </c>
      <c r="N90" s="779">
        <f>IFERROR(VLOOKUP(F90,Ch6_Storage,2, FALSE),0)</f>
        <v>0</v>
      </c>
    </row>
    <row r="91" ht="18.75" customHeight="1">
      <c r="A91" s="716">
        <f>IFERROR(VLOOKUP(H91,PartyStorage,2, FALSE),0)</f>
        <v>0</v>
      </c>
      <c r="B91" s="924"/>
      <c r="C91" s="926"/>
      <c r="D91" s="926"/>
      <c r="E91" s="926"/>
      <c r="F91" s="937"/>
      <c r="G91" s="928"/>
      <c r="H91" s="907"/>
      <c r="L91" s="855"/>
      <c r="M91" s="908" t="str">
        <f t="shared" si="2"/>
        <v/>
      </c>
      <c r="N91" s="779">
        <f>IFERROR(VLOOKUP(F91,Ch6_Storage,2, FALSE),0)</f>
        <v>0</v>
      </c>
    </row>
    <row r="92" ht="18.75" customHeight="1">
      <c r="A92" s="716">
        <f>IFERROR(VLOOKUP(H92,PartyStorage,2, FALSE),0)</f>
        <v>0</v>
      </c>
      <c r="B92" s="932"/>
      <c r="C92" s="914"/>
      <c r="D92" s="914"/>
      <c r="E92" s="914"/>
      <c r="F92" s="916"/>
      <c r="G92" s="934"/>
      <c r="H92" s="919"/>
      <c r="L92" s="860"/>
      <c r="M92" s="921" t="str">
        <f t="shared" si="2"/>
        <v/>
      </c>
      <c r="N92" s="779">
        <f>IFERROR(VLOOKUP(F92,Ch6_Storage,2, FALSE),0)</f>
        <v>0</v>
      </c>
    </row>
    <row r="93" ht="18.75" customHeight="1">
      <c r="A93" s="716">
        <f>IFERROR(VLOOKUP(H93,PartyStorage,2, FALSE),0)</f>
        <v>0</v>
      </c>
      <c r="B93" s="924"/>
      <c r="C93" s="926"/>
      <c r="D93" s="926"/>
      <c r="E93" s="926"/>
      <c r="F93" s="937"/>
      <c r="G93" s="928"/>
      <c r="H93" s="907"/>
      <c r="L93" s="855"/>
      <c r="M93" s="908" t="str">
        <f t="shared" si="2"/>
        <v/>
      </c>
      <c r="N93" s="779">
        <f>IFERROR(VLOOKUP(F93,Ch6_Storage,2, FALSE),0)</f>
        <v>0</v>
      </c>
    </row>
    <row r="94" ht="18.75" customHeight="1">
      <c r="A94" s="716">
        <f>IFERROR(VLOOKUP(H94,PartyStorage,2, FALSE),0)</f>
        <v>0</v>
      </c>
      <c r="B94" s="932"/>
      <c r="C94" s="914"/>
      <c r="D94" s="914"/>
      <c r="E94" s="914"/>
      <c r="F94" s="916"/>
      <c r="G94" s="934"/>
      <c r="H94" s="919"/>
      <c r="L94" s="860"/>
      <c r="M94" s="921" t="str">
        <f t="shared" si="2"/>
        <v/>
      </c>
      <c r="N94" s="779">
        <f>IFERROR(VLOOKUP(F94,Ch6_Storage,2, FALSE),0)</f>
        <v>0</v>
      </c>
    </row>
    <row r="95" ht="18.75" customHeight="1">
      <c r="A95" s="716">
        <f>IFERROR(VLOOKUP(H95,PartyStorage,2, FALSE),0)</f>
        <v>0</v>
      </c>
      <c r="B95" s="924"/>
      <c r="C95" s="926"/>
      <c r="D95" s="926"/>
      <c r="E95" s="926"/>
      <c r="F95" s="937"/>
      <c r="G95" s="928"/>
      <c r="H95" s="907"/>
      <c r="L95" s="855"/>
      <c r="M95" s="908" t="str">
        <f t="shared" si="2"/>
        <v/>
      </c>
      <c r="N95" s="779">
        <f>IFERROR(VLOOKUP(F95,Ch6_Storage,2, FALSE),0)</f>
        <v>0</v>
      </c>
    </row>
    <row r="96" ht="18.75" customHeight="1">
      <c r="A96" s="716">
        <f>IFERROR(VLOOKUP(H96,PartyStorage,2, FALSE),0)</f>
        <v>0</v>
      </c>
      <c r="B96" s="932"/>
      <c r="C96" s="914"/>
      <c r="D96" s="914"/>
      <c r="E96" s="914"/>
      <c r="F96" s="916"/>
      <c r="G96" s="934"/>
      <c r="H96" s="919"/>
      <c r="L96" s="860"/>
      <c r="M96" s="921" t="str">
        <f t="shared" si="2"/>
        <v/>
      </c>
      <c r="N96" s="779">
        <f>IFERROR(VLOOKUP(F96,Ch6_Storage,2, FALSE),0)</f>
        <v>0</v>
      </c>
    </row>
    <row r="97" ht="18.75" customHeight="1">
      <c r="A97" s="716">
        <f>IFERROR(VLOOKUP(H97,PartyStorage,2, FALSE),0)</f>
        <v>0</v>
      </c>
      <c r="B97" s="924"/>
      <c r="C97" s="926"/>
      <c r="D97" s="926"/>
      <c r="E97" s="926"/>
      <c r="F97" s="937"/>
      <c r="G97" s="928"/>
      <c r="H97" s="907"/>
      <c r="L97" s="855"/>
      <c r="M97" s="908" t="str">
        <f t="shared" si="2"/>
        <v/>
      </c>
      <c r="N97" s="779">
        <f>IFERROR(VLOOKUP(F97,Ch6_Storage,2, FALSE),0)</f>
        <v>0</v>
      </c>
    </row>
    <row r="98" ht="18.75" customHeight="1">
      <c r="A98" s="716">
        <f>IFERROR(VLOOKUP(H98,PartyStorage,2, FALSE),0)</f>
        <v>0</v>
      </c>
      <c r="B98" s="932"/>
      <c r="C98" s="914"/>
      <c r="D98" s="914"/>
      <c r="E98" s="914"/>
      <c r="F98" s="916"/>
      <c r="G98" s="934"/>
      <c r="H98" s="919"/>
      <c r="L98" s="860"/>
      <c r="M98" s="921" t="str">
        <f t="shared" si="2"/>
        <v/>
      </c>
      <c r="N98" s="779">
        <f>IFERROR(VLOOKUP(F98,Ch6_Storage,2, FALSE),0)</f>
        <v>0</v>
      </c>
    </row>
    <row r="99" ht="18.75" customHeight="1">
      <c r="A99" s="716">
        <f>IFERROR(VLOOKUP(H99,PartyStorage,2, FALSE),0)</f>
        <v>0</v>
      </c>
      <c r="B99" s="924"/>
      <c r="C99" s="926"/>
      <c r="D99" s="926"/>
      <c r="E99" s="926"/>
      <c r="F99" s="937"/>
      <c r="G99" s="928"/>
      <c r="H99" s="907"/>
      <c r="L99" s="855"/>
      <c r="M99" s="908" t="str">
        <f t="shared" si="2"/>
        <v/>
      </c>
      <c r="N99" s="779">
        <f>IFERROR(VLOOKUP(F99,Ch6_Storage,2, FALSE),0)</f>
        <v>0</v>
      </c>
    </row>
    <row r="100" ht="18.75" customHeight="1">
      <c r="A100" s="716">
        <f>IFERROR(VLOOKUP(H100,PartyStorage,2, FALSE),0)</f>
        <v>0</v>
      </c>
      <c r="B100" s="932"/>
      <c r="C100" s="914"/>
      <c r="D100" s="914"/>
      <c r="E100" s="914"/>
      <c r="F100" s="916"/>
      <c r="G100" s="934"/>
      <c r="H100" s="919"/>
      <c r="L100" s="860"/>
      <c r="M100" s="921" t="str">
        <f t="shared" si="2"/>
        <v/>
      </c>
      <c r="N100" s="779">
        <f>IFERROR(VLOOKUP(F100,Ch6_Storage,2, FALSE),0)</f>
        <v>0</v>
      </c>
    </row>
    <row r="101" ht="18.75" customHeight="1">
      <c r="A101" s="716">
        <f>IFERROR(VLOOKUP(H101,PartyStorage,2, FALSE),0)</f>
        <v>0</v>
      </c>
      <c r="B101" s="924"/>
      <c r="C101" s="926"/>
      <c r="D101" s="926"/>
      <c r="E101" s="926"/>
      <c r="F101" s="937"/>
      <c r="G101" s="928"/>
      <c r="H101" s="907"/>
      <c r="L101" s="855"/>
      <c r="M101" s="908" t="str">
        <f t="shared" si="2"/>
        <v/>
      </c>
      <c r="N101" s="779">
        <f>IFERROR(VLOOKUP(F101,Ch6_Storage,2, FALSE),0)</f>
        <v>0</v>
      </c>
    </row>
    <row r="102" ht="18.75" customHeight="1">
      <c r="A102" s="716">
        <f>IFERROR(VLOOKUP(H102,PartyStorage,2, FALSE),0)</f>
        <v>0</v>
      </c>
      <c r="B102" s="932"/>
      <c r="C102" s="914"/>
      <c r="D102" s="914"/>
      <c r="E102" s="914"/>
      <c r="F102" s="916"/>
      <c r="G102" s="934"/>
      <c r="H102" s="919"/>
      <c r="L102" s="860"/>
      <c r="M102" s="921" t="str">
        <f t="shared" si="2"/>
        <v/>
      </c>
      <c r="N102" s="779">
        <f>IFERROR(VLOOKUP(F102,Ch6_Storage,2, FALSE),0)</f>
        <v>0</v>
      </c>
    </row>
    <row r="103" ht="18.75" customHeight="1">
      <c r="A103" s="716">
        <f>IFERROR(VLOOKUP(H103,PartyStorage,2, FALSE),0)</f>
        <v>0</v>
      </c>
      <c r="B103" s="924"/>
      <c r="C103" s="926"/>
      <c r="D103" s="926"/>
      <c r="E103" s="926"/>
      <c r="F103" s="937"/>
      <c r="G103" s="928"/>
      <c r="H103" s="907"/>
      <c r="L103" s="855"/>
      <c r="M103" s="908" t="str">
        <f t="shared" si="2"/>
        <v/>
      </c>
      <c r="N103" s="779">
        <f>IFERROR(VLOOKUP(F103,Ch6_Storage,2, FALSE),0)</f>
        <v>0</v>
      </c>
    </row>
    <row r="104" ht="18.75" customHeight="1">
      <c r="A104" s="716">
        <f>IFERROR(VLOOKUP(H104,PartyStorage,2, FALSE),0)</f>
        <v>0</v>
      </c>
      <c r="B104" s="932"/>
      <c r="C104" s="914"/>
      <c r="D104" s="914"/>
      <c r="E104" s="914"/>
      <c r="F104" s="916"/>
      <c r="G104" s="934"/>
      <c r="H104" s="919"/>
      <c r="L104" s="860"/>
      <c r="M104" s="921" t="str">
        <f t="shared" si="2"/>
        <v/>
      </c>
      <c r="N104" s="779">
        <f>IFERROR(VLOOKUP(F104,Ch6_Storage,2, FALSE),0)</f>
        <v>0</v>
      </c>
    </row>
    <row r="105" ht="18.75" customHeight="1">
      <c r="A105" s="716">
        <f>IFERROR(VLOOKUP(H105,PartyStorage,2, FALSE),0)</f>
        <v>0</v>
      </c>
      <c r="B105" s="924"/>
      <c r="C105" s="926"/>
      <c r="D105" s="926"/>
      <c r="E105" s="926"/>
      <c r="F105" s="937"/>
      <c r="G105" s="928"/>
      <c r="H105" s="907"/>
      <c r="L105" s="855"/>
      <c r="M105" s="908" t="str">
        <f t="shared" si="2"/>
        <v/>
      </c>
      <c r="N105" s="779">
        <f>IFERROR(VLOOKUP(F105,Ch6_Storage,2, FALSE),0)</f>
        <v>0</v>
      </c>
    </row>
    <row r="106" ht="18.75" customHeight="1">
      <c r="A106" s="716">
        <f>IFERROR(VLOOKUP(H106,PartyStorage,2, FALSE),0)</f>
        <v>0</v>
      </c>
      <c r="B106" s="932"/>
      <c r="C106" s="914"/>
      <c r="D106" s="914"/>
      <c r="E106" s="914"/>
      <c r="F106" s="916"/>
      <c r="G106" s="934"/>
      <c r="H106" s="919"/>
      <c r="L106" s="860"/>
      <c r="M106" s="921" t="str">
        <f t="shared" si="2"/>
        <v/>
      </c>
      <c r="N106" s="779">
        <f>IFERROR(VLOOKUP(F106,Ch6_Storage,2, FALSE),0)</f>
        <v>0</v>
      </c>
    </row>
    <row r="107" ht="18.75" customHeight="1">
      <c r="A107" s="716">
        <f>IFERROR(VLOOKUP(H107,PartyStorage,2, FALSE),0)</f>
        <v>0</v>
      </c>
      <c r="B107" s="924"/>
      <c r="C107" s="926"/>
      <c r="D107" s="926"/>
      <c r="E107" s="926"/>
      <c r="F107" s="937"/>
      <c r="G107" s="928"/>
      <c r="H107" s="907"/>
      <c r="L107" s="855"/>
      <c r="M107" s="908" t="str">
        <f t="shared" si="2"/>
        <v/>
      </c>
      <c r="N107" s="779">
        <f>IFERROR(VLOOKUP(F107,Ch6_Storage,2, FALSE),0)</f>
        <v>0</v>
      </c>
    </row>
    <row r="108" ht="18.75" customHeight="1">
      <c r="A108" s="716">
        <f>IFERROR(VLOOKUP(H108,PartyStorage,2, FALSE),0)</f>
        <v>0</v>
      </c>
      <c r="B108" s="932"/>
      <c r="C108" s="914"/>
      <c r="D108" s="914"/>
      <c r="E108" s="914"/>
      <c r="F108" s="916"/>
      <c r="G108" s="934"/>
      <c r="H108" s="919"/>
      <c r="L108" s="860"/>
      <c r="M108" s="921" t="str">
        <f t="shared" si="2"/>
        <v/>
      </c>
      <c r="N108" s="779">
        <f>IFERROR(VLOOKUP(F108,Ch6_Storage,2, FALSE),0)</f>
        <v>0</v>
      </c>
    </row>
    <row r="109" ht="18.75" customHeight="1">
      <c r="A109" s="716">
        <f>IFERROR(VLOOKUP(H109,PartyStorage,2, FALSE),0)</f>
        <v>0</v>
      </c>
      <c r="B109" s="924"/>
      <c r="C109" s="926"/>
      <c r="D109" s="926"/>
      <c r="E109" s="926"/>
      <c r="F109" s="937"/>
      <c r="G109" s="928"/>
      <c r="H109" s="907"/>
      <c r="L109" s="855"/>
      <c r="M109" s="908" t="str">
        <f t="shared" si="2"/>
        <v/>
      </c>
      <c r="N109" s="779">
        <f>IFERROR(VLOOKUP(F109,Ch6_Storage,2, FALSE),0)</f>
        <v>0</v>
      </c>
    </row>
    <row r="110" ht="18.75" customHeight="1">
      <c r="A110" s="716">
        <f>IFERROR(VLOOKUP(H110,PartyStorage,2, FALSE),0)</f>
        <v>0</v>
      </c>
      <c r="B110" s="932"/>
      <c r="C110" s="914"/>
      <c r="D110" s="914"/>
      <c r="E110" s="914"/>
      <c r="F110" s="916"/>
      <c r="G110" s="934"/>
      <c r="H110" s="919"/>
      <c r="L110" s="860"/>
      <c r="M110" s="921" t="str">
        <f t="shared" si="2"/>
        <v/>
      </c>
      <c r="N110" s="779">
        <f>IFERROR(VLOOKUP(F110,Ch6_Storage,2, FALSE),0)</f>
        <v>0</v>
      </c>
    </row>
    <row r="111" ht="18.75" customHeight="1">
      <c r="A111" s="716">
        <f>IFERROR(VLOOKUP(H111,PartyStorage,2, FALSE),0)</f>
        <v>0</v>
      </c>
      <c r="B111" s="924"/>
      <c r="C111" s="926"/>
      <c r="D111" s="926"/>
      <c r="E111" s="926"/>
      <c r="F111" s="937"/>
      <c r="G111" s="928"/>
      <c r="H111" s="907"/>
      <c r="L111" s="855"/>
      <c r="M111" s="908" t="str">
        <f t="shared" si="2"/>
        <v/>
      </c>
      <c r="N111" s="779">
        <f>IFERROR(VLOOKUP(F111,Ch6_Storage,2, FALSE),0)</f>
        <v>0</v>
      </c>
    </row>
    <row r="112" ht="18.75" customHeight="1">
      <c r="A112" s="716">
        <f>IFERROR(VLOOKUP(H112,PartyStorage,2, FALSE),0)</f>
        <v>0</v>
      </c>
      <c r="B112" s="932"/>
      <c r="C112" s="914"/>
      <c r="D112" s="914"/>
      <c r="E112" s="914"/>
      <c r="F112" s="916"/>
      <c r="G112" s="934"/>
      <c r="H112" s="919"/>
      <c r="L112" s="860"/>
      <c r="M112" s="921" t="str">
        <f t="shared" si="2"/>
        <v/>
      </c>
      <c r="N112" s="779">
        <f>IFERROR(VLOOKUP(F112,Ch6_Storage,2, FALSE),0)</f>
        <v>0</v>
      </c>
    </row>
    <row r="113" ht="18.75" customHeight="1">
      <c r="A113" s="716">
        <f>IFERROR(VLOOKUP(H113,PartyStorage,2, FALSE),0)</f>
        <v>0</v>
      </c>
      <c r="B113" s="924"/>
      <c r="C113" s="926"/>
      <c r="D113" s="926"/>
      <c r="E113" s="926"/>
      <c r="F113" s="937"/>
      <c r="G113" s="928"/>
      <c r="H113" s="907"/>
      <c r="L113" s="855"/>
      <c r="M113" s="908" t="str">
        <f t="shared" si="2"/>
        <v/>
      </c>
      <c r="N113" s="779">
        <f>IFERROR(VLOOKUP(F113,Ch6_Storage,2, FALSE),0)</f>
        <v>0</v>
      </c>
    </row>
    <row r="114" ht="18.75" customHeight="1">
      <c r="A114" s="716">
        <f>IFERROR(VLOOKUP(H114,PartyStorage,2, FALSE),0)</f>
        <v>0</v>
      </c>
      <c r="B114" s="932"/>
      <c r="C114" s="914"/>
      <c r="D114" s="914"/>
      <c r="E114" s="914"/>
      <c r="F114" s="916"/>
      <c r="G114" s="934"/>
      <c r="H114" s="919"/>
      <c r="L114" s="860"/>
      <c r="M114" s="921" t="str">
        <f t="shared" si="2"/>
        <v/>
      </c>
      <c r="N114" s="779">
        <f>IFERROR(VLOOKUP(F114,Ch6_Storage,2, FALSE),0)</f>
        <v>0</v>
      </c>
    </row>
    <row r="115" ht="18.75" customHeight="1">
      <c r="A115" s="716">
        <f>IFERROR(VLOOKUP(H115,PartyStorage,2, FALSE),0)</f>
        <v>0</v>
      </c>
      <c r="B115" s="924"/>
      <c r="C115" s="926"/>
      <c r="D115" s="926"/>
      <c r="E115" s="926"/>
      <c r="F115" s="937"/>
      <c r="G115" s="928"/>
      <c r="H115" s="907"/>
      <c r="L115" s="855"/>
      <c r="M115" s="908" t="str">
        <f t="shared" si="2"/>
        <v/>
      </c>
      <c r="N115" s="779">
        <f>IFERROR(VLOOKUP(F115,Ch6_Storage,2, FALSE),0)</f>
        <v>0</v>
      </c>
    </row>
    <row r="116" ht="18.75" customHeight="1">
      <c r="A116" s="716">
        <f>IFERROR(VLOOKUP(H116,PartyStorage,2, FALSE),0)</f>
        <v>0</v>
      </c>
      <c r="B116" s="932"/>
      <c r="C116" s="914"/>
      <c r="D116" s="914"/>
      <c r="E116" s="914"/>
      <c r="F116" s="916"/>
      <c r="G116" s="934"/>
      <c r="H116" s="919"/>
      <c r="L116" s="860"/>
      <c r="M116" s="921" t="str">
        <f t="shared" si="2"/>
        <v/>
      </c>
      <c r="N116" s="779">
        <f>IFERROR(VLOOKUP(F116,Ch6_Storage,2, FALSE),0)</f>
        <v>0</v>
      </c>
    </row>
    <row r="117" ht="18.75" customHeight="1">
      <c r="A117" s="716">
        <f>IFERROR(VLOOKUP(H117,PartyStorage,2, FALSE),0)</f>
        <v>0</v>
      </c>
      <c r="B117" s="924"/>
      <c r="C117" s="926"/>
      <c r="D117" s="926"/>
      <c r="E117" s="926"/>
      <c r="F117" s="937"/>
      <c r="G117" s="928"/>
      <c r="H117" s="907"/>
      <c r="L117" s="855"/>
      <c r="M117" s="908" t="str">
        <f t="shared" si="2"/>
        <v/>
      </c>
      <c r="N117" s="779">
        <f>IFERROR(VLOOKUP(F117,Ch6_Storage,2, FALSE),0)</f>
        <v>0</v>
      </c>
    </row>
    <row r="118" ht="18.75" customHeight="1">
      <c r="A118" s="716">
        <f>IFERROR(VLOOKUP(H118,PartyStorage,2, FALSE),0)</f>
        <v>0</v>
      </c>
      <c r="B118" s="932"/>
      <c r="C118" s="914"/>
      <c r="D118" s="914"/>
      <c r="E118" s="914"/>
      <c r="F118" s="916"/>
      <c r="G118" s="934"/>
      <c r="H118" s="919"/>
      <c r="L118" s="860"/>
      <c r="M118" s="921" t="str">
        <f t="shared" si="2"/>
        <v/>
      </c>
      <c r="N118" s="779">
        <f>IFERROR(VLOOKUP(F118,Ch6_Storage,2, FALSE),0)</f>
        <v>0</v>
      </c>
    </row>
    <row r="119" ht="18.75" customHeight="1">
      <c r="A119" s="716">
        <f>IFERROR(VLOOKUP(H119,PartyStorage,2, FALSE),0)</f>
        <v>0</v>
      </c>
      <c r="B119" s="924"/>
      <c r="C119" s="926"/>
      <c r="D119" s="926"/>
      <c r="E119" s="926"/>
      <c r="F119" s="937"/>
      <c r="G119" s="928"/>
      <c r="H119" s="907"/>
      <c r="L119" s="855"/>
      <c r="M119" s="908" t="str">
        <f t="shared" si="2"/>
        <v/>
      </c>
      <c r="N119" s="779">
        <f>IFERROR(VLOOKUP(F119,Ch6_Storage,2, FALSE),0)</f>
        <v>0</v>
      </c>
    </row>
    <row r="120" ht="18.75" customHeight="1">
      <c r="A120" s="716">
        <f>IFERROR(VLOOKUP(H120,PartyStorage,2, FALSE),0)</f>
        <v>0</v>
      </c>
      <c r="B120" s="932"/>
      <c r="C120" s="914"/>
      <c r="D120" s="914"/>
      <c r="E120" s="914"/>
      <c r="F120" s="916"/>
      <c r="G120" s="934"/>
      <c r="H120" s="919"/>
      <c r="L120" s="860"/>
      <c r="M120" s="921" t="str">
        <f t="shared" si="2"/>
        <v/>
      </c>
      <c r="N120" s="779">
        <f>IFERROR(VLOOKUP(F120,Ch6_Storage,2, FALSE),0)</f>
        <v>0</v>
      </c>
    </row>
    <row r="121" ht="18.75" customHeight="1">
      <c r="A121" s="716">
        <f>IFERROR(VLOOKUP(H121,PartyStorage,2, FALSE),0)</f>
        <v>0</v>
      </c>
      <c r="B121" s="924"/>
      <c r="C121" s="926"/>
      <c r="D121" s="926"/>
      <c r="E121" s="926"/>
      <c r="F121" s="937"/>
      <c r="G121" s="928"/>
      <c r="H121" s="907"/>
      <c r="L121" s="855"/>
      <c r="M121" s="908" t="str">
        <f t="shared" si="2"/>
        <v/>
      </c>
      <c r="N121" s="779">
        <f>IFERROR(VLOOKUP(F121,Ch6_Storage,2, FALSE),0)</f>
        <v>0</v>
      </c>
    </row>
    <row r="122" ht="18.75" customHeight="1">
      <c r="A122" s="716">
        <f>IFERROR(VLOOKUP(H122,PartyStorage,2, FALSE),0)</f>
        <v>0</v>
      </c>
      <c r="B122" s="932"/>
      <c r="C122" s="914"/>
      <c r="D122" s="914"/>
      <c r="E122" s="914"/>
      <c r="F122" s="916"/>
      <c r="G122" s="934"/>
      <c r="H122" s="919"/>
      <c r="L122" s="860"/>
      <c r="M122" s="921" t="str">
        <f t="shared" si="2"/>
        <v/>
      </c>
      <c r="N122" s="779">
        <f>IFERROR(VLOOKUP(F122,Ch6_Storage,2, FALSE),0)</f>
        <v>0</v>
      </c>
    </row>
    <row r="123" ht="18.75" customHeight="1">
      <c r="A123" s="716">
        <f>IFERROR(VLOOKUP(H123,PartyStorage,2, FALSE),0)</f>
        <v>0</v>
      </c>
      <c r="B123" s="924"/>
      <c r="C123" s="926"/>
      <c r="D123" s="926"/>
      <c r="E123" s="926"/>
      <c r="F123" s="937"/>
      <c r="G123" s="928"/>
      <c r="H123" s="907"/>
      <c r="L123" s="855"/>
      <c r="M123" s="908" t="str">
        <f t="shared" si="2"/>
        <v/>
      </c>
      <c r="N123" s="779">
        <f>IFERROR(VLOOKUP(F123,Ch6_Storage,2, FALSE),0)</f>
        <v>0</v>
      </c>
    </row>
    <row r="124" ht="18.75" customHeight="1">
      <c r="A124" s="716">
        <f>IFERROR(VLOOKUP(H124,PartyStorage,2, FALSE),0)</f>
        <v>0</v>
      </c>
      <c r="B124" s="932"/>
      <c r="C124" s="914"/>
      <c r="D124" s="914"/>
      <c r="E124" s="914"/>
      <c r="F124" s="916"/>
      <c r="G124" s="934"/>
      <c r="H124" s="919"/>
      <c r="L124" s="860"/>
      <c r="M124" s="921" t="str">
        <f t="shared" si="2"/>
        <v/>
      </c>
      <c r="N124" s="779">
        <f>IFERROR(VLOOKUP(F124,Ch6_Storage,2, FALSE),0)</f>
        <v>0</v>
      </c>
    </row>
    <row r="125" ht="18.75" customHeight="1">
      <c r="A125" s="716">
        <f>IFERROR(VLOOKUP(H125,PartyStorage,2, FALSE),0)</f>
        <v>0</v>
      </c>
      <c r="B125" s="924"/>
      <c r="C125" s="926"/>
      <c r="D125" s="926"/>
      <c r="E125" s="926"/>
      <c r="F125" s="937"/>
      <c r="G125" s="928"/>
      <c r="H125" s="907"/>
      <c r="L125" s="855"/>
      <c r="M125" s="908" t="str">
        <f t="shared" si="2"/>
        <v/>
      </c>
      <c r="N125" s="779">
        <f>IFERROR(VLOOKUP(F125,Ch6_Storage,2, FALSE),0)</f>
        <v>0</v>
      </c>
    </row>
    <row r="126" ht="18.75" customHeight="1">
      <c r="A126" s="716">
        <f>IFERROR(VLOOKUP(H126,PartyStorage,2, FALSE),0)</f>
        <v>0</v>
      </c>
      <c r="B126" s="932"/>
      <c r="C126" s="914"/>
      <c r="D126" s="914"/>
      <c r="E126" s="914"/>
      <c r="F126" s="916"/>
      <c r="G126" s="934"/>
      <c r="H126" s="919"/>
      <c r="L126" s="860"/>
      <c r="M126" s="921" t="str">
        <f t="shared" si="2"/>
        <v/>
      </c>
      <c r="N126" s="779">
        <f>IFERROR(VLOOKUP(F126,Ch6_Storage,2, FALSE),0)</f>
        <v>0</v>
      </c>
    </row>
    <row r="127" ht="18.75" customHeight="1">
      <c r="A127" s="716">
        <f>IFERROR(VLOOKUP(H127,PartyStorage,2, FALSE),0)</f>
        <v>0</v>
      </c>
      <c r="B127" s="924"/>
      <c r="C127" s="926"/>
      <c r="D127" s="926"/>
      <c r="E127" s="926"/>
      <c r="F127" s="937"/>
      <c r="G127" s="928"/>
      <c r="H127" s="907"/>
      <c r="L127" s="855"/>
      <c r="M127" s="908" t="str">
        <f t="shared" si="2"/>
        <v/>
      </c>
      <c r="N127" s="779">
        <f>IFERROR(VLOOKUP(F127,Ch6_Storage,2, FALSE),0)</f>
        <v>0</v>
      </c>
    </row>
    <row r="128" ht="18.75" customHeight="1">
      <c r="A128" s="716">
        <f>IFERROR(VLOOKUP(H128,PartyStorage,2, FALSE),0)</f>
        <v>0</v>
      </c>
      <c r="B128" s="932"/>
      <c r="C128" s="914"/>
      <c r="D128" s="914"/>
      <c r="E128" s="914"/>
      <c r="F128" s="916"/>
      <c r="G128" s="934"/>
      <c r="H128" s="919"/>
      <c r="L128" s="860"/>
      <c r="M128" s="921" t="str">
        <f t="shared" si="2"/>
        <v/>
      </c>
      <c r="N128" s="779">
        <f>IFERROR(VLOOKUP(F128,Ch6_Storage,2, FALSE),0)</f>
        <v>0</v>
      </c>
    </row>
    <row r="129" ht="18.75" customHeight="1">
      <c r="A129" s="716">
        <f>IFERROR(VLOOKUP(H129,PartyStorage,2, FALSE),0)</f>
        <v>0</v>
      </c>
      <c r="B129" s="924"/>
      <c r="C129" s="926"/>
      <c r="D129" s="926"/>
      <c r="E129" s="926"/>
      <c r="F129" s="937"/>
      <c r="G129" s="928"/>
      <c r="H129" s="907"/>
      <c r="L129" s="855"/>
      <c r="M129" s="908" t="str">
        <f t="shared" si="2"/>
        <v/>
      </c>
      <c r="N129" s="779">
        <f>IFERROR(VLOOKUP(F129,Ch6_Storage,2, FALSE),0)</f>
        <v>0</v>
      </c>
    </row>
    <row r="130" ht="18.75" customHeight="1">
      <c r="A130" s="716">
        <f>IFERROR(VLOOKUP(H130,PartyStorage,2, FALSE),0)</f>
        <v>0</v>
      </c>
      <c r="B130" s="932"/>
      <c r="C130" s="914"/>
      <c r="D130" s="914"/>
      <c r="E130" s="914"/>
      <c r="F130" s="916"/>
      <c r="G130" s="934"/>
      <c r="H130" s="919"/>
      <c r="L130" s="860"/>
      <c r="M130" s="921" t="str">
        <f t="shared" si="2"/>
        <v/>
      </c>
      <c r="N130" s="779">
        <f>IFERROR(VLOOKUP(F130,Ch6_Storage,2, FALSE),0)</f>
        <v>0</v>
      </c>
    </row>
    <row r="131" ht="18.75" customHeight="1">
      <c r="A131" s="716">
        <f>IFERROR(VLOOKUP(H131,PartyStorage,2, FALSE),0)</f>
        <v>0</v>
      </c>
      <c r="B131" s="924"/>
      <c r="C131" s="926"/>
      <c r="D131" s="926"/>
      <c r="E131" s="926"/>
      <c r="F131" s="937"/>
      <c r="G131" s="928"/>
      <c r="H131" s="907"/>
      <c r="L131" s="855"/>
      <c r="M131" s="908" t="str">
        <f t="shared" si="2"/>
        <v/>
      </c>
      <c r="N131" s="779">
        <f>IFERROR(VLOOKUP(F131,Ch6_Storage,2, FALSE),0)</f>
        <v>0</v>
      </c>
    </row>
    <row r="132" ht="18.75" customHeight="1">
      <c r="A132" s="716">
        <f>IFERROR(VLOOKUP(H132,PartyStorage,2, FALSE),0)</f>
        <v>0</v>
      </c>
      <c r="B132" s="932"/>
      <c r="C132" s="914"/>
      <c r="D132" s="914"/>
      <c r="E132" s="914"/>
      <c r="F132" s="916"/>
      <c r="G132" s="934"/>
      <c r="H132" s="919"/>
      <c r="L132" s="860"/>
      <c r="M132" s="921" t="str">
        <f t="shared" si="2"/>
        <v/>
      </c>
      <c r="N132" s="779">
        <f>IFERROR(VLOOKUP(F132,Ch6_Storage,2, FALSE),0)</f>
        <v>0</v>
      </c>
    </row>
    <row r="133" ht="18.75" customHeight="1">
      <c r="A133" s="716">
        <f>IFERROR(VLOOKUP(H133,PartyStorage,2, FALSE),0)</f>
        <v>0</v>
      </c>
      <c r="B133" s="924"/>
      <c r="C133" s="926"/>
      <c r="D133" s="926"/>
      <c r="E133" s="926"/>
      <c r="F133" s="937"/>
      <c r="G133" s="928"/>
      <c r="H133" s="907"/>
      <c r="L133" s="855"/>
      <c r="M133" s="908" t="str">
        <f t="shared" si="2"/>
        <v/>
      </c>
      <c r="N133" s="779">
        <f>IFERROR(VLOOKUP(F133,Ch6_Storage,2, FALSE),0)</f>
        <v>0</v>
      </c>
    </row>
    <row r="134" ht="18.75" customHeight="1">
      <c r="A134" s="716">
        <f>IFERROR(VLOOKUP(H134,PartyStorage,2, FALSE),0)</f>
        <v>0</v>
      </c>
      <c r="B134" s="932"/>
      <c r="C134" s="914"/>
      <c r="D134" s="914"/>
      <c r="E134" s="914"/>
      <c r="F134" s="916"/>
      <c r="G134" s="934"/>
      <c r="H134" s="919"/>
      <c r="L134" s="860"/>
      <c r="M134" s="921" t="str">
        <f t="shared" si="2"/>
        <v/>
      </c>
      <c r="N134" s="779">
        <f>IFERROR(VLOOKUP(F134,Ch6_Storage,2, FALSE),0)</f>
        <v>0</v>
      </c>
    </row>
    <row r="135" ht="18.75" customHeight="1">
      <c r="A135" s="716">
        <f>IFERROR(VLOOKUP(H135,PartyStorage,2, FALSE),0)</f>
        <v>0</v>
      </c>
      <c r="B135" s="924"/>
      <c r="C135" s="926"/>
      <c r="D135" s="926"/>
      <c r="E135" s="926"/>
      <c r="F135" s="937"/>
      <c r="G135" s="928"/>
      <c r="H135" s="907"/>
      <c r="L135" s="855"/>
      <c r="M135" s="908" t="str">
        <f t="shared" si="2"/>
        <v/>
      </c>
      <c r="N135" s="779">
        <f>IFERROR(VLOOKUP(F135,Ch6_Storage,2, FALSE),0)</f>
        <v>0</v>
      </c>
    </row>
    <row r="136" ht="18.75" customHeight="1">
      <c r="A136" s="716">
        <f>IFERROR(VLOOKUP(H136,PartyStorage,2, FALSE),0)</f>
        <v>0</v>
      </c>
      <c r="B136" s="932"/>
      <c r="C136" s="914"/>
      <c r="D136" s="914"/>
      <c r="E136" s="914"/>
      <c r="F136" s="916"/>
      <c r="G136" s="934"/>
      <c r="H136" s="919"/>
      <c r="L136" s="860"/>
      <c r="M136" s="921" t="str">
        <f t="shared" si="2"/>
        <v/>
      </c>
      <c r="N136" s="779">
        <f>IFERROR(VLOOKUP(F136,Ch6_Storage,2, FALSE),0)</f>
        <v>0</v>
      </c>
    </row>
    <row r="137" ht="18.75" customHeight="1">
      <c r="A137" s="716">
        <f>IFERROR(VLOOKUP(H137,PartyStorage,2, FALSE),0)</f>
        <v>0</v>
      </c>
      <c r="B137" s="924"/>
      <c r="C137" s="926"/>
      <c r="D137" s="926"/>
      <c r="E137" s="926"/>
      <c r="F137" s="937"/>
      <c r="G137" s="928"/>
      <c r="H137" s="907"/>
      <c r="L137" s="855"/>
      <c r="M137" s="908" t="str">
        <f t="shared" si="2"/>
        <v/>
      </c>
      <c r="N137" s="779">
        <f>IFERROR(VLOOKUP(F137,Ch6_Storage,2, FALSE),0)</f>
        <v>0</v>
      </c>
    </row>
    <row r="138" ht="18.75" customHeight="1">
      <c r="A138" s="716">
        <f>IFERROR(VLOOKUP(H138,PartyStorage,2, FALSE),0)</f>
        <v>0</v>
      </c>
      <c r="B138" s="932"/>
      <c r="C138" s="914"/>
      <c r="D138" s="914"/>
      <c r="E138" s="914"/>
      <c r="F138" s="916"/>
      <c r="G138" s="934"/>
      <c r="H138" s="919"/>
      <c r="L138" s="860"/>
      <c r="M138" s="921" t="str">
        <f t="shared" si="2"/>
        <v/>
      </c>
      <c r="N138" s="779">
        <f>IFERROR(VLOOKUP(F138,Ch6_Storage,2, FALSE),0)</f>
        <v>0</v>
      </c>
    </row>
    <row r="139" ht="18.75" customHeight="1">
      <c r="A139" s="716">
        <f>IFERROR(VLOOKUP(H139,PartyStorage,2, FALSE),0)</f>
        <v>0</v>
      </c>
      <c r="B139" s="924"/>
      <c r="C139" s="926"/>
      <c r="D139" s="926"/>
      <c r="E139" s="926"/>
      <c r="F139" s="937"/>
      <c r="G139" s="928"/>
      <c r="H139" s="907"/>
      <c r="L139" s="855"/>
      <c r="M139" s="908" t="str">
        <f t="shared" si="2"/>
        <v/>
      </c>
      <c r="N139" s="779">
        <f>IFERROR(VLOOKUP(F139,Ch6_Storage,2, FALSE),0)</f>
        <v>0</v>
      </c>
    </row>
    <row r="140" ht="18.75" customHeight="1">
      <c r="A140" s="716">
        <f>IFERROR(VLOOKUP(H140,PartyStorage,2, FALSE),0)</f>
        <v>0</v>
      </c>
      <c r="B140" s="932"/>
      <c r="C140" s="914"/>
      <c r="D140" s="914"/>
      <c r="E140" s="914"/>
      <c r="F140" s="916"/>
      <c r="G140" s="934"/>
      <c r="H140" s="919"/>
      <c r="L140" s="860"/>
      <c r="M140" s="921" t="str">
        <f t="shared" si="2"/>
        <v/>
      </c>
      <c r="N140" s="779">
        <f>IFERROR(VLOOKUP(F140,Ch6_Storage,2, FALSE),0)</f>
        <v>0</v>
      </c>
    </row>
    <row r="141" ht="18.75" customHeight="1">
      <c r="A141" s="716">
        <f>IFERROR(VLOOKUP(H141,PartyStorage,2, FALSE),0)</f>
        <v>0</v>
      </c>
      <c r="B141" s="924"/>
      <c r="C141" s="926"/>
      <c r="D141" s="926"/>
      <c r="E141" s="926"/>
      <c r="F141" s="937"/>
      <c r="G141" s="928"/>
      <c r="H141" s="907"/>
      <c r="L141" s="855"/>
      <c r="M141" s="908" t="str">
        <f t="shared" si="2"/>
        <v/>
      </c>
      <c r="N141" s="779">
        <f>IFERROR(VLOOKUP(F141,Ch6_Storage,2, FALSE),0)</f>
        <v>0</v>
      </c>
    </row>
    <row r="142" ht="18.75" customHeight="1">
      <c r="A142" s="716">
        <f>IFERROR(VLOOKUP(H142,PartyStorage,2, FALSE),0)</f>
        <v>0</v>
      </c>
      <c r="B142" s="932"/>
      <c r="C142" s="914"/>
      <c r="D142" s="914"/>
      <c r="E142" s="914"/>
      <c r="F142" s="916"/>
      <c r="G142" s="934"/>
      <c r="H142" s="919"/>
      <c r="L142" s="860"/>
      <c r="M142" s="921" t="str">
        <f t="shared" si="2"/>
        <v/>
      </c>
      <c r="N142" s="779">
        <f>IFERROR(VLOOKUP(F142,Ch6_Storage,2, FALSE),0)</f>
        <v>0</v>
      </c>
    </row>
    <row r="143" ht="18.75" customHeight="1">
      <c r="A143" s="716">
        <f>IFERROR(VLOOKUP(H143,PartyStorage,2, FALSE),0)</f>
        <v>0</v>
      </c>
      <c r="B143" s="924"/>
      <c r="C143" s="926"/>
      <c r="D143" s="926"/>
      <c r="E143" s="926"/>
      <c r="F143" s="937"/>
      <c r="G143" s="928"/>
      <c r="H143" s="907"/>
      <c r="L143" s="855"/>
      <c r="M143" s="908" t="str">
        <f t="shared" si="2"/>
        <v/>
      </c>
      <c r="N143" s="779">
        <f>IFERROR(VLOOKUP(F143,Ch6_Storage,2, FALSE),0)</f>
        <v>0</v>
      </c>
    </row>
    <row r="144" ht="18.75" customHeight="1">
      <c r="A144" s="716">
        <f>IFERROR(VLOOKUP(H144,PartyStorage,2, FALSE),0)</f>
        <v>0</v>
      </c>
      <c r="B144" s="932"/>
      <c r="C144" s="914"/>
      <c r="D144" s="914"/>
      <c r="E144" s="914"/>
      <c r="F144" s="916"/>
      <c r="G144" s="934"/>
      <c r="H144" s="919"/>
      <c r="L144" s="860"/>
      <c r="M144" s="921" t="str">
        <f t="shared" si="2"/>
        <v/>
      </c>
      <c r="N144" s="779">
        <f>IFERROR(VLOOKUP(F144,Ch6_Storage,2, FALSE),0)</f>
        <v>0</v>
      </c>
    </row>
    <row r="145" ht="18.75" customHeight="1">
      <c r="A145" s="716">
        <f>IFERROR(VLOOKUP(H145,PartyStorage,2, FALSE),0)</f>
        <v>0</v>
      </c>
      <c r="B145" s="924"/>
      <c r="C145" s="926"/>
      <c r="D145" s="926"/>
      <c r="E145" s="926"/>
      <c r="F145" s="937"/>
      <c r="G145" s="928"/>
      <c r="H145" s="907"/>
      <c r="L145" s="855"/>
      <c r="M145" s="908" t="str">
        <f t="shared" si="2"/>
        <v/>
      </c>
      <c r="N145" s="779">
        <f>IFERROR(VLOOKUP(F145,Ch6_Storage,2, FALSE),0)</f>
        <v>0</v>
      </c>
    </row>
    <row r="146" ht="18.75" customHeight="1">
      <c r="A146" s="716">
        <f>IFERROR(VLOOKUP(H146,PartyStorage,2, FALSE),0)</f>
        <v>0</v>
      </c>
      <c r="B146" s="932"/>
      <c r="C146" s="914"/>
      <c r="D146" s="914"/>
      <c r="E146" s="914"/>
      <c r="F146" s="916"/>
      <c r="G146" s="934"/>
      <c r="H146" s="919"/>
      <c r="L146" s="860"/>
      <c r="M146" s="921" t="str">
        <f t="shared" si="2"/>
        <v/>
      </c>
      <c r="N146" s="779">
        <f>IFERROR(VLOOKUP(F146,Ch6_Storage,2, FALSE),0)</f>
        <v>0</v>
      </c>
    </row>
    <row r="147" ht="18.75" customHeight="1">
      <c r="A147" s="716">
        <f>IFERROR(VLOOKUP(H147,PartyStorage,2, FALSE),0)</f>
        <v>0</v>
      </c>
      <c r="B147" s="924"/>
      <c r="C147" s="926"/>
      <c r="D147" s="926"/>
      <c r="E147" s="926"/>
      <c r="F147" s="937"/>
      <c r="G147" s="928"/>
      <c r="H147" s="907"/>
      <c r="L147" s="855"/>
      <c r="M147" s="908" t="str">
        <f t="shared" si="2"/>
        <v/>
      </c>
      <c r="N147" s="779">
        <f>IFERROR(VLOOKUP(F147,Ch6_Storage,2, FALSE),0)</f>
        <v>0</v>
      </c>
    </row>
    <row r="148" ht="18.75" customHeight="1">
      <c r="A148" s="716">
        <f>IFERROR(VLOOKUP(H148,PartyStorage,2, FALSE),0)</f>
        <v>0</v>
      </c>
      <c r="B148" s="932"/>
      <c r="C148" s="914"/>
      <c r="D148" s="914"/>
      <c r="E148" s="914"/>
      <c r="F148" s="916"/>
      <c r="G148" s="934"/>
      <c r="H148" s="919"/>
      <c r="L148" s="860"/>
      <c r="M148" s="921" t="str">
        <f t="shared" si="2"/>
        <v/>
      </c>
      <c r="N148" s="779">
        <f>IFERROR(VLOOKUP(F148,Ch6_Storage,2, FALSE),0)</f>
        <v>0</v>
      </c>
    </row>
    <row r="149" ht="18.75" customHeight="1">
      <c r="A149" s="716">
        <f>IFERROR(VLOOKUP(H149,PartyStorage,2, FALSE),0)</f>
        <v>0</v>
      </c>
      <c r="B149" s="924"/>
      <c r="C149" s="926"/>
      <c r="D149" s="926"/>
      <c r="E149" s="926"/>
      <c r="F149" s="937"/>
      <c r="G149" s="928"/>
      <c r="H149" s="907"/>
      <c r="L149" s="855"/>
      <c r="M149" s="908" t="str">
        <f t="shared" si="2"/>
        <v/>
      </c>
      <c r="N149" s="779">
        <f>IFERROR(VLOOKUP(F149,Ch6_Storage,2, FALSE),0)</f>
        <v>0</v>
      </c>
    </row>
    <row r="150" ht="18.75" customHeight="1">
      <c r="A150" s="716">
        <f>IFERROR(VLOOKUP(H150,PartyStorage,2, FALSE),0)</f>
        <v>0</v>
      </c>
      <c r="B150" s="932"/>
      <c r="C150" s="914"/>
      <c r="D150" s="914"/>
      <c r="E150" s="914"/>
      <c r="F150" s="916"/>
      <c r="G150" s="934"/>
      <c r="H150" s="919"/>
      <c r="L150" s="860"/>
      <c r="M150" s="921" t="str">
        <f t="shared" si="2"/>
        <v/>
      </c>
      <c r="N150" s="779">
        <f>IFERROR(VLOOKUP(F150,Ch6_Storage,2, FALSE),0)</f>
        <v>0</v>
      </c>
    </row>
    <row r="151" ht="18.75" customHeight="1">
      <c r="A151" s="716">
        <f>IFERROR(VLOOKUP(H151,PartyStorage,2, FALSE),0)</f>
        <v>0</v>
      </c>
      <c r="B151" s="924"/>
      <c r="C151" s="926"/>
      <c r="D151" s="926"/>
      <c r="E151" s="926"/>
      <c r="F151" s="937"/>
      <c r="G151" s="928"/>
      <c r="H151" s="907"/>
      <c r="L151" s="855"/>
      <c r="M151" s="908" t="str">
        <f t="shared" si="2"/>
        <v/>
      </c>
      <c r="N151" s="779">
        <f>IFERROR(VLOOKUP(F151,Ch6_Storage,2, FALSE),0)</f>
        <v>0</v>
      </c>
    </row>
    <row r="152" ht="18.75" customHeight="1">
      <c r="A152" s="716">
        <f>IFERROR(VLOOKUP(H152,PartyStorage,2, FALSE),0)</f>
        <v>0</v>
      </c>
      <c r="B152" s="932"/>
      <c r="C152" s="914"/>
      <c r="D152" s="914"/>
      <c r="E152" s="914"/>
      <c r="F152" s="916"/>
      <c r="G152" s="934"/>
      <c r="H152" s="919"/>
      <c r="L152" s="860"/>
      <c r="M152" s="921" t="str">
        <f t="shared" si="2"/>
        <v/>
      </c>
      <c r="N152" s="779">
        <f>IFERROR(VLOOKUP(F152,Ch6_Storage,2, FALSE),0)</f>
        <v>0</v>
      </c>
    </row>
    <row r="153" ht="18.75" customHeight="1">
      <c r="A153" s="716">
        <f>IFERROR(VLOOKUP(H153,PartyStorage,2, FALSE),0)</f>
        <v>0</v>
      </c>
      <c r="B153" s="924"/>
      <c r="C153" s="926"/>
      <c r="D153" s="926"/>
      <c r="E153" s="926"/>
      <c r="F153" s="937"/>
      <c r="G153" s="928"/>
      <c r="H153" s="907"/>
      <c r="L153" s="855"/>
      <c r="M153" s="908" t="str">
        <f t="shared" si="2"/>
        <v/>
      </c>
      <c r="N153" s="779">
        <f>IFERROR(VLOOKUP(F153,Ch6_Storage,2, FALSE),0)</f>
        <v>0</v>
      </c>
    </row>
    <row r="154" ht="18.75" customHeight="1">
      <c r="A154" s="716">
        <f>IFERROR(VLOOKUP(H154,PartyStorage,2, FALSE),0)</f>
        <v>0</v>
      </c>
      <c r="B154" s="932"/>
      <c r="C154" s="914"/>
      <c r="D154" s="914"/>
      <c r="E154" s="914"/>
      <c r="F154" s="916"/>
      <c r="G154" s="934"/>
      <c r="H154" s="919"/>
      <c r="L154" s="860"/>
      <c r="M154" s="921" t="str">
        <f t="shared" si="2"/>
        <v/>
      </c>
      <c r="N154" s="779">
        <f>IFERROR(VLOOKUP(F154,Ch6_Storage,2, FALSE),0)</f>
        <v>0</v>
      </c>
    </row>
    <row r="155" ht="18.75" customHeight="1">
      <c r="A155" s="716">
        <f>IFERROR(VLOOKUP(H155,PartyStorage,2, FALSE),0)</f>
        <v>0</v>
      </c>
      <c r="B155" s="924"/>
      <c r="C155" s="926"/>
      <c r="D155" s="926"/>
      <c r="E155" s="926"/>
      <c r="F155" s="937"/>
      <c r="G155" s="928"/>
      <c r="H155" s="907"/>
      <c r="L155" s="855"/>
      <c r="M155" s="908" t="str">
        <f t="shared" si="2"/>
        <v/>
      </c>
      <c r="N155" s="779">
        <f>IFERROR(VLOOKUP(F155,Ch6_Storage,2, FALSE),0)</f>
        <v>0</v>
      </c>
    </row>
    <row r="156" ht="18.75" customHeight="1">
      <c r="A156" s="716">
        <f>IFERROR(VLOOKUP(H156,PartyStorage,2, FALSE),0)</f>
        <v>0</v>
      </c>
      <c r="B156" s="932"/>
      <c r="C156" s="914"/>
      <c r="D156" s="914"/>
      <c r="E156" s="914"/>
      <c r="F156" s="916"/>
      <c r="G156" s="934"/>
      <c r="H156" s="919"/>
      <c r="L156" s="860"/>
      <c r="M156" s="921" t="str">
        <f t="shared" si="2"/>
        <v/>
      </c>
      <c r="N156" s="779">
        <f>IFERROR(VLOOKUP(F156,Ch6_Storage,2, FALSE),0)</f>
        <v>0</v>
      </c>
    </row>
    <row r="157" ht="18.75" customHeight="1">
      <c r="A157" s="716">
        <f>IFERROR(VLOOKUP(H157,PartyStorage,2, FALSE),0)</f>
        <v>0</v>
      </c>
      <c r="B157" s="924"/>
      <c r="C157" s="926"/>
      <c r="D157" s="926"/>
      <c r="E157" s="926"/>
      <c r="F157" s="937"/>
      <c r="G157" s="928"/>
      <c r="H157" s="907"/>
      <c r="L157" s="855"/>
      <c r="M157" s="908" t="str">
        <f t="shared" si="2"/>
        <v/>
      </c>
      <c r="N157" s="779">
        <f>IFERROR(VLOOKUP(F157,Ch6_Storage,2, FALSE),0)</f>
        <v>0</v>
      </c>
    </row>
    <row r="158" ht="18.75" customHeight="1">
      <c r="A158" s="716">
        <f>IFERROR(VLOOKUP(H158,PartyStorage,2, FALSE),0)</f>
        <v>0</v>
      </c>
      <c r="B158" s="932"/>
      <c r="C158" s="914"/>
      <c r="D158" s="914"/>
      <c r="E158" s="914"/>
      <c r="F158" s="916"/>
      <c r="G158" s="934"/>
      <c r="H158" s="919"/>
      <c r="L158" s="860"/>
      <c r="M158" s="921" t="str">
        <f t="shared" si="2"/>
        <v/>
      </c>
      <c r="N158" s="779">
        <f>IFERROR(VLOOKUP(F158,Ch6_Storage,2, FALSE),0)</f>
        <v>0</v>
      </c>
    </row>
    <row r="159" ht="18.75" customHeight="1">
      <c r="A159" s="716">
        <f>IFERROR(VLOOKUP(H159,PartyStorage,2, FALSE),0)</f>
        <v>0</v>
      </c>
      <c r="B159" s="924"/>
      <c r="C159" s="926"/>
      <c r="D159" s="926"/>
      <c r="E159" s="926"/>
      <c r="F159" s="937"/>
      <c r="G159" s="928"/>
      <c r="H159" s="907"/>
      <c r="L159" s="855"/>
      <c r="M159" s="908" t="str">
        <f t="shared" si="2"/>
        <v/>
      </c>
      <c r="N159" s="779">
        <f>IFERROR(VLOOKUP(F159,Ch6_Storage,2, FALSE),0)</f>
        <v>0</v>
      </c>
    </row>
    <row r="160" ht="18.75" customHeight="1">
      <c r="A160" s="716">
        <f>IFERROR(VLOOKUP(H160,PartyStorage,2, FALSE),0)</f>
        <v>0</v>
      </c>
      <c r="B160" s="932"/>
      <c r="C160" s="914"/>
      <c r="D160" s="914"/>
      <c r="E160" s="914"/>
      <c r="F160" s="916"/>
      <c r="G160" s="934"/>
      <c r="H160" s="919"/>
      <c r="L160" s="860"/>
      <c r="M160" s="921" t="str">
        <f t="shared" si="2"/>
        <v/>
      </c>
      <c r="N160" s="779">
        <f>IFERROR(VLOOKUP(F160,Ch6_Storage,2, FALSE),0)</f>
        <v>0</v>
      </c>
    </row>
    <row r="161" ht="18.75" customHeight="1">
      <c r="A161" s="716">
        <f>IFERROR(VLOOKUP(H161,PartyStorage,2, FALSE),0)</f>
        <v>0</v>
      </c>
      <c r="B161" s="924"/>
      <c r="C161" s="926"/>
      <c r="D161" s="926"/>
      <c r="E161" s="926"/>
      <c r="F161" s="937"/>
      <c r="G161" s="928"/>
      <c r="H161" s="907"/>
      <c r="L161" s="855"/>
      <c r="M161" s="908" t="str">
        <f t="shared" si="2"/>
        <v/>
      </c>
      <c r="N161" s="779">
        <f>IFERROR(VLOOKUP(F161,Ch6_Storage,2, FALSE),0)</f>
        <v>0</v>
      </c>
    </row>
    <row r="162" ht="18.75" customHeight="1">
      <c r="A162" s="716">
        <f>IFERROR(VLOOKUP(H162,PartyStorage,2, FALSE),0)</f>
        <v>0</v>
      </c>
      <c r="B162" s="932"/>
      <c r="C162" s="914"/>
      <c r="D162" s="914"/>
      <c r="E162" s="914"/>
      <c r="F162" s="916"/>
      <c r="G162" s="934"/>
      <c r="H162" s="919"/>
      <c r="L162" s="860"/>
      <c r="M162" s="921" t="str">
        <f t="shared" si="2"/>
        <v/>
      </c>
      <c r="N162" s="779">
        <f>IFERROR(VLOOKUP(F162,Ch6_Storage,2, FALSE),0)</f>
        <v>0</v>
      </c>
    </row>
    <row r="163" ht="18.75" customHeight="1">
      <c r="A163" s="716">
        <f>IFERROR(VLOOKUP(H163,PartyStorage,2, FALSE),0)</f>
        <v>0</v>
      </c>
      <c r="B163" s="924"/>
      <c r="C163" s="926"/>
      <c r="D163" s="926"/>
      <c r="E163" s="926"/>
      <c r="F163" s="937"/>
      <c r="G163" s="928"/>
      <c r="H163" s="907"/>
      <c r="L163" s="855"/>
      <c r="M163" s="908" t="str">
        <f t="shared" si="2"/>
        <v/>
      </c>
      <c r="N163" s="779">
        <f>IFERROR(VLOOKUP(F163,Ch6_Storage,2, FALSE),0)</f>
        <v>0</v>
      </c>
    </row>
    <row r="164" ht="18.75" customHeight="1">
      <c r="A164" s="716">
        <f>IFERROR(VLOOKUP(H164,PartyStorage,2, FALSE),0)</f>
        <v>0</v>
      </c>
      <c r="B164" s="932"/>
      <c r="C164" s="914"/>
      <c r="D164" s="914"/>
      <c r="E164" s="914"/>
      <c r="F164" s="916"/>
      <c r="G164" s="934"/>
      <c r="H164" s="919"/>
      <c r="L164" s="860"/>
      <c r="M164" s="921" t="str">
        <f t="shared" si="2"/>
        <v/>
      </c>
      <c r="N164" s="779">
        <f>IFERROR(VLOOKUP(F164,Ch6_Storage,2, FALSE),0)</f>
        <v>0</v>
      </c>
    </row>
    <row r="165" ht="18.75" customHeight="1">
      <c r="A165" s="716">
        <f>IFERROR(VLOOKUP(H165,PartyStorage,2, FALSE),0)</f>
        <v>0</v>
      </c>
      <c r="B165" s="924"/>
      <c r="C165" s="926"/>
      <c r="D165" s="926"/>
      <c r="E165" s="926"/>
      <c r="F165" s="937"/>
      <c r="G165" s="928"/>
      <c r="H165" s="907"/>
      <c r="L165" s="855"/>
      <c r="M165" s="908" t="str">
        <f t="shared" si="2"/>
        <v/>
      </c>
      <c r="N165" s="779">
        <f>IFERROR(VLOOKUP(F165,Ch6_Storage,2, FALSE),0)</f>
        <v>0</v>
      </c>
    </row>
    <row r="166" ht="18.75" customHeight="1">
      <c r="A166" s="716">
        <f>IFERROR(VLOOKUP(H166,PartyStorage,2, FALSE),0)</f>
        <v>0</v>
      </c>
      <c r="B166" s="932"/>
      <c r="C166" s="914"/>
      <c r="D166" s="914"/>
      <c r="E166" s="914"/>
      <c r="F166" s="916"/>
      <c r="G166" s="934"/>
      <c r="H166" s="919"/>
      <c r="L166" s="860"/>
      <c r="M166" s="921" t="str">
        <f t="shared" si="2"/>
        <v/>
      </c>
      <c r="N166" s="779">
        <f>IFERROR(VLOOKUP(F166,Ch6_Storage,2, FALSE),0)</f>
        <v>0</v>
      </c>
    </row>
    <row r="167" ht="18.75" customHeight="1">
      <c r="A167" s="716">
        <f>IFERROR(VLOOKUP(H167,PartyStorage,2, FALSE),0)</f>
        <v>0</v>
      </c>
      <c r="B167" s="924"/>
      <c r="C167" s="926"/>
      <c r="D167" s="926"/>
      <c r="E167" s="926"/>
      <c r="F167" s="937"/>
      <c r="G167" s="928"/>
      <c r="H167" s="907"/>
      <c r="L167" s="855"/>
      <c r="M167" s="908" t="str">
        <f t="shared" si="2"/>
        <v/>
      </c>
      <c r="N167" s="779">
        <f>IFERROR(VLOOKUP(F167,Ch6_Storage,2, FALSE),0)</f>
        <v>0</v>
      </c>
    </row>
    <row r="168" ht="18.75" customHeight="1">
      <c r="A168" s="716">
        <f>IFERROR(VLOOKUP(H168,PartyStorage,2, FALSE),0)</f>
        <v>0</v>
      </c>
      <c r="B168" s="932"/>
      <c r="C168" s="914"/>
      <c r="D168" s="914"/>
      <c r="E168" s="914"/>
      <c r="F168" s="916"/>
      <c r="G168" s="934"/>
      <c r="H168" s="919"/>
      <c r="L168" s="860"/>
      <c r="M168" s="921" t="str">
        <f t="shared" si="2"/>
        <v/>
      </c>
      <c r="N168" s="779">
        <f>IFERROR(VLOOKUP(F168,Ch6_Storage,2, FALSE),0)</f>
        <v>0</v>
      </c>
    </row>
    <row r="169" ht="18.75" customHeight="1">
      <c r="A169" s="716">
        <f>IFERROR(VLOOKUP(H169,PartyStorage,2, FALSE),0)</f>
        <v>0</v>
      </c>
      <c r="B169" s="924"/>
      <c r="C169" s="926"/>
      <c r="D169" s="926"/>
      <c r="E169" s="926"/>
      <c r="F169" s="937"/>
      <c r="G169" s="928"/>
      <c r="H169" s="907"/>
      <c r="L169" s="855"/>
      <c r="M169" s="908" t="str">
        <f t="shared" si="2"/>
        <v/>
      </c>
      <c r="N169" s="779">
        <f>IFERROR(VLOOKUP(F169,Ch6_Storage,2, FALSE),0)</f>
        <v>0</v>
      </c>
    </row>
    <row r="170" ht="18.75" customHeight="1">
      <c r="A170" s="716">
        <f>IFERROR(VLOOKUP(H170,PartyStorage,2, FALSE),0)</f>
        <v>0</v>
      </c>
      <c r="B170" s="932"/>
      <c r="C170" s="914"/>
      <c r="D170" s="914"/>
      <c r="E170" s="914"/>
      <c r="F170" s="916"/>
      <c r="G170" s="934"/>
      <c r="H170" s="919"/>
      <c r="L170" s="860"/>
      <c r="M170" s="921" t="str">
        <f t="shared" si="2"/>
        <v/>
      </c>
      <c r="N170" s="779">
        <f>IFERROR(VLOOKUP(F170,Ch6_Storage,2, FALSE),0)</f>
        <v>0</v>
      </c>
    </row>
    <row r="171" ht="18.75" customHeight="1">
      <c r="A171" s="716">
        <f>IFERROR(VLOOKUP(H171,PartyStorage,2, FALSE),0)</f>
        <v>0</v>
      </c>
      <c r="B171" s="924"/>
      <c r="C171" s="926"/>
      <c r="D171" s="926"/>
      <c r="E171" s="926"/>
      <c r="F171" s="937"/>
      <c r="G171" s="928"/>
      <c r="H171" s="907"/>
      <c r="L171" s="855"/>
      <c r="M171" s="908" t="str">
        <f t="shared" si="2"/>
        <v/>
      </c>
      <c r="N171" s="779">
        <f>IFERROR(VLOOKUP(F171,Ch6_Storage,2, FALSE),0)</f>
        <v>0</v>
      </c>
    </row>
    <row r="172" ht="18.75" customHeight="1">
      <c r="A172" s="716">
        <f>IFERROR(VLOOKUP(H172,PartyStorage,2, FALSE),0)</f>
        <v>0</v>
      </c>
      <c r="B172" s="932"/>
      <c r="C172" s="914"/>
      <c r="D172" s="914"/>
      <c r="E172" s="914"/>
      <c r="F172" s="916"/>
      <c r="G172" s="934"/>
      <c r="H172" s="919"/>
      <c r="L172" s="860"/>
      <c r="M172" s="921" t="str">
        <f t="shared" si="2"/>
        <v/>
      </c>
      <c r="N172" s="779">
        <f>IFERROR(VLOOKUP(F172,Ch6_Storage,2, FALSE),0)</f>
        <v>0</v>
      </c>
    </row>
    <row r="173" ht="18.75" customHeight="1">
      <c r="A173" s="716">
        <f>IFERROR(VLOOKUP(H173,PartyStorage,2, FALSE),0)</f>
        <v>0</v>
      </c>
      <c r="B173" s="924"/>
      <c r="C173" s="926"/>
      <c r="D173" s="926"/>
      <c r="E173" s="926"/>
      <c r="F173" s="937"/>
      <c r="G173" s="928"/>
      <c r="H173" s="907"/>
      <c r="L173" s="855"/>
      <c r="M173" s="908" t="str">
        <f t="shared" si="2"/>
        <v/>
      </c>
      <c r="N173" s="779">
        <f>IFERROR(VLOOKUP(F173,Ch6_Storage,2, FALSE),0)</f>
        <v>0</v>
      </c>
    </row>
    <row r="174" ht="18.75" customHeight="1">
      <c r="A174" s="716">
        <f>IFERROR(VLOOKUP(H174,PartyStorage,2, FALSE),0)</f>
        <v>0</v>
      </c>
      <c r="B174" s="932"/>
      <c r="C174" s="914"/>
      <c r="D174" s="914"/>
      <c r="E174" s="914"/>
      <c r="F174" s="916"/>
      <c r="G174" s="934"/>
      <c r="H174" s="919"/>
      <c r="L174" s="860"/>
      <c r="M174" s="921" t="str">
        <f t="shared" si="2"/>
        <v/>
      </c>
      <c r="N174" s="779">
        <f>IFERROR(VLOOKUP(F174,Ch6_Storage,2, FALSE),0)</f>
        <v>0</v>
      </c>
    </row>
    <row r="175" ht="18.75" customHeight="1">
      <c r="A175" s="716">
        <f>IFERROR(VLOOKUP(H175,PartyStorage,2, FALSE),0)</f>
        <v>0</v>
      </c>
      <c r="B175" s="924"/>
      <c r="C175" s="926"/>
      <c r="D175" s="926"/>
      <c r="E175" s="926"/>
      <c r="F175" s="937"/>
      <c r="G175" s="928"/>
      <c r="H175" s="907"/>
      <c r="L175" s="855"/>
      <c r="M175" s="908" t="str">
        <f t="shared" si="2"/>
        <v/>
      </c>
      <c r="N175" s="779">
        <f>IFERROR(VLOOKUP(F175,Ch6_Storage,2, FALSE),0)</f>
        <v>0</v>
      </c>
    </row>
    <row r="176" ht="18.75" customHeight="1">
      <c r="A176" s="716">
        <f>IFERROR(VLOOKUP(H176,PartyStorage,2, FALSE),0)</f>
        <v>0</v>
      </c>
      <c r="B176" s="932"/>
      <c r="C176" s="914"/>
      <c r="D176" s="914"/>
      <c r="E176" s="914"/>
      <c r="F176" s="916"/>
      <c r="G176" s="934"/>
      <c r="H176" s="919"/>
      <c r="L176" s="860"/>
      <c r="M176" s="921" t="str">
        <f t="shared" si="2"/>
        <v/>
      </c>
      <c r="N176" s="779">
        <f>IFERROR(VLOOKUP(F176,Ch6_Storage,2, FALSE),0)</f>
        <v>0</v>
      </c>
    </row>
    <row r="177" ht="18.75" customHeight="1">
      <c r="A177" s="716">
        <f>IFERROR(VLOOKUP(H177,PartyStorage,2, FALSE),0)</f>
        <v>0</v>
      </c>
      <c r="B177" s="924"/>
      <c r="C177" s="926"/>
      <c r="D177" s="926"/>
      <c r="E177" s="926"/>
      <c r="F177" s="937"/>
      <c r="G177" s="928"/>
      <c r="H177" s="907"/>
      <c r="L177" s="855"/>
      <c r="M177" s="908" t="str">
        <f t="shared" si="2"/>
        <v/>
      </c>
      <c r="N177" s="779">
        <f>IFERROR(VLOOKUP(F177,Ch6_Storage,2, FALSE),0)</f>
        <v>0</v>
      </c>
    </row>
    <row r="178" ht="18.75" customHeight="1">
      <c r="A178" s="716">
        <f>IFERROR(VLOOKUP(H178,PartyStorage,2, FALSE),0)</f>
        <v>0</v>
      </c>
      <c r="B178" s="932"/>
      <c r="C178" s="914"/>
      <c r="D178" s="914"/>
      <c r="E178" s="914"/>
      <c r="F178" s="916"/>
      <c r="G178" s="934"/>
      <c r="H178" s="919"/>
      <c r="L178" s="860"/>
      <c r="M178" s="921" t="str">
        <f t="shared" si="2"/>
        <v/>
      </c>
      <c r="N178" s="779">
        <f>IFERROR(VLOOKUP(F178,Ch6_Storage,2, FALSE),0)</f>
        <v>0</v>
      </c>
    </row>
    <row r="179" ht="18.75" customHeight="1">
      <c r="A179" s="716">
        <f>IFERROR(VLOOKUP(H179,PartyStorage,2, FALSE),0)</f>
        <v>0</v>
      </c>
      <c r="B179" s="924"/>
      <c r="C179" s="926"/>
      <c r="D179" s="926"/>
      <c r="E179" s="926"/>
      <c r="F179" s="937"/>
      <c r="G179" s="928"/>
      <c r="H179" s="907"/>
      <c r="L179" s="855"/>
      <c r="M179" s="908" t="str">
        <f t="shared" si="2"/>
        <v/>
      </c>
      <c r="N179" s="779">
        <f>IFERROR(VLOOKUP(F179,Ch6_Storage,2, FALSE),0)</f>
        <v>0</v>
      </c>
    </row>
    <row r="180" ht="18.75" customHeight="1">
      <c r="A180" s="716">
        <f>IFERROR(VLOOKUP(H180,PartyStorage,2, FALSE),0)</f>
        <v>0</v>
      </c>
      <c r="B180" s="932"/>
      <c r="C180" s="914"/>
      <c r="D180" s="914"/>
      <c r="E180" s="914"/>
      <c r="F180" s="916"/>
      <c r="G180" s="934"/>
      <c r="H180" s="919"/>
      <c r="L180" s="860"/>
      <c r="M180" s="921" t="str">
        <f t="shared" si="2"/>
        <v/>
      </c>
      <c r="N180" s="779">
        <f>IFERROR(VLOOKUP(F180,Ch6_Storage,2, FALSE),0)</f>
        <v>0</v>
      </c>
    </row>
    <row r="181" ht="18.75" customHeight="1">
      <c r="A181" s="716">
        <f>IFERROR(VLOOKUP(H181,PartyStorage,2, FALSE),0)</f>
        <v>0</v>
      </c>
      <c r="B181" s="924"/>
      <c r="C181" s="926"/>
      <c r="D181" s="926"/>
      <c r="E181" s="926"/>
      <c r="F181" s="937"/>
      <c r="G181" s="928"/>
      <c r="H181" s="907"/>
      <c r="L181" s="855"/>
      <c r="M181" s="908" t="str">
        <f t="shared" si="2"/>
        <v/>
      </c>
      <c r="N181" s="779">
        <f>IFERROR(VLOOKUP(F181,Ch6_Storage,2, FALSE),0)</f>
        <v>0</v>
      </c>
    </row>
    <row r="182" ht="18.75" customHeight="1">
      <c r="A182" s="716">
        <f>IFERROR(VLOOKUP(H182,PartyStorage,2, FALSE),0)</f>
        <v>0</v>
      </c>
      <c r="B182" s="932"/>
      <c r="C182" s="914"/>
      <c r="D182" s="914"/>
      <c r="E182" s="914"/>
      <c r="F182" s="916"/>
      <c r="G182" s="934"/>
      <c r="H182" s="919"/>
      <c r="L182" s="860"/>
      <c r="M182" s="921" t="str">
        <f t="shared" si="2"/>
        <v/>
      </c>
      <c r="N182" s="779">
        <f>IFERROR(VLOOKUP(F182,Ch6_Storage,2, FALSE),0)</f>
        <v>0</v>
      </c>
    </row>
    <row r="183" ht="18.75" customHeight="1">
      <c r="A183" s="716">
        <f>IFERROR(VLOOKUP(H183,PartyStorage,2, FALSE),0)</f>
        <v>0</v>
      </c>
      <c r="B183" s="924"/>
      <c r="C183" s="926"/>
      <c r="D183" s="926"/>
      <c r="E183" s="926"/>
      <c r="F183" s="937"/>
      <c r="G183" s="928"/>
      <c r="H183" s="907"/>
      <c r="L183" s="855"/>
      <c r="M183" s="908" t="str">
        <f t="shared" si="2"/>
        <v/>
      </c>
      <c r="N183" s="779">
        <f>IFERROR(VLOOKUP(F183,Ch6_Storage,2, FALSE),0)</f>
        <v>0</v>
      </c>
    </row>
    <row r="184" ht="18.75" customHeight="1">
      <c r="A184" s="716">
        <f>IFERROR(VLOOKUP(H184,PartyStorage,2, FALSE),0)</f>
        <v>0</v>
      </c>
      <c r="B184" s="932"/>
      <c r="C184" s="914"/>
      <c r="D184" s="914"/>
      <c r="E184" s="914"/>
      <c r="F184" s="916"/>
      <c r="G184" s="934"/>
      <c r="H184" s="919"/>
      <c r="L184" s="860"/>
      <c r="M184" s="921" t="str">
        <f t="shared" si="2"/>
        <v/>
      </c>
      <c r="N184" s="779">
        <f>IFERROR(VLOOKUP(F184,Ch6_Storage,2, FALSE),0)</f>
        <v>0</v>
      </c>
    </row>
    <row r="185" ht="18.75" customHeight="1">
      <c r="A185" s="716">
        <f>IFERROR(VLOOKUP(H185,PartyStorage,2, FALSE),0)</f>
        <v>0</v>
      </c>
      <c r="B185" s="924"/>
      <c r="C185" s="926"/>
      <c r="D185" s="926"/>
      <c r="E185" s="926"/>
      <c r="F185" s="937"/>
      <c r="G185" s="928"/>
      <c r="H185" s="907"/>
      <c r="L185" s="855"/>
      <c r="M185" s="908" t="str">
        <f t="shared" si="2"/>
        <v/>
      </c>
      <c r="N185" s="779">
        <f>IFERROR(VLOOKUP(F185,Ch6_Storage,2, FALSE),0)</f>
        <v>0</v>
      </c>
    </row>
    <row r="186" ht="18.75" customHeight="1">
      <c r="A186" s="716">
        <f>IFERROR(VLOOKUP(H186,PartyStorage,2, FALSE),0)</f>
        <v>0</v>
      </c>
      <c r="B186" s="932"/>
      <c r="C186" s="914"/>
      <c r="D186" s="914"/>
      <c r="E186" s="914"/>
      <c r="F186" s="916"/>
      <c r="G186" s="934"/>
      <c r="H186" s="919"/>
      <c r="L186" s="860"/>
      <c r="M186" s="921" t="str">
        <f t="shared" si="2"/>
        <v/>
      </c>
      <c r="N186" s="779">
        <f>IFERROR(VLOOKUP(F186,Ch6_Storage,2, FALSE),0)</f>
        <v>0</v>
      </c>
    </row>
    <row r="187" ht="18.75" customHeight="1">
      <c r="A187" s="716">
        <f>IFERROR(VLOOKUP(H187,PartyStorage,2, FALSE),0)</f>
        <v>0</v>
      </c>
      <c r="B187" s="924"/>
      <c r="C187" s="926"/>
      <c r="D187" s="926"/>
      <c r="E187" s="926"/>
      <c r="F187" s="937"/>
      <c r="G187" s="928"/>
      <c r="H187" s="907"/>
      <c r="L187" s="855"/>
      <c r="M187" s="908" t="str">
        <f t="shared" si="2"/>
        <v/>
      </c>
      <c r="N187" s="779">
        <f>IFERROR(VLOOKUP(F187,Ch6_Storage,2, FALSE),0)</f>
        <v>0</v>
      </c>
    </row>
    <row r="188" ht="18.75" customHeight="1">
      <c r="A188" s="716">
        <f>IFERROR(VLOOKUP(H188,PartyStorage,2, FALSE),0)</f>
        <v>0</v>
      </c>
      <c r="B188" s="932"/>
      <c r="C188" s="914"/>
      <c r="D188" s="914"/>
      <c r="E188" s="914"/>
      <c r="F188" s="916"/>
      <c r="G188" s="934"/>
      <c r="H188" s="919"/>
      <c r="L188" s="860"/>
      <c r="M188" s="921" t="str">
        <f t="shared" si="2"/>
        <v/>
      </c>
      <c r="N188" s="779">
        <f>IFERROR(VLOOKUP(F188,Ch6_Storage,2, FALSE),0)</f>
        <v>0</v>
      </c>
    </row>
    <row r="189" ht="18.75" customHeight="1">
      <c r="A189" s="716">
        <f>IFERROR(VLOOKUP(H189,PartyStorage,2, FALSE),0)</f>
        <v>0</v>
      </c>
      <c r="B189" s="924"/>
      <c r="C189" s="926"/>
      <c r="D189" s="926"/>
      <c r="E189" s="926"/>
      <c r="F189" s="937"/>
      <c r="G189" s="928"/>
      <c r="H189" s="907"/>
      <c r="L189" s="855"/>
      <c r="M189" s="908" t="str">
        <f t="shared" si="2"/>
        <v/>
      </c>
      <c r="N189" s="779">
        <f>IFERROR(VLOOKUP(F189,Ch6_Storage,2, FALSE),0)</f>
        <v>0</v>
      </c>
    </row>
    <row r="190" ht="18.75" customHeight="1">
      <c r="A190" s="716">
        <f>IFERROR(VLOOKUP(H190,PartyStorage,2, FALSE),0)</f>
        <v>0</v>
      </c>
      <c r="B190" s="932"/>
      <c r="C190" s="914"/>
      <c r="D190" s="914"/>
      <c r="E190" s="914"/>
      <c r="F190" s="916"/>
      <c r="G190" s="934"/>
      <c r="H190" s="919"/>
      <c r="L190" s="860"/>
      <c r="M190" s="921" t="str">
        <f t="shared" si="2"/>
        <v/>
      </c>
      <c r="N190" s="779">
        <f>IFERROR(VLOOKUP(F190,Ch6_Storage,2, FALSE),0)</f>
        <v>0</v>
      </c>
    </row>
    <row r="191" ht="18.75" customHeight="1">
      <c r="A191" s="716">
        <f>IFERROR(VLOOKUP(H191,PartyStorage,2, FALSE),0)</f>
        <v>0</v>
      </c>
      <c r="B191" s="924"/>
      <c r="C191" s="926"/>
      <c r="D191" s="926"/>
      <c r="E191" s="926"/>
      <c r="F191" s="937"/>
      <c r="G191" s="928"/>
      <c r="H191" s="907"/>
      <c r="L191" s="855"/>
      <c r="M191" s="908" t="str">
        <f t="shared" si="2"/>
        <v/>
      </c>
      <c r="N191" s="779">
        <f>IFERROR(VLOOKUP(F191,Ch6_Storage,2, FALSE),0)</f>
        <v>0</v>
      </c>
    </row>
    <row r="192" ht="18.75" customHeight="1">
      <c r="A192" s="716">
        <f>IFERROR(VLOOKUP(H192,PartyStorage,2, FALSE),0)</f>
        <v>0</v>
      </c>
      <c r="B192" s="932"/>
      <c r="C192" s="914"/>
      <c r="D192" s="914"/>
      <c r="E192" s="914"/>
      <c r="F192" s="916"/>
      <c r="G192" s="934"/>
      <c r="H192" s="919"/>
      <c r="L192" s="860"/>
      <c r="M192" s="921" t="str">
        <f t="shared" si="2"/>
        <v/>
      </c>
      <c r="N192" s="779">
        <f>IFERROR(VLOOKUP(F192,Ch6_Storage,2, FALSE),0)</f>
        <v>0</v>
      </c>
    </row>
    <row r="193" ht="18.75" customHeight="1">
      <c r="A193" s="716">
        <f>IFERROR(VLOOKUP(H193,PartyStorage,2, FALSE),0)</f>
        <v>0</v>
      </c>
      <c r="B193" s="924"/>
      <c r="C193" s="926"/>
      <c r="D193" s="926"/>
      <c r="E193" s="926"/>
      <c r="F193" s="937"/>
      <c r="G193" s="928"/>
      <c r="H193" s="907"/>
      <c r="L193" s="855"/>
      <c r="M193" s="908" t="str">
        <f t="shared" si="2"/>
        <v/>
      </c>
      <c r="N193" s="779">
        <f>IFERROR(VLOOKUP(F193,Ch6_Storage,2, FALSE),0)</f>
        <v>0</v>
      </c>
    </row>
    <row r="194" ht="18.75" customHeight="1">
      <c r="A194" s="716">
        <f>IFERROR(VLOOKUP(H194,PartyStorage,2, FALSE),0)</f>
        <v>0</v>
      </c>
      <c r="B194" s="932"/>
      <c r="C194" s="914"/>
      <c r="D194" s="914"/>
      <c r="E194" s="914"/>
      <c r="F194" s="916"/>
      <c r="G194" s="934"/>
      <c r="H194" s="919"/>
      <c r="L194" s="860"/>
      <c r="M194" s="921" t="str">
        <f t="shared" si="2"/>
        <v/>
      </c>
      <c r="N194" s="779">
        <f>IFERROR(VLOOKUP(F194,Ch6_Storage,2, FALSE),0)</f>
        <v>0</v>
      </c>
    </row>
    <row r="195" ht="18.75" customHeight="1">
      <c r="A195" s="716">
        <f>IFERROR(VLOOKUP(H195,PartyStorage,2, FALSE),0)</f>
        <v>0</v>
      </c>
      <c r="B195" s="924"/>
      <c r="C195" s="926"/>
      <c r="D195" s="926"/>
      <c r="E195" s="926"/>
      <c r="F195" s="937"/>
      <c r="G195" s="928"/>
      <c r="H195" s="907"/>
      <c r="L195" s="855"/>
      <c r="M195" s="908" t="str">
        <f t="shared" si="2"/>
        <v/>
      </c>
      <c r="N195" s="779">
        <f>IFERROR(VLOOKUP(F195,Ch6_Storage,2, FALSE),0)</f>
        <v>0</v>
      </c>
    </row>
    <row r="196" ht="18.75" customHeight="1">
      <c r="A196" s="716">
        <f>IFERROR(VLOOKUP(H196,PartyStorage,2, FALSE),0)</f>
        <v>0</v>
      </c>
      <c r="B196" s="932"/>
      <c r="C196" s="914"/>
      <c r="D196" s="914"/>
      <c r="E196" s="914"/>
      <c r="F196" s="916"/>
      <c r="G196" s="934"/>
      <c r="H196" s="919"/>
      <c r="L196" s="860"/>
      <c r="M196" s="921" t="str">
        <f t="shared" si="2"/>
        <v/>
      </c>
      <c r="N196" s="779">
        <f>IFERROR(VLOOKUP(F196,Ch6_Storage,2, FALSE),0)</f>
        <v>0</v>
      </c>
    </row>
    <row r="197" ht="18.75" customHeight="1">
      <c r="A197" s="716">
        <f>IFERROR(VLOOKUP(H197,PartyStorage,2, FALSE),0)</f>
        <v>0</v>
      </c>
      <c r="B197" s="924"/>
      <c r="C197" s="926"/>
      <c r="D197" s="926"/>
      <c r="E197" s="926"/>
      <c r="F197" s="937"/>
      <c r="G197" s="928"/>
      <c r="H197" s="907"/>
      <c r="L197" s="855"/>
      <c r="M197" s="908" t="str">
        <f t="shared" si="2"/>
        <v/>
      </c>
      <c r="N197" s="779">
        <f>IFERROR(VLOOKUP(F197,Ch6_Storage,2, FALSE),0)</f>
        <v>0</v>
      </c>
    </row>
    <row r="198" ht="18.75" customHeight="1">
      <c r="A198" s="716">
        <f>IFERROR(VLOOKUP(H198,PartyStorage,2, FALSE),0)</f>
        <v>0</v>
      </c>
      <c r="B198" s="932"/>
      <c r="C198" s="914"/>
      <c r="D198" s="914"/>
      <c r="E198" s="914"/>
      <c r="F198" s="916"/>
      <c r="G198" s="934"/>
      <c r="H198" s="919"/>
      <c r="L198" s="860"/>
      <c r="M198" s="921" t="str">
        <f t="shared" si="2"/>
        <v/>
      </c>
      <c r="N198" s="779">
        <f>IFERROR(VLOOKUP(F198,Ch6_Storage,2, FALSE),0)</f>
        <v>0</v>
      </c>
    </row>
    <row r="199" ht="18.75" customHeight="1">
      <c r="A199" s="716">
        <f>IFERROR(VLOOKUP(H199,PartyStorage,2, FALSE),0)</f>
        <v>0</v>
      </c>
      <c r="B199" s="924"/>
      <c r="C199" s="926"/>
      <c r="D199" s="926"/>
      <c r="E199" s="926"/>
      <c r="F199" s="937"/>
      <c r="G199" s="928"/>
      <c r="H199" s="907"/>
      <c r="L199" s="855"/>
      <c r="M199" s="908" t="str">
        <f t="shared" si="2"/>
        <v/>
      </c>
      <c r="N199" s="779">
        <f>IFERROR(VLOOKUP(F199,Ch6_Storage,2, FALSE),0)</f>
        <v>0</v>
      </c>
    </row>
    <row r="200" ht="18.75" customHeight="1">
      <c r="A200" s="716">
        <f>IFERROR(VLOOKUP(H200,PartyStorage,2, FALSE),0)</f>
        <v>0</v>
      </c>
      <c r="B200" s="932"/>
      <c r="C200" s="914"/>
      <c r="D200" s="914"/>
      <c r="E200" s="914"/>
      <c r="F200" s="916"/>
      <c r="G200" s="934"/>
      <c r="H200" s="919"/>
      <c r="L200" s="860"/>
      <c r="M200" s="921" t="str">
        <f t="shared" si="2"/>
        <v/>
      </c>
      <c r="N200" s="779">
        <f>IFERROR(VLOOKUP(F200,Ch6_Storage,2, FALSE),0)</f>
        <v>0</v>
      </c>
    </row>
    <row r="201" ht="18.75" customHeight="1">
      <c r="A201" s="716">
        <f>IFERROR(VLOOKUP(H201,PartyStorage,2, FALSE),0)</f>
        <v>0</v>
      </c>
      <c r="B201" s="924"/>
      <c r="C201" s="926"/>
      <c r="D201" s="926"/>
      <c r="E201" s="926"/>
      <c r="F201" s="937"/>
      <c r="G201" s="928"/>
      <c r="H201" s="907"/>
      <c r="L201" s="855"/>
      <c r="M201" s="908" t="str">
        <f t="shared" si="2"/>
        <v/>
      </c>
      <c r="N201" s="779">
        <f>IFERROR(VLOOKUP(F201,Ch6_Storage,2, FALSE),0)</f>
        <v>0</v>
      </c>
    </row>
    <row r="202" ht="18.75" customHeight="1">
      <c r="A202" s="716">
        <f>IFERROR(VLOOKUP(H202,PartyStorage,2, FALSE),0)</f>
        <v>0</v>
      </c>
      <c r="B202" s="932"/>
      <c r="C202" s="914"/>
      <c r="D202" s="914"/>
      <c r="E202" s="914"/>
      <c r="F202" s="916"/>
      <c r="G202" s="934"/>
      <c r="H202" s="919"/>
      <c r="L202" s="860"/>
      <c r="M202" s="921" t="str">
        <f t="shared" si="2"/>
        <v/>
      </c>
      <c r="N202" s="779">
        <f>IFERROR(VLOOKUP(F202,Ch6_Storage,2, FALSE),0)</f>
        <v>0</v>
      </c>
    </row>
    <row r="203" ht="18.75" customHeight="1">
      <c r="A203" s="716">
        <f>IFERROR(VLOOKUP(H203,PartyStorage,2, FALSE),0)</f>
        <v>0</v>
      </c>
      <c r="B203" s="924"/>
      <c r="C203" s="926"/>
      <c r="D203" s="926"/>
      <c r="E203" s="926"/>
      <c r="F203" s="937"/>
      <c r="G203" s="928"/>
      <c r="H203" s="907"/>
      <c r="L203" s="855"/>
      <c r="M203" s="908" t="str">
        <f t="shared" si="2"/>
        <v/>
      </c>
      <c r="N203" s="779">
        <f>IFERROR(VLOOKUP(F203,Ch6_Storage,2, FALSE),0)</f>
        <v>0</v>
      </c>
    </row>
    <row r="204" ht="18.75" customHeight="1">
      <c r="A204" s="716">
        <f>IFERROR(VLOOKUP(H204,PartyStorage,2, FALSE),0)</f>
        <v>0</v>
      </c>
      <c r="B204" s="932"/>
      <c r="C204" s="914"/>
      <c r="D204" s="914"/>
      <c r="E204" s="914"/>
      <c r="F204" s="916"/>
      <c r="G204" s="934"/>
      <c r="H204" s="919"/>
      <c r="L204" s="860"/>
      <c r="M204" s="921" t="str">
        <f t="shared" si="2"/>
        <v/>
      </c>
      <c r="N204" s="779">
        <f>IFERROR(VLOOKUP(F204,Ch6_Storage,2, FALSE),0)</f>
        <v>0</v>
      </c>
    </row>
    <row r="205" ht="18.75" customHeight="1">
      <c r="A205" s="716">
        <f>IFERROR(VLOOKUP(H205,PartyStorage,2, FALSE),0)</f>
        <v>0</v>
      </c>
      <c r="B205" s="924"/>
      <c r="C205" s="926"/>
      <c r="D205" s="926"/>
      <c r="E205" s="926"/>
      <c r="F205" s="937"/>
      <c r="G205" s="928"/>
      <c r="H205" s="907"/>
      <c r="L205" s="855"/>
      <c r="M205" s="908" t="str">
        <f t="shared" si="2"/>
        <v/>
      </c>
      <c r="N205" s="779">
        <f>IFERROR(VLOOKUP(F205,Ch6_Storage,2, FALSE),0)</f>
        <v>0</v>
      </c>
    </row>
    <row r="206" ht="18.75" customHeight="1">
      <c r="A206" s="716">
        <f>IFERROR(VLOOKUP(H206,PartyStorage,2, FALSE),0)</f>
        <v>0</v>
      </c>
      <c r="B206" s="932"/>
      <c r="C206" s="914"/>
      <c r="D206" s="914"/>
      <c r="E206" s="914"/>
      <c r="F206" s="916"/>
      <c r="G206" s="934"/>
      <c r="H206" s="919"/>
      <c r="L206" s="860"/>
      <c r="M206" s="921" t="str">
        <f t="shared" si="2"/>
        <v/>
      </c>
      <c r="N206" s="779">
        <f>IFERROR(VLOOKUP(F206,Ch6_Storage,2, FALSE),0)</f>
        <v>0</v>
      </c>
    </row>
    <row r="207" ht="18.75" customHeight="1">
      <c r="A207" s="716">
        <f>IFERROR(VLOOKUP(H207,PartyStorage,2, FALSE),0)</f>
        <v>0</v>
      </c>
      <c r="B207" s="924"/>
      <c r="C207" s="926"/>
      <c r="D207" s="926"/>
      <c r="E207" s="926"/>
      <c r="F207" s="937"/>
      <c r="G207" s="928"/>
      <c r="H207" s="907"/>
      <c r="L207" s="855"/>
      <c r="M207" s="908" t="str">
        <f t="shared" si="2"/>
        <v/>
      </c>
      <c r="N207" s="779">
        <f>IFERROR(VLOOKUP(F207,Ch6_Storage,2, FALSE),0)</f>
        <v>0</v>
      </c>
    </row>
    <row r="208" ht="18.75" customHeight="1">
      <c r="A208" s="716">
        <f>IFERROR(VLOOKUP(H208,PartyStorage,2, FALSE),0)</f>
        <v>0</v>
      </c>
      <c r="B208" s="1063"/>
      <c r="C208" s="1064"/>
      <c r="D208" s="1064"/>
      <c r="E208" s="1064"/>
      <c r="F208" s="1065"/>
      <c r="G208" s="1066"/>
      <c r="H208" s="1067"/>
      <c r="I208" s="1068"/>
      <c r="J208" s="1068"/>
      <c r="K208" s="1068"/>
      <c r="L208" s="1069"/>
      <c r="M208" s="1070" t="str">
        <f t="shared" si="2"/>
        <v/>
      </c>
      <c r="N208" s="779">
        <f>IFERROR(VLOOKUP(F208,Ch6_Storage,2, FALSE),0)</f>
        <v>0</v>
      </c>
    </row>
    <row r="209" ht="7.5" customHeight="1">
      <c r="A209" s="513"/>
      <c r="B209" s="42"/>
      <c r="C209" s="42"/>
      <c r="D209" s="42"/>
      <c r="E209" s="42"/>
      <c r="F209" s="42"/>
      <c r="G209" s="42"/>
      <c r="H209" s="42"/>
      <c r="I209" s="42"/>
      <c r="J209" s="42"/>
      <c r="K209" s="42"/>
      <c r="L209" s="42"/>
      <c r="M209" s="42"/>
      <c r="N209" s="779"/>
    </row>
  </sheetData>
  <mergeCells count="197">
    <mergeCell ref="H91:L91"/>
    <mergeCell ref="H92:L92"/>
    <mergeCell ref="H86:L86"/>
    <mergeCell ref="H87:L87"/>
    <mergeCell ref="H97:L97"/>
    <mergeCell ref="H89:L89"/>
    <mergeCell ref="H90:L90"/>
    <mergeCell ref="H93:L93"/>
    <mergeCell ref="H94:L94"/>
    <mergeCell ref="H88:L88"/>
    <mergeCell ref="H50:L50"/>
    <mergeCell ref="H42:L42"/>
    <mergeCell ref="H45:L45"/>
    <mergeCell ref="H58:L58"/>
    <mergeCell ref="H54:L54"/>
    <mergeCell ref="H55:L55"/>
    <mergeCell ref="H57:L57"/>
    <mergeCell ref="H56:L56"/>
    <mergeCell ref="K6:L6"/>
    <mergeCell ref="K7:L7"/>
    <mergeCell ref="K5:L5"/>
    <mergeCell ref="H60:L60"/>
    <mergeCell ref="B7:C7"/>
    <mergeCell ref="K4:L4"/>
    <mergeCell ref="B4:C4"/>
    <mergeCell ref="H59:L59"/>
    <mergeCell ref="I2:J7"/>
    <mergeCell ref="E2:F7"/>
    <mergeCell ref="H30:L30"/>
    <mergeCell ref="H35:L35"/>
    <mergeCell ref="H31:L31"/>
    <mergeCell ref="H32:L32"/>
    <mergeCell ref="H33:L33"/>
    <mergeCell ref="H34:L34"/>
    <mergeCell ref="H36:L36"/>
    <mergeCell ref="H39:L39"/>
    <mergeCell ref="H37:L37"/>
    <mergeCell ref="H38:L38"/>
    <mergeCell ref="H27:L27"/>
    <mergeCell ref="H28:L28"/>
    <mergeCell ref="H29:L29"/>
    <mergeCell ref="H26:L26"/>
    <mergeCell ref="K2:M2"/>
    <mergeCell ref="K3:L3"/>
    <mergeCell ref="B3:C3"/>
    <mergeCell ref="B2:C2"/>
    <mergeCell ref="H52:L52"/>
    <mergeCell ref="H53:L53"/>
    <mergeCell ref="H64:L64"/>
    <mergeCell ref="H66:L66"/>
    <mergeCell ref="H46:L46"/>
    <mergeCell ref="H47:L47"/>
    <mergeCell ref="H48:L48"/>
    <mergeCell ref="H49:L49"/>
    <mergeCell ref="H51:L51"/>
    <mergeCell ref="H65:L65"/>
    <mergeCell ref="H73:L73"/>
    <mergeCell ref="H74:L74"/>
    <mergeCell ref="H70:L70"/>
    <mergeCell ref="H71:L71"/>
    <mergeCell ref="H72:L72"/>
    <mergeCell ref="H68:L68"/>
    <mergeCell ref="H69:L69"/>
    <mergeCell ref="H95:L95"/>
    <mergeCell ref="H96:L96"/>
    <mergeCell ref="H101:L101"/>
    <mergeCell ref="H102:L102"/>
    <mergeCell ref="B5:C5"/>
    <mergeCell ref="B6:C6"/>
    <mergeCell ref="H85:L85"/>
    <mergeCell ref="H81:L81"/>
    <mergeCell ref="H78:L78"/>
    <mergeCell ref="H79:L79"/>
    <mergeCell ref="H77:L77"/>
    <mergeCell ref="H76:L76"/>
    <mergeCell ref="H98:L98"/>
    <mergeCell ref="H99:L99"/>
    <mergeCell ref="H100:L100"/>
    <mergeCell ref="H43:L43"/>
    <mergeCell ref="H44:L44"/>
    <mergeCell ref="H40:L40"/>
    <mergeCell ref="H41:L41"/>
    <mergeCell ref="H166:L166"/>
    <mergeCell ref="H167:L167"/>
    <mergeCell ref="H181:L181"/>
    <mergeCell ref="H182:L182"/>
    <mergeCell ref="H158:L158"/>
    <mergeCell ref="H159:L159"/>
    <mergeCell ref="H160:L160"/>
    <mergeCell ref="H161:L161"/>
    <mergeCell ref="H163:L163"/>
    <mergeCell ref="H173:L173"/>
    <mergeCell ref="H197:L197"/>
    <mergeCell ref="H193:L193"/>
    <mergeCell ref="H194:L194"/>
    <mergeCell ref="H196:L196"/>
    <mergeCell ref="H195:L195"/>
    <mergeCell ref="H205:L205"/>
    <mergeCell ref="H206:L206"/>
    <mergeCell ref="H207:L207"/>
    <mergeCell ref="H208:L208"/>
    <mergeCell ref="H203:L203"/>
    <mergeCell ref="H202:L202"/>
    <mergeCell ref="H204:L204"/>
    <mergeCell ref="H184:L184"/>
    <mergeCell ref="H185:L185"/>
    <mergeCell ref="H188:L188"/>
    <mergeCell ref="H187:L187"/>
    <mergeCell ref="H183:L183"/>
    <mergeCell ref="H186:L186"/>
    <mergeCell ref="H119:L119"/>
    <mergeCell ref="H122:L122"/>
    <mergeCell ref="H138:L138"/>
    <mergeCell ref="H143:L143"/>
    <mergeCell ref="H144:L144"/>
    <mergeCell ref="H164:L164"/>
    <mergeCell ref="H165:L165"/>
    <mergeCell ref="H162:L162"/>
    <mergeCell ref="H142:L142"/>
    <mergeCell ref="H151:L151"/>
    <mergeCell ref="H152:L152"/>
    <mergeCell ref="H145:L145"/>
    <mergeCell ref="H150:L150"/>
    <mergeCell ref="H146:L146"/>
    <mergeCell ref="H103:L103"/>
    <mergeCell ref="H104:L104"/>
    <mergeCell ref="H111:L111"/>
    <mergeCell ref="H110:L110"/>
    <mergeCell ref="H105:L105"/>
    <mergeCell ref="H106:L106"/>
    <mergeCell ref="H108:L108"/>
    <mergeCell ref="H109:L109"/>
    <mergeCell ref="H200:L200"/>
    <mergeCell ref="H201:L201"/>
    <mergeCell ref="H118:L118"/>
    <mergeCell ref="H107:L107"/>
    <mergeCell ref="H199:L199"/>
    <mergeCell ref="H177:L177"/>
    <mergeCell ref="H178:L178"/>
    <mergeCell ref="H179:L179"/>
    <mergeCell ref="H180:L180"/>
    <mergeCell ref="H190:L190"/>
    <mergeCell ref="H191:L191"/>
    <mergeCell ref="H139:L139"/>
    <mergeCell ref="H140:L140"/>
    <mergeCell ref="H141:L141"/>
    <mergeCell ref="H134:L134"/>
    <mergeCell ref="H135:L135"/>
    <mergeCell ref="H136:L136"/>
    <mergeCell ref="H137:L137"/>
    <mergeCell ref="H123:L123"/>
    <mergeCell ref="H124:L124"/>
    <mergeCell ref="H127:L127"/>
    <mergeCell ref="H126:L126"/>
    <mergeCell ref="H125:L125"/>
    <mergeCell ref="H133:L133"/>
    <mergeCell ref="H128:L128"/>
    <mergeCell ref="H129:L129"/>
    <mergeCell ref="H130:L130"/>
    <mergeCell ref="H131:L131"/>
    <mergeCell ref="H132:L132"/>
    <mergeCell ref="H147:L147"/>
    <mergeCell ref="H148:L148"/>
    <mergeCell ref="H171:L171"/>
    <mergeCell ref="H172:L172"/>
    <mergeCell ref="H156:L156"/>
    <mergeCell ref="H157:L157"/>
    <mergeCell ref="H155:L155"/>
    <mergeCell ref="H170:L170"/>
    <mergeCell ref="H169:L169"/>
    <mergeCell ref="H176:L176"/>
    <mergeCell ref="H168:L168"/>
    <mergeCell ref="H198:L198"/>
    <mergeCell ref="H189:L189"/>
    <mergeCell ref="H192:L192"/>
    <mergeCell ref="H120:L120"/>
    <mergeCell ref="H121:L121"/>
    <mergeCell ref="H112:L112"/>
    <mergeCell ref="H113:L113"/>
    <mergeCell ref="H115:L115"/>
    <mergeCell ref="H114:L114"/>
    <mergeCell ref="H116:L116"/>
    <mergeCell ref="H117:L117"/>
    <mergeCell ref="H153:L153"/>
    <mergeCell ref="H154:L154"/>
    <mergeCell ref="H149:L149"/>
    <mergeCell ref="H175:L175"/>
    <mergeCell ref="H174:L174"/>
    <mergeCell ref="H82:L82"/>
    <mergeCell ref="H80:L80"/>
    <mergeCell ref="H61:L61"/>
    <mergeCell ref="H62:L62"/>
    <mergeCell ref="H63:L63"/>
    <mergeCell ref="H83:L83"/>
    <mergeCell ref="H84:L84"/>
    <mergeCell ref="H75:L75"/>
    <mergeCell ref="H67:L67"/>
  </mergeCells>
  <conditionalFormatting sqref="F27:F208">
    <cfRule type="expression" dxfId="0" priority="1">
      <formula>AND(AND(NOT(ISBLANK(C27)), ISBLANK(F27)), ISBLANK(H27))</formula>
    </cfRule>
  </conditionalFormatting>
  <conditionalFormatting sqref="F27:F208">
    <cfRule type="expression" dxfId="0" priority="2">
      <formula>AND(AND(NOT(ISBLANK(C27)), ISBLANK(F27)), ISBLANK(G27))</formula>
    </cfRule>
  </conditionalFormatting>
  <conditionalFormatting sqref="K2:M2">
    <cfRule type="expression" dxfId="29" priority="3">
      <formula>IF($N$2="",true,false)</formula>
    </cfRule>
  </conditionalFormatting>
  <conditionalFormatting sqref="K3:M7">
    <cfRule type="expression" dxfId="30" priority="4">
      <formula>IF($N$2="",true,false)</formula>
    </cfRule>
  </conditionalFormatting>
  <dataValidations>
    <dataValidation type="list" allowBlank="1" showInputMessage="1" showErrorMessage="1" prompt="Every item must have a storage location." sqref="F27:F208">
      <formula1>PartyStorage</formula1>
    </dataValidation>
    <dataValidation type="list" allowBlank="1" sqref="G27:G208">
      <formula1>"Mundane,Magic,Attunement"</formula1>
    </dataValidation>
  </dataValidations>
  <hyperlinks>
    <hyperlink r:id="rId2" ref="E1"/>
    <hyperlink r:id="rId3" ref="I1"/>
  </hyperlinks>
  <drawing r:id="rId4"/>
  <legacyDrawing r:id="rId5"/>
  <tableParts count="4">
    <tablePart r:id="rId10"/>
    <tablePart r:id="rId11"/>
    <tablePart r:id="rId12"/>
    <tablePart r:id="rId1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1155CC"/>
  </sheetPr>
  <sheetViews>
    <sheetView showGridLines="0" workbookViewId="0"/>
  </sheetViews>
  <sheetFormatPr customHeight="1" defaultColWidth="14.43" defaultRowHeight="15.75"/>
  <cols>
    <col customWidth="1" min="1" max="1" width="1.57"/>
    <col customWidth="1" min="2" max="2" width="5.86"/>
    <col customWidth="1" min="3" max="3" width="21.57"/>
    <col customWidth="1" min="4" max="13" width="15.86"/>
    <col customWidth="1" min="14" max="14" width="1.57"/>
    <col hidden="1" min="15" max="28" width="14.43"/>
  </cols>
  <sheetData>
    <row r="1" ht="7.5" customHeight="1">
      <c r="A1" s="35" t="str">
        <f>Ch7_Name&amp;"'s Inventory"</f>
        <v>Character 7's Inventory</v>
      </c>
      <c r="B1" s="172"/>
      <c r="C1" s="174"/>
      <c r="D1" s="174"/>
      <c r="E1" s="4" t="s">
        <v>52</v>
      </c>
      <c r="F1" s="174"/>
      <c r="G1" s="176"/>
      <c r="H1" s="176"/>
      <c r="I1" s="179" t="s">
        <v>53</v>
      </c>
      <c r="J1" s="181"/>
      <c r="K1" s="176"/>
      <c r="L1" s="176"/>
      <c r="M1" s="176"/>
      <c r="N1" s="176"/>
      <c r="O1" s="176"/>
      <c r="P1" s="176"/>
      <c r="Q1" s="176"/>
      <c r="R1" s="176"/>
      <c r="S1" s="176"/>
      <c r="T1" s="176"/>
      <c r="U1" s="176"/>
      <c r="V1" s="176"/>
      <c r="W1" s="176"/>
      <c r="X1" s="176"/>
      <c r="Y1" s="176"/>
      <c r="Z1" s="176"/>
      <c r="AA1" s="176"/>
      <c r="AB1" s="176"/>
    </row>
    <row r="2" ht="18.75" customHeight="1">
      <c r="A2" s="614">
        <f>IF(ISBLANK(Ch7_Size),"",VLOOKUP(Ch7_Size,SizeMultipliers,2, FALSE))</f>
        <v>1</v>
      </c>
      <c r="B2" s="910" t="s">
        <v>56</v>
      </c>
      <c r="C2" s="912"/>
      <c r="D2" s="913"/>
      <c r="E2" s="537" t="str">
        <f>IMAGE(E1,1)</f>
        <v/>
      </c>
      <c r="G2" s="915" t="s">
        <v>57</v>
      </c>
      <c r="H2" s="917"/>
      <c r="I2" s="194" t="str">
        <f>IMAGE(I1,1)</f>
        <v/>
      </c>
      <c r="K2" s="910" t="str">
        <f>IF(ISBLANK(Ch7_MountName),"Mount",Ch7_MountName)&amp;"'s Encumbrance"</f>
        <v>Mount's Encumbrance</v>
      </c>
      <c r="L2" s="395"/>
      <c r="M2" s="920"/>
      <c r="N2" s="577" t="str">
        <f>IF(ISBLANK(Ch7_MountSize),"",VLOOKUP(Ch7_MountSize,SizeMultipliers,2, FALSE))</f>
        <v/>
      </c>
    </row>
    <row r="3" ht="18.75" customHeight="1">
      <c r="A3" s="48"/>
      <c r="B3" s="201" t="s">
        <v>60</v>
      </c>
      <c r="C3" s="922"/>
      <c r="D3" s="923">
        <f>Ch7_Str*Ch7_SizeMultiplier*5</f>
        <v>50</v>
      </c>
      <c r="G3" s="925" t="s">
        <v>61</v>
      </c>
      <c r="H3" s="927">
        <v>0.0</v>
      </c>
      <c r="K3" s="210" t="s">
        <v>60</v>
      </c>
      <c r="L3" s="922"/>
      <c r="M3" s="923">
        <f>Ch7_MountStr*Ch7_MountSizeMult*5</f>
        <v>0</v>
      </c>
      <c r="N3" s="779"/>
    </row>
    <row r="4" ht="18.75" customHeight="1">
      <c r="A4" s="48"/>
      <c r="B4" s="929" t="s">
        <v>64</v>
      </c>
      <c r="C4" s="930"/>
      <c r="D4" s="931">
        <f>Ch7_Str*Ch7_SizeMultiplier*10</f>
        <v>100</v>
      </c>
      <c r="G4" s="933" t="s">
        <v>65</v>
      </c>
      <c r="H4" s="927">
        <f>(VLOOKUP(ADD(Ch7_Level,1),XPTable_v,2))-Ch7_XP</f>
        <v>300</v>
      </c>
      <c r="K4" s="935" t="s">
        <v>64</v>
      </c>
      <c r="L4" s="930"/>
      <c r="M4" s="931">
        <f>Ch7_MountStr*Ch7_MountSizeMult*10</f>
        <v>0</v>
      </c>
      <c r="N4" s="779"/>
    </row>
    <row r="5" ht="18.75" customHeight="1">
      <c r="A5" s="48"/>
      <c r="B5" s="201" t="s">
        <v>7</v>
      </c>
      <c r="C5" s="922"/>
      <c r="D5" s="923">
        <f>Ch7_Str*Ch7_SizeMultiplier*15</f>
        <v>150</v>
      </c>
      <c r="G5" s="936" t="s">
        <v>67</v>
      </c>
      <c r="H5" s="938">
        <f>MATCH(Ch7_XP,XPTable_m,2)</f>
        <v>1</v>
      </c>
      <c r="K5" s="210" t="s">
        <v>7</v>
      </c>
      <c r="L5" s="922"/>
      <c r="M5" s="923">
        <f>Ch7_MountStr*Ch7_MountSizeMult*15</f>
        <v>0</v>
      </c>
      <c r="N5" s="779"/>
    </row>
    <row r="6" ht="18.75" customHeight="1">
      <c r="A6" s="48"/>
      <c r="B6" s="929" t="s">
        <v>68</v>
      </c>
      <c r="C6" s="930"/>
      <c r="D6" s="931">
        <f>Ch7_Str*Ch7_SizeMultiplier*30</f>
        <v>300</v>
      </c>
      <c r="G6" s="29"/>
      <c r="H6" s="29"/>
      <c r="K6" s="935" t="s">
        <v>68</v>
      </c>
      <c r="L6" s="930"/>
      <c r="M6" s="931">
        <f>Ch7_MountStr*Ch7_MountSizeMult*30</f>
        <v>0</v>
      </c>
      <c r="N6" s="779"/>
    </row>
    <row r="7" ht="18.75" customHeight="1">
      <c r="A7" s="48"/>
      <c r="B7" s="234" t="s">
        <v>45</v>
      </c>
      <c r="C7" s="939"/>
      <c r="D7" s="940">
        <f t="array" ref="D7">SUMIF(Ch7_EquipStatus,"=yes",Ch7_InventoryWeights)</f>
        <v>0</v>
      </c>
      <c r="G7" s="29"/>
      <c r="H7" s="29"/>
      <c r="K7" s="240" t="s">
        <v>45</v>
      </c>
      <c r="L7" s="939"/>
      <c r="M7" s="941">
        <f t="array" ref="M7">SUMIF(Ch7_EquipStatus,"=mount",Ch7_InventoryWeights)++Ch7_Weight+D7</f>
        <v>0</v>
      </c>
      <c r="N7" s="779"/>
    </row>
    <row r="8" ht="7.5" customHeight="1">
      <c r="A8" s="48"/>
      <c r="B8" s="255"/>
      <c r="C8" s="257"/>
      <c r="D8" s="258"/>
      <c r="E8" s="257"/>
      <c r="F8" s="257"/>
      <c r="G8" s="257"/>
      <c r="H8" s="257"/>
      <c r="I8" s="259"/>
      <c r="J8" s="261"/>
      <c r="K8" s="261"/>
      <c r="L8" s="261"/>
      <c r="M8" s="261"/>
      <c r="N8" s="779"/>
    </row>
    <row r="9" ht="18.75" customHeight="1">
      <c r="A9" s="48"/>
      <c r="B9" s="942" t="s">
        <v>16</v>
      </c>
      <c r="C9" s="943"/>
      <c r="D9" s="944" t="s">
        <v>17</v>
      </c>
      <c r="E9" s="945"/>
      <c r="F9" s="945"/>
      <c r="G9" s="945"/>
      <c r="H9" s="945"/>
      <c r="I9" s="946"/>
      <c r="J9" s="947"/>
      <c r="K9" s="947"/>
      <c r="L9" s="947"/>
      <c r="M9" s="948"/>
      <c r="N9" s="779"/>
    </row>
    <row r="10" ht="18.75" customHeight="1">
      <c r="A10" s="48"/>
      <c r="B10" s="949" t="s">
        <v>23</v>
      </c>
      <c r="C10" s="950" t="s">
        <v>10</v>
      </c>
      <c r="D10" s="950" t="s">
        <v>24</v>
      </c>
      <c r="E10" s="950" t="s">
        <v>25</v>
      </c>
      <c r="F10" s="950" t="s">
        <v>26</v>
      </c>
      <c r="G10" s="950" t="s">
        <v>27</v>
      </c>
      <c r="H10" s="950" t="s">
        <v>28</v>
      </c>
      <c r="I10" s="950" t="s">
        <v>29</v>
      </c>
      <c r="J10" s="950" t="s">
        <v>30</v>
      </c>
      <c r="K10" s="950" t="s">
        <v>31</v>
      </c>
      <c r="L10" s="950" t="s">
        <v>32</v>
      </c>
      <c r="M10" s="951" t="s">
        <v>33</v>
      </c>
      <c r="N10" s="71"/>
    </row>
    <row r="11" ht="18.75" customHeight="1">
      <c r="A11" s="48"/>
      <c r="B11" s="566">
        <v>0.0</v>
      </c>
      <c r="C11" s="952" t="s">
        <v>36</v>
      </c>
      <c r="D11" s="953">
        <f>B11</f>
        <v>0</v>
      </c>
      <c r="E11" s="953">
        <f>B11/10</f>
        <v>0</v>
      </c>
      <c r="F11" s="953">
        <f>B11/50</f>
        <v>0</v>
      </c>
      <c r="G11" s="953">
        <f>B11/100</f>
        <v>0</v>
      </c>
      <c r="H11" s="953">
        <f>B11/1000</f>
        <v>0</v>
      </c>
      <c r="I11" s="954">
        <f>B11/5000</f>
        <v>0</v>
      </c>
      <c r="J11" s="955">
        <f>B11/10000</f>
        <v>0</v>
      </c>
      <c r="K11" s="955">
        <f>B11/50000</f>
        <v>0</v>
      </c>
      <c r="L11" s="955">
        <f>B11/100000</f>
        <v>0</v>
      </c>
      <c r="M11" s="956">
        <f>B11/500000</f>
        <v>0</v>
      </c>
      <c r="N11" s="779"/>
    </row>
    <row r="12" ht="18.75" customHeight="1">
      <c r="A12" s="48"/>
      <c r="B12" s="566">
        <v>0.0</v>
      </c>
      <c r="C12" s="952" t="s">
        <v>50</v>
      </c>
      <c r="D12" s="953">
        <f>B12*10</f>
        <v>0</v>
      </c>
      <c r="E12" s="953">
        <f>B12</f>
        <v>0</v>
      </c>
      <c r="F12" s="953">
        <f>B12/5</f>
        <v>0</v>
      </c>
      <c r="G12" s="953">
        <f>B12/10</f>
        <v>0</v>
      </c>
      <c r="H12" s="953">
        <f>B12/100</f>
        <v>0</v>
      </c>
      <c r="I12" s="953">
        <f>B12/500</f>
        <v>0</v>
      </c>
      <c r="J12" s="953">
        <f>B12/1000</f>
        <v>0</v>
      </c>
      <c r="K12" s="953">
        <f>B12/5000</f>
        <v>0</v>
      </c>
      <c r="L12" s="953">
        <f>B12/10000</f>
        <v>0</v>
      </c>
      <c r="M12" s="957">
        <f>B12/50000</f>
        <v>0</v>
      </c>
      <c r="N12" s="779"/>
    </row>
    <row r="13" ht="18.75" customHeight="1">
      <c r="A13" s="48"/>
      <c r="B13" s="566">
        <v>0.0</v>
      </c>
      <c r="C13" s="952" t="s">
        <v>54</v>
      </c>
      <c r="D13" s="953">
        <f>B13*50</f>
        <v>0</v>
      </c>
      <c r="E13" s="953">
        <f>B13*5</f>
        <v>0</v>
      </c>
      <c r="F13" s="953">
        <f>B13</f>
        <v>0</v>
      </c>
      <c r="G13" s="953">
        <f>B13/2</f>
        <v>0</v>
      </c>
      <c r="H13" s="953">
        <f>B13/20</f>
        <v>0</v>
      </c>
      <c r="I13" s="953">
        <f>B13/100</f>
        <v>0</v>
      </c>
      <c r="J13" s="955">
        <f>B13/200</f>
        <v>0</v>
      </c>
      <c r="K13" s="955">
        <f>B13/1000</f>
        <v>0</v>
      </c>
      <c r="L13" s="955">
        <f>B13/2000</f>
        <v>0</v>
      </c>
      <c r="M13" s="956">
        <f>B13/10000</f>
        <v>0</v>
      </c>
      <c r="N13" s="779"/>
    </row>
    <row r="14" ht="18.75" customHeight="1">
      <c r="A14" s="48"/>
      <c r="B14" s="566">
        <v>0.0</v>
      </c>
      <c r="C14" s="952" t="s">
        <v>59</v>
      </c>
      <c r="D14" s="953">
        <f>B14*100</f>
        <v>0</v>
      </c>
      <c r="E14" s="953">
        <f>B14*10</f>
        <v>0</v>
      </c>
      <c r="F14" s="953">
        <f>B14*2</f>
        <v>0</v>
      </c>
      <c r="G14" s="953">
        <f>B14</f>
        <v>0</v>
      </c>
      <c r="H14" s="953">
        <f>B14/10</f>
        <v>0</v>
      </c>
      <c r="I14" s="953">
        <f>B14/50</f>
        <v>0</v>
      </c>
      <c r="J14" s="955">
        <f>B14/100</f>
        <v>0</v>
      </c>
      <c r="K14" s="955">
        <f>B14/500</f>
        <v>0</v>
      </c>
      <c r="L14" s="955">
        <f>B14/1000</f>
        <v>0</v>
      </c>
      <c r="M14" s="956">
        <f>B14/5000</f>
        <v>0</v>
      </c>
      <c r="N14" s="779"/>
    </row>
    <row r="15" ht="18.75" customHeight="1">
      <c r="A15" s="48"/>
      <c r="B15" s="574">
        <v>0.0</v>
      </c>
      <c r="C15" s="958" t="s">
        <v>63</v>
      </c>
      <c r="D15" s="959">
        <f>B15*1000</f>
        <v>0</v>
      </c>
      <c r="E15" s="959">
        <f>B15*100</f>
        <v>0</v>
      </c>
      <c r="F15" s="959">
        <f>B15*20</f>
        <v>0</v>
      </c>
      <c r="G15" s="959">
        <f>B15*10</f>
        <v>0</v>
      </c>
      <c r="H15" s="959">
        <f>B15*1</f>
        <v>0</v>
      </c>
      <c r="I15" s="959">
        <f>B15/5</f>
        <v>0</v>
      </c>
      <c r="J15" s="960">
        <f>B15/10</f>
        <v>0</v>
      </c>
      <c r="K15" s="960">
        <f>B15/50</f>
        <v>0</v>
      </c>
      <c r="L15" s="960">
        <f>B15/100</f>
        <v>0</v>
      </c>
      <c r="M15" s="961">
        <f>B15/500</f>
        <v>0</v>
      </c>
      <c r="N15" s="779"/>
    </row>
    <row r="16" ht="7.5" customHeight="1">
      <c r="A16" s="48"/>
      <c r="B16" s="265"/>
      <c r="C16" s="267"/>
      <c r="D16" s="267"/>
      <c r="E16" s="267"/>
      <c r="F16" s="267"/>
      <c r="G16" s="267"/>
      <c r="H16" s="267"/>
      <c r="I16" s="267"/>
      <c r="J16" s="269"/>
      <c r="K16" s="269"/>
      <c r="L16" s="269"/>
      <c r="M16" s="269"/>
      <c r="N16" s="812"/>
      <c r="O16" s="233"/>
      <c r="P16" s="233"/>
      <c r="Q16" s="233"/>
      <c r="R16" s="233"/>
      <c r="S16" s="233"/>
      <c r="T16" s="233"/>
      <c r="U16" s="233"/>
      <c r="V16" s="233"/>
      <c r="W16" s="233"/>
      <c r="X16" s="233"/>
      <c r="Y16" s="233"/>
      <c r="Z16" s="233"/>
      <c r="AA16" s="233"/>
      <c r="AB16" s="233"/>
    </row>
    <row r="17" ht="18.75" customHeight="1">
      <c r="A17" s="48"/>
      <c r="B17" s="942" t="s">
        <v>69</v>
      </c>
      <c r="C17" s="945"/>
      <c r="D17" s="944" t="s">
        <v>17</v>
      </c>
      <c r="E17" s="945"/>
      <c r="F17" s="945"/>
      <c r="G17" s="945"/>
      <c r="H17" s="945"/>
      <c r="I17" s="945"/>
      <c r="J17" s="947"/>
      <c r="K17" s="947"/>
      <c r="L17" s="947"/>
      <c r="M17" s="948"/>
      <c r="N17" s="779"/>
    </row>
    <row r="18" ht="18.75" customHeight="1">
      <c r="A18" s="48"/>
      <c r="B18" s="949" t="s">
        <v>23</v>
      </c>
      <c r="C18" s="950" t="s">
        <v>10</v>
      </c>
      <c r="D18" s="950" t="s">
        <v>24</v>
      </c>
      <c r="E18" s="950" t="s">
        <v>25</v>
      </c>
      <c r="F18" s="950" t="s">
        <v>26</v>
      </c>
      <c r="G18" s="950" t="s">
        <v>27</v>
      </c>
      <c r="H18" s="950" t="s">
        <v>28</v>
      </c>
      <c r="I18" s="950" t="s">
        <v>29</v>
      </c>
      <c r="J18" s="950" t="s">
        <v>30</v>
      </c>
      <c r="K18" s="950" t="s">
        <v>31</v>
      </c>
      <c r="L18" s="950" t="s">
        <v>32</v>
      </c>
      <c r="M18" s="951" t="s">
        <v>33</v>
      </c>
      <c r="N18" s="779"/>
    </row>
    <row r="19" ht="18.75" customHeight="1">
      <c r="A19" s="48"/>
      <c r="B19" s="962">
        <v>0.0</v>
      </c>
      <c r="C19" s="952" t="s">
        <v>70</v>
      </c>
      <c r="D19" s="953">
        <f>B19*1000</f>
        <v>0</v>
      </c>
      <c r="E19" s="953">
        <f>B19*100</f>
        <v>0</v>
      </c>
      <c r="F19" s="953">
        <f>B19*20</f>
        <v>0</v>
      </c>
      <c r="G19" s="953">
        <f>B19*10</f>
        <v>0</v>
      </c>
      <c r="H19" s="953">
        <f>B19*1</f>
        <v>0</v>
      </c>
      <c r="I19" s="953">
        <f>B19/5</f>
        <v>0</v>
      </c>
      <c r="J19" s="955">
        <f>B19/10</f>
        <v>0</v>
      </c>
      <c r="K19" s="955">
        <f>B19/50</f>
        <v>0</v>
      </c>
      <c r="L19" s="955">
        <f>B19/100</f>
        <v>0</v>
      </c>
      <c r="M19" s="956">
        <f>B19/500</f>
        <v>0</v>
      </c>
      <c r="N19" s="779"/>
    </row>
    <row r="20" ht="18.75" customHeight="1">
      <c r="A20" s="48"/>
      <c r="B20" s="962">
        <v>0.0</v>
      </c>
      <c r="C20" s="952" t="s">
        <v>71</v>
      </c>
      <c r="D20" s="953">
        <f>B20*5000</f>
        <v>0</v>
      </c>
      <c r="E20" s="953">
        <f>B20*500</f>
        <v>0</v>
      </c>
      <c r="F20" s="953">
        <f>B20*100</f>
        <v>0</v>
      </c>
      <c r="G20" s="953">
        <f>B20*50</f>
        <v>0</v>
      </c>
      <c r="H20" s="953">
        <f>B20*5</f>
        <v>0</v>
      </c>
      <c r="I20" s="953">
        <f>B20</f>
        <v>0</v>
      </c>
      <c r="J20" s="955">
        <f>B20/2</f>
        <v>0</v>
      </c>
      <c r="K20" s="955">
        <f>B20/10</f>
        <v>0</v>
      </c>
      <c r="L20" s="955">
        <f>B20/20</f>
        <v>0</v>
      </c>
      <c r="M20" s="956">
        <f>B20/100</f>
        <v>0</v>
      </c>
      <c r="N20" s="779"/>
    </row>
    <row r="21" ht="18.75" customHeight="1">
      <c r="A21" s="48"/>
      <c r="B21" s="962">
        <v>0.0</v>
      </c>
      <c r="C21" s="952" t="s">
        <v>72</v>
      </c>
      <c r="D21" s="953">
        <f>B21*10000</f>
        <v>0</v>
      </c>
      <c r="E21" s="953">
        <f>B21*1000</f>
        <v>0</v>
      </c>
      <c r="F21" s="953">
        <f>B21*200</f>
        <v>0</v>
      </c>
      <c r="G21" s="953">
        <f>B21*100</f>
        <v>0</v>
      </c>
      <c r="H21" s="953">
        <f>B21*10</f>
        <v>0</v>
      </c>
      <c r="I21" s="953">
        <f>B21/5*10</f>
        <v>0</v>
      </c>
      <c r="J21" s="955">
        <f>B21</f>
        <v>0</v>
      </c>
      <c r="K21" s="955">
        <f>B21/5</f>
        <v>0</v>
      </c>
      <c r="L21" s="955">
        <f>B21/10</f>
        <v>0</v>
      </c>
      <c r="M21" s="956">
        <f>B21/50</f>
        <v>0</v>
      </c>
      <c r="N21" s="779"/>
    </row>
    <row r="22" ht="18.75" customHeight="1">
      <c r="A22" s="48"/>
      <c r="B22" s="962">
        <v>0.0</v>
      </c>
      <c r="C22" s="952" t="s">
        <v>73</v>
      </c>
      <c r="D22" s="953">
        <f>B22*50000</f>
        <v>0</v>
      </c>
      <c r="E22" s="953">
        <f>B22*5000</f>
        <v>0</v>
      </c>
      <c r="F22" s="953">
        <f>B22*1000</f>
        <v>0</v>
      </c>
      <c r="G22" s="953">
        <f>B22*500</f>
        <v>0</v>
      </c>
      <c r="H22" s="953">
        <f>B22*50</f>
        <v>0</v>
      </c>
      <c r="I22" s="953">
        <f>B22*10</f>
        <v>0</v>
      </c>
      <c r="J22" s="955">
        <f>B22/2*10</f>
        <v>0</v>
      </c>
      <c r="K22" s="955">
        <f>B22</f>
        <v>0</v>
      </c>
      <c r="L22" s="955">
        <f>B22/2</f>
        <v>0</v>
      </c>
      <c r="M22" s="956">
        <f>B22/10</f>
        <v>0</v>
      </c>
      <c r="N22" s="779"/>
    </row>
    <row r="23" ht="18.75" customHeight="1">
      <c r="A23" s="48"/>
      <c r="B23" s="962">
        <v>0.0</v>
      </c>
      <c r="C23" s="952" t="s">
        <v>74</v>
      </c>
      <c r="D23" s="953">
        <f>B23*100000</f>
        <v>0</v>
      </c>
      <c r="E23" s="953">
        <f>B23*10000</f>
        <v>0</v>
      </c>
      <c r="F23" s="953">
        <f>B23*2000</f>
        <v>0</v>
      </c>
      <c r="G23" s="953">
        <f>B23*1000</f>
        <v>0</v>
      </c>
      <c r="H23" s="953">
        <f>B23*100</f>
        <v>0</v>
      </c>
      <c r="I23" s="953">
        <f>B23/5*100</f>
        <v>0</v>
      </c>
      <c r="J23" s="955">
        <f>B23*10</f>
        <v>0</v>
      </c>
      <c r="K23" s="955">
        <f>B23/5*10</f>
        <v>0</v>
      </c>
      <c r="L23" s="955">
        <f>B23</f>
        <v>0</v>
      </c>
      <c r="M23" s="956">
        <f>B23/5</f>
        <v>0</v>
      </c>
      <c r="N23" s="779"/>
    </row>
    <row r="24" ht="18.75" customHeight="1">
      <c r="A24" s="48"/>
      <c r="B24" s="963">
        <v>0.0</v>
      </c>
      <c r="C24" s="958" t="s">
        <v>75</v>
      </c>
      <c r="D24" s="959">
        <f>B24*500000</f>
        <v>0</v>
      </c>
      <c r="E24" s="959">
        <f>B24*50000</f>
        <v>0</v>
      </c>
      <c r="F24" s="959">
        <f>B24*10000</f>
        <v>0</v>
      </c>
      <c r="G24" s="959">
        <f>B24*5000</f>
        <v>0</v>
      </c>
      <c r="H24" s="959">
        <f>B24*500</f>
        <v>0</v>
      </c>
      <c r="I24" s="959">
        <f>B24*100</f>
        <v>0</v>
      </c>
      <c r="J24" s="960">
        <f>B24/2*100</f>
        <v>0</v>
      </c>
      <c r="K24" s="960">
        <f>B24*10</f>
        <v>0</v>
      </c>
      <c r="L24" s="960">
        <f>B24/2*10</f>
        <v>0</v>
      </c>
      <c r="M24" s="961">
        <f>B24</f>
        <v>0</v>
      </c>
      <c r="N24" s="779"/>
    </row>
    <row r="25" ht="7.5" customHeight="1">
      <c r="A25" s="48"/>
      <c r="B25" s="199"/>
      <c r="C25" s="19"/>
      <c r="D25" s="19"/>
      <c r="E25" s="19"/>
      <c r="F25" s="19"/>
      <c r="G25" s="19"/>
      <c r="H25" s="19"/>
      <c r="I25" s="19"/>
      <c r="J25" s="42"/>
      <c r="K25" s="42"/>
      <c r="L25" s="42"/>
      <c r="M25" s="42"/>
      <c r="N25" s="779"/>
    </row>
    <row r="26" ht="18.75" customHeight="1">
      <c r="A26" s="48"/>
      <c r="B26" s="964" t="s">
        <v>23</v>
      </c>
      <c r="C26" s="965" t="s">
        <v>76</v>
      </c>
      <c r="D26" s="965" t="s">
        <v>77</v>
      </c>
      <c r="E26" s="965" t="s">
        <v>78</v>
      </c>
      <c r="F26" s="965" t="s">
        <v>11</v>
      </c>
      <c r="G26" s="966" t="s">
        <v>79</v>
      </c>
      <c r="H26" s="967" t="s">
        <v>80</v>
      </c>
      <c r="I26" s="395"/>
      <c r="J26" s="395"/>
      <c r="K26" s="395"/>
      <c r="L26" s="912"/>
      <c r="M26" s="968" t="s">
        <v>81</v>
      </c>
      <c r="N26" s="819"/>
    </row>
    <row r="27" ht="18.75" customHeight="1">
      <c r="A27" s="504">
        <f>IFERROR(VLOOKUP(H27,PartyStorage,2, FALSE),0)</f>
        <v>0</v>
      </c>
      <c r="B27" s="969">
        <f>sum(Ch7_Money)</f>
        <v>0</v>
      </c>
      <c r="C27" s="970" t="s">
        <v>16</v>
      </c>
      <c r="D27" s="970">
        <v>0.02</v>
      </c>
      <c r="E27" s="970"/>
      <c r="F27" s="971"/>
      <c r="G27" s="972"/>
      <c r="H27" s="973"/>
      <c r="L27" s="922"/>
      <c r="M27" s="974">
        <f t="shared" ref="M27:M28" si="1">IF(ISBLANK(C27),"",IF(ISBLANK(B27),D27,D27*B27))</f>
        <v>0</v>
      </c>
      <c r="N27" s="779">
        <f>IFERROR(VLOOKUP(F27,Ch7_Storage,2, FALSE),0)</f>
        <v>0</v>
      </c>
    </row>
    <row r="28" ht="18.75" customHeight="1">
      <c r="A28" s="504">
        <f>IFERROR(VLOOKUP(H28,PartyStorage,2, FALSE),0)</f>
        <v>0</v>
      </c>
      <c r="B28" s="975">
        <f>sum(Ch7_Gems)</f>
        <v>0</v>
      </c>
      <c r="C28" s="976" t="s">
        <v>69</v>
      </c>
      <c r="D28" s="976">
        <v>0.02</v>
      </c>
      <c r="E28" s="977"/>
      <c r="F28" s="978"/>
      <c r="G28" s="979"/>
      <c r="H28" s="980"/>
      <c r="L28" s="930"/>
      <c r="M28" s="981">
        <f t="shared" si="1"/>
        <v>0</v>
      </c>
      <c r="N28" s="779">
        <f>IFERROR(VLOOKUP(F28,Ch7_Storage,2, FALSE),0)</f>
        <v>0</v>
      </c>
    </row>
    <row r="29" ht="18.75" customHeight="1">
      <c r="A29" s="504">
        <f>IFERROR(VLOOKUP(H29,PartyStorage,2, FALSE),0)</f>
        <v>0</v>
      </c>
      <c r="B29" s="982"/>
      <c r="C29" s="983"/>
      <c r="D29" s="983"/>
      <c r="E29" s="983"/>
      <c r="F29" s="971"/>
      <c r="G29" s="984"/>
      <c r="H29" s="973"/>
      <c r="L29" s="922"/>
      <c r="M29" s="974"/>
      <c r="N29" s="779">
        <f>IFERROR(VLOOKUP(F29,Ch7_Storage,2, FALSE),0)</f>
        <v>0</v>
      </c>
    </row>
    <row r="30" ht="18.75" customHeight="1">
      <c r="A30" s="504">
        <f>IFERROR(VLOOKUP(H30,PartyStorage,2, FALSE),0)</f>
        <v>0</v>
      </c>
      <c r="B30" s="985"/>
      <c r="C30" s="977"/>
      <c r="D30" s="977"/>
      <c r="E30" s="977"/>
      <c r="F30" s="978"/>
      <c r="G30" s="986"/>
      <c r="H30" s="980"/>
      <c r="L30" s="930"/>
      <c r="M30" s="981" t="str">
        <f t="shared" ref="M30:M208" si="2">IF(ISBLANK(C30),"",IF(ISBLANK(B30),D30,D30*B30))</f>
        <v/>
      </c>
      <c r="N30" s="779">
        <f>IFERROR(VLOOKUP(F30,Ch7_Storage,2, FALSE),0)</f>
        <v>0</v>
      </c>
    </row>
    <row r="31" ht="18.75" customHeight="1">
      <c r="A31" s="504">
        <f>IFERROR(VLOOKUP(H31,PartyStorage,2, FALSE),0)</f>
        <v>0</v>
      </c>
      <c r="B31" s="982"/>
      <c r="C31" s="983"/>
      <c r="D31" s="983"/>
      <c r="E31" s="983"/>
      <c r="F31" s="987"/>
      <c r="G31" s="984"/>
      <c r="H31" s="973"/>
      <c r="L31" s="922"/>
      <c r="M31" s="974" t="str">
        <f t="shared" si="2"/>
        <v/>
      </c>
      <c r="N31" s="779">
        <f>IFERROR(VLOOKUP(F31,Ch7_Storage,2, FALSE),0)</f>
        <v>0</v>
      </c>
    </row>
    <row r="32" ht="18.75" customHeight="1">
      <c r="A32" s="504">
        <f>IFERROR(VLOOKUP(H32,PartyStorage,2, FALSE),0)</f>
        <v>0</v>
      </c>
      <c r="B32" s="985"/>
      <c r="C32" s="977"/>
      <c r="D32" s="977"/>
      <c r="E32" s="977"/>
      <c r="F32" s="978"/>
      <c r="G32" s="986"/>
      <c r="H32" s="980"/>
      <c r="L32" s="930"/>
      <c r="M32" s="981" t="str">
        <f t="shared" si="2"/>
        <v/>
      </c>
      <c r="N32" s="779">
        <f>IFERROR(VLOOKUP(F32,Ch7_Storage,2, FALSE),0)</f>
        <v>0</v>
      </c>
    </row>
    <row r="33" ht="18.75" customHeight="1">
      <c r="A33" s="504">
        <f>IFERROR(VLOOKUP(H33,PartyStorage,2, FALSE),0)</f>
        <v>0</v>
      </c>
      <c r="B33" s="982"/>
      <c r="C33" s="983"/>
      <c r="D33" s="983"/>
      <c r="E33" s="983"/>
      <c r="F33" s="987"/>
      <c r="G33" s="984"/>
      <c r="H33" s="973"/>
      <c r="L33" s="922"/>
      <c r="M33" s="974" t="str">
        <f t="shared" si="2"/>
        <v/>
      </c>
      <c r="N33" s="779">
        <f>IFERROR(VLOOKUP(F33,Ch7_Storage,2, FALSE),0)</f>
        <v>0</v>
      </c>
    </row>
    <row r="34" ht="18.75" customHeight="1">
      <c r="A34" s="504">
        <f>IFERROR(VLOOKUP(H34,PartyStorage,2, FALSE),0)</f>
        <v>0</v>
      </c>
      <c r="B34" s="985"/>
      <c r="C34" s="977"/>
      <c r="D34" s="977"/>
      <c r="E34" s="977"/>
      <c r="F34" s="978"/>
      <c r="G34" s="986"/>
      <c r="H34" s="980"/>
      <c r="L34" s="930"/>
      <c r="M34" s="981" t="str">
        <f t="shared" si="2"/>
        <v/>
      </c>
      <c r="N34" s="779">
        <f>IFERROR(VLOOKUP(F34,Ch7_Storage,2, FALSE),0)</f>
        <v>0</v>
      </c>
    </row>
    <row r="35" ht="18.75" customHeight="1">
      <c r="A35" s="504">
        <f>IFERROR(VLOOKUP(H35,PartyStorage,2, FALSE),0)</f>
        <v>0</v>
      </c>
      <c r="B35" s="982"/>
      <c r="C35" s="983"/>
      <c r="D35" s="983"/>
      <c r="E35" s="983"/>
      <c r="F35" s="987"/>
      <c r="G35" s="984"/>
      <c r="H35" s="973"/>
      <c r="L35" s="922"/>
      <c r="M35" s="974" t="str">
        <f t="shared" si="2"/>
        <v/>
      </c>
      <c r="N35" s="779">
        <f>IFERROR(VLOOKUP(F35,Ch7_Storage,2, FALSE),0)</f>
        <v>0</v>
      </c>
    </row>
    <row r="36" ht="18.75" customHeight="1">
      <c r="A36" s="504">
        <f>IFERROR(VLOOKUP(H36,PartyStorage,2, FALSE),0)</f>
        <v>0</v>
      </c>
      <c r="B36" s="985"/>
      <c r="C36" s="977"/>
      <c r="D36" s="977"/>
      <c r="E36" s="977"/>
      <c r="F36" s="978"/>
      <c r="G36" s="986"/>
      <c r="H36" s="980"/>
      <c r="L36" s="930"/>
      <c r="M36" s="981" t="str">
        <f t="shared" si="2"/>
        <v/>
      </c>
      <c r="N36" s="779">
        <f>IFERROR(VLOOKUP(F36,Ch7_Storage,2, FALSE),0)</f>
        <v>0</v>
      </c>
    </row>
    <row r="37" ht="18.75" customHeight="1">
      <c r="A37" s="504">
        <f>IFERROR(VLOOKUP(H37,PartyStorage,2, FALSE),0)</f>
        <v>0</v>
      </c>
      <c r="B37" s="982"/>
      <c r="C37" s="983"/>
      <c r="D37" s="983"/>
      <c r="E37" s="983"/>
      <c r="F37" s="987"/>
      <c r="G37" s="984"/>
      <c r="H37" s="973"/>
      <c r="L37" s="922"/>
      <c r="M37" s="974" t="str">
        <f t="shared" si="2"/>
        <v/>
      </c>
      <c r="N37" s="779">
        <f>IFERROR(VLOOKUP(F37,Ch7_Storage,2, FALSE),0)</f>
        <v>0</v>
      </c>
    </row>
    <row r="38" ht="18.75" customHeight="1">
      <c r="A38" s="504">
        <f>IFERROR(VLOOKUP(H38,PartyStorage,2, FALSE),0)</f>
        <v>0</v>
      </c>
      <c r="B38" s="985"/>
      <c r="C38" s="977"/>
      <c r="D38" s="977"/>
      <c r="E38" s="977"/>
      <c r="F38" s="978"/>
      <c r="G38" s="986"/>
      <c r="H38" s="980"/>
      <c r="L38" s="930"/>
      <c r="M38" s="981" t="str">
        <f t="shared" si="2"/>
        <v/>
      </c>
      <c r="N38" s="779">
        <f>IFERROR(VLOOKUP(F38,Ch7_Storage,2, FALSE),0)</f>
        <v>0</v>
      </c>
    </row>
    <row r="39" ht="18.75" customHeight="1">
      <c r="A39" s="504">
        <f>IFERROR(VLOOKUP(H39,PartyStorage,2, FALSE),0)</f>
        <v>0</v>
      </c>
      <c r="B39" s="982"/>
      <c r="C39" s="983"/>
      <c r="D39" s="983"/>
      <c r="E39" s="983"/>
      <c r="F39" s="987"/>
      <c r="G39" s="984"/>
      <c r="H39" s="973"/>
      <c r="L39" s="922"/>
      <c r="M39" s="974" t="str">
        <f t="shared" si="2"/>
        <v/>
      </c>
      <c r="N39" s="779">
        <f>IFERROR(VLOOKUP(F39,Ch7_Storage,2, FALSE),0)</f>
        <v>0</v>
      </c>
    </row>
    <row r="40" ht="18.75" customHeight="1">
      <c r="A40" s="504">
        <f>IFERROR(VLOOKUP(H40,PartyStorage,2, FALSE),0)</f>
        <v>0</v>
      </c>
      <c r="B40" s="985"/>
      <c r="C40" s="977"/>
      <c r="D40" s="977"/>
      <c r="E40" s="977"/>
      <c r="F40" s="978"/>
      <c r="G40" s="986"/>
      <c r="H40" s="980"/>
      <c r="L40" s="930"/>
      <c r="M40" s="981" t="str">
        <f t="shared" si="2"/>
        <v/>
      </c>
      <c r="N40" s="779">
        <f>IFERROR(VLOOKUP(F40,Ch7_Storage,2, FALSE),0)</f>
        <v>0</v>
      </c>
    </row>
    <row r="41" ht="18.75" customHeight="1">
      <c r="A41" s="504">
        <f>IFERROR(VLOOKUP(H41,PartyStorage,2, FALSE),0)</f>
        <v>0</v>
      </c>
      <c r="B41" s="982"/>
      <c r="C41" s="983"/>
      <c r="D41" s="983"/>
      <c r="E41" s="983"/>
      <c r="F41" s="987"/>
      <c r="G41" s="984"/>
      <c r="H41" s="973"/>
      <c r="L41" s="922"/>
      <c r="M41" s="974" t="str">
        <f t="shared" si="2"/>
        <v/>
      </c>
      <c r="N41" s="779">
        <f>IFERROR(VLOOKUP(F41,Ch7_Storage,2, FALSE),0)</f>
        <v>0</v>
      </c>
    </row>
    <row r="42" ht="18.75" customHeight="1">
      <c r="A42" s="504">
        <f>IFERROR(VLOOKUP(H42,PartyStorage,2, FALSE),0)</f>
        <v>0</v>
      </c>
      <c r="B42" s="985"/>
      <c r="C42" s="977"/>
      <c r="D42" s="977"/>
      <c r="E42" s="977"/>
      <c r="F42" s="978"/>
      <c r="G42" s="986"/>
      <c r="H42" s="980"/>
      <c r="L42" s="930"/>
      <c r="M42" s="981" t="str">
        <f t="shared" si="2"/>
        <v/>
      </c>
      <c r="N42" s="779">
        <f>IFERROR(VLOOKUP(F42,Ch7_Storage,2, FALSE),0)</f>
        <v>0</v>
      </c>
    </row>
    <row r="43" ht="18.75" customHeight="1">
      <c r="A43" s="504">
        <f>IFERROR(VLOOKUP(H43,PartyStorage,2, FALSE),0)</f>
        <v>0</v>
      </c>
      <c r="B43" s="982"/>
      <c r="C43" s="983"/>
      <c r="D43" s="983"/>
      <c r="E43" s="983"/>
      <c r="F43" s="987"/>
      <c r="G43" s="984"/>
      <c r="H43" s="973"/>
      <c r="L43" s="922"/>
      <c r="M43" s="974" t="str">
        <f t="shared" si="2"/>
        <v/>
      </c>
      <c r="N43" s="779">
        <f>IFERROR(VLOOKUP(F43,Ch7_Storage,2, FALSE),0)</f>
        <v>0</v>
      </c>
    </row>
    <row r="44" ht="18.75" customHeight="1">
      <c r="A44" s="504">
        <f>IFERROR(VLOOKUP(H44,PartyStorage,2, FALSE),0)</f>
        <v>0</v>
      </c>
      <c r="B44" s="985"/>
      <c r="C44" s="977"/>
      <c r="D44" s="977"/>
      <c r="E44" s="977"/>
      <c r="F44" s="978"/>
      <c r="G44" s="986"/>
      <c r="H44" s="980"/>
      <c r="L44" s="930"/>
      <c r="M44" s="981" t="str">
        <f t="shared" si="2"/>
        <v/>
      </c>
      <c r="N44" s="779">
        <f>IFERROR(VLOOKUP(F44,Ch7_Storage,2, FALSE),0)</f>
        <v>0</v>
      </c>
    </row>
    <row r="45" ht="18.75" customHeight="1">
      <c r="A45" s="504">
        <f>IFERROR(VLOOKUP(H45,PartyStorage,2, FALSE),0)</f>
        <v>0</v>
      </c>
      <c r="B45" s="982"/>
      <c r="C45" s="983"/>
      <c r="D45" s="983"/>
      <c r="E45" s="983"/>
      <c r="F45" s="987"/>
      <c r="G45" s="984"/>
      <c r="H45" s="973"/>
      <c r="L45" s="922"/>
      <c r="M45" s="974" t="str">
        <f t="shared" si="2"/>
        <v/>
      </c>
      <c r="N45" s="779">
        <f>IFERROR(VLOOKUP(F45,Ch7_Storage,2, FALSE),0)</f>
        <v>0</v>
      </c>
    </row>
    <row r="46" ht="18.75" customHeight="1">
      <c r="A46" s="504">
        <f>IFERROR(VLOOKUP(H46,PartyStorage,2, FALSE),0)</f>
        <v>0</v>
      </c>
      <c r="B46" s="985"/>
      <c r="C46" s="977"/>
      <c r="D46" s="977"/>
      <c r="E46" s="977"/>
      <c r="F46" s="978"/>
      <c r="G46" s="986"/>
      <c r="H46" s="980"/>
      <c r="L46" s="930"/>
      <c r="M46" s="981" t="str">
        <f t="shared" si="2"/>
        <v/>
      </c>
      <c r="N46" s="779">
        <f>IFERROR(VLOOKUP(F46,Ch7_Storage,2, FALSE),0)</f>
        <v>0</v>
      </c>
    </row>
    <row r="47" ht="18.75" customHeight="1">
      <c r="A47" s="504">
        <f>IFERROR(VLOOKUP(H47,PartyStorage,2, FALSE),0)</f>
        <v>0</v>
      </c>
      <c r="B47" s="982"/>
      <c r="C47" s="983"/>
      <c r="D47" s="983"/>
      <c r="E47" s="983"/>
      <c r="F47" s="987"/>
      <c r="G47" s="984"/>
      <c r="H47" s="973"/>
      <c r="L47" s="922"/>
      <c r="M47" s="974" t="str">
        <f t="shared" si="2"/>
        <v/>
      </c>
      <c r="N47" s="779">
        <f>IFERROR(VLOOKUP(F47,Ch7_Storage,2, FALSE),0)</f>
        <v>0</v>
      </c>
    </row>
    <row r="48" ht="18.75" customHeight="1">
      <c r="A48" s="504">
        <f>IFERROR(VLOOKUP(H48,PartyStorage,2, FALSE),0)</f>
        <v>0</v>
      </c>
      <c r="B48" s="985"/>
      <c r="C48" s="977"/>
      <c r="D48" s="977"/>
      <c r="E48" s="977"/>
      <c r="F48" s="978"/>
      <c r="G48" s="986"/>
      <c r="H48" s="980"/>
      <c r="L48" s="930"/>
      <c r="M48" s="981" t="str">
        <f t="shared" si="2"/>
        <v/>
      </c>
      <c r="N48" s="779">
        <f>IFERROR(VLOOKUP(F48,Ch7_Storage,2, FALSE),0)</f>
        <v>0</v>
      </c>
    </row>
    <row r="49" ht="18.75" customHeight="1">
      <c r="A49" s="504">
        <f>IFERROR(VLOOKUP(H49,PartyStorage,2, FALSE),0)</f>
        <v>0</v>
      </c>
      <c r="B49" s="982"/>
      <c r="C49" s="983"/>
      <c r="D49" s="983"/>
      <c r="E49" s="983"/>
      <c r="F49" s="987"/>
      <c r="G49" s="984"/>
      <c r="H49" s="973"/>
      <c r="L49" s="922"/>
      <c r="M49" s="974" t="str">
        <f t="shared" si="2"/>
        <v/>
      </c>
      <c r="N49" s="779">
        <f>IFERROR(VLOOKUP(F49,Ch7_Storage,2, FALSE),0)</f>
        <v>0</v>
      </c>
    </row>
    <row r="50" ht="18.75" customHeight="1">
      <c r="A50" s="504">
        <f>IFERROR(VLOOKUP(H50,PartyStorage,2, FALSE),0)</f>
        <v>0</v>
      </c>
      <c r="B50" s="985"/>
      <c r="C50" s="977"/>
      <c r="D50" s="977"/>
      <c r="E50" s="977"/>
      <c r="F50" s="978"/>
      <c r="G50" s="986"/>
      <c r="H50" s="980"/>
      <c r="L50" s="930"/>
      <c r="M50" s="981" t="str">
        <f t="shared" si="2"/>
        <v/>
      </c>
      <c r="N50" s="779">
        <f>IFERROR(VLOOKUP(F50,Ch7_Storage,2, FALSE),0)</f>
        <v>0</v>
      </c>
    </row>
    <row r="51" ht="18.75" customHeight="1">
      <c r="A51" s="504">
        <f>IFERROR(VLOOKUP(H51,PartyStorage,2, FALSE),0)</f>
        <v>0</v>
      </c>
      <c r="B51" s="982"/>
      <c r="C51" s="983"/>
      <c r="D51" s="983"/>
      <c r="E51" s="983"/>
      <c r="F51" s="987"/>
      <c r="G51" s="984"/>
      <c r="H51" s="973"/>
      <c r="L51" s="922"/>
      <c r="M51" s="974" t="str">
        <f t="shared" si="2"/>
        <v/>
      </c>
      <c r="N51" s="779">
        <f>IFERROR(VLOOKUP(F51,Ch7_Storage,2, FALSE),0)</f>
        <v>0</v>
      </c>
    </row>
    <row r="52" ht="18.75" customHeight="1">
      <c r="A52" s="504">
        <f>IFERROR(VLOOKUP(H52,PartyStorage,2, FALSE),0)</f>
        <v>0</v>
      </c>
      <c r="B52" s="985"/>
      <c r="C52" s="977"/>
      <c r="D52" s="977"/>
      <c r="E52" s="977"/>
      <c r="F52" s="978"/>
      <c r="G52" s="986"/>
      <c r="H52" s="980"/>
      <c r="L52" s="930"/>
      <c r="M52" s="981" t="str">
        <f t="shared" si="2"/>
        <v/>
      </c>
      <c r="N52" s="779">
        <f>IFERROR(VLOOKUP(F52,Ch7_Storage,2, FALSE),0)</f>
        <v>0</v>
      </c>
    </row>
    <row r="53" ht="18.75" customHeight="1">
      <c r="A53" s="504">
        <f>IFERROR(VLOOKUP(H53,PartyStorage,2, FALSE),0)</f>
        <v>0</v>
      </c>
      <c r="B53" s="982"/>
      <c r="C53" s="983"/>
      <c r="D53" s="983"/>
      <c r="E53" s="983"/>
      <c r="F53" s="987"/>
      <c r="G53" s="984"/>
      <c r="H53" s="973"/>
      <c r="L53" s="922"/>
      <c r="M53" s="974" t="str">
        <f t="shared" si="2"/>
        <v/>
      </c>
      <c r="N53" s="779">
        <f>IFERROR(VLOOKUP(F53,Ch7_Storage,2, FALSE),0)</f>
        <v>0</v>
      </c>
    </row>
    <row r="54" ht="18.75" customHeight="1">
      <c r="A54" s="504">
        <f>IFERROR(VLOOKUP(H54,PartyStorage,2, FALSE),0)</f>
        <v>0</v>
      </c>
      <c r="B54" s="985"/>
      <c r="C54" s="977"/>
      <c r="D54" s="977"/>
      <c r="E54" s="977"/>
      <c r="F54" s="978"/>
      <c r="G54" s="986"/>
      <c r="H54" s="980"/>
      <c r="L54" s="930"/>
      <c r="M54" s="981" t="str">
        <f t="shared" si="2"/>
        <v/>
      </c>
      <c r="N54" s="779">
        <f>IFERROR(VLOOKUP(F54,Ch7_Storage,2, FALSE),0)</f>
        <v>0</v>
      </c>
    </row>
    <row r="55" ht="18.75" customHeight="1">
      <c r="A55" s="504">
        <f>IFERROR(VLOOKUP(H55,PartyStorage,2, FALSE),0)</f>
        <v>0</v>
      </c>
      <c r="B55" s="982"/>
      <c r="C55" s="983"/>
      <c r="D55" s="983"/>
      <c r="E55" s="983"/>
      <c r="F55" s="987"/>
      <c r="G55" s="984"/>
      <c r="H55" s="973"/>
      <c r="L55" s="922"/>
      <c r="M55" s="974" t="str">
        <f t="shared" si="2"/>
        <v/>
      </c>
      <c r="N55" s="779">
        <f>IFERROR(VLOOKUP(F55,Ch7_Storage,2, FALSE),0)</f>
        <v>0</v>
      </c>
    </row>
    <row r="56" ht="18.75" customHeight="1">
      <c r="A56" s="504">
        <f>IFERROR(VLOOKUP(H56,PartyStorage,2, FALSE),0)</f>
        <v>0</v>
      </c>
      <c r="B56" s="985"/>
      <c r="C56" s="977"/>
      <c r="D56" s="977"/>
      <c r="E56" s="977"/>
      <c r="F56" s="978"/>
      <c r="G56" s="986"/>
      <c r="H56" s="980"/>
      <c r="L56" s="930"/>
      <c r="M56" s="981" t="str">
        <f t="shared" si="2"/>
        <v/>
      </c>
      <c r="N56" s="779">
        <f>IFERROR(VLOOKUP(F56,Ch7_Storage,2, FALSE),0)</f>
        <v>0</v>
      </c>
    </row>
    <row r="57" ht="18.75" customHeight="1">
      <c r="A57" s="504">
        <f>IFERROR(VLOOKUP(H57,PartyStorage,2, FALSE),0)</f>
        <v>0</v>
      </c>
      <c r="B57" s="982"/>
      <c r="C57" s="983"/>
      <c r="D57" s="983"/>
      <c r="E57" s="983"/>
      <c r="F57" s="987"/>
      <c r="G57" s="984"/>
      <c r="H57" s="973"/>
      <c r="L57" s="922"/>
      <c r="M57" s="974" t="str">
        <f t="shared" si="2"/>
        <v/>
      </c>
      <c r="N57" s="779">
        <f>IFERROR(VLOOKUP(F57,Ch7_Storage,2, FALSE),0)</f>
        <v>0</v>
      </c>
    </row>
    <row r="58" ht="18.75" customHeight="1">
      <c r="A58" s="504">
        <f>IFERROR(VLOOKUP(H58,PartyStorage,2, FALSE),0)</f>
        <v>0</v>
      </c>
      <c r="B58" s="985"/>
      <c r="C58" s="977"/>
      <c r="D58" s="977"/>
      <c r="E58" s="977"/>
      <c r="F58" s="978"/>
      <c r="G58" s="986"/>
      <c r="H58" s="980"/>
      <c r="L58" s="930"/>
      <c r="M58" s="981" t="str">
        <f t="shared" si="2"/>
        <v/>
      </c>
      <c r="N58" s="779">
        <f>IFERROR(VLOOKUP(F58,Ch7_Storage,2, FALSE),0)</f>
        <v>0</v>
      </c>
    </row>
    <row r="59" ht="18.75" customHeight="1">
      <c r="A59" s="504">
        <f>IFERROR(VLOOKUP(H59,PartyStorage,2, FALSE),0)</f>
        <v>0</v>
      </c>
      <c r="B59" s="982"/>
      <c r="C59" s="983"/>
      <c r="D59" s="983"/>
      <c r="E59" s="983"/>
      <c r="F59" s="987"/>
      <c r="G59" s="984"/>
      <c r="H59" s="973"/>
      <c r="L59" s="922"/>
      <c r="M59" s="974" t="str">
        <f t="shared" si="2"/>
        <v/>
      </c>
      <c r="N59" s="779">
        <f>IFERROR(VLOOKUP(F59,Ch7_Storage,2, FALSE),0)</f>
        <v>0</v>
      </c>
    </row>
    <row r="60" ht="18.75" customHeight="1">
      <c r="A60" s="504">
        <f>IFERROR(VLOOKUP(H60,PartyStorage,2, FALSE),0)</f>
        <v>0</v>
      </c>
      <c r="B60" s="985"/>
      <c r="C60" s="977"/>
      <c r="D60" s="977"/>
      <c r="E60" s="977"/>
      <c r="F60" s="978"/>
      <c r="G60" s="986"/>
      <c r="H60" s="980"/>
      <c r="L60" s="930"/>
      <c r="M60" s="981" t="str">
        <f t="shared" si="2"/>
        <v/>
      </c>
      <c r="N60" s="779">
        <f>IFERROR(VLOOKUP(F60,Ch7_Storage,2, FALSE),0)</f>
        <v>0</v>
      </c>
    </row>
    <row r="61" ht="18.75" customHeight="1">
      <c r="A61" s="504">
        <f>IFERROR(VLOOKUP(H61,PartyStorage,2, FALSE),0)</f>
        <v>0</v>
      </c>
      <c r="B61" s="982"/>
      <c r="C61" s="983"/>
      <c r="D61" s="983"/>
      <c r="E61" s="983"/>
      <c r="F61" s="987"/>
      <c r="G61" s="984"/>
      <c r="H61" s="973"/>
      <c r="L61" s="922"/>
      <c r="M61" s="974" t="str">
        <f t="shared" si="2"/>
        <v/>
      </c>
      <c r="N61" s="779">
        <f>IFERROR(VLOOKUP(F61,Ch7_Storage,2, FALSE),0)</f>
        <v>0</v>
      </c>
    </row>
    <row r="62" ht="18.75" customHeight="1">
      <c r="A62" s="504">
        <f>IFERROR(VLOOKUP(H62,PartyStorage,2, FALSE),0)</f>
        <v>0</v>
      </c>
      <c r="B62" s="985"/>
      <c r="C62" s="977"/>
      <c r="D62" s="977"/>
      <c r="E62" s="977"/>
      <c r="F62" s="978"/>
      <c r="G62" s="986"/>
      <c r="H62" s="980"/>
      <c r="L62" s="930"/>
      <c r="M62" s="981" t="str">
        <f t="shared" si="2"/>
        <v/>
      </c>
      <c r="N62" s="779">
        <f>IFERROR(VLOOKUP(F62,Ch7_Storage,2, FALSE),0)</f>
        <v>0</v>
      </c>
    </row>
    <row r="63" ht="18.75" customHeight="1">
      <c r="A63" s="504">
        <f>IFERROR(VLOOKUP(H63,PartyStorage,2, FALSE),0)</f>
        <v>0</v>
      </c>
      <c r="B63" s="982"/>
      <c r="C63" s="983"/>
      <c r="D63" s="983"/>
      <c r="E63" s="983"/>
      <c r="F63" s="987"/>
      <c r="G63" s="984"/>
      <c r="H63" s="973"/>
      <c r="L63" s="922"/>
      <c r="M63" s="974" t="str">
        <f t="shared" si="2"/>
        <v/>
      </c>
      <c r="N63" s="779">
        <f>IFERROR(VLOOKUP(F63,Ch7_Storage,2, FALSE),0)</f>
        <v>0</v>
      </c>
    </row>
    <row r="64" ht="18.75" customHeight="1">
      <c r="A64" s="504">
        <f>IFERROR(VLOOKUP(H64,PartyStorage,2, FALSE),0)</f>
        <v>0</v>
      </c>
      <c r="B64" s="985"/>
      <c r="C64" s="977"/>
      <c r="D64" s="977"/>
      <c r="E64" s="977"/>
      <c r="F64" s="978"/>
      <c r="G64" s="986"/>
      <c r="H64" s="980"/>
      <c r="L64" s="930"/>
      <c r="M64" s="981" t="str">
        <f t="shared" si="2"/>
        <v/>
      </c>
      <c r="N64" s="779">
        <f>IFERROR(VLOOKUP(F64,Ch7_Storage,2, FALSE),0)</f>
        <v>0</v>
      </c>
    </row>
    <row r="65" ht="18.75" customHeight="1">
      <c r="A65" s="504">
        <f>IFERROR(VLOOKUP(H65,PartyStorage,2, FALSE),0)</f>
        <v>0</v>
      </c>
      <c r="B65" s="982"/>
      <c r="C65" s="983"/>
      <c r="D65" s="983"/>
      <c r="E65" s="983"/>
      <c r="F65" s="987"/>
      <c r="G65" s="984"/>
      <c r="H65" s="973"/>
      <c r="L65" s="922"/>
      <c r="M65" s="974" t="str">
        <f t="shared" si="2"/>
        <v/>
      </c>
      <c r="N65" s="779">
        <f>IFERROR(VLOOKUP(F65,Ch7_Storage,2, FALSE),0)</f>
        <v>0</v>
      </c>
    </row>
    <row r="66" ht="18.75" customHeight="1">
      <c r="A66" s="504">
        <f>IFERROR(VLOOKUP(H66,PartyStorage,2, FALSE),0)</f>
        <v>0</v>
      </c>
      <c r="B66" s="985"/>
      <c r="C66" s="977"/>
      <c r="D66" s="977"/>
      <c r="E66" s="977"/>
      <c r="F66" s="978"/>
      <c r="G66" s="986"/>
      <c r="H66" s="980"/>
      <c r="L66" s="930"/>
      <c r="M66" s="981" t="str">
        <f t="shared" si="2"/>
        <v/>
      </c>
      <c r="N66" s="779">
        <f>IFERROR(VLOOKUP(F66,Ch7_Storage,2, FALSE),0)</f>
        <v>0</v>
      </c>
    </row>
    <row r="67" ht="18.75" customHeight="1">
      <c r="A67" s="504">
        <f>IFERROR(VLOOKUP(H67,PartyStorage,2, FALSE),0)</f>
        <v>0</v>
      </c>
      <c r="B67" s="982"/>
      <c r="C67" s="983"/>
      <c r="D67" s="983"/>
      <c r="E67" s="983"/>
      <c r="F67" s="987"/>
      <c r="G67" s="984"/>
      <c r="H67" s="973"/>
      <c r="L67" s="922"/>
      <c r="M67" s="974" t="str">
        <f t="shared" si="2"/>
        <v/>
      </c>
      <c r="N67" s="779">
        <f>IFERROR(VLOOKUP(F67,Ch7_Storage,2, FALSE),0)</f>
        <v>0</v>
      </c>
    </row>
    <row r="68" ht="18.75" customHeight="1">
      <c r="A68" s="504">
        <f>IFERROR(VLOOKUP(H68,PartyStorage,2, FALSE),0)</f>
        <v>0</v>
      </c>
      <c r="B68" s="985"/>
      <c r="C68" s="977"/>
      <c r="D68" s="977"/>
      <c r="E68" s="977"/>
      <c r="F68" s="978"/>
      <c r="G68" s="986"/>
      <c r="H68" s="980"/>
      <c r="L68" s="930"/>
      <c r="M68" s="981" t="str">
        <f t="shared" si="2"/>
        <v/>
      </c>
      <c r="N68" s="779">
        <f>IFERROR(VLOOKUP(F68,Ch7_Storage,2, FALSE),0)</f>
        <v>0</v>
      </c>
    </row>
    <row r="69" ht="18.75" customHeight="1">
      <c r="A69" s="504">
        <f>IFERROR(VLOOKUP(H69,PartyStorage,2, FALSE),0)</f>
        <v>0</v>
      </c>
      <c r="B69" s="982"/>
      <c r="C69" s="983"/>
      <c r="D69" s="983"/>
      <c r="E69" s="983"/>
      <c r="F69" s="987"/>
      <c r="G69" s="984"/>
      <c r="H69" s="973"/>
      <c r="L69" s="922"/>
      <c r="M69" s="974" t="str">
        <f t="shared" si="2"/>
        <v/>
      </c>
      <c r="N69" s="779">
        <f>IFERROR(VLOOKUP(F69,Ch7_Storage,2, FALSE),0)</f>
        <v>0</v>
      </c>
    </row>
    <row r="70" ht="18.75" customHeight="1">
      <c r="A70" s="504">
        <f>IFERROR(VLOOKUP(H70,PartyStorage,2, FALSE),0)</f>
        <v>0</v>
      </c>
      <c r="B70" s="985"/>
      <c r="C70" s="977"/>
      <c r="D70" s="977"/>
      <c r="E70" s="977"/>
      <c r="F70" s="978"/>
      <c r="G70" s="986"/>
      <c r="H70" s="980"/>
      <c r="L70" s="930"/>
      <c r="M70" s="981" t="str">
        <f t="shared" si="2"/>
        <v/>
      </c>
      <c r="N70" s="779">
        <f>IFERROR(VLOOKUP(F70,Ch7_Storage,2, FALSE),0)</f>
        <v>0</v>
      </c>
    </row>
    <row r="71" ht="18.75" customHeight="1">
      <c r="A71" s="504">
        <f>IFERROR(VLOOKUP(H71,PartyStorage,2, FALSE),0)</f>
        <v>0</v>
      </c>
      <c r="B71" s="982"/>
      <c r="C71" s="983"/>
      <c r="D71" s="983"/>
      <c r="E71" s="983"/>
      <c r="F71" s="987"/>
      <c r="G71" s="984"/>
      <c r="H71" s="973"/>
      <c r="L71" s="922"/>
      <c r="M71" s="974" t="str">
        <f t="shared" si="2"/>
        <v/>
      </c>
      <c r="N71" s="779">
        <f>IFERROR(VLOOKUP(F71,Ch7_Storage,2, FALSE),0)</f>
        <v>0</v>
      </c>
    </row>
    <row r="72" ht="18.75" customHeight="1">
      <c r="A72" s="504">
        <f>IFERROR(VLOOKUP(H72,PartyStorage,2, FALSE),0)</f>
        <v>0</v>
      </c>
      <c r="B72" s="985"/>
      <c r="C72" s="977"/>
      <c r="D72" s="977"/>
      <c r="E72" s="977"/>
      <c r="F72" s="978"/>
      <c r="G72" s="986"/>
      <c r="H72" s="980"/>
      <c r="L72" s="930"/>
      <c r="M72" s="981" t="str">
        <f t="shared" si="2"/>
        <v/>
      </c>
      <c r="N72" s="779">
        <f>IFERROR(VLOOKUP(F72,Ch7_Storage,2, FALSE),0)</f>
        <v>0</v>
      </c>
    </row>
    <row r="73" ht="18.75" customHeight="1">
      <c r="A73" s="504">
        <f>IFERROR(VLOOKUP(H73,PartyStorage,2, FALSE),0)</f>
        <v>0</v>
      </c>
      <c r="B73" s="982"/>
      <c r="C73" s="983"/>
      <c r="D73" s="983"/>
      <c r="E73" s="983"/>
      <c r="F73" s="987"/>
      <c r="G73" s="984"/>
      <c r="H73" s="973"/>
      <c r="L73" s="922"/>
      <c r="M73" s="974" t="str">
        <f t="shared" si="2"/>
        <v/>
      </c>
      <c r="N73" s="779">
        <f>IFERROR(VLOOKUP(F73,Ch7_Storage,2, FALSE),0)</f>
        <v>0</v>
      </c>
    </row>
    <row r="74" ht="18.75" customHeight="1">
      <c r="A74" s="504">
        <f>IFERROR(VLOOKUP(H74,PartyStorage,2, FALSE),0)</f>
        <v>0</v>
      </c>
      <c r="B74" s="985"/>
      <c r="C74" s="977"/>
      <c r="D74" s="977"/>
      <c r="E74" s="977"/>
      <c r="F74" s="978"/>
      <c r="G74" s="986"/>
      <c r="H74" s="980"/>
      <c r="L74" s="930"/>
      <c r="M74" s="981" t="str">
        <f t="shared" si="2"/>
        <v/>
      </c>
      <c r="N74" s="779">
        <f>IFERROR(VLOOKUP(F74,Ch7_Storage,2, FALSE),0)</f>
        <v>0</v>
      </c>
    </row>
    <row r="75" ht="18.75" customHeight="1">
      <c r="A75" s="504">
        <f>IFERROR(VLOOKUP(H75,PartyStorage,2, FALSE),0)</f>
        <v>0</v>
      </c>
      <c r="B75" s="982"/>
      <c r="C75" s="983"/>
      <c r="D75" s="983"/>
      <c r="E75" s="983"/>
      <c r="F75" s="987"/>
      <c r="G75" s="984"/>
      <c r="H75" s="973"/>
      <c r="L75" s="922"/>
      <c r="M75" s="974" t="str">
        <f t="shared" si="2"/>
        <v/>
      </c>
      <c r="N75" s="779">
        <f>IFERROR(VLOOKUP(F75,Ch7_Storage,2, FALSE),0)</f>
        <v>0</v>
      </c>
    </row>
    <row r="76" ht="18.75" customHeight="1">
      <c r="A76" s="504">
        <f>IFERROR(VLOOKUP(H76,PartyStorage,2, FALSE),0)</f>
        <v>0</v>
      </c>
      <c r="B76" s="985"/>
      <c r="C76" s="977"/>
      <c r="D76" s="977"/>
      <c r="E76" s="977"/>
      <c r="F76" s="978"/>
      <c r="G76" s="986"/>
      <c r="H76" s="980"/>
      <c r="L76" s="930"/>
      <c r="M76" s="981" t="str">
        <f t="shared" si="2"/>
        <v/>
      </c>
      <c r="N76" s="779">
        <f>IFERROR(VLOOKUP(F76,Ch7_Storage,2, FALSE),0)</f>
        <v>0</v>
      </c>
    </row>
    <row r="77" ht="18.75" customHeight="1">
      <c r="A77" s="504">
        <f>IFERROR(VLOOKUP(H77,PartyStorage,2, FALSE),0)</f>
        <v>0</v>
      </c>
      <c r="B77" s="982"/>
      <c r="C77" s="983"/>
      <c r="D77" s="983"/>
      <c r="E77" s="983"/>
      <c r="F77" s="987"/>
      <c r="G77" s="984"/>
      <c r="H77" s="973"/>
      <c r="L77" s="922"/>
      <c r="M77" s="974" t="str">
        <f t="shared" si="2"/>
        <v/>
      </c>
      <c r="N77" s="779">
        <f>IFERROR(VLOOKUP(F77,Ch7_Storage,2, FALSE),0)</f>
        <v>0</v>
      </c>
    </row>
    <row r="78" ht="18.75" customHeight="1">
      <c r="A78" s="504">
        <f>IFERROR(VLOOKUP(H78,PartyStorage,2, FALSE),0)</f>
        <v>0</v>
      </c>
      <c r="B78" s="985"/>
      <c r="C78" s="977"/>
      <c r="D78" s="977"/>
      <c r="E78" s="977"/>
      <c r="F78" s="978"/>
      <c r="G78" s="986"/>
      <c r="H78" s="980"/>
      <c r="L78" s="930"/>
      <c r="M78" s="981" t="str">
        <f t="shared" si="2"/>
        <v/>
      </c>
      <c r="N78" s="779">
        <f>IFERROR(VLOOKUP(F78,Ch7_Storage,2, FALSE),0)</f>
        <v>0</v>
      </c>
    </row>
    <row r="79" ht="18.75" customHeight="1">
      <c r="A79" s="504">
        <f>IFERROR(VLOOKUP(H79,PartyStorage,2, FALSE),0)</f>
        <v>0</v>
      </c>
      <c r="B79" s="982"/>
      <c r="C79" s="983"/>
      <c r="D79" s="983"/>
      <c r="E79" s="983"/>
      <c r="F79" s="987"/>
      <c r="G79" s="984"/>
      <c r="H79" s="973"/>
      <c r="L79" s="922"/>
      <c r="M79" s="974" t="str">
        <f t="shared" si="2"/>
        <v/>
      </c>
      <c r="N79" s="779">
        <f>IFERROR(VLOOKUP(F79,Ch7_Storage,2, FALSE),0)</f>
        <v>0</v>
      </c>
    </row>
    <row r="80" ht="18.75" customHeight="1">
      <c r="A80" s="504">
        <f>IFERROR(VLOOKUP(H80,PartyStorage,2, FALSE),0)</f>
        <v>0</v>
      </c>
      <c r="B80" s="985"/>
      <c r="C80" s="977"/>
      <c r="D80" s="977"/>
      <c r="E80" s="977"/>
      <c r="F80" s="978"/>
      <c r="G80" s="986"/>
      <c r="H80" s="980"/>
      <c r="L80" s="930"/>
      <c r="M80" s="981" t="str">
        <f t="shared" si="2"/>
        <v/>
      </c>
      <c r="N80" s="779">
        <f>IFERROR(VLOOKUP(F80,Ch7_Storage,2, FALSE),0)</f>
        <v>0</v>
      </c>
    </row>
    <row r="81" ht="18.75" customHeight="1">
      <c r="A81" s="504">
        <f>IFERROR(VLOOKUP(H81,PartyStorage,2, FALSE),0)</f>
        <v>0</v>
      </c>
      <c r="B81" s="982"/>
      <c r="C81" s="983"/>
      <c r="D81" s="983"/>
      <c r="E81" s="983"/>
      <c r="F81" s="987"/>
      <c r="G81" s="984"/>
      <c r="H81" s="973"/>
      <c r="L81" s="922"/>
      <c r="M81" s="974" t="str">
        <f t="shared" si="2"/>
        <v/>
      </c>
      <c r="N81" s="779">
        <f>IFERROR(VLOOKUP(F81,Ch7_Storage,2, FALSE),0)</f>
        <v>0</v>
      </c>
    </row>
    <row r="82" ht="18.75" customHeight="1">
      <c r="A82" s="504">
        <f>IFERROR(VLOOKUP(H82,PartyStorage,2, FALSE),0)</f>
        <v>0</v>
      </c>
      <c r="B82" s="985"/>
      <c r="C82" s="977"/>
      <c r="D82" s="977"/>
      <c r="E82" s="977"/>
      <c r="F82" s="978"/>
      <c r="G82" s="986"/>
      <c r="H82" s="980"/>
      <c r="L82" s="930"/>
      <c r="M82" s="981" t="str">
        <f t="shared" si="2"/>
        <v/>
      </c>
      <c r="N82" s="779">
        <f>IFERROR(VLOOKUP(F82,Ch7_Storage,2, FALSE),0)</f>
        <v>0</v>
      </c>
    </row>
    <row r="83" ht="18.75" customHeight="1">
      <c r="A83" s="504">
        <f>IFERROR(VLOOKUP(H83,PartyStorage,2, FALSE),0)</f>
        <v>0</v>
      </c>
      <c r="B83" s="982"/>
      <c r="C83" s="983"/>
      <c r="D83" s="983"/>
      <c r="E83" s="983"/>
      <c r="F83" s="987"/>
      <c r="G83" s="984"/>
      <c r="H83" s="973"/>
      <c r="L83" s="922"/>
      <c r="M83" s="974" t="str">
        <f t="shared" si="2"/>
        <v/>
      </c>
      <c r="N83" s="779">
        <f>IFERROR(VLOOKUP(F83,Ch7_Storage,2, FALSE),0)</f>
        <v>0</v>
      </c>
    </row>
    <row r="84" ht="18.75" customHeight="1">
      <c r="A84" s="504">
        <f>IFERROR(VLOOKUP(H84,PartyStorage,2, FALSE),0)</f>
        <v>0</v>
      </c>
      <c r="B84" s="985"/>
      <c r="C84" s="977"/>
      <c r="D84" s="977"/>
      <c r="E84" s="977"/>
      <c r="F84" s="978"/>
      <c r="G84" s="986"/>
      <c r="H84" s="980"/>
      <c r="L84" s="930"/>
      <c r="M84" s="981" t="str">
        <f t="shared" si="2"/>
        <v/>
      </c>
      <c r="N84" s="779">
        <f>IFERROR(VLOOKUP(F84,Ch7_Storage,2, FALSE),0)</f>
        <v>0</v>
      </c>
    </row>
    <row r="85" ht="18.75" customHeight="1">
      <c r="A85" s="504">
        <f>IFERROR(VLOOKUP(H85,PartyStorage,2, FALSE),0)</f>
        <v>0</v>
      </c>
      <c r="B85" s="982"/>
      <c r="C85" s="983"/>
      <c r="D85" s="983"/>
      <c r="E85" s="983"/>
      <c r="F85" s="987"/>
      <c r="G85" s="984"/>
      <c r="H85" s="973"/>
      <c r="L85" s="922"/>
      <c r="M85" s="974" t="str">
        <f t="shared" si="2"/>
        <v/>
      </c>
      <c r="N85" s="779">
        <f>IFERROR(VLOOKUP(F85,Ch7_Storage,2, FALSE),0)</f>
        <v>0</v>
      </c>
    </row>
    <row r="86" ht="18.75" customHeight="1">
      <c r="A86" s="504">
        <f>IFERROR(VLOOKUP(H86,PartyStorage,2, FALSE),0)</f>
        <v>0</v>
      </c>
      <c r="B86" s="985"/>
      <c r="C86" s="977"/>
      <c r="D86" s="977"/>
      <c r="E86" s="977"/>
      <c r="F86" s="978"/>
      <c r="G86" s="986"/>
      <c r="H86" s="980"/>
      <c r="L86" s="930"/>
      <c r="M86" s="981" t="str">
        <f t="shared" si="2"/>
        <v/>
      </c>
      <c r="N86" s="779">
        <f>IFERROR(VLOOKUP(F86,Ch7_Storage,2, FALSE),0)</f>
        <v>0</v>
      </c>
    </row>
    <row r="87" ht="18.75" customHeight="1">
      <c r="A87" s="504">
        <f>IFERROR(VLOOKUP(H87,PartyStorage,2, FALSE),0)</f>
        <v>0</v>
      </c>
      <c r="B87" s="982"/>
      <c r="C87" s="983"/>
      <c r="D87" s="983"/>
      <c r="E87" s="983"/>
      <c r="F87" s="987"/>
      <c r="G87" s="984"/>
      <c r="H87" s="973"/>
      <c r="L87" s="922"/>
      <c r="M87" s="974" t="str">
        <f t="shared" si="2"/>
        <v/>
      </c>
      <c r="N87" s="779">
        <f>IFERROR(VLOOKUP(F87,Ch7_Storage,2, FALSE),0)</f>
        <v>0</v>
      </c>
    </row>
    <row r="88" ht="18.75" customHeight="1">
      <c r="A88" s="504">
        <f>IFERROR(VLOOKUP(H88,PartyStorage,2, FALSE),0)</f>
        <v>0</v>
      </c>
      <c r="B88" s="985"/>
      <c r="C88" s="977"/>
      <c r="D88" s="977"/>
      <c r="E88" s="977"/>
      <c r="F88" s="978"/>
      <c r="G88" s="986"/>
      <c r="H88" s="980"/>
      <c r="L88" s="930"/>
      <c r="M88" s="981" t="str">
        <f t="shared" si="2"/>
        <v/>
      </c>
      <c r="N88" s="779">
        <f>IFERROR(VLOOKUP(F88,Ch7_Storage,2, FALSE),0)</f>
        <v>0</v>
      </c>
    </row>
    <row r="89" ht="18.75" customHeight="1">
      <c r="A89" s="504">
        <f>IFERROR(VLOOKUP(H89,PartyStorage,2, FALSE),0)</f>
        <v>0</v>
      </c>
      <c r="B89" s="982"/>
      <c r="C89" s="983"/>
      <c r="D89" s="983"/>
      <c r="E89" s="983"/>
      <c r="F89" s="987"/>
      <c r="G89" s="984"/>
      <c r="H89" s="973"/>
      <c r="L89" s="922"/>
      <c r="M89" s="974" t="str">
        <f t="shared" si="2"/>
        <v/>
      </c>
      <c r="N89" s="779">
        <f>IFERROR(VLOOKUP(F89,Ch7_Storage,2, FALSE),0)</f>
        <v>0</v>
      </c>
    </row>
    <row r="90" ht="18.75" customHeight="1">
      <c r="A90" s="504">
        <f>IFERROR(VLOOKUP(H90,PartyStorage,2, FALSE),0)</f>
        <v>0</v>
      </c>
      <c r="B90" s="985"/>
      <c r="C90" s="977"/>
      <c r="D90" s="977"/>
      <c r="E90" s="977"/>
      <c r="F90" s="978"/>
      <c r="G90" s="986"/>
      <c r="H90" s="980"/>
      <c r="L90" s="930"/>
      <c r="M90" s="981" t="str">
        <f t="shared" si="2"/>
        <v/>
      </c>
      <c r="N90" s="779">
        <f>IFERROR(VLOOKUP(F90,Ch7_Storage,2, FALSE),0)</f>
        <v>0</v>
      </c>
    </row>
    <row r="91" ht="18.75" customHeight="1">
      <c r="A91" s="504">
        <f>IFERROR(VLOOKUP(H91,PartyStorage,2, FALSE),0)</f>
        <v>0</v>
      </c>
      <c r="B91" s="982"/>
      <c r="C91" s="983"/>
      <c r="D91" s="983"/>
      <c r="E91" s="983"/>
      <c r="F91" s="987"/>
      <c r="G91" s="984"/>
      <c r="H91" s="973"/>
      <c r="L91" s="922"/>
      <c r="M91" s="974" t="str">
        <f t="shared" si="2"/>
        <v/>
      </c>
      <c r="N91" s="779">
        <f>IFERROR(VLOOKUP(F91,Ch7_Storage,2, FALSE),0)</f>
        <v>0</v>
      </c>
    </row>
    <row r="92" ht="18.75" customHeight="1">
      <c r="A92" s="504">
        <f>IFERROR(VLOOKUP(H92,PartyStorage,2, FALSE),0)</f>
        <v>0</v>
      </c>
      <c r="B92" s="985"/>
      <c r="C92" s="977"/>
      <c r="D92" s="977"/>
      <c r="E92" s="977"/>
      <c r="F92" s="978"/>
      <c r="G92" s="986"/>
      <c r="H92" s="980"/>
      <c r="L92" s="930"/>
      <c r="M92" s="981" t="str">
        <f t="shared" si="2"/>
        <v/>
      </c>
      <c r="N92" s="779">
        <f>IFERROR(VLOOKUP(F92,Ch7_Storage,2, FALSE),0)</f>
        <v>0</v>
      </c>
    </row>
    <row r="93" ht="18.75" customHeight="1">
      <c r="A93" s="504">
        <f>IFERROR(VLOOKUP(H93,PartyStorage,2, FALSE),0)</f>
        <v>0</v>
      </c>
      <c r="B93" s="982"/>
      <c r="C93" s="983"/>
      <c r="D93" s="983"/>
      <c r="E93" s="983"/>
      <c r="F93" s="987"/>
      <c r="G93" s="984"/>
      <c r="H93" s="973"/>
      <c r="L93" s="922"/>
      <c r="M93" s="974" t="str">
        <f t="shared" si="2"/>
        <v/>
      </c>
      <c r="N93" s="779">
        <f>IFERROR(VLOOKUP(F93,Ch7_Storage,2, FALSE),0)</f>
        <v>0</v>
      </c>
    </row>
    <row r="94" ht="18.75" customHeight="1">
      <c r="A94" s="504">
        <f>IFERROR(VLOOKUP(H94,PartyStorage,2, FALSE),0)</f>
        <v>0</v>
      </c>
      <c r="B94" s="985"/>
      <c r="C94" s="977"/>
      <c r="D94" s="977"/>
      <c r="E94" s="977"/>
      <c r="F94" s="978"/>
      <c r="G94" s="986"/>
      <c r="H94" s="980"/>
      <c r="L94" s="930"/>
      <c r="M94" s="981" t="str">
        <f t="shared" si="2"/>
        <v/>
      </c>
      <c r="N94" s="779">
        <f>IFERROR(VLOOKUP(F94,Ch7_Storage,2, FALSE),0)</f>
        <v>0</v>
      </c>
    </row>
    <row r="95" ht="18.75" customHeight="1">
      <c r="A95" s="504">
        <f>IFERROR(VLOOKUP(H95,PartyStorage,2, FALSE),0)</f>
        <v>0</v>
      </c>
      <c r="B95" s="982"/>
      <c r="C95" s="983"/>
      <c r="D95" s="983"/>
      <c r="E95" s="983"/>
      <c r="F95" s="987"/>
      <c r="G95" s="984"/>
      <c r="H95" s="973"/>
      <c r="L95" s="922"/>
      <c r="M95" s="974" t="str">
        <f t="shared" si="2"/>
        <v/>
      </c>
      <c r="N95" s="779">
        <f>IFERROR(VLOOKUP(F95,Ch7_Storage,2, FALSE),0)</f>
        <v>0</v>
      </c>
    </row>
    <row r="96" ht="18.75" customHeight="1">
      <c r="A96" s="504">
        <f>IFERROR(VLOOKUP(H96,PartyStorage,2, FALSE),0)</f>
        <v>0</v>
      </c>
      <c r="B96" s="985"/>
      <c r="C96" s="977"/>
      <c r="D96" s="977"/>
      <c r="E96" s="977"/>
      <c r="F96" s="978"/>
      <c r="G96" s="986"/>
      <c r="H96" s="980"/>
      <c r="L96" s="930"/>
      <c r="M96" s="981" t="str">
        <f t="shared" si="2"/>
        <v/>
      </c>
      <c r="N96" s="779">
        <f>IFERROR(VLOOKUP(F96,Ch7_Storage,2, FALSE),0)</f>
        <v>0</v>
      </c>
    </row>
    <row r="97" ht="18.75" customHeight="1">
      <c r="A97" s="504">
        <f>IFERROR(VLOOKUP(H97,PartyStorage,2, FALSE),0)</f>
        <v>0</v>
      </c>
      <c r="B97" s="982"/>
      <c r="C97" s="983"/>
      <c r="D97" s="983"/>
      <c r="E97" s="983"/>
      <c r="F97" s="987"/>
      <c r="G97" s="984"/>
      <c r="H97" s="973"/>
      <c r="L97" s="922"/>
      <c r="M97" s="974" t="str">
        <f t="shared" si="2"/>
        <v/>
      </c>
      <c r="N97" s="779">
        <f>IFERROR(VLOOKUP(F97,Ch7_Storage,2, FALSE),0)</f>
        <v>0</v>
      </c>
    </row>
    <row r="98" ht="18.75" customHeight="1">
      <c r="A98" s="504">
        <f>IFERROR(VLOOKUP(H98,PartyStorage,2, FALSE),0)</f>
        <v>0</v>
      </c>
      <c r="B98" s="985"/>
      <c r="C98" s="977"/>
      <c r="D98" s="977"/>
      <c r="E98" s="977"/>
      <c r="F98" s="978"/>
      <c r="G98" s="986"/>
      <c r="H98" s="980"/>
      <c r="L98" s="930"/>
      <c r="M98" s="981" t="str">
        <f t="shared" si="2"/>
        <v/>
      </c>
      <c r="N98" s="779">
        <f>IFERROR(VLOOKUP(F98,Ch7_Storage,2, FALSE),0)</f>
        <v>0</v>
      </c>
    </row>
    <row r="99" ht="18.75" customHeight="1">
      <c r="A99" s="504">
        <f>IFERROR(VLOOKUP(H99,PartyStorage,2, FALSE),0)</f>
        <v>0</v>
      </c>
      <c r="B99" s="982"/>
      <c r="C99" s="983"/>
      <c r="D99" s="983"/>
      <c r="E99" s="983"/>
      <c r="F99" s="987"/>
      <c r="G99" s="984"/>
      <c r="H99" s="973"/>
      <c r="L99" s="922"/>
      <c r="M99" s="974" t="str">
        <f t="shared" si="2"/>
        <v/>
      </c>
      <c r="N99" s="779">
        <f>IFERROR(VLOOKUP(F99,Ch7_Storage,2, FALSE),0)</f>
        <v>0</v>
      </c>
    </row>
    <row r="100" ht="18.75" customHeight="1">
      <c r="A100" s="504">
        <f>IFERROR(VLOOKUP(H100,PartyStorage,2, FALSE),0)</f>
        <v>0</v>
      </c>
      <c r="B100" s="985"/>
      <c r="C100" s="977"/>
      <c r="D100" s="977"/>
      <c r="E100" s="977"/>
      <c r="F100" s="978"/>
      <c r="G100" s="986"/>
      <c r="H100" s="980"/>
      <c r="L100" s="930"/>
      <c r="M100" s="981" t="str">
        <f t="shared" si="2"/>
        <v/>
      </c>
      <c r="N100" s="779">
        <f>IFERROR(VLOOKUP(F100,Ch7_Storage,2, FALSE),0)</f>
        <v>0</v>
      </c>
    </row>
    <row r="101" ht="18.75" customHeight="1">
      <c r="A101" s="504">
        <f>IFERROR(VLOOKUP(H101,PartyStorage,2, FALSE),0)</f>
        <v>0</v>
      </c>
      <c r="B101" s="982"/>
      <c r="C101" s="983"/>
      <c r="D101" s="983"/>
      <c r="E101" s="983"/>
      <c r="F101" s="987"/>
      <c r="G101" s="984"/>
      <c r="H101" s="973"/>
      <c r="L101" s="922"/>
      <c r="M101" s="974" t="str">
        <f t="shared" si="2"/>
        <v/>
      </c>
      <c r="N101" s="779">
        <f>IFERROR(VLOOKUP(F101,Ch7_Storage,2, FALSE),0)</f>
        <v>0</v>
      </c>
    </row>
    <row r="102" ht="18.75" customHeight="1">
      <c r="A102" s="504">
        <f>IFERROR(VLOOKUP(H102,PartyStorage,2, FALSE),0)</f>
        <v>0</v>
      </c>
      <c r="B102" s="985"/>
      <c r="C102" s="977"/>
      <c r="D102" s="977"/>
      <c r="E102" s="977"/>
      <c r="F102" s="978"/>
      <c r="G102" s="986"/>
      <c r="H102" s="980"/>
      <c r="L102" s="930"/>
      <c r="M102" s="981" t="str">
        <f t="shared" si="2"/>
        <v/>
      </c>
      <c r="N102" s="779">
        <f>IFERROR(VLOOKUP(F102,Ch7_Storage,2, FALSE),0)</f>
        <v>0</v>
      </c>
    </row>
    <row r="103" ht="18.75" customHeight="1">
      <c r="A103" s="504">
        <f>IFERROR(VLOOKUP(H103,PartyStorage,2, FALSE),0)</f>
        <v>0</v>
      </c>
      <c r="B103" s="982"/>
      <c r="C103" s="983"/>
      <c r="D103" s="983"/>
      <c r="E103" s="983"/>
      <c r="F103" s="987"/>
      <c r="G103" s="984"/>
      <c r="H103" s="973"/>
      <c r="L103" s="922"/>
      <c r="M103" s="974" t="str">
        <f t="shared" si="2"/>
        <v/>
      </c>
      <c r="N103" s="779">
        <f>IFERROR(VLOOKUP(F103,Ch7_Storage,2, FALSE),0)</f>
        <v>0</v>
      </c>
    </row>
    <row r="104" ht="18.75" customHeight="1">
      <c r="A104" s="504">
        <f>IFERROR(VLOOKUP(H104,PartyStorage,2, FALSE),0)</f>
        <v>0</v>
      </c>
      <c r="B104" s="985"/>
      <c r="C104" s="977"/>
      <c r="D104" s="977"/>
      <c r="E104" s="977"/>
      <c r="F104" s="978"/>
      <c r="G104" s="986"/>
      <c r="H104" s="980"/>
      <c r="L104" s="930"/>
      <c r="M104" s="981" t="str">
        <f t="shared" si="2"/>
        <v/>
      </c>
      <c r="N104" s="779">
        <f>IFERROR(VLOOKUP(F104,Ch7_Storage,2, FALSE),0)</f>
        <v>0</v>
      </c>
    </row>
    <row r="105" ht="18.75" customHeight="1">
      <c r="A105" s="504">
        <f>IFERROR(VLOOKUP(H105,PartyStorage,2, FALSE),0)</f>
        <v>0</v>
      </c>
      <c r="B105" s="982"/>
      <c r="C105" s="983"/>
      <c r="D105" s="983"/>
      <c r="E105" s="983"/>
      <c r="F105" s="987"/>
      <c r="G105" s="984"/>
      <c r="H105" s="973"/>
      <c r="L105" s="922"/>
      <c r="M105" s="974" t="str">
        <f t="shared" si="2"/>
        <v/>
      </c>
      <c r="N105" s="779">
        <f>IFERROR(VLOOKUP(F105,Ch7_Storage,2, FALSE),0)</f>
        <v>0</v>
      </c>
    </row>
    <row r="106" ht="18.75" customHeight="1">
      <c r="A106" s="504">
        <f>IFERROR(VLOOKUP(H106,PartyStorage,2, FALSE),0)</f>
        <v>0</v>
      </c>
      <c r="B106" s="985"/>
      <c r="C106" s="977"/>
      <c r="D106" s="977"/>
      <c r="E106" s="977"/>
      <c r="F106" s="978"/>
      <c r="G106" s="986"/>
      <c r="H106" s="980"/>
      <c r="L106" s="930"/>
      <c r="M106" s="981" t="str">
        <f t="shared" si="2"/>
        <v/>
      </c>
      <c r="N106" s="779">
        <f>IFERROR(VLOOKUP(F106,Ch7_Storage,2, FALSE),0)</f>
        <v>0</v>
      </c>
    </row>
    <row r="107" ht="18.75" customHeight="1">
      <c r="A107" s="504">
        <f>IFERROR(VLOOKUP(H107,PartyStorage,2, FALSE),0)</f>
        <v>0</v>
      </c>
      <c r="B107" s="982"/>
      <c r="C107" s="983"/>
      <c r="D107" s="983"/>
      <c r="E107" s="983"/>
      <c r="F107" s="987"/>
      <c r="G107" s="984"/>
      <c r="H107" s="973"/>
      <c r="L107" s="922"/>
      <c r="M107" s="974" t="str">
        <f t="shared" si="2"/>
        <v/>
      </c>
      <c r="N107" s="779">
        <f>IFERROR(VLOOKUP(F107,Ch7_Storage,2, FALSE),0)</f>
        <v>0</v>
      </c>
    </row>
    <row r="108" ht="18.75" customHeight="1">
      <c r="A108" s="504">
        <f>IFERROR(VLOOKUP(H108,PartyStorage,2, FALSE),0)</f>
        <v>0</v>
      </c>
      <c r="B108" s="985"/>
      <c r="C108" s="977"/>
      <c r="D108" s="977"/>
      <c r="E108" s="977"/>
      <c r="F108" s="978"/>
      <c r="G108" s="986"/>
      <c r="H108" s="980"/>
      <c r="L108" s="930"/>
      <c r="M108" s="981" t="str">
        <f t="shared" si="2"/>
        <v/>
      </c>
      <c r="N108" s="779">
        <f>IFERROR(VLOOKUP(F108,Ch7_Storage,2, FALSE),0)</f>
        <v>0</v>
      </c>
    </row>
    <row r="109" ht="18.75" customHeight="1">
      <c r="A109" s="504">
        <f>IFERROR(VLOOKUP(H109,PartyStorage,2, FALSE),0)</f>
        <v>0</v>
      </c>
      <c r="B109" s="982"/>
      <c r="C109" s="983"/>
      <c r="D109" s="983"/>
      <c r="E109" s="983"/>
      <c r="F109" s="987"/>
      <c r="G109" s="984"/>
      <c r="H109" s="973"/>
      <c r="L109" s="922"/>
      <c r="M109" s="974" t="str">
        <f t="shared" si="2"/>
        <v/>
      </c>
      <c r="N109" s="779">
        <f>IFERROR(VLOOKUP(F109,Ch7_Storage,2, FALSE),0)</f>
        <v>0</v>
      </c>
    </row>
    <row r="110" ht="18.75" customHeight="1">
      <c r="A110" s="504">
        <f>IFERROR(VLOOKUP(H110,PartyStorage,2, FALSE),0)</f>
        <v>0</v>
      </c>
      <c r="B110" s="985"/>
      <c r="C110" s="977"/>
      <c r="D110" s="977"/>
      <c r="E110" s="977"/>
      <c r="F110" s="978"/>
      <c r="G110" s="986"/>
      <c r="H110" s="980"/>
      <c r="L110" s="930"/>
      <c r="M110" s="981" t="str">
        <f t="shared" si="2"/>
        <v/>
      </c>
      <c r="N110" s="779">
        <f>IFERROR(VLOOKUP(F110,Ch7_Storage,2, FALSE),0)</f>
        <v>0</v>
      </c>
    </row>
    <row r="111" ht="18.75" customHeight="1">
      <c r="A111" s="504">
        <f>IFERROR(VLOOKUP(H111,PartyStorage,2, FALSE),0)</f>
        <v>0</v>
      </c>
      <c r="B111" s="982"/>
      <c r="C111" s="983"/>
      <c r="D111" s="983"/>
      <c r="E111" s="983"/>
      <c r="F111" s="987"/>
      <c r="G111" s="984"/>
      <c r="H111" s="973"/>
      <c r="L111" s="922"/>
      <c r="M111" s="974" t="str">
        <f t="shared" si="2"/>
        <v/>
      </c>
      <c r="N111" s="779">
        <f>IFERROR(VLOOKUP(F111,Ch7_Storage,2, FALSE),0)</f>
        <v>0</v>
      </c>
    </row>
    <row r="112" ht="18.75" customHeight="1">
      <c r="A112" s="504">
        <f>IFERROR(VLOOKUP(H112,PartyStorage,2, FALSE),0)</f>
        <v>0</v>
      </c>
      <c r="B112" s="985"/>
      <c r="C112" s="977"/>
      <c r="D112" s="977"/>
      <c r="E112" s="977"/>
      <c r="F112" s="978"/>
      <c r="G112" s="986"/>
      <c r="H112" s="980"/>
      <c r="L112" s="930"/>
      <c r="M112" s="981" t="str">
        <f t="shared" si="2"/>
        <v/>
      </c>
      <c r="N112" s="779">
        <f>IFERROR(VLOOKUP(F112,Ch7_Storage,2, FALSE),0)</f>
        <v>0</v>
      </c>
    </row>
    <row r="113" ht="18.75" customHeight="1">
      <c r="A113" s="504">
        <f>IFERROR(VLOOKUP(H113,PartyStorage,2, FALSE),0)</f>
        <v>0</v>
      </c>
      <c r="B113" s="982"/>
      <c r="C113" s="983"/>
      <c r="D113" s="983"/>
      <c r="E113" s="983"/>
      <c r="F113" s="987"/>
      <c r="G113" s="984"/>
      <c r="H113" s="973"/>
      <c r="L113" s="922"/>
      <c r="M113" s="974" t="str">
        <f t="shared" si="2"/>
        <v/>
      </c>
      <c r="N113" s="779">
        <f>IFERROR(VLOOKUP(F113,Ch7_Storage,2, FALSE),0)</f>
        <v>0</v>
      </c>
    </row>
    <row r="114" ht="18.75" customHeight="1">
      <c r="A114" s="504">
        <f>IFERROR(VLOOKUP(H114,PartyStorage,2, FALSE),0)</f>
        <v>0</v>
      </c>
      <c r="B114" s="985"/>
      <c r="C114" s="977"/>
      <c r="D114" s="977"/>
      <c r="E114" s="977"/>
      <c r="F114" s="978"/>
      <c r="G114" s="986"/>
      <c r="H114" s="980"/>
      <c r="L114" s="930"/>
      <c r="M114" s="981" t="str">
        <f t="shared" si="2"/>
        <v/>
      </c>
      <c r="N114" s="779">
        <f>IFERROR(VLOOKUP(F114,Ch7_Storage,2, FALSE),0)</f>
        <v>0</v>
      </c>
    </row>
    <row r="115" ht="18.75" customHeight="1">
      <c r="A115" s="504">
        <f>IFERROR(VLOOKUP(H115,PartyStorage,2, FALSE),0)</f>
        <v>0</v>
      </c>
      <c r="B115" s="982"/>
      <c r="C115" s="983"/>
      <c r="D115" s="983"/>
      <c r="E115" s="983"/>
      <c r="F115" s="987"/>
      <c r="G115" s="984"/>
      <c r="H115" s="973"/>
      <c r="L115" s="922"/>
      <c r="M115" s="974" t="str">
        <f t="shared" si="2"/>
        <v/>
      </c>
      <c r="N115" s="779">
        <f>IFERROR(VLOOKUP(F115,Ch7_Storage,2, FALSE),0)</f>
        <v>0</v>
      </c>
    </row>
    <row r="116" ht="18.75" customHeight="1">
      <c r="A116" s="504">
        <f>IFERROR(VLOOKUP(H116,PartyStorage,2, FALSE),0)</f>
        <v>0</v>
      </c>
      <c r="B116" s="985"/>
      <c r="C116" s="977"/>
      <c r="D116" s="977"/>
      <c r="E116" s="977"/>
      <c r="F116" s="978"/>
      <c r="G116" s="986"/>
      <c r="H116" s="980"/>
      <c r="L116" s="930"/>
      <c r="M116" s="981" t="str">
        <f t="shared" si="2"/>
        <v/>
      </c>
      <c r="N116" s="779">
        <f>IFERROR(VLOOKUP(F116,Ch7_Storage,2, FALSE),0)</f>
        <v>0</v>
      </c>
    </row>
    <row r="117" ht="18.75" customHeight="1">
      <c r="A117" s="504">
        <f>IFERROR(VLOOKUP(H117,PartyStorage,2, FALSE),0)</f>
        <v>0</v>
      </c>
      <c r="B117" s="982"/>
      <c r="C117" s="983"/>
      <c r="D117" s="983"/>
      <c r="E117" s="983"/>
      <c r="F117" s="987"/>
      <c r="G117" s="984"/>
      <c r="H117" s="973"/>
      <c r="L117" s="922"/>
      <c r="M117" s="974" t="str">
        <f t="shared" si="2"/>
        <v/>
      </c>
      <c r="N117" s="779">
        <f>IFERROR(VLOOKUP(F117,Ch7_Storage,2, FALSE),0)</f>
        <v>0</v>
      </c>
    </row>
    <row r="118" ht="18.75" customHeight="1">
      <c r="A118" s="504">
        <f>IFERROR(VLOOKUP(H118,PartyStorage,2, FALSE),0)</f>
        <v>0</v>
      </c>
      <c r="B118" s="985"/>
      <c r="C118" s="977"/>
      <c r="D118" s="977"/>
      <c r="E118" s="977"/>
      <c r="F118" s="978"/>
      <c r="G118" s="986"/>
      <c r="H118" s="980"/>
      <c r="L118" s="930"/>
      <c r="M118" s="981" t="str">
        <f t="shared" si="2"/>
        <v/>
      </c>
      <c r="N118" s="779">
        <f>IFERROR(VLOOKUP(F118,Ch7_Storage,2, FALSE),0)</f>
        <v>0</v>
      </c>
    </row>
    <row r="119" ht="18.75" customHeight="1">
      <c r="A119" s="504">
        <f>IFERROR(VLOOKUP(H119,PartyStorage,2, FALSE),0)</f>
        <v>0</v>
      </c>
      <c r="B119" s="982"/>
      <c r="C119" s="983"/>
      <c r="D119" s="983"/>
      <c r="E119" s="983"/>
      <c r="F119" s="987"/>
      <c r="G119" s="984"/>
      <c r="H119" s="973"/>
      <c r="L119" s="922"/>
      <c r="M119" s="974" t="str">
        <f t="shared" si="2"/>
        <v/>
      </c>
      <c r="N119" s="779">
        <f>IFERROR(VLOOKUP(F119,Ch7_Storage,2, FALSE),0)</f>
        <v>0</v>
      </c>
    </row>
    <row r="120" ht="18.75" customHeight="1">
      <c r="A120" s="504">
        <f>IFERROR(VLOOKUP(H120,PartyStorage,2, FALSE),0)</f>
        <v>0</v>
      </c>
      <c r="B120" s="985"/>
      <c r="C120" s="977"/>
      <c r="D120" s="977"/>
      <c r="E120" s="977"/>
      <c r="F120" s="978"/>
      <c r="G120" s="986"/>
      <c r="H120" s="980"/>
      <c r="L120" s="930"/>
      <c r="M120" s="981" t="str">
        <f t="shared" si="2"/>
        <v/>
      </c>
      <c r="N120" s="779">
        <f>IFERROR(VLOOKUP(F120,Ch7_Storage,2, FALSE),0)</f>
        <v>0</v>
      </c>
    </row>
    <row r="121" ht="18.75" customHeight="1">
      <c r="A121" s="504">
        <f>IFERROR(VLOOKUP(H121,PartyStorage,2, FALSE),0)</f>
        <v>0</v>
      </c>
      <c r="B121" s="982"/>
      <c r="C121" s="983"/>
      <c r="D121" s="983"/>
      <c r="E121" s="983"/>
      <c r="F121" s="987"/>
      <c r="G121" s="984"/>
      <c r="H121" s="973"/>
      <c r="L121" s="922"/>
      <c r="M121" s="974" t="str">
        <f t="shared" si="2"/>
        <v/>
      </c>
      <c r="N121" s="779">
        <f>IFERROR(VLOOKUP(F121,Ch7_Storage,2, FALSE),0)</f>
        <v>0</v>
      </c>
    </row>
    <row r="122" ht="18.75" customHeight="1">
      <c r="A122" s="504">
        <f>IFERROR(VLOOKUP(H122,PartyStorage,2, FALSE),0)</f>
        <v>0</v>
      </c>
      <c r="B122" s="985"/>
      <c r="C122" s="977"/>
      <c r="D122" s="977"/>
      <c r="E122" s="977"/>
      <c r="F122" s="978"/>
      <c r="G122" s="986"/>
      <c r="H122" s="980"/>
      <c r="L122" s="930"/>
      <c r="M122" s="981" t="str">
        <f t="shared" si="2"/>
        <v/>
      </c>
      <c r="N122" s="779">
        <f>IFERROR(VLOOKUP(F122,Ch7_Storage,2, FALSE),0)</f>
        <v>0</v>
      </c>
    </row>
    <row r="123" ht="18.75" customHeight="1">
      <c r="A123" s="504">
        <f>IFERROR(VLOOKUP(H123,PartyStorage,2, FALSE),0)</f>
        <v>0</v>
      </c>
      <c r="B123" s="982"/>
      <c r="C123" s="983"/>
      <c r="D123" s="983"/>
      <c r="E123" s="983"/>
      <c r="F123" s="987"/>
      <c r="G123" s="984"/>
      <c r="H123" s="973"/>
      <c r="L123" s="922"/>
      <c r="M123" s="974" t="str">
        <f t="shared" si="2"/>
        <v/>
      </c>
      <c r="N123" s="779">
        <f>IFERROR(VLOOKUP(F123,Ch7_Storage,2, FALSE),0)</f>
        <v>0</v>
      </c>
    </row>
    <row r="124" ht="18.75" customHeight="1">
      <c r="A124" s="504">
        <f>IFERROR(VLOOKUP(H124,PartyStorage,2, FALSE),0)</f>
        <v>0</v>
      </c>
      <c r="B124" s="985"/>
      <c r="C124" s="977"/>
      <c r="D124" s="977"/>
      <c r="E124" s="977"/>
      <c r="F124" s="978"/>
      <c r="G124" s="986"/>
      <c r="H124" s="980"/>
      <c r="L124" s="930"/>
      <c r="M124" s="981" t="str">
        <f t="shared" si="2"/>
        <v/>
      </c>
      <c r="N124" s="779">
        <f>IFERROR(VLOOKUP(F124,Ch7_Storage,2, FALSE),0)</f>
        <v>0</v>
      </c>
    </row>
    <row r="125" ht="18.75" customHeight="1">
      <c r="A125" s="504">
        <f>IFERROR(VLOOKUP(H125,PartyStorage,2, FALSE),0)</f>
        <v>0</v>
      </c>
      <c r="B125" s="982"/>
      <c r="C125" s="983"/>
      <c r="D125" s="983"/>
      <c r="E125" s="983"/>
      <c r="F125" s="987"/>
      <c r="G125" s="984"/>
      <c r="H125" s="973"/>
      <c r="L125" s="922"/>
      <c r="M125" s="974" t="str">
        <f t="shared" si="2"/>
        <v/>
      </c>
      <c r="N125" s="779">
        <f>IFERROR(VLOOKUP(F125,Ch7_Storage,2, FALSE),0)</f>
        <v>0</v>
      </c>
    </row>
    <row r="126" ht="18.75" customHeight="1">
      <c r="A126" s="504">
        <f>IFERROR(VLOOKUP(H126,PartyStorage,2, FALSE),0)</f>
        <v>0</v>
      </c>
      <c r="B126" s="985"/>
      <c r="C126" s="977"/>
      <c r="D126" s="977"/>
      <c r="E126" s="977"/>
      <c r="F126" s="978"/>
      <c r="G126" s="986"/>
      <c r="H126" s="980"/>
      <c r="L126" s="930"/>
      <c r="M126" s="981" t="str">
        <f t="shared" si="2"/>
        <v/>
      </c>
      <c r="N126" s="779">
        <f>IFERROR(VLOOKUP(F126,Ch7_Storage,2, FALSE),0)</f>
        <v>0</v>
      </c>
    </row>
    <row r="127" ht="18.75" customHeight="1">
      <c r="A127" s="504">
        <f>IFERROR(VLOOKUP(H127,PartyStorage,2, FALSE),0)</f>
        <v>0</v>
      </c>
      <c r="B127" s="982"/>
      <c r="C127" s="983"/>
      <c r="D127" s="983"/>
      <c r="E127" s="983"/>
      <c r="F127" s="987"/>
      <c r="G127" s="984"/>
      <c r="H127" s="973"/>
      <c r="L127" s="922"/>
      <c r="M127" s="974" t="str">
        <f t="shared" si="2"/>
        <v/>
      </c>
      <c r="N127" s="779">
        <f>IFERROR(VLOOKUP(F127,Ch7_Storage,2, FALSE),0)</f>
        <v>0</v>
      </c>
    </row>
    <row r="128" ht="18.75" customHeight="1">
      <c r="A128" s="504">
        <f>IFERROR(VLOOKUP(H128,PartyStorage,2, FALSE),0)</f>
        <v>0</v>
      </c>
      <c r="B128" s="985"/>
      <c r="C128" s="977"/>
      <c r="D128" s="977"/>
      <c r="E128" s="977"/>
      <c r="F128" s="978"/>
      <c r="G128" s="986"/>
      <c r="H128" s="980"/>
      <c r="L128" s="930"/>
      <c r="M128" s="981" t="str">
        <f t="shared" si="2"/>
        <v/>
      </c>
      <c r="N128" s="779">
        <f>IFERROR(VLOOKUP(F128,Ch7_Storage,2, FALSE),0)</f>
        <v>0</v>
      </c>
    </row>
    <row r="129" ht="18.75" customHeight="1">
      <c r="A129" s="504">
        <f>IFERROR(VLOOKUP(H129,PartyStorage,2, FALSE),0)</f>
        <v>0</v>
      </c>
      <c r="B129" s="982"/>
      <c r="C129" s="983"/>
      <c r="D129" s="983"/>
      <c r="E129" s="983"/>
      <c r="F129" s="987"/>
      <c r="G129" s="984"/>
      <c r="H129" s="973"/>
      <c r="L129" s="922"/>
      <c r="M129" s="974" t="str">
        <f t="shared" si="2"/>
        <v/>
      </c>
      <c r="N129" s="779">
        <f>IFERROR(VLOOKUP(F129,Ch7_Storage,2, FALSE),0)</f>
        <v>0</v>
      </c>
    </row>
    <row r="130" ht="18.75" customHeight="1">
      <c r="A130" s="504">
        <f>IFERROR(VLOOKUP(H130,PartyStorage,2, FALSE),0)</f>
        <v>0</v>
      </c>
      <c r="B130" s="985"/>
      <c r="C130" s="977"/>
      <c r="D130" s="977"/>
      <c r="E130" s="977"/>
      <c r="F130" s="978"/>
      <c r="G130" s="986"/>
      <c r="H130" s="980"/>
      <c r="L130" s="930"/>
      <c r="M130" s="981" t="str">
        <f t="shared" si="2"/>
        <v/>
      </c>
      <c r="N130" s="779">
        <f>IFERROR(VLOOKUP(F130,Ch7_Storage,2, FALSE),0)</f>
        <v>0</v>
      </c>
    </row>
    <row r="131" ht="18.75" customHeight="1">
      <c r="A131" s="504">
        <f>IFERROR(VLOOKUP(H131,PartyStorage,2, FALSE),0)</f>
        <v>0</v>
      </c>
      <c r="B131" s="982"/>
      <c r="C131" s="983"/>
      <c r="D131" s="983"/>
      <c r="E131" s="983"/>
      <c r="F131" s="987"/>
      <c r="G131" s="984"/>
      <c r="H131" s="973"/>
      <c r="L131" s="922"/>
      <c r="M131" s="974" t="str">
        <f t="shared" si="2"/>
        <v/>
      </c>
      <c r="N131" s="779">
        <f>IFERROR(VLOOKUP(F131,Ch7_Storage,2, FALSE),0)</f>
        <v>0</v>
      </c>
    </row>
    <row r="132" ht="18.75" customHeight="1">
      <c r="A132" s="504">
        <f>IFERROR(VLOOKUP(H132,PartyStorage,2, FALSE),0)</f>
        <v>0</v>
      </c>
      <c r="B132" s="985"/>
      <c r="C132" s="977"/>
      <c r="D132" s="977"/>
      <c r="E132" s="977"/>
      <c r="F132" s="978"/>
      <c r="G132" s="986"/>
      <c r="H132" s="980"/>
      <c r="L132" s="930"/>
      <c r="M132" s="981" t="str">
        <f t="shared" si="2"/>
        <v/>
      </c>
      <c r="N132" s="779">
        <f>IFERROR(VLOOKUP(F132,Ch7_Storage,2, FALSE),0)</f>
        <v>0</v>
      </c>
    </row>
    <row r="133" ht="18.75" customHeight="1">
      <c r="A133" s="504">
        <f>IFERROR(VLOOKUP(H133,PartyStorage,2, FALSE),0)</f>
        <v>0</v>
      </c>
      <c r="B133" s="982"/>
      <c r="C133" s="983"/>
      <c r="D133" s="983"/>
      <c r="E133" s="983"/>
      <c r="F133" s="987"/>
      <c r="G133" s="984"/>
      <c r="H133" s="973"/>
      <c r="L133" s="922"/>
      <c r="M133" s="974" t="str">
        <f t="shared" si="2"/>
        <v/>
      </c>
      <c r="N133" s="779">
        <f>IFERROR(VLOOKUP(F133,Ch7_Storage,2, FALSE),0)</f>
        <v>0</v>
      </c>
    </row>
    <row r="134" ht="18.75" customHeight="1">
      <c r="A134" s="504">
        <f>IFERROR(VLOOKUP(H134,PartyStorage,2, FALSE),0)</f>
        <v>0</v>
      </c>
      <c r="B134" s="985"/>
      <c r="C134" s="977"/>
      <c r="D134" s="977"/>
      <c r="E134" s="977"/>
      <c r="F134" s="978"/>
      <c r="G134" s="986"/>
      <c r="H134" s="980"/>
      <c r="L134" s="930"/>
      <c r="M134" s="981" t="str">
        <f t="shared" si="2"/>
        <v/>
      </c>
      <c r="N134" s="779">
        <f>IFERROR(VLOOKUP(F134,Ch7_Storage,2, FALSE),0)</f>
        <v>0</v>
      </c>
    </row>
    <row r="135" ht="18.75" customHeight="1">
      <c r="A135" s="504">
        <f>IFERROR(VLOOKUP(H135,PartyStorage,2, FALSE),0)</f>
        <v>0</v>
      </c>
      <c r="B135" s="982"/>
      <c r="C135" s="983"/>
      <c r="D135" s="983"/>
      <c r="E135" s="983"/>
      <c r="F135" s="987"/>
      <c r="G135" s="984"/>
      <c r="H135" s="973"/>
      <c r="L135" s="922"/>
      <c r="M135" s="974" t="str">
        <f t="shared" si="2"/>
        <v/>
      </c>
      <c r="N135" s="779">
        <f>IFERROR(VLOOKUP(F135,Ch7_Storage,2, FALSE),0)</f>
        <v>0</v>
      </c>
    </row>
    <row r="136" ht="18.75" customHeight="1">
      <c r="A136" s="504">
        <f>IFERROR(VLOOKUP(H136,PartyStorage,2, FALSE),0)</f>
        <v>0</v>
      </c>
      <c r="B136" s="985"/>
      <c r="C136" s="977"/>
      <c r="D136" s="977"/>
      <c r="E136" s="977"/>
      <c r="F136" s="978"/>
      <c r="G136" s="986"/>
      <c r="H136" s="980"/>
      <c r="L136" s="930"/>
      <c r="M136" s="981" t="str">
        <f t="shared" si="2"/>
        <v/>
      </c>
      <c r="N136" s="779">
        <f>IFERROR(VLOOKUP(F136,Ch7_Storage,2, FALSE),0)</f>
        <v>0</v>
      </c>
    </row>
    <row r="137" ht="18.75" customHeight="1">
      <c r="A137" s="504">
        <f>IFERROR(VLOOKUP(H137,PartyStorage,2, FALSE),0)</f>
        <v>0</v>
      </c>
      <c r="B137" s="982"/>
      <c r="C137" s="983"/>
      <c r="D137" s="983"/>
      <c r="E137" s="983"/>
      <c r="F137" s="987"/>
      <c r="G137" s="984"/>
      <c r="H137" s="973"/>
      <c r="L137" s="922"/>
      <c r="M137" s="974" t="str">
        <f t="shared" si="2"/>
        <v/>
      </c>
      <c r="N137" s="779">
        <f>IFERROR(VLOOKUP(F137,Ch7_Storage,2, FALSE),0)</f>
        <v>0</v>
      </c>
    </row>
    <row r="138" ht="18.75" customHeight="1">
      <c r="A138" s="504">
        <f>IFERROR(VLOOKUP(H138,PartyStorage,2, FALSE),0)</f>
        <v>0</v>
      </c>
      <c r="B138" s="985"/>
      <c r="C138" s="977"/>
      <c r="D138" s="977"/>
      <c r="E138" s="977"/>
      <c r="F138" s="978"/>
      <c r="G138" s="986"/>
      <c r="H138" s="980"/>
      <c r="L138" s="930"/>
      <c r="M138" s="981" t="str">
        <f t="shared" si="2"/>
        <v/>
      </c>
      <c r="N138" s="779">
        <f>IFERROR(VLOOKUP(F138,Ch7_Storage,2, FALSE),0)</f>
        <v>0</v>
      </c>
    </row>
    <row r="139" ht="18.75" customHeight="1">
      <c r="A139" s="504">
        <f>IFERROR(VLOOKUP(H139,PartyStorage,2, FALSE),0)</f>
        <v>0</v>
      </c>
      <c r="B139" s="982"/>
      <c r="C139" s="983"/>
      <c r="D139" s="983"/>
      <c r="E139" s="983"/>
      <c r="F139" s="987"/>
      <c r="G139" s="984"/>
      <c r="H139" s="973"/>
      <c r="L139" s="922"/>
      <c r="M139" s="974" t="str">
        <f t="shared" si="2"/>
        <v/>
      </c>
      <c r="N139" s="779">
        <f>IFERROR(VLOOKUP(F139,Ch7_Storage,2, FALSE),0)</f>
        <v>0</v>
      </c>
    </row>
    <row r="140" ht="18.75" customHeight="1">
      <c r="A140" s="504">
        <f>IFERROR(VLOOKUP(H140,PartyStorage,2, FALSE),0)</f>
        <v>0</v>
      </c>
      <c r="B140" s="985"/>
      <c r="C140" s="977"/>
      <c r="D140" s="977"/>
      <c r="E140" s="977"/>
      <c r="F140" s="978"/>
      <c r="G140" s="986"/>
      <c r="H140" s="980"/>
      <c r="L140" s="930"/>
      <c r="M140" s="981" t="str">
        <f t="shared" si="2"/>
        <v/>
      </c>
      <c r="N140" s="779">
        <f>IFERROR(VLOOKUP(F140,Ch7_Storage,2, FALSE),0)</f>
        <v>0</v>
      </c>
    </row>
    <row r="141" ht="18.75" customHeight="1">
      <c r="A141" s="504">
        <f>IFERROR(VLOOKUP(H141,PartyStorage,2, FALSE),0)</f>
        <v>0</v>
      </c>
      <c r="B141" s="982"/>
      <c r="C141" s="983"/>
      <c r="D141" s="983"/>
      <c r="E141" s="983"/>
      <c r="F141" s="987"/>
      <c r="G141" s="984"/>
      <c r="H141" s="973"/>
      <c r="L141" s="922"/>
      <c r="M141" s="974" t="str">
        <f t="shared" si="2"/>
        <v/>
      </c>
      <c r="N141" s="779">
        <f>IFERROR(VLOOKUP(F141,Ch7_Storage,2, FALSE),0)</f>
        <v>0</v>
      </c>
    </row>
    <row r="142" ht="18.75" customHeight="1">
      <c r="A142" s="504">
        <f>IFERROR(VLOOKUP(H142,PartyStorage,2, FALSE),0)</f>
        <v>0</v>
      </c>
      <c r="B142" s="985"/>
      <c r="C142" s="977"/>
      <c r="D142" s="977"/>
      <c r="E142" s="977"/>
      <c r="F142" s="978"/>
      <c r="G142" s="986"/>
      <c r="H142" s="980"/>
      <c r="L142" s="930"/>
      <c r="M142" s="981" t="str">
        <f t="shared" si="2"/>
        <v/>
      </c>
      <c r="N142" s="779">
        <f>IFERROR(VLOOKUP(F142,Ch7_Storage,2, FALSE),0)</f>
        <v>0</v>
      </c>
    </row>
    <row r="143" ht="18.75" customHeight="1">
      <c r="A143" s="504">
        <f>IFERROR(VLOOKUP(H143,PartyStorage,2, FALSE),0)</f>
        <v>0</v>
      </c>
      <c r="B143" s="982"/>
      <c r="C143" s="983"/>
      <c r="D143" s="983"/>
      <c r="E143" s="983"/>
      <c r="F143" s="987"/>
      <c r="G143" s="984"/>
      <c r="H143" s="973"/>
      <c r="L143" s="922"/>
      <c r="M143" s="974" t="str">
        <f t="shared" si="2"/>
        <v/>
      </c>
      <c r="N143" s="779">
        <f>IFERROR(VLOOKUP(F143,Ch7_Storage,2, FALSE),0)</f>
        <v>0</v>
      </c>
    </row>
    <row r="144" ht="18.75" customHeight="1">
      <c r="A144" s="504">
        <f>IFERROR(VLOOKUP(H144,PartyStorage,2, FALSE),0)</f>
        <v>0</v>
      </c>
      <c r="B144" s="985"/>
      <c r="C144" s="977"/>
      <c r="D144" s="977"/>
      <c r="E144" s="977"/>
      <c r="F144" s="978"/>
      <c r="G144" s="986"/>
      <c r="H144" s="980"/>
      <c r="L144" s="930"/>
      <c r="M144" s="981" t="str">
        <f t="shared" si="2"/>
        <v/>
      </c>
      <c r="N144" s="779">
        <f>IFERROR(VLOOKUP(F144,Ch7_Storage,2, FALSE),0)</f>
        <v>0</v>
      </c>
    </row>
    <row r="145" ht="18.75" customHeight="1">
      <c r="A145" s="504">
        <f>IFERROR(VLOOKUP(H145,PartyStorage,2, FALSE),0)</f>
        <v>0</v>
      </c>
      <c r="B145" s="982"/>
      <c r="C145" s="983"/>
      <c r="D145" s="983"/>
      <c r="E145" s="983"/>
      <c r="F145" s="987"/>
      <c r="G145" s="984"/>
      <c r="H145" s="973"/>
      <c r="L145" s="922"/>
      <c r="M145" s="974" t="str">
        <f t="shared" si="2"/>
        <v/>
      </c>
      <c r="N145" s="779">
        <f>IFERROR(VLOOKUP(F145,Ch7_Storage,2, FALSE),0)</f>
        <v>0</v>
      </c>
    </row>
    <row r="146" ht="18.75" customHeight="1">
      <c r="A146" s="504">
        <f>IFERROR(VLOOKUP(H146,PartyStorage,2, FALSE),0)</f>
        <v>0</v>
      </c>
      <c r="B146" s="985"/>
      <c r="C146" s="977"/>
      <c r="D146" s="977"/>
      <c r="E146" s="977"/>
      <c r="F146" s="978"/>
      <c r="G146" s="986"/>
      <c r="H146" s="980"/>
      <c r="L146" s="930"/>
      <c r="M146" s="981" t="str">
        <f t="shared" si="2"/>
        <v/>
      </c>
      <c r="N146" s="779">
        <f>IFERROR(VLOOKUP(F146,Ch7_Storage,2, FALSE),0)</f>
        <v>0</v>
      </c>
    </row>
    <row r="147" ht="18.75" customHeight="1">
      <c r="A147" s="504">
        <f>IFERROR(VLOOKUP(H147,PartyStorage,2, FALSE),0)</f>
        <v>0</v>
      </c>
      <c r="B147" s="982"/>
      <c r="C147" s="983"/>
      <c r="D147" s="983"/>
      <c r="E147" s="983"/>
      <c r="F147" s="987"/>
      <c r="G147" s="984"/>
      <c r="H147" s="973"/>
      <c r="L147" s="922"/>
      <c r="M147" s="974" t="str">
        <f t="shared" si="2"/>
        <v/>
      </c>
      <c r="N147" s="779">
        <f>IFERROR(VLOOKUP(F147,Ch7_Storage,2, FALSE),0)</f>
        <v>0</v>
      </c>
    </row>
    <row r="148" ht="18.75" customHeight="1">
      <c r="A148" s="504">
        <f>IFERROR(VLOOKUP(H148,PartyStorage,2, FALSE),0)</f>
        <v>0</v>
      </c>
      <c r="B148" s="985"/>
      <c r="C148" s="977"/>
      <c r="D148" s="977"/>
      <c r="E148" s="977"/>
      <c r="F148" s="978"/>
      <c r="G148" s="986"/>
      <c r="H148" s="980"/>
      <c r="L148" s="930"/>
      <c r="M148" s="981" t="str">
        <f t="shared" si="2"/>
        <v/>
      </c>
      <c r="N148" s="779">
        <f>IFERROR(VLOOKUP(F148,Ch7_Storage,2, FALSE),0)</f>
        <v>0</v>
      </c>
    </row>
    <row r="149" ht="18.75" customHeight="1">
      <c r="A149" s="504">
        <f>IFERROR(VLOOKUP(H149,PartyStorage,2, FALSE),0)</f>
        <v>0</v>
      </c>
      <c r="B149" s="982"/>
      <c r="C149" s="983"/>
      <c r="D149" s="983"/>
      <c r="E149" s="983"/>
      <c r="F149" s="987"/>
      <c r="G149" s="984"/>
      <c r="H149" s="973"/>
      <c r="L149" s="922"/>
      <c r="M149" s="974" t="str">
        <f t="shared" si="2"/>
        <v/>
      </c>
      <c r="N149" s="779">
        <f>IFERROR(VLOOKUP(F149,Ch7_Storage,2, FALSE),0)</f>
        <v>0</v>
      </c>
    </row>
    <row r="150" ht="18.75" customHeight="1">
      <c r="A150" s="504">
        <f>IFERROR(VLOOKUP(H150,PartyStorage,2, FALSE),0)</f>
        <v>0</v>
      </c>
      <c r="B150" s="985"/>
      <c r="C150" s="977"/>
      <c r="D150" s="977"/>
      <c r="E150" s="977"/>
      <c r="F150" s="978"/>
      <c r="G150" s="986"/>
      <c r="H150" s="980"/>
      <c r="L150" s="930"/>
      <c r="M150" s="981" t="str">
        <f t="shared" si="2"/>
        <v/>
      </c>
      <c r="N150" s="779">
        <f>IFERROR(VLOOKUP(F150,Ch7_Storage,2, FALSE),0)</f>
        <v>0</v>
      </c>
    </row>
    <row r="151" ht="18.75" customHeight="1">
      <c r="A151" s="504">
        <f>IFERROR(VLOOKUP(H151,PartyStorage,2, FALSE),0)</f>
        <v>0</v>
      </c>
      <c r="B151" s="982"/>
      <c r="C151" s="983"/>
      <c r="D151" s="983"/>
      <c r="E151" s="983"/>
      <c r="F151" s="987"/>
      <c r="G151" s="984"/>
      <c r="H151" s="973"/>
      <c r="L151" s="922"/>
      <c r="M151" s="974" t="str">
        <f t="shared" si="2"/>
        <v/>
      </c>
      <c r="N151" s="779">
        <f>IFERROR(VLOOKUP(F151,Ch7_Storage,2, FALSE),0)</f>
        <v>0</v>
      </c>
    </row>
    <row r="152" ht="18.75" customHeight="1">
      <c r="A152" s="504">
        <f>IFERROR(VLOOKUP(H152,PartyStorage,2, FALSE),0)</f>
        <v>0</v>
      </c>
      <c r="B152" s="985"/>
      <c r="C152" s="977"/>
      <c r="D152" s="977"/>
      <c r="E152" s="977"/>
      <c r="F152" s="978"/>
      <c r="G152" s="986"/>
      <c r="H152" s="980"/>
      <c r="L152" s="930"/>
      <c r="M152" s="981" t="str">
        <f t="shared" si="2"/>
        <v/>
      </c>
      <c r="N152" s="779">
        <f>IFERROR(VLOOKUP(F152,Ch7_Storage,2, FALSE),0)</f>
        <v>0</v>
      </c>
    </row>
    <row r="153" ht="18.75" customHeight="1">
      <c r="A153" s="504">
        <f>IFERROR(VLOOKUP(H153,PartyStorage,2, FALSE),0)</f>
        <v>0</v>
      </c>
      <c r="B153" s="982"/>
      <c r="C153" s="983"/>
      <c r="D153" s="983"/>
      <c r="E153" s="983"/>
      <c r="F153" s="987"/>
      <c r="G153" s="984"/>
      <c r="H153" s="973"/>
      <c r="L153" s="922"/>
      <c r="M153" s="974" t="str">
        <f t="shared" si="2"/>
        <v/>
      </c>
      <c r="N153" s="779">
        <f>IFERROR(VLOOKUP(F153,Ch7_Storage,2, FALSE),0)</f>
        <v>0</v>
      </c>
    </row>
    <row r="154" ht="18.75" customHeight="1">
      <c r="A154" s="504">
        <f>IFERROR(VLOOKUP(H154,PartyStorage,2, FALSE),0)</f>
        <v>0</v>
      </c>
      <c r="B154" s="985"/>
      <c r="C154" s="977"/>
      <c r="D154" s="977"/>
      <c r="E154" s="977"/>
      <c r="F154" s="978"/>
      <c r="G154" s="986"/>
      <c r="H154" s="980"/>
      <c r="L154" s="930"/>
      <c r="M154" s="981" t="str">
        <f t="shared" si="2"/>
        <v/>
      </c>
      <c r="N154" s="779">
        <f>IFERROR(VLOOKUP(F154,Ch7_Storage,2, FALSE),0)</f>
        <v>0</v>
      </c>
    </row>
    <row r="155" ht="18.75" customHeight="1">
      <c r="A155" s="504">
        <f>IFERROR(VLOOKUP(H155,PartyStorage,2, FALSE),0)</f>
        <v>0</v>
      </c>
      <c r="B155" s="982"/>
      <c r="C155" s="983"/>
      <c r="D155" s="983"/>
      <c r="E155" s="983"/>
      <c r="F155" s="987"/>
      <c r="G155" s="984"/>
      <c r="H155" s="973"/>
      <c r="L155" s="922"/>
      <c r="M155" s="974" t="str">
        <f t="shared" si="2"/>
        <v/>
      </c>
      <c r="N155" s="779">
        <f>IFERROR(VLOOKUP(F155,Ch7_Storage,2, FALSE),0)</f>
        <v>0</v>
      </c>
    </row>
    <row r="156" ht="18.75" customHeight="1">
      <c r="A156" s="504">
        <f>IFERROR(VLOOKUP(H156,PartyStorage,2, FALSE),0)</f>
        <v>0</v>
      </c>
      <c r="B156" s="985"/>
      <c r="C156" s="977"/>
      <c r="D156" s="977"/>
      <c r="E156" s="977"/>
      <c r="F156" s="978"/>
      <c r="G156" s="986"/>
      <c r="H156" s="980"/>
      <c r="L156" s="930"/>
      <c r="M156" s="981" t="str">
        <f t="shared" si="2"/>
        <v/>
      </c>
      <c r="N156" s="779">
        <f>IFERROR(VLOOKUP(F156,Ch7_Storage,2, FALSE),0)</f>
        <v>0</v>
      </c>
    </row>
    <row r="157" ht="18.75" customHeight="1">
      <c r="A157" s="504">
        <f>IFERROR(VLOOKUP(H157,PartyStorage,2, FALSE),0)</f>
        <v>0</v>
      </c>
      <c r="B157" s="982"/>
      <c r="C157" s="983"/>
      <c r="D157" s="983"/>
      <c r="E157" s="983"/>
      <c r="F157" s="987"/>
      <c r="G157" s="984"/>
      <c r="H157" s="973"/>
      <c r="L157" s="922"/>
      <c r="M157" s="974" t="str">
        <f t="shared" si="2"/>
        <v/>
      </c>
      <c r="N157" s="779">
        <f>IFERROR(VLOOKUP(F157,Ch7_Storage,2, FALSE),0)</f>
        <v>0</v>
      </c>
    </row>
    <row r="158" ht="18.75" customHeight="1">
      <c r="A158" s="504">
        <f>IFERROR(VLOOKUP(H158,PartyStorage,2, FALSE),0)</f>
        <v>0</v>
      </c>
      <c r="B158" s="985"/>
      <c r="C158" s="977"/>
      <c r="D158" s="977"/>
      <c r="E158" s="977"/>
      <c r="F158" s="978"/>
      <c r="G158" s="986"/>
      <c r="H158" s="980"/>
      <c r="L158" s="930"/>
      <c r="M158" s="981" t="str">
        <f t="shared" si="2"/>
        <v/>
      </c>
      <c r="N158" s="779">
        <f>IFERROR(VLOOKUP(F158,Ch7_Storage,2, FALSE),0)</f>
        <v>0</v>
      </c>
    </row>
    <row r="159" ht="18.75" customHeight="1">
      <c r="A159" s="504">
        <f>IFERROR(VLOOKUP(H159,PartyStorage,2, FALSE),0)</f>
        <v>0</v>
      </c>
      <c r="B159" s="982"/>
      <c r="C159" s="983"/>
      <c r="D159" s="983"/>
      <c r="E159" s="983"/>
      <c r="F159" s="987"/>
      <c r="G159" s="984"/>
      <c r="H159" s="973"/>
      <c r="L159" s="922"/>
      <c r="M159" s="974" t="str">
        <f t="shared" si="2"/>
        <v/>
      </c>
      <c r="N159" s="779">
        <f>IFERROR(VLOOKUP(F159,Ch7_Storage,2, FALSE),0)</f>
        <v>0</v>
      </c>
    </row>
    <row r="160" ht="18.75" customHeight="1">
      <c r="A160" s="504">
        <f>IFERROR(VLOOKUP(H160,PartyStorage,2, FALSE),0)</f>
        <v>0</v>
      </c>
      <c r="B160" s="985"/>
      <c r="C160" s="977"/>
      <c r="D160" s="977"/>
      <c r="E160" s="977"/>
      <c r="F160" s="978"/>
      <c r="G160" s="986"/>
      <c r="H160" s="980"/>
      <c r="L160" s="930"/>
      <c r="M160" s="981" t="str">
        <f t="shared" si="2"/>
        <v/>
      </c>
      <c r="N160" s="779">
        <f>IFERROR(VLOOKUP(F160,Ch7_Storage,2, FALSE),0)</f>
        <v>0</v>
      </c>
    </row>
    <row r="161" ht="18.75" customHeight="1">
      <c r="A161" s="504">
        <f>IFERROR(VLOOKUP(H161,PartyStorage,2, FALSE),0)</f>
        <v>0</v>
      </c>
      <c r="B161" s="982"/>
      <c r="C161" s="983"/>
      <c r="D161" s="983"/>
      <c r="E161" s="983"/>
      <c r="F161" s="987"/>
      <c r="G161" s="984"/>
      <c r="H161" s="973"/>
      <c r="L161" s="922"/>
      <c r="M161" s="974" t="str">
        <f t="shared" si="2"/>
        <v/>
      </c>
      <c r="N161" s="779">
        <f>IFERROR(VLOOKUP(F161,Ch7_Storage,2, FALSE),0)</f>
        <v>0</v>
      </c>
    </row>
    <row r="162" ht="18.75" customHeight="1">
      <c r="A162" s="504">
        <f>IFERROR(VLOOKUP(H162,PartyStorage,2, FALSE),0)</f>
        <v>0</v>
      </c>
      <c r="B162" s="985"/>
      <c r="C162" s="977"/>
      <c r="D162" s="977"/>
      <c r="E162" s="977"/>
      <c r="F162" s="978"/>
      <c r="G162" s="986"/>
      <c r="H162" s="980"/>
      <c r="L162" s="930"/>
      <c r="M162" s="981" t="str">
        <f t="shared" si="2"/>
        <v/>
      </c>
      <c r="N162" s="779">
        <f>IFERROR(VLOOKUP(F162,Ch7_Storage,2, FALSE),0)</f>
        <v>0</v>
      </c>
    </row>
    <row r="163" ht="18.75" customHeight="1">
      <c r="A163" s="504">
        <f>IFERROR(VLOOKUP(H163,PartyStorage,2, FALSE),0)</f>
        <v>0</v>
      </c>
      <c r="B163" s="982"/>
      <c r="C163" s="983"/>
      <c r="D163" s="983"/>
      <c r="E163" s="983"/>
      <c r="F163" s="987"/>
      <c r="G163" s="984"/>
      <c r="H163" s="973"/>
      <c r="L163" s="922"/>
      <c r="M163" s="974" t="str">
        <f t="shared" si="2"/>
        <v/>
      </c>
      <c r="N163" s="779">
        <f>IFERROR(VLOOKUP(F163,Ch7_Storage,2, FALSE),0)</f>
        <v>0</v>
      </c>
    </row>
    <row r="164" ht="18.75" customHeight="1">
      <c r="A164" s="504">
        <f>IFERROR(VLOOKUP(H164,PartyStorage,2, FALSE),0)</f>
        <v>0</v>
      </c>
      <c r="B164" s="985"/>
      <c r="C164" s="977"/>
      <c r="D164" s="977"/>
      <c r="E164" s="977"/>
      <c r="F164" s="978"/>
      <c r="G164" s="986"/>
      <c r="H164" s="980"/>
      <c r="L164" s="930"/>
      <c r="M164" s="981" t="str">
        <f t="shared" si="2"/>
        <v/>
      </c>
      <c r="N164" s="779">
        <f>IFERROR(VLOOKUP(F164,Ch7_Storage,2, FALSE),0)</f>
        <v>0</v>
      </c>
    </row>
    <row r="165" ht="18.75" customHeight="1">
      <c r="A165" s="504">
        <f>IFERROR(VLOOKUP(H165,PartyStorage,2, FALSE),0)</f>
        <v>0</v>
      </c>
      <c r="B165" s="982"/>
      <c r="C165" s="983"/>
      <c r="D165" s="983"/>
      <c r="E165" s="983"/>
      <c r="F165" s="987"/>
      <c r="G165" s="984"/>
      <c r="H165" s="973"/>
      <c r="L165" s="922"/>
      <c r="M165" s="974" t="str">
        <f t="shared" si="2"/>
        <v/>
      </c>
      <c r="N165" s="779">
        <f>IFERROR(VLOOKUP(F165,Ch7_Storage,2, FALSE),0)</f>
        <v>0</v>
      </c>
    </row>
    <row r="166" ht="18.75" customHeight="1">
      <c r="A166" s="504">
        <f>IFERROR(VLOOKUP(H166,PartyStorage,2, FALSE),0)</f>
        <v>0</v>
      </c>
      <c r="B166" s="985"/>
      <c r="C166" s="977"/>
      <c r="D166" s="977"/>
      <c r="E166" s="977"/>
      <c r="F166" s="978"/>
      <c r="G166" s="986"/>
      <c r="H166" s="980"/>
      <c r="L166" s="930"/>
      <c r="M166" s="981" t="str">
        <f t="shared" si="2"/>
        <v/>
      </c>
      <c r="N166" s="779">
        <f>IFERROR(VLOOKUP(F166,Ch7_Storage,2, FALSE),0)</f>
        <v>0</v>
      </c>
    </row>
    <row r="167" ht="18.75" customHeight="1">
      <c r="A167" s="504">
        <f>IFERROR(VLOOKUP(H167,PartyStorage,2, FALSE),0)</f>
        <v>0</v>
      </c>
      <c r="B167" s="982"/>
      <c r="C167" s="983"/>
      <c r="D167" s="983"/>
      <c r="E167" s="983"/>
      <c r="F167" s="987"/>
      <c r="G167" s="984"/>
      <c r="H167" s="973"/>
      <c r="L167" s="922"/>
      <c r="M167" s="974" t="str">
        <f t="shared" si="2"/>
        <v/>
      </c>
      <c r="N167" s="779">
        <f>IFERROR(VLOOKUP(F167,Ch7_Storage,2, FALSE),0)</f>
        <v>0</v>
      </c>
    </row>
    <row r="168" ht="18.75" customHeight="1">
      <c r="A168" s="504">
        <f>IFERROR(VLOOKUP(H168,PartyStorage,2, FALSE),0)</f>
        <v>0</v>
      </c>
      <c r="B168" s="985"/>
      <c r="C168" s="977"/>
      <c r="D168" s="977"/>
      <c r="E168" s="977"/>
      <c r="F168" s="978"/>
      <c r="G168" s="986"/>
      <c r="H168" s="980"/>
      <c r="L168" s="930"/>
      <c r="M168" s="981" t="str">
        <f t="shared" si="2"/>
        <v/>
      </c>
      <c r="N168" s="779">
        <f>IFERROR(VLOOKUP(F168,Ch7_Storage,2, FALSE),0)</f>
        <v>0</v>
      </c>
    </row>
    <row r="169" ht="18.75" customHeight="1">
      <c r="A169" s="504">
        <f>IFERROR(VLOOKUP(H169,PartyStorage,2, FALSE),0)</f>
        <v>0</v>
      </c>
      <c r="B169" s="982"/>
      <c r="C169" s="983"/>
      <c r="D169" s="983"/>
      <c r="E169" s="983"/>
      <c r="F169" s="987"/>
      <c r="G169" s="984"/>
      <c r="H169" s="973"/>
      <c r="L169" s="922"/>
      <c r="M169" s="974" t="str">
        <f t="shared" si="2"/>
        <v/>
      </c>
      <c r="N169" s="779">
        <f>IFERROR(VLOOKUP(F169,Ch7_Storage,2, FALSE),0)</f>
        <v>0</v>
      </c>
    </row>
    <row r="170" ht="18.75" customHeight="1">
      <c r="A170" s="504">
        <f>IFERROR(VLOOKUP(H170,PartyStorage,2, FALSE),0)</f>
        <v>0</v>
      </c>
      <c r="B170" s="985"/>
      <c r="C170" s="977"/>
      <c r="D170" s="977"/>
      <c r="E170" s="977"/>
      <c r="F170" s="978"/>
      <c r="G170" s="986"/>
      <c r="H170" s="980"/>
      <c r="L170" s="930"/>
      <c r="M170" s="981" t="str">
        <f t="shared" si="2"/>
        <v/>
      </c>
      <c r="N170" s="779">
        <f>IFERROR(VLOOKUP(F170,Ch7_Storage,2, FALSE),0)</f>
        <v>0</v>
      </c>
    </row>
    <row r="171" ht="18.75" customHeight="1">
      <c r="A171" s="504">
        <f>IFERROR(VLOOKUP(H171,PartyStorage,2, FALSE),0)</f>
        <v>0</v>
      </c>
      <c r="B171" s="982"/>
      <c r="C171" s="983"/>
      <c r="D171" s="983"/>
      <c r="E171" s="983"/>
      <c r="F171" s="987"/>
      <c r="G171" s="984"/>
      <c r="H171" s="973"/>
      <c r="L171" s="922"/>
      <c r="M171" s="974" t="str">
        <f t="shared" si="2"/>
        <v/>
      </c>
      <c r="N171" s="779">
        <f>IFERROR(VLOOKUP(F171,Ch7_Storage,2, FALSE),0)</f>
        <v>0</v>
      </c>
    </row>
    <row r="172" ht="18.75" customHeight="1">
      <c r="A172" s="504">
        <f>IFERROR(VLOOKUP(H172,PartyStorage,2, FALSE),0)</f>
        <v>0</v>
      </c>
      <c r="B172" s="985"/>
      <c r="C172" s="977"/>
      <c r="D172" s="977"/>
      <c r="E172" s="977"/>
      <c r="F172" s="978"/>
      <c r="G172" s="986"/>
      <c r="H172" s="980"/>
      <c r="L172" s="930"/>
      <c r="M172" s="981" t="str">
        <f t="shared" si="2"/>
        <v/>
      </c>
      <c r="N172" s="779">
        <f>IFERROR(VLOOKUP(F172,Ch7_Storage,2, FALSE),0)</f>
        <v>0</v>
      </c>
    </row>
    <row r="173" ht="18.75" customHeight="1">
      <c r="A173" s="504">
        <f>IFERROR(VLOOKUP(H173,PartyStorage,2, FALSE),0)</f>
        <v>0</v>
      </c>
      <c r="B173" s="982"/>
      <c r="C173" s="983"/>
      <c r="D173" s="983"/>
      <c r="E173" s="983"/>
      <c r="F173" s="987"/>
      <c r="G173" s="984"/>
      <c r="H173" s="973"/>
      <c r="L173" s="922"/>
      <c r="M173" s="974" t="str">
        <f t="shared" si="2"/>
        <v/>
      </c>
      <c r="N173" s="779">
        <f>IFERROR(VLOOKUP(F173,Ch7_Storage,2, FALSE),0)</f>
        <v>0</v>
      </c>
    </row>
    <row r="174" ht="18.75" customHeight="1">
      <c r="A174" s="504">
        <f>IFERROR(VLOOKUP(H174,PartyStorage,2, FALSE),0)</f>
        <v>0</v>
      </c>
      <c r="B174" s="985"/>
      <c r="C174" s="977"/>
      <c r="D174" s="977"/>
      <c r="E174" s="977"/>
      <c r="F174" s="978"/>
      <c r="G174" s="986"/>
      <c r="H174" s="980"/>
      <c r="L174" s="930"/>
      <c r="M174" s="981" t="str">
        <f t="shared" si="2"/>
        <v/>
      </c>
      <c r="N174" s="779">
        <f>IFERROR(VLOOKUP(F174,Ch7_Storage,2, FALSE),0)</f>
        <v>0</v>
      </c>
    </row>
    <row r="175" ht="18.75" customHeight="1">
      <c r="A175" s="504">
        <f>IFERROR(VLOOKUP(H175,PartyStorage,2, FALSE),0)</f>
        <v>0</v>
      </c>
      <c r="B175" s="982"/>
      <c r="C175" s="983"/>
      <c r="D175" s="983"/>
      <c r="E175" s="983"/>
      <c r="F175" s="987"/>
      <c r="G175" s="984"/>
      <c r="H175" s="973"/>
      <c r="L175" s="922"/>
      <c r="M175" s="974" t="str">
        <f t="shared" si="2"/>
        <v/>
      </c>
      <c r="N175" s="779">
        <f>IFERROR(VLOOKUP(F175,Ch7_Storage,2, FALSE),0)</f>
        <v>0</v>
      </c>
    </row>
    <row r="176" ht="18.75" customHeight="1">
      <c r="A176" s="504">
        <f>IFERROR(VLOOKUP(H176,PartyStorage,2, FALSE),0)</f>
        <v>0</v>
      </c>
      <c r="B176" s="985"/>
      <c r="C176" s="977"/>
      <c r="D176" s="977"/>
      <c r="E176" s="977"/>
      <c r="F176" s="978"/>
      <c r="G176" s="986"/>
      <c r="H176" s="980"/>
      <c r="L176" s="930"/>
      <c r="M176" s="981" t="str">
        <f t="shared" si="2"/>
        <v/>
      </c>
      <c r="N176" s="779">
        <f>IFERROR(VLOOKUP(F176,Ch7_Storage,2, FALSE),0)</f>
        <v>0</v>
      </c>
    </row>
    <row r="177" ht="18.75" customHeight="1">
      <c r="A177" s="504">
        <f>IFERROR(VLOOKUP(H177,PartyStorage,2, FALSE),0)</f>
        <v>0</v>
      </c>
      <c r="B177" s="982"/>
      <c r="C177" s="983"/>
      <c r="D177" s="983"/>
      <c r="E177" s="983"/>
      <c r="F177" s="987"/>
      <c r="G177" s="984"/>
      <c r="H177" s="973"/>
      <c r="L177" s="922"/>
      <c r="M177" s="974" t="str">
        <f t="shared" si="2"/>
        <v/>
      </c>
      <c r="N177" s="779">
        <f>IFERROR(VLOOKUP(F177,Ch7_Storage,2, FALSE),0)</f>
        <v>0</v>
      </c>
    </row>
    <row r="178" ht="18.75" customHeight="1">
      <c r="A178" s="504">
        <f>IFERROR(VLOOKUP(H178,PartyStorage,2, FALSE),0)</f>
        <v>0</v>
      </c>
      <c r="B178" s="985"/>
      <c r="C178" s="977"/>
      <c r="D178" s="977"/>
      <c r="E178" s="977"/>
      <c r="F178" s="978"/>
      <c r="G178" s="986"/>
      <c r="H178" s="980"/>
      <c r="L178" s="930"/>
      <c r="M178" s="981" t="str">
        <f t="shared" si="2"/>
        <v/>
      </c>
      <c r="N178" s="779">
        <f>IFERROR(VLOOKUP(F178,Ch7_Storage,2, FALSE),0)</f>
        <v>0</v>
      </c>
    </row>
    <row r="179" ht="18.75" customHeight="1">
      <c r="A179" s="504">
        <f>IFERROR(VLOOKUP(H179,PartyStorage,2, FALSE),0)</f>
        <v>0</v>
      </c>
      <c r="B179" s="982"/>
      <c r="C179" s="983"/>
      <c r="D179" s="983"/>
      <c r="E179" s="983"/>
      <c r="F179" s="987"/>
      <c r="G179" s="984"/>
      <c r="H179" s="973"/>
      <c r="L179" s="922"/>
      <c r="M179" s="974" t="str">
        <f t="shared" si="2"/>
        <v/>
      </c>
      <c r="N179" s="779">
        <f>IFERROR(VLOOKUP(F179,Ch7_Storage,2, FALSE),0)</f>
        <v>0</v>
      </c>
    </row>
    <row r="180" ht="18.75" customHeight="1">
      <c r="A180" s="504">
        <f>IFERROR(VLOOKUP(H180,PartyStorage,2, FALSE),0)</f>
        <v>0</v>
      </c>
      <c r="B180" s="985"/>
      <c r="C180" s="977"/>
      <c r="D180" s="977"/>
      <c r="E180" s="977"/>
      <c r="F180" s="978"/>
      <c r="G180" s="986"/>
      <c r="H180" s="980"/>
      <c r="L180" s="930"/>
      <c r="M180" s="981" t="str">
        <f t="shared" si="2"/>
        <v/>
      </c>
      <c r="N180" s="779">
        <f>IFERROR(VLOOKUP(F180,Ch7_Storage,2, FALSE),0)</f>
        <v>0</v>
      </c>
    </row>
    <row r="181" ht="18.75" customHeight="1">
      <c r="A181" s="504">
        <f>IFERROR(VLOOKUP(H181,PartyStorage,2, FALSE),0)</f>
        <v>0</v>
      </c>
      <c r="B181" s="982"/>
      <c r="C181" s="983"/>
      <c r="D181" s="983"/>
      <c r="E181" s="983"/>
      <c r="F181" s="987"/>
      <c r="G181" s="984"/>
      <c r="H181" s="973"/>
      <c r="L181" s="922"/>
      <c r="M181" s="974" t="str">
        <f t="shared" si="2"/>
        <v/>
      </c>
      <c r="N181" s="779">
        <f>IFERROR(VLOOKUP(F181,Ch7_Storage,2, FALSE),0)</f>
        <v>0</v>
      </c>
    </row>
    <row r="182" ht="18.75" customHeight="1">
      <c r="A182" s="504">
        <f>IFERROR(VLOOKUP(H182,PartyStorage,2, FALSE),0)</f>
        <v>0</v>
      </c>
      <c r="B182" s="985"/>
      <c r="C182" s="977"/>
      <c r="D182" s="977"/>
      <c r="E182" s="977"/>
      <c r="F182" s="978"/>
      <c r="G182" s="986"/>
      <c r="H182" s="980"/>
      <c r="L182" s="930"/>
      <c r="M182" s="981" t="str">
        <f t="shared" si="2"/>
        <v/>
      </c>
      <c r="N182" s="779">
        <f>IFERROR(VLOOKUP(F182,Ch7_Storage,2, FALSE),0)</f>
        <v>0</v>
      </c>
    </row>
    <row r="183" ht="18.75" customHeight="1">
      <c r="A183" s="504">
        <f>IFERROR(VLOOKUP(H183,PartyStorage,2, FALSE),0)</f>
        <v>0</v>
      </c>
      <c r="B183" s="982"/>
      <c r="C183" s="983"/>
      <c r="D183" s="983"/>
      <c r="E183" s="983"/>
      <c r="F183" s="987"/>
      <c r="G183" s="984"/>
      <c r="H183" s="973"/>
      <c r="L183" s="922"/>
      <c r="M183" s="974" t="str">
        <f t="shared" si="2"/>
        <v/>
      </c>
      <c r="N183" s="779">
        <f>IFERROR(VLOOKUP(F183,Ch7_Storage,2, FALSE),0)</f>
        <v>0</v>
      </c>
    </row>
    <row r="184" ht="18.75" customHeight="1">
      <c r="A184" s="504">
        <f>IFERROR(VLOOKUP(H184,PartyStorage,2, FALSE),0)</f>
        <v>0</v>
      </c>
      <c r="B184" s="985"/>
      <c r="C184" s="977"/>
      <c r="D184" s="977"/>
      <c r="E184" s="977"/>
      <c r="F184" s="978"/>
      <c r="G184" s="986"/>
      <c r="H184" s="980"/>
      <c r="L184" s="930"/>
      <c r="M184" s="981" t="str">
        <f t="shared" si="2"/>
        <v/>
      </c>
      <c r="N184" s="779">
        <f>IFERROR(VLOOKUP(F184,Ch7_Storage,2, FALSE),0)</f>
        <v>0</v>
      </c>
    </row>
    <row r="185" ht="18.75" customHeight="1">
      <c r="A185" s="504">
        <f>IFERROR(VLOOKUP(H185,PartyStorage,2, FALSE),0)</f>
        <v>0</v>
      </c>
      <c r="B185" s="982"/>
      <c r="C185" s="983"/>
      <c r="D185" s="983"/>
      <c r="E185" s="983"/>
      <c r="F185" s="987"/>
      <c r="G185" s="984"/>
      <c r="H185" s="973"/>
      <c r="L185" s="922"/>
      <c r="M185" s="974" t="str">
        <f t="shared" si="2"/>
        <v/>
      </c>
      <c r="N185" s="779">
        <f>IFERROR(VLOOKUP(F185,Ch7_Storage,2, FALSE),0)</f>
        <v>0</v>
      </c>
    </row>
    <row r="186" ht="18.75" customHeight="1">
      <c r="A186" s="504">
        <f>IFERROR(VLOOKUP(H186,PartyStorage,2, FALSE),0)</f>
        <v>0</v>
      </c>
      <c r="B186" s="985"/>
      <c r="C186" s="977"/>
      <c r="D186" s="977"/>
      <c r="E186" s="977"/>
      <c r="F186" s="978"/>
      <c r="G186" s="986"/>
      <c r="H186" s="980"/>
      <c r="L186" s="930"/>
      <c r="M186" s="981" t="str">
        <f t="shared" si="2"/>
        <v/>
      </c>
      <c r="N186" s="779">
        <f>IFERROR(VLOOKUP(F186,Ch7_Storage,2, FALSE),0)</f>
        <v>0</v>
      </c>
    </row>
    <row r="187" ht="18.75" customHeight="1">
      <c r="A187" s="504">
        <f>IFERROR(VLOOKUP(H187,PartyStorage,2, FALSE),0)</f>
        <v>0</v>
      </c>
      <c r="B187" s="982"/>
      <c r="C187" s="983"/>
      <c r="D187" s="983"/>
      <c r="E187" s="983"/>
      <c r="F187" s="987"/>
      <c r="G187" s="984"/>
      <c r="H187" s="973"/>
      <c r="L187" s="922"/>
      <c r="M187" s="974" t="str">
        <f t="shared" si="2"/>
        <v/>
      </c>
      <c r="N187" s="779">
        <f>IFERROR(VLOOKUP(F187,Ch7_Storage,2, FALSE),0)</f>
        <v>0</v>
      </c>
    </row>
    <row r="188" ht="18.75" customHeight="1">
      <c r="A188" s="504">
        <f>IFERROR(VLOOKUP(H188,PartyStorage,2, FALSE),0)</f>
        <v>0</v>
      </c>
      <c r="B188" s="985"/>
      <c r="C188" s="977"/>
      <c r="D188" s="977"/>
      <c r="E188" s="977"/>
      <c r="F188" s="978"/>
      <c r="G188" s="986"/>
      <c r="H188" s="980"/>
      <c r="L188" s="930"/>
      <c r="M188" s="981" t="str">
        <f t="shared" si="2"/>
        <v/>
      </c>
      <c r="N188" s="779">
        <f>IFERROR(VLOOKUP(F188,Ch7_Storage,2, FALSE),0)</f>
        <v>0</v>
      </c>
    </row>
    <row r="189" ht="18.75" customHeight="1">
      <c r="A189" s="504">
        <f>IFERROR(VLOOKUP(H189,PartyStorage,2, FALSE),0)</f>
        <v>0</v>
      </c>
      <c r="B189" s="982"/>
      <c r="C189" s="983"/>
      <c r="D189" s="983"/>
      <c r="E189" s="983"/>
      <c r="F189" s="987"/>
      <c r="G189" s="984"/>
      <c r="H189" s="973"/>
      <c r="L189" s="922"/>
      <c r="M189" s="974" t="str">
        <f t="shared" si="2"/>
        <v/>
      </c>
      <c r="N189" s="779">
        <f>IFERROR(VLOOKUP(F189,Ch7_Storage,2, FALSE),0)</f>
        <v>0</v>
      </c>
    </row>
    <row r="190" ht="18.75" customHeight="1">
      <c r="A190" s="504">
        <f>IFERROR(VLOOKUP(H190,PartyStorage,2, FALSE),0)</f>
        <v>0</v>
      </c>
      <c r="B190" s="985"/>
      <c r="C190" s="977"/>
      <c r="D190" s="977"/>
      <c r="E190" s="977"/>
      <c r="F190" s="978"/>
      <c r="G190" s="986"/>
      <c r="H190" s="980"/>
      <c r="L190" s="930"/>
      <c r="M190" s="981" t="str">
        <f t="shared" si="2"/>
        <v/>
      </c>
      <c r="N190" s="779">
        <f>IFERROR(VLOOKUP(F190,Ch7_Storage,2, FALSE),0)</f>
        <v>0</v>
      </c>
    </row>
    <row r="191" ht="18.75" customHeight="1">
      <c r="A191" s="504">
        <f>IFERROR(VLOOKUP(H191,PartyStorage,2, FALSE),0)</f>
        <v>0</v>
      </c>
      <c r="B191" s="982"/>
      <c r="C191" s="983"/>
      <c r="D191" s="983"/>
      <c r="E191" s="983"/>
      <c r="F191" s="987"/>
      <c r="G191" s="984"/>
      <c r="H191" s="973"/>
      <c r="L191" s="922"/>
      <c r="M191" s="974" t="str">
        <f t="shared" si="2"/>
        <v/>
      </c>
      <c r="N191" s="779">
        <f>IFERROR(VLOOKUP(F191,Ch7_Storage,2, FALSE),0)</f>
        <v>0</v>
      </c>
    </row>
    <row r="192" ht="18.75" customHeight="1">
      <c r="A192" s="504">
        <f>IFERROR(VLOOKUP(H192,PartyStorage,2, FALSE),0)</f>
        <v>0</v>
      </c>
      <c r="B192" s="985"/>
      <c r="C192" s="977"/>
      <c r="D192" s="977"/>
      <c r="E192" s="977"/>
      <c r="F192" s="978"/>
      <c r="G192" s="986"/>
      <c r="H192" s="980"/>
      <c r="L192" s="930"/>
      <c r="M192" s="981" t="str">
        <f t="shared" si="2"/>
        <v/>
      </c>
      <c r="N192" s="779">
        <f>IFERROR(VLOOKUP(F192,Ch7_Storage,2, FALSE),0)</f>
        <v>0</v>
      </c>
    </row>
    <row r="193" ht="18.75" customHeight="1">
      <c r="A193" s="504">
        <f>IFERROR(VLOOKUP(H193,PartyStorage,2, FALSE),0)</f>
        <v>0</v>
      </c>
      <c r="B193" s="982"/>
      <c r="C193" s="983"/>
      <c r="D193" s="983"/>
      <c r="E193" s="983"/>
      <c r="F193" s="987"/>
      <c r="G193" s="984"/>
      <c r="H193" s="973"/>
      <c r="L193" s="922"/>
      <c r="M193" s="974" t="str">
        <f t="shared" si="2"/>
        <v/>
      </c>
      <c r="N193" s="779">
        <f>IFERROR(VLOOKUP(F193,Ch7_Storage,2, FALSE),0)</f>
        <v>0</v>
      </c>
    </row>
    <row r="194" ht="18.75" customHeight="1">
      <c r="A194" s="504">
        <f>IFERROR(VLOOKUP(H194,PartyStorage,2, FALSE),0)</f>
        <v>0</v>
      </c>
      <c r="B194" s="985"/>
      <c r="C194" s="977"/>
      <c r="D194" s="977"/>
      <c r="E194" s="977"/>
      <c r="F194" s="978"/>
      <c r="G194" s="986"/>
      <c r="H194" s="980"/>
      <c r="L194" s="930"/>
      <c r="M194" s="981" t="str">
        <f t="shared" si="2"/>
        <v/>
      </c>
      <c r="N194" s="779">
        <f>IFERROR(VLOOKUP(F194,Ch7_Storage,2, FALSE),0)</f>
        <v>0</v>
      </c>
    </row>
    <row r="195" ht="18.75" customHeight="1">
      <c r="A195" s="504">
        <f>IFERROR(VLOOKUP(H195,PartyStorage,2, FALSE),0)</f>
        <v>0</v>
      </c>
      <c r="B195" s="982"/>
      <c r="C195" s="983"/>
      <c r="D195" s="983"/>
      <c r="E195" s="983"/>
      <c r="F195" s="987"/>
      <c r="G195" s="984"/>
      <c r="H195" s="973"/>
      <c r="L195" s="922"/>
      <c r="M195" s="974" t="str">
        <f t="shared" si="2"/>
        <v/>
      </c>
      <c r="N195" s="779">
        <f>IFERROR(VLOOKUP(F195,Ch7_Storage,2, FALSE),0)</f>
        <v>0</v>
      </c>
    </row>
    <row r="196" ht="18.75" customHeight="1">
      <c r="A196" s="504">
        <f>IFERROR(VLOOKUP(H196,PartyStorage,2, FALSE),0)</f>
        <v>0</v>
      </c>
      <c r="B196" s="985"/>
      <c r="C196" s="977"/>
      <c r="D196" s="977"/>
      <c r="E196" s="977"/>
      <c r="F196" s="978"/>
      <c r="G196" s="986"/>
      <c r="H196" s="980"/>
      <c r="L196" s="930"/>
      <c r="M196" s="981" t="str">
        <f t="shared" si="2"/>
        <v/>
      </c>
      <c r="N196" s="779">
        <f>IFERROR(VLOOKUP(F196,Ch7_Storage,2, FALSE),0)</f>
        <v>0</v>
      </c>
    </row>
    <row r="197" ht="18.75" customHeight="1">
      <c r="A197" s="504">
        <f>IFERROR(VLOOKUP(H197,PartyStorage,2, FALSE),0)</f>
        <v>0</v>
      </c>
      <c r="B197" s="982"/>
      <c r="C197" s="983"/>
      <c r="D197" s="983"/>
      <c r="E197" s="983"/>
      <c r="F197" s="987"/>
      <c r="G197" s="984"/>
      <c r="H197" s="973"/>
      <c r="L197" s="922"/>
      <c r="M197" s="974" t="str">
        <f t="shared" si="2"/>
        <v/>
      </c>
      <c r="N197" s="779">
        <f>IFERROR(VLOOKUP(F197,Ch7_Storage,2, FALSE),0)</f>
        <v>0</v>
      </c>
    </row>
    <row r="198" ht="18.75" customHeight="1">
      <c r="A198" s="504">
        <f>IFERROR(VLOOKUP(H198,PartyStorage,2, FALSE),0)</f>
        <v>0</v>
      </c>
      <c r="B198" s="985"/>
      <c r="C198" s="977"/>
      <c r="D198" s="977"/>
      <c r="E198" s="977"/>
      <c r="F198" s="978"/>
      <c r="G198" s="986"/>
      <c r="H198" s="980"/>
      <c r="L198" s="930"/>
      <c r="M198" s="981" t="str">
        <f t="shared" si="2"/>
        <v/>
      </c>
      <c r="N198" s="779">
        <f>IFERROR(VLOOKUP(F198,Ch7_Storage,2, FALSE),0)</f>
        <v>0</v>
      </c>
    </row>
    <row r="199" ht="18.75" customHeight="1">
      <c r="A199" s="504">
        <f>IFERROR(VLOOKUP(H199,PartyStorage,2, FALSE),0)</f>
        <v>0</v>
      </c>
      <c r="B199" s="982"/>
      <c r="C199" s="983"/>
      <c r="D199" s="983"/>
      <c r="E199" s="983"/>
      <c r="F199" s="987"/>
      <c r="G199" s="984"/>
      <c r="H199" s="973"/>
      <c r="L199" s="922"/>
      <c r="M199" s="974" t="str">
        <f t="shared" si="2"/>
        <v/>
      </c>
      <c r="N199" s="779">
        <f>IFERROR(VLOOKUP(F199,Ch7_Storage,2, FALSE),0)</f>
        <v>0</v>
      </c>
    </row>
    <row r="200" ht="18.75" customHeight="1">
      <c r="A200" s="504">
        <f>IFERROR(VLOOKUP(H200,PartyStorage,2, FALSE),0)</f>
        <v>0</v>
      </c>
      <c r="B200" s="985"/>
      <c r="C200" s="977"/>
      <c r="D200" s="977"/>
      <c r="E200" s="977"/>
      <c r="F200" s="978"/>
      <c r="G200" s="986"/>
      <c r="H200" s="980"/>
      <c r="L200" s="930"/>
      <c r="M200" s="981" t="str">
        <f t="shared" si="2"/>
        <v/>
      </c>
      <c r="N200" s="779">
        <f>IFERROR(VLOOKUP(F200,Ch7_Storage,2, FALSE),0)</f>
        <v>0</v>
      </c>
    </row>
    <row r="201" ht="18.75" customHeight="1">
      <c r="A201" s="504">
        <f>IFERROR(VLOOKUP(H201,PartyStorage,2, FALSE),0)</f>
        <v>0</v>
      </c>
      <c r="B201" s="982"/>
      <c r="C201" s="983"/>
      <c r="D201" s="983"/>
      <c r="E201" s="983"/>
      <c r="F201" s="987"/>
      <c r="G201" s="984"/>
      <c r="H201" s="973"/>
      <c r="L201" s="922"/>
      <c r="M201" s="974" t="str">
        <f t="shared" si="2"/>
        <v/>
      </c>
      <c r="N201" s="779">
        <f>IFERROR(VLOOKUP(F201,Ch7_Storage,2, FALSE),0)</f>
        <v>0</v>
      </c>
    </row>
    <row r="202" ht="18.75" customHeight="1">
      <c r="A202" s="504">
        <f>IFERROR(VLOOKUP(H202,PartyStorage,2, FALSE),0)</f>
        <v>0</v>
      </c>
      <c r="B202" s="985"/>
      <c r="C202" s="977"/>
      <c r="D202" s="977"/>
      <c r="E202" s="977"/>
      <c r="F202" s="978"/>
      <c r="G202" s="986"/>
      <c r="H202" s="980"/>
      <c r="L202" s="930"/>
      <c r="M202" s="981" t="str">
        <f t="shared" si="2"/>
        <v/>
      </c>
      <c r="N202" s="779">
        <f>IFERROR(VLOOKUP(F202,Ch7_Storage,2, FALSE),0)</f>
        <v>0</v>
      </c>
    </row>
    <row r="203" ht="18.75" customHeight="1">
      <c r="A203" s="504">
        <f>IFERROR(VLOOKUP(H203,PartyStorage,2, FALSE),0)</f>
        <v>0</v>
      </c>
      <c r="B203" s="982"/>
      <c r="C203" s="983"/>
      <c r="D203" s="983"/>
      <c r="E203" s="983"/>
      <c r="F203" s="987"/>
      <c r="G203" s="984"/>
      <c r="H203" s="973"/>
      <c r="L203" s="922"/>
      <c r="M203" s="974" t="str">
        <f t="shared" si="2"/>
        <v/>
      </c>
      <c r="N203" s="779">
        <f>IFERROR(VLOOKUP(F203,Ch7_Storage,2, FALSE),0)</f>
        <v>0</v>
      </c>
    </row>
    <row r="204" ht="18.75" customHeight="1">
      <c r="A204" s="504">
        <f>IFERROR(VLOOKUP(H204,PartyStorage,2, FALSE),0)</f>
        <v>0</v>
      </c>
      <c r="B204" s="985"/>
      <c r="C204" s="977"/>
      <c r="D204" s="977"/>
      <c r="E204" s="977"/>
      <c r="F204" s="978"/>
      <c r="G204" s="986"/>
      <c r="H204" s="980"/>
      <c r="L204" s="930"/>
      <c r="M204" s="981" t="str">
        <f t="shared" si="2"/>
        <v/>
      </c>
      <c r="N204" s="779">
        <f>IFERROR(VLOOKUP(F204,Ch7_Storage,2, FALSE),0)</f>
        <v>0</v>
      </c>
    </row>
    <row r="205" ht="18.75" customHeight="1">
      <c r="A205" s="504">
        <f>IFERROR(VLOOKUP(H205,PartyStorage,2, FALSE),0)</f>
        <v>0</v>
      </c>
      <c r="B205" s="982"/>
      <c r="C205" s="983"/>
      <c r="D205" s="983"/>
      <c r="E205" s="983"/>
      <c r="F205" s="987"/>
      <c r="G205" s="984"/>
      <c r="H205" s="973"/>
      <c r="L205" s="922"/>
      <c r="M205" s="974" t="str">
        <f t="shared" si="2"/>
        <v/>
      </c>
      <c r="N205" s="779">
        <f>IFERROR(VLOOKUP(F205,Ch7_Storage,2, FALSE),0)</f>
        <v>0</v>
      </c>
    </row>
    <row r="206" ht="18.75" customHeight="1">
      <c r="A206" s="504">
        <f>IFERROR(VLOOKUP(H206,PartyStorage,2, FALSE),0)</f>
        <v>0</v>
      </c>
      <c r="B206" s="985"/>
      <c r="C206" s="977"/>
      <c r="D206" s="977"/>
      <c r="E206" s="977"/>
      <c r="F206" s="978"/>
      <c r="G206" s="986"/>
      <c r="H206" s="980"/>
      <c r="L206" s="930"/>
      <c r="M206" s="981" t="str">
        <f t="shared" si="2"/>
        <v/>
      </c>
      <c r="N206" s="779">
        <f>IFERROR(VLOOKUP(F206,Ch7_Storage,2, FALSE),0)</f>
        <v>0</v>
      </c>
    </row>
    <row r="207" ht="18.75" customHeight="1">
      <c r="A207" s="504">
        <f>IFERROR(VLOOKUP(H207,PartyStorage,2, FALSE),0)</f>
        <v>0</v>
      </c>
      <c r="B207" s="982"/>
      <c r="C207" s="983"/>
      <c r="D207" s="983"/>
      <c r="E207" s="983"/>
      <c r="F207" s="987"/>
      <c r="G207" s="984"/>
      <c r="H207" s="973"/>
      <c r="L207" s="922"/>
      <c r="M207" s="974" t="str">
        <f t="shared" si="2"/>
        <v/>
      </c>
      <c r="N207" s="779">
        <f>IFERROR(VLOOKUP(F207,Ch7_Storage,2, FALSE),0)</f>
        <v>0</v>
      </c>
    </row>
    <row r="208" ht="18.75" customHeight="1">
      <c r="A208" s="504">
        <f>IFERROR(VLOOKUP(H208,PartyStorage,2, FALSE),0)</f>
        <v>0</v>
      </c>
      <c r="B208" s="1130"/>
      <c r="C208" s="1132"/>
      <c r="D208" s="1132"/>
      <c r="E208" s="1132"/>
      <c r="F208" s="1133"/>
      <c r="G208" s="1135"/>
      <c r="H208" s="1136"/>
      <c r="I208" s="1138"/>
      <c r="J208" s="1138"/>
      <c r="K208" s="1138"/>
      <c r="L208" s="1139"/>
      <c r="M208" s="1140" t="str">
        <f t="shared" si="2"/>
        <v/>
      </c>
      <c r="N208" s="779">
        <f>IFERROR(VLOOKUP(F208,Ch7_Storage,2, FALSE),0)</f>
        <v>0</v>
      </c>
    </row>
    <row r="209" ht="7.5" customHeight="1">
      <c r="A209" s="513"/>
      <c r="B209" s="42"/>
      <c r="C209" s="42"/>
      <c r="D209" s="42"/>
      <c r="E209" s="42"/>
      <c r="F209" s="42"/>
      <c r="G209" s="42"/>
      <c r="H209" s="42"/>
      <c r="I209" s="42"/>
      <c r="J209" s="42"/>
      <c r="K209" s="42"/>
      <c r="L209" s="42"/>
      <c r="M209" s="42"/>
      <c r="N209" s="779"/>
    </row>
  </sheetData>
  <mergeCells count="197">
    <mergeCell ref="H36:L36"/>
    <mergeCell ref="H39:L39"/>
    <mergeCell ref="H37:L37"/>
    <mergeCell ref="H38:L38"/>
    <mergeCell ref="K4:L4"/>
    <mergeCell ref="K5:L5"/>
    <mergeCell ref="H75:L75"/>
    <mergeCell ref="H72:L72"/>
    <mergeCell ref="H73:L73"/>
    <mergeCell ref="H68:L68"/>
    <mergeCell ref="H71:L71"/>
    <mergeCell ref="H66:L66"/>
    <mergeCell ref="H67:L67"/>
    <mergeCell ref="H27:L27"/>
    <mergeCell ref="H28:L28"/>
    <mergeCell ref="H29:L29"/>
    <mergeCell ref="H26:L26"/>
    <mergeCell ref="H50:L50"/>
    <mergeCell ref="H46:L46"/>
    <mergeCell ref="H47:L47"/>
    <mergeCell ref="H48:L48"/>
    <mergeCell ref="H49:L49"/>
    <mergeCell ref="H51:L51"/>
    <mergeCell ref="H52:L52"/>
    <mergeCell ref="H53:L53"/>
    <mergeCell ref="H54:L54"/>
    <mergeCell ref="H55:L55"/>
    <mergeCell ref="H57:L57"/>
    <mergeCell ref="H58:L58"/>
    <mergeCell ref="H64:L64"/>
    <mergeCell ref="H65:L65"/>
    <mergeCell ref="H74:L74"/>
    <mergeCell ref="H69:L69"/>
    <mergeCell ref="H70:L70"/>
    <mergeCell ref="H59:L59"/>
    <mergeCell ref="H77:L77"/>
    <mergeCell ref="H60:L60"/>
    <mergeCell ref="H61:L61"/>
    <mergeCell ref="H76:L76"/>
    <mergeCell ref="H101:L101"/>
    <mergeCell ref="H102:L102"/>
    <mergeCell ref="H82:L82"/>
    <mergeCell ref="H83:L83"/>
    <mergeCell ref="H97:L97"/>
    <mergeCell ref="H95:L95"/>
    <mergeCell ref="H80:L80"/>
    <mergeCell ref="H84:L84"/>
    <mergeCell ref="H85:L85"/>
    <mergeCell ref="H86:L86"/>
    <mergeCell ref="H88:L88"/>
    <mergeCell ref="H90:L90"/>
    <mergeCell ref="H110:L110"/>
    <mergeCell ref="H107:L107"/>
    <mergeCell ref="H78:L78"/>
    <mergeCell ref="H79:L79"/>
    <mergeCell ref="H105:L105"/>
    <mergeCell ref="H106:L106"/>
    <mergeCell ref="H98:L98"/>
    <mergeCell ref="B7:C7"/>
    <mergeCell ref="B6:C6"/>
    <mergeCell ref="B4:C4"/>
    <mergeCell ref="B5:C5"/>
    <mergeCell ref="E2:F7"/>
    <mergeCell ref="B2:C2"/>
    <mergeCell ref="K2:M2"/>
    <mergeCell ref="B3:C3"/>
    <mergeCell ref="I2:J7"/>
    <mergeCell ref="H43:L43"/>
    <mergeCell ref="H44:L44"/>
    <mergeCell ref="H40:L40"/>
    <mergeCell ref="H41:L41"/>
    <mergeCell ref="H42:L42"/>
    <mergeCell ref="H45:L45"/>
    <mergeCell ref="H62:L62"/>
    <mergeCell ref="H63:L63"/>
    <mergeCell ref="H108:L108"/>
    <mergeCell ref="H109:L109"/>
    <mergeCell ref="H99:L99"/>
    <mergeCell ref="H103:L103"/>
    <mergeCell ref="H100:L100"/>
    <mergeCell ref="H104:L104"/>
    <mergeCell ref="H111:L111"/>
    <mergeCell ref="H127:L127"/>
    <mergeCell ref="H126:L126"/>
    <mergeCell ref="H94:L94"/>
    <mergeCell ref="H96:L96"/>
    <mergeCell ref="H91:L91"/>
    <mergeCell ref="H92:L92"/>
    <mergeCell ref="H112:L112"/>
    <mergeCell ref="H113:L113"/>
    <mergeCell ref="H116:L116"/>
    <mergeCell ref="H117:L117"/>
    <mergeCell ref="H165:L165"/>
    <mergeCell ref="H166:L166"/>
    <mergeCell ref="H168:L168"/>
    <mergeCell ref="H167:L167"/>
    <mergeCell ref="H155:L155"/>
    <mergeCell ref="H156:L156"/>
    <mergeCell ref="H157:L157"/>
    <mergeCell ref="H158:L158"/>
    <mergeCell ref="H159:L159"/>
    <mergeCell ref="H160:L160"/>
    <mergeCell ref="H161:L161"/>
    <mergeCell ref="H162:L162"/>
    <mergeCell ref="H143:L143"/>
    <mergeCell ref="H142:L142"/>
    <mergeCell ref="H153:L153"/>
    <mergeCell ref="H154:L154"/>
    <mergeCell ref="H152:L152"/>
    <mergeCell ref="H163:L163"/>
    <mergeCell ref="H164:L164"/>
    <mergeCell ref="H144:L144"/>
    <mergeCell ref="H176:L176"/>
    <mergeCell ref="H175:L175"/>
    <mergeCell ref="H173:L173"/>
    <mergeCell ref="H181:L181"/>
    <mergeCell ref="H182:L182"/>
    <mergeCell ref="H177:L177"/>
    <mergeCell ref="H178:L178"/>
    <mergeCell ref="H183:L183"/>
    <mergeCell ref="H174:L174"/>
    <mergeCell ref="H179:L179"/>
    <mergeCell ref="H180:L180"/>
    <mergeCell ref="H201:L201"/>
    <mergeCell ref="H202:L202"/>
    <mergeCell ref="H204:L204"/>
    <mergeCell ref="H203:L203"/>
    <mergeCell ref="H200:L200"/>
    <mergeCell ref="H205:L205"/>
    <mergeCell ref="H206:L206"/>
    <mergeCell ref="H207:L207"/>
    <mergeCell ref="H208:L208"/>
    <mergeCell ref="H193:L193"/>
    <mergeCell ref="H194:L194"/>
    <mergeCell ref="H197:L197"/>
    <mergeCell ref="H196:L196"/>
    <mergeCell ref="H195:L195"/>
    <mergeCell ref="H198:L198"/>
    <mergeCell ref="H199:L199"/>
    <mergeCell ref="H187:L187"/>
    <mergeCell ref="H186:L186"/>
    <mergeCell ref="H188:L188"/>
    <mergeCell ref="H189:L189"/>
    <mergeCell ref="H190:L190"/>
    <mergeCell ref="H191:L191"/>
    <mergeCell ref="H192:L192"/>
    <mergeCell ref="H184:L184"/>
    <mergeCell ref="H185:L185"/>
    <mergeCell ref="H172:L172"/>
    <mergeCell ref="H170:L170"/>
    <mergeCell ref="H171:L171"/>
    <mergeCell ref="H169:L169"/>
    <mergeCell ref="H128:L128"/>
    <mergeCell ref="H131:L131"/>
    <mergeCell ref="H129:L129"/>
    <mergeCell ref="H130:L130"/>
    <mergeCell ref="H138:L138"/>
    <mergeCell ref="H139:L139"/>
    <mergeCell ref="H140:L140"/>
    <mergeCell ref="H141:L141"/>
    <mergeCell ref="H150:L150"/>
    <mergeCell ref="H149:L149"/>
    <mergeCell ref="H151:L151"/>
    <mergeCell ref="H121:L121"/>
    <mergeCell ref="H148:L148"/>
    <mergeCell ref="H145:L145"/>
    <mergeCell ref="H132:L132"/>
    <mergeCell ref="H93:L93"/>
    <mergeCell ref="H115:L115"/>
    <mergeCell ref="H114:L114"/>
    <mergeCell ref="H119:L119"/>
    <mergeCell ref="H120:L120"/>
    <mergeCell ref="H146:L146"/>
    <mergeCell ref="H147:L147"/>
    <mergeCell ref="H81:L81"/>
    <mergeCell ref="H87:L87"/>
    <mergeCell ref="H89:L89"/>
    <mergeCell ref="H122:L122"/>
    <mergeCell ref="H123:L123"/>
    <mergeCell ref="H133:L133"/>
    <mergeCell ref="H134:L134"/>
    <mergeCell ref="H137:L137"/>
    <mergeCell ref="H135:L135"/>
    <mergeCell ref="H136:L136"/>
    <mergeCell ref="H30:L30"/>
    <mergeCell ref="H35:L35"/>
    <mergeCell ref="H31:L31"/>
    <mergeCell ref="H32:L32"/>
    <mergeCell ref="H33:L33"/>
    <mergeCell ref="H34:L34"/>
    <mergeCell ref="K7:L7"/>
    <mergeCell ref="K6:L6"/>
    <mergeCell ref="H118:L118"/>
    <mergeCell ref="H124:L124"/>
    <mergeCell ref="H125:L125"/>
    <mergeCell ref="K3:L3"/>
    <mergeCell ref="H56:L56"/>
  </mergeCells>
  <conditionalFormatting sqref="F27:F208">
    <cfRule type="expression" dxfId="0" priority="1">
      <formula>AND(AND(NOT(ISBLANK(C27)), ISBLANK(F27)), ISBLANK(H27))</formula>
    </cfRule>
  </conditionalFormatting>
  <conditionalFormatting sqref="F27:F208">
    <cfRule type="expression" dxfId="0" priority="2">
      <formula>AND(AND(NOT(ISBLANK(C27)), ISBLANK(F27)), ISBLANK(G27))</formula>
    </cfRule>
  </conditionalFormatting>
  <conditionalFormatting sqref="K2:M2">
    <cfRule type="expression" dxfId="33" priority="3">
      <formula>IF($N$2="",true,false)</formula>
    </cfRule>
  </conditionalFormatting>
  <conditionalFormatting sqref="K3:M7">
    <cfRule type="expression" dxfId="34" priority="4">
      <formula>IF($N$2="",true,false)</formula>
    </cfRule>
  </conditionalFormatting>
  <dataValidations>
    <dataValidation type="list" allowBlank="1" showInputMessage="1" showErrorMessage="1" prompt="Every item must have a storage location." sqref="F27:F208">
      <formula1>PartyStorage</formula1>
    </dataValidation>
    <dataValidation type="list" allowBlank="1" sqref="G27:G208">
      <formula1>"Mundane,Magic,Attunement"</formula1>
    </dataValidation>
  </dataValidations>
  <hyperlinks>
    <hyperlink r:id="rId2" ref="E1"/>
    <hyperlink r:id="rId3" ref="I1"/>
  </hyperlinks>
  <drawing r:id="rId4"/>
  <legacyDrawing r:id="rId5"/>
  <tableParts count="4">
    <tablePart r:id="rId10"/>
    <tablePart r:id="rId11"/>
    <tablePart r:id="rId12"/>
    <tablePart r:id="rId1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74EA7"/>
  </sheetPr>
  <sheetViews>
    <sheetView showGridLines="0" workbookViewId="0"/>
  </sheetViews>
  <sheetFormatPr customHeight="1" defaultColWidth="14.43" defaultRowHeight="15.75"/>
  <cols>
    <col customWidth="1" min="1" max="1" width="1.57"/>
    <col customWidth="1" min="2" max="2" width="5.86"/>
    <col customWidth="1" min="3" max="3" width="21.57"/>
    <col customWidth="1" min="4" max="13" width="15.86"/>
    <col customWidth="1" min="14" max="14" width="1.57"/>
    <col hidden="1" min="15" max="28" width="14.43"/>
  </cols>
  <sheetData>
    <row r="1" ht="7.5" customHeight="1">
      <c r="A1" s="35" t="str">
        <f>Ch8_Name&amp;"'s Inventory"</f>
        <v>Character 8's Inventory</v>
      </c>
      <c r="B1" s="172"/>
      <c r="C1" s="174"/>
      <c r="D1" s="174"/>
      <c r="E1" s="4" t="s">
        <v>52</v>
      </c>
      <c r="F1" s="174"/>
      <c r="G1" s="176"/>
      <c r="H1" s="176"/>
      <c r="I1" s="179" t="s">
        <v>53</v>
      </c>
      <c r="J1" s="181"/>
      <c r="K1" s="176"/>
      <c r="L1" s="176"/>
      <c r="M1" s="176"/>
      <c r="N1" s="176"/>
      <c r="O1" s="176"/>
      <c r="P1" s="176"/>
      <c r="Q1" s="176"/>
      <c r="R1" s="176"/>
      <c r="S1" s="176"/>
      <c r="T1" s="176"/>
      <c r="U1" s="176"/>
      <c r="V1" s="176"/>
      <c r="W1" s="176"/>
      <c r="X1" s="176"/>
      <c r="Y1" s="176"/>
      <c r="Z1" s="176"/>
      <c r="AA1" s="176"/>
      <c r="AB1" s="176"/>
    </row>
    <row r="2" ht="18.75" customHeight="1">
      <c r="A2" s="614">
        <f>IF(ISBLANK(Ch8_Size),"",VLOOKUP(Ch8_Size,SizeMultipliers,2, FALSE))</f>
        <v>1</v>
      </c>
      <c r="B2" s="997" t="s">
        <v>56</v>
      </c>
      <c r="C2" s="998"/>
      <c r="D2" s="999"/>
      <c r="E2" s="537" t="str">
        <f>IMAGE(E1,1)</f>
        <v/>
      </c>
      <c r="G2" s="1000" t="s">
        <v>57</v>
      </c>
      <c r="H2" s="1001"/>
      <c r="I2" s="194" t="str">
        <f>IMAGE(I1,1)</f>
        <v/>
      </c>
      <c r="K2" s="997" t="str">
        <f>IF(ISBLANK(Ch8_MountName),"Mount",Ch8_MountName)&amp;"'s Encumbrance"</f>
        <v>Mount's Encumbrance</v>
      </c>
      <c r="L2" s="402"/>
      <c r="M2" s="1002"/>
      <c r="N2" s="577" t="str">
        <f>IF(ISBLANK(Ch8_MountSize),"",VLOOKUP(Ch8_MountSize,SizeMultipliers,2, FALSE))</f>
        <v/>
      </c>
    </row>
    <row r="3" ht="18.75" customHeight="1">
      <c r="A3" s="48"/>
      <c r="B3" s="201" t="s">
        <v>60</v>
      </c>
      <c r="C3" s="1003"/>
      <c r="D3" s="1004">
        <f>Ch8_Str*Ch8_SizeMultiplier*5</f>
        <v>50</v>
      </c>
      <c r="G3" s="1005" t="s">
        <v>61</v>
      </c>
      <c r="H3" s="1006">
        <v>0.0</v>
      </c>
      <c r="K3" s="210" t="s">
        <v>60</v>
      </c>
      <c r="L3" s="1003"/>
      <c r="M3" s="1004">
        <f>Ch8_MountStr*Ch8_MountSizeMult*5</f>
        <v>0</v>
      </c>
      <c r="N3" s="779"/>
    </row>
    <row r="4" ht="18.75" customHeight="1">
      <c r="A4" s="48"/>
      <c r="B4" s="1007" t="s">
        <v>64</v>
      </c>
      <c r="C4" s="1008"/>
      <c r="D4" s="1009">
        <f>Ch8_Str*Ch8_SizeMultiplier*10</f>
        <v>100</v>
      </c>
      <c r="G4" s="1010" t="s">
        <v>65</v>
      </c>
      <c r="H4" s="1006">
        <f>(VLOOKUP(ADD(Ch8_Level,1),XPTable_v,2))-Ch8_XP</f>
        <v>300</v>
      </c>
      <c r="K4" s="1011" t="s">
        <v>64</v>
      </c>
      <c r="L4" s="1008"/>
      <c r="M4" s="1009">
        <f>Ch8_MountStr*Ch8_MountSizeMult*10</f>
        <v>0</v>
      </c>
      <c r="N4" s="779"/>
    </row>
    <row r="5" ht="18.75" customHeight="1">
      <c r="A5" s="48"/>
      <c r="B5" s="201" t="s">
        <v>7</v>
      </c>
      <c r="C5" s="1003"/>
      <c r="D5" s="1004">
        <f>Ch8_Str*Ch8_SizeMultiplier*15</f>
        <v>150</v>
      </c>
      <c r="G5" s="1012" t="s">
        <v>67</v>
      </c>
      <c r="H5" s="1013">
        <f>MATCH(Ch8_XP,XPTable_m,2)</f>
        <v>1</v>
      </c>
      <c r="K5" s="210" t="s">
        <v>7</v>
      </c>
      <c r="L5" s="1003"/>
      <c r="M5" s="1004">
        <f>Ch8_MountStr*Ch8_MountSizeMult*15</f>
        <v>0</v>
      </c>
      <c r="N5" s="779"/>
    </row>
    <row r="6" ht="18.75" customHeight="1">
      <c r="A6" s="48"/>
      <c r="B6" s="1007" t="s">
        <v>68</v>
      </c>
      <c r="C6" s="1008"/>
      <c r="D6" s="1009">
        <f>Ch8_Str*Ch8_SizeMultiplier*30</f>
        <v>300</v>
      </c>
      <c r="G6" s="29"/>
      <c r="H6" s="29"/>
      <c r="K6" s="1011" t="s">
        <v>68</v>
      </c>
      <c r="L6" s="1008"/>
      <c r="M6" s="1009">
        <f>Ch8_MountStr*Ch8_MountSizeMult*30</f>
        <v>0</v>
      </c>
      <c r="N6" s="779"/>
    </row>
    <row r="7" ht="18.75" customHeight="1">
      <c r="A7" s="48"/>
      <c r="B7" s="234" t="s">
        <v>45</v>
      </c>
      <c r="C7" s="1014"/>
      <c r="D7" s="1015">
        <f t="array" ref="D7">SUMIF(Ch8_EquipStatus,"=yes",Ch8_InventoryWeights)</f>
        <v>0</v>
      </c>
      <c r="G7" s="29"/>
      <c r="H7" s="29"/>
      <c r="K7" s="240" t="s">
        <v>45</v>
      </c>
      <c r="L7" s="1014"/>
      <c r="M7" s="1016">
        <f t="array" ref="M7">SUMIF(Ch8_EquipStatus,"=mount",Ch8_InventoryWeights)++Ch8_Weight+D7</f>
        <v>0</v>
      </c>
      <c r="N7" s="779"/>
    </row>
    <row r="8" ht="7.5" customHeight="1">
      <c r="A8" s="48"/>
      <c r="B8" s="255"/>
      <c r="C8" s="257"/>
      <c r="D8" s="258"/>
      <c r="E8" s="257"/>
      <c r="F8" s="257"/>
      <c r="G8" s="257"/>
      <c r="H8" s="257"/>
      <c r="I8" s="259"/>
      <c r="J8" s="261"/>
      <c r="K8" s="261"/>
      <c r="L8" s="261"/>
      <c r="M8" s="261"/>
      <c r="N8" s="779"/>
    </row>
    <row r="9" ht="18.75" customHeight="1">
      <c r="A9" s="48"/>
      <c r="B9" s="1017" t="s">
        <v>16</v>
      </c>
      <c r="C9" s="1018"/>
      <c r="D9" s="1019" t="s">
        <v>17</v>
      </c>
      <c r="E9" s="1020"/>
      <c r="F9" s="1020"/>
      <c r="G9" s="1020"/>
      <c r="H9" s="1020"/>
      <c r="I9" s="1021"/>
      <c r="J9" s="1022"/>
      <c r="K9" s="1022"/>
      <c r="L9" s="1022"/>
      <c r="M9" s="1023"/>
      <c r="N9" s="779"/>
    </row>
    <row r="10" ht="18.75" customHeight="1">
      <c r="A10" s="48"/>
      <c r="B10" s="1024" t="s">
        <v>23</v>
      </c>
      <c r="C10" s="1025" t="s">
        <v>10</v>
      </c>
      <c r="D10" s="1025" t="s">
        <v>24</v>
      </c>
      <c r="E10" s="1025" t="s">
        <v>25</v>
      </c>
      <c r="F10" s="1025" t="s">
        <v>26</v>
      </c>
      <c r="G10" s="1025" t="s">
        <v>27</v>
      </c>
      <c r="H10" s="1025" t="s">
        <v>28</v>
      </c>
      <c r="I10" s="1025" t="s">
        <v>29</v>
      </c>
      <c r="J10" s="1025" t="s">
        <v>30</v>
      </c>
      <c r="K10" s="1025" t="s">
        <v>31</v>
      </c>
      <c r="L10" s="1025" t="s">
        <v>32</v>
      </c>
      <c r="M10" s="1026" t="s">
        <v>33</v>
      </c>
      <c r="N10" s="71"/>
    </row>
    <row r="11" ht="18.75" customHeight="1">
      <c r="A11" s="48"/>
      <c r="B11" s="566">
        <v>0.0</v>
      </c>
      <c r="C11" s="1027" t="s">
        <v>36</v>
      </c>
      <c r="D11" s="1028">
        <f>B11</f>
        <v>0</v>
      </c>
      <c r="E11" s="1028">
        <f>B11/10</f>
        <v>0</v>
      </c>
      <c r="F11" s="1028">
        <f>B11/50</f>
        <v>0</v>
      </c>
      <c r="G11" s="1028">
        <f>B11/100</f>
        <v>0</v>
      </c>
      <c r="H11" s="1028">
        <f>B11/1000</f>
        <v>0</v>
      </c>
      <c r="I11" s="1029">
        <f>B11/5000</f>
        <v>0</v>
      </c>
      <c r="J11" s="1030">
        <f>B11/10000</f>
        <v>0</v>
      </c>
      <c r="K11" s="1030">
        <f>B11/50000</f>
        <v>0</v>
      </c>
      <c r="L11" s="1030">
        <f>B11/100000</f>
        <v>0</v>
      </c>
      <c r="M11" s="1031">
        <f>B11/500000</f>
        <v>0</v>
      </c>
      <c r="N11" s="779"/>
    </row>
    <row r="12" ht="18.75" customHeight="1">
      <c r="A12" s="48"/>
      <c r="B12" s="566">
        <v>0.0</v>
      </c>
      <c r="C12" s="1027" t="s">
        <v>50</v>
      </c>
      <c r="D12" s="1028">
        <f>B12*10</f>
        <v>0</v>
      </c>
      <c r="E12" s="1028">
        <f>B12</f>
        <v>0</v>
      </c>
      <c r="F12" s="1028">
        <f>B12/5</f>
        <v>0</v>
      </c>
      <c r="G12" s="1028">
        <f>B12/10</f>
        <v>0</v>
      </c>
      <c r="H12" s="1028">
        <f>B12/100</f>
        <v>0</v>
      </c>
      <c r="I12" s="1028">
        <f>B12/500</f>
        <v>0</v>
      </c>
      <c r="J12" s="1028">
        <f>B12/1000</f>
        <v>0</v>
      </c>
      <c r="K12" s="1028">
        <f>B12/5000</f>
        <v>0</v>
      </c>
      <c r="L12" s="1028">
        <f>B12/10000</f>
        <v>0</v>
      </c>
      <c r="M12" s="1032">
        <f>B12/50000</f>
        <v>0</v>
      </c>
      <c r="N12" s="779"/>
    </row>
    <row r="13" ht="18.75" customHeight="1">
      <c r="A13" s="48"/>
      <c r="B13" s="566">
        <v>0.0</v>
      </c>
      <c r="C13" s="1027" t="s">
        <v>54</v>
      </c>
      <c r="D13" s="1028">
        <f>B13*50</f>
        <v>0</v>
      </c>
      <c r="E13" s="1028">
        <f>B13*5</f>
        <v>0</v>
      </c>
      <c r="F13" s="1028">
        <f>B13</f>
        <v>0</v>
      </c>
      <c r="G13" s="1028">
        <f>B13/2</f>
        <v>0</v>
      </c>
      <c r="H13" s="1028">
        <f>B13/20</f>
        <v>0</v>
      </c>
      <c r="I13" s="1028">
        <f>B13/100</f>
        <v>0</v>
      </c>
      <c r="J13" s="1030">
        <f>B13/200</f>
        <v>0</v>
      </c>
      <c r="K13" s="1030">
        <f>B13/1000</f>
        <v>0</v>
      </c>
      <c r="L13" s="1030">
        <f>B13/2000</f>
        <v>0</v>
      </c>
      <c r="M13" s="1031">
        <f>B13/10000</f>
        <v>0</v>
      </c>
      <c r="N13" s="779"/>
    </row>
    <row r="14" ht="18.75" customHeight="1">
      <c r="A14" s="48"/>
      <c r="B14" s="566">
        <v>0.0</v>
      </c>
      <c r="C14" s="1027" t="s">
        <v>59</v>
      </c>
      <c r="D14" s="1028">
        <f>B14*100</f>
        <v>0</v>
      </c>
      <c r="E14" s="1028">
        <f>B14*10</f>
        <v>0</v>
      </c>
      <c r="F14" s="1028">
        <f>B14*2</f>
        <v>0</v>
      </c>
      <c r="G14" s="1028">
        <f>B14</f>
        <v>0</v>
      </c>
      <c r="H14" s="1028">
        <f>B14/10</f>
        <v>0</v>
      </c>
      <c r="I14" s="1028">
        <f>B14/50</f>
        <v>0</v>
      </c>
      <c r="J14" s="1030">
        <f>B14/100</f>
        <v>0</v>
      </c>
      <c r="K14" s="1030">
        <f>B14/500</f>
        <v>0</v>
      </c>
      <c r="L14" s="1030">
        <f>B14/1000</f>
        <v>0</v>
      </c>
      <c r="M14" s="1031">
        <f>B14/5000</f>
        <v>0</v>
      </c>
      <c r="N14" s="779"/>
    </row>
    <row r="15" ht="18.75" customHeight="1">
      <c r="A15" s="48"/>
      <c r="B15" s="574">
        <v>0.0</v>
      </c>
      <c r="C15" s="1033" t="s">
        <v>63</v>
      </c>
      <c r="D15" s="1034">
        <f>B15*1000</f>
        <v>0</v>
      </c>
      <c r="E15" s="1034">
        <f>B15*100</f>
        <v>0</v>
      </c>
      <c r="F15" s="1034">
        <f>B15*20</f>
        <v>0</v>
      </c>
      <c r="G15" s="1034">
        <f>B15*10</f>
        <v>0</v>
      </c>
      <c r="H15" s="1034">
        <f>B15*1</f>
        <v>0</v>
      </c>
      <c r="I15" s="1034">
        <f>B15/5</f>
        <v>0</v>
      </c>
      <c r="J15" s="1035">
        <f>B15/10</f>
        <v>0</v>
      </c>
      <c r="K15" s="1035">
        <f>B15/50</f>
        <v>0</v>
      </c>
      <c r="L15" s="1035">
        <f>B15/100</f>
        <v>0</v>
      </c>
      <c r="M15" s="1036">
        <f>B15/500</f>
        <v>0</v>
      </c>
      <c r="N15" s="779"/>
    </row>
    <row r="16" ht="7.5" customHeight="1">
      <c r="A16" s="48"/>
      <c r="B16" s="265"/>
      <c r="C16" s="267"/>
      <c r="D16" s="267"/>
      <c r="E16" s="267"/>
      <c r="F16" s="267"/>
      <c r="G16" s="267"/>
      <c r="H16" s="267"/>
      <c r="I16" s="267"/>
      <c r="J16" s="269"/>
      <c r="K16" s="269"/>
      <c r="L16" s="269"/>
      <c r="M16" s="269"/>
      <c r="N16" s="812"/>
      <c r="O16" s="233"/>
      <c r="P16" s="233"/>
      <c r="Q16" s="233"/>
      <c r="R16" s="233"/>
      <c r="S16" s="233"/>
      <c r="T16" s="233"/>
      <c r="U16" s="233"/>
      <c r="V16" s="233"/>
      <c r="W16" s="233"/>
      <c r="X16" s="233"/>
      <c r="Y16" s="233"/>
      <c r="Z16" s="233"/>
      <c r="AA16" s="233"/>
      <c r="AB16" s="233"/>
    </row>
    <row r="17" ht="18.75" customHeight="1">
      <c r="A17" s="48"/>
      <c r="B17" s="1017" t="s">
        <v>69</v>
      </c>
      <c r="C17" s="1020"/>
      <c r="D17" s="1019" t="s">
        <v>17</v>
      </c>
      <c r="E17" s="1020"/>
      <c r="F17" s="1020"/>
      <c r="G17" s="1020"/>
      <c r="H17" s="1020"/>
      <c r="I17" s="1020"/>
      <c r="J17" s="1022"/>
      <c r="K17" s="1022"/>
      <c r="L17" s="1022"/>
      <c r="M17" s="1023"/>
      <c r="N17" s="779"/>
    </row>
    <row r="18" ht="18.75" customHeight="1">
      <c r="A18" s="48"/>
      <c r="B18" s="1024" t="s">
        <v>23</v>
      </c>
      <c r="C18" s="1025" t="s">
        <v>10</v>
      </c>
      <c r="D18" s="1025" t="s">
        <v>24</v>
      </c>
      <c r="E18" s="1025" t="s">
        <v>25</v>
      </c>
      <c r="F18" s="1025" t="s">
        <v>26</v>
      </c>
      <c r="G18" s="1025" t="s">
        <v>27</v>
      </c>
      <c r="H18" s="1025" t="s">
        <v>28</v>
      </c>
      <c r="I18" s="1025" t="s">
        <v>29</v>
      </c>
      <c r="J18" s="1025" t="s">
        <v>30</v>
      </c>
      <c r="K18" s="1025" t="s">
        <v>31</v>
      </c>
      <c r="L18" s="1025" t="s">
        <v>32</v>
      </c>
      <c r="M18" s="1026" t="s">
        <v>33</v>
      </c>
      <c r="N18" s="779"/>
    </row>
    <row r="19" ht="18.75" customHeight="1">
      <c r="A19" s="48"/>
      <c r="B19" s="1037">
        <v>0.0</v>
      </c>
      <c r="C19" s="1027" t="s">
        <v>70</v>
      </c>
      <c r="D19" s="1028">
        <f>B19*1000</f>
        <v>0</v>
      </c>
      <c r="E19" s="1028">
        <f>B19*100</f>
        <v>0</v>
      </c>
      <c r="F19" s="1028">
        <f>B19*20</f>
        <v>0</v>
      </c>
      <c r="G19" s="1028">
        <f>B19*10</f>
        <v>0</v>
      </c>
      <c r="H19" s="1028">
        <f>B19*1</f>
        <v>0</v>
      </c>
      <c r="I19" s="1028">
        <f>B19/5</f>
        <v>0</v>
      </c>
      <c r="J19" s="1030">
        <f>B19/10</f>
        <v>0</v>
      </c>
      <c r="K19" s="1030">
        <f>B19/50</f>
        <v>0</v>
      </c>
      <c r="L19" s="1030">
        <f>B19/100</f>
        <v>0</v>
      </c>
      <c r="M19" s="1031">
        <f>B19/500</f>
        <v>0</v>
      </c>
      <c r="N19" s="779"/>
    </row>
    <row r="20" ht="18.75" customHeight="1">
      <c r="A20" s="48"/>
      <c r="B20" s="1037">
        <v>0.0</v>
      </c>
      <c r="C20" s="1027" t="s">
        <v>71</v>
      </c>
      <c r="D20" s="1028">
        <f>B20*5000</f>
        <v>0</v>
      </c>
      <c r="E20" s="1028">
        <f>B20*500</f>
        <v>0</v>
      </c>
      <c r="F20" s="1028">
        <f>B20*100</f>
        <v>0</v>
      </c>
      <c r="G20" s="1028">
        <f>B20*50</f>
        <v>0</v>
      </c>
      <c r="H20" s="1028">
        <f>B20*5</f>
        <v>0</v>
      </c>
      <c r="I20" s="1028">
        <f>B20</f>
        <v>0</v>
      </c>
      <c r="J20" s="1030">
        <f>B20/2</f>
        <v>0</v>
      </c>
      <c r="K20" s="1030">
        <f>B20/10</f>
        <v>0</v>
      </c>
      <c r="L20" s="1030">
        <f>B20/20</f>
        <v>0</v>
      </c>
      <c r="M20" s="1031">
        <f>B20/100</f>
        <v>0</v>
      </c>
      <c r="N20" s="779"/>
    </row>
    <row r="21" ht="18.75" customHeight="1">
      <c r="A21" s="48"/>
      <c r="B21" s="1037">
        <v>0.0</v>
      </c>
      <c r="C21" s="1027" t="s">
        <v>72</v>
      </c>
      <c r="D21" s="1028">
        <f>B21*10000</f>
        <v>0</v>
      </c>
      <c r="E21" s="1028">
        <f>B21*1000</f>
        <v>0</v>
      </c>
      <c r="F21" s="1028">
        <f>B21*200</f>
        <v>0</v>
      </c>
      <c r="G21" s="1028">
        <f>B21*100</f>
        <v>0</v>
      </c>
      <c r="H21" s="1028">
        <f>B21*10</f>
        <v>0</v>
      </c>
      <c r="I21" s="1028">
        <f>B21/5*10</f>
        <v>0</v>
      </c>
      <c r="J21" s="1030">
        <f>B21</f>
        <v>0</v>
      </c>
      <c r="K21" s="1030">
        <f>B21/5</f>
        <v>0</v>
      </c>
      <c r="L21" s="1030">
        <f>B21/10</f>
        <v>0</v>
      </c>
      <c r="M21" s="1031">
        <f>B21/50</f>
        <v>0</v>
      </c>
      <c r="N21" s="779"/>
    </row>
    <row r="22" ht="18.75" customHeight="1">
      <c r="A22" s="48"/>
      <c r="B22" s="1037">
        <v>0.0</v>
      </c>
      <c r="C22" s="1027" t="s">
        <v>73</v>
      </c>
      <c r="D22" s="1028">
        <f>B22*50000</f>
        <v>0</v>
      </c>
      <c r="E22" s="1028">
        <f>B22*5000</f>
        <v>0</v>
      </c>
      <c r="F22" s="1028">
        <f>B22*1000</f>
        <v>0</v>
      </c>
      <c r="G22" s="1028">
        <f>B22*500</f>
        <v>0</v>
      </c>
      <c r="H22" s="1028">
        <f>B22*50</f>
        <v>0</v>
      </c>
      <c r="I22" s="1028">
        <f>B22*10</f>
        <v>0</v>
      </c>
      <c r="J22" s="1030">
        <f>B22/2*10</f>
        <v>0</v>
      </c>
      <c r="K22" s="1030">
        <f>B22</f>
        <v>0</v>
      </c>
      <c r="L22" s="1030">
        <f>B22/2</f>
        <v>0</v>
      </c>
      <c r="M22" s="1031">
        <f>B22/10</f>
        <v>0</v>
      </c>
      <c r="N22" s="779"/>
    </row>
    <row r="23" ht="18.75" customHeight="1">
      <c r="A23" s="48"/>
      <c r="B23" s="1037">
        <v>0.0</v>
      </c>
      <c r="C23" s="1027" t="s">
        <v>74</v>
      </c>
      <c r="D23" s="1028">
        <f>B23*100000</f>
        <v>0</v>
      </c>
      <c r="E23" s="1028">
        <f>B23*10000</f>
        <v>0</v>
      </c>
      <c r="F23" s="1028">
        <f>B23*2000</f>
        <v>0</v>
      </c>
      <c r="G23" s="1028">
        <f>B23*1000</f>
        <v>0</v>
      </c>
      <c r="H23" s="1028">
        <f>B23*100</f>
        <v>0</v>
      </c>
      <c r="I23" s="1028">
        <f>B23/5*100</f>
        <v>0</v>
      </c>
      <c r="J23" s="1030">
        <f>B23*10</f>
        <v>0</v>
      </c>
      <c r="K23" s="1030">
        <f>B23/5*10</f>
        <v>0</v>
      </c>
      <c r="L23" s="1030">
        <f>B23</f>
        <v>0</v>
      </c>
      <c r="M23" s="1031">
        <f>B23/5</f>
        <v>0</v>
      </c>
      <c r="N23" s="779"/>
    </row>
    <row r="24" ht="18.75" customHeight="1">
      <c r="A24" s="48"/>
      <c r="B24" s="1038">
        <v>0.0</v>
      </c>
      <c r="C24" s="1033" t="s">
        <v>75</v>
      </c>
      <c r="D24" s="1034">
        <f>B24*500000</f>
        <v>0</v>
      </c>
      <c r="E24" s="1034">
        <f>B24*50000</f>
        <v>0</v>
      </c>
      <c r="F24" s="1034">
        <f>B24*10000</f>
        <v>0</v>
      </c>
      <c r="G24" s="1034">
        <f>B24*5000</f>
        <v>0</v>
      </c>
      <c r="H24" s="1034">
        <f>B24*500</f>
        <v>0</v>
      </c>
      <c r="I24" s="1034">
        <f>B24*100</f>
        <v>0</v>
      </c>
      <c r="J24" s="1035">
        <f>B24/2*100</f>
        <v>0</v>
      </c>
      <c r="K24" s="1035">
        <f>B24*10</f>
        <v>0</v>
      </c>
      <c r="L24" s="1035">
        <f>B24/2*10</f>
        <v>0</v>
      </c>
      <c r="M24" s="1036">
        <f>B24</f>
        <v>0</v>
      </c>
      <c r="N24" s="779"/>
    </row>
    <row r="25" ht="7.5" customHeight="1">
      <c r="A25" s="48"/>
      <c r="B25" s="199"/>
      <c r="C25" s="19"/>
      <c r="D25" s="19"/>
      <c r="E25" s="19"/>
      <c r="F25" s="19"/>
      <c r="G25" s="19"/>
      <c r="H25" s="19"/>
      <c r="I25" s="19"/>
      <c r="J25" s="42"/>
      <c r="K25" s="42"/>
      <c r="L25" s="42"/>
      <c r="M25" s="42"/>
      <c r="N25" s="779"/>
    </row>
    <row r="26" ht="18.75" customHeight="1">
      <c r="A26" s="48"/>
      <c r="B26" s="1039" t="s">
        <v>23</v>
      </c>
      <c r="C26" s="1040" t="s">
        <v>76</v>
      </c>
      <c r="D26" s="1040" t="s">
        <v>77</v>
      </c>
      <c r="E26" s="1040" t="s">
        <v>78</v>
      </c>
      <c r="F26" s="1040" t="s">
        <v>11</v>
      </c>
      <c r="G26" s="1041" t="s">
        <v>79</v>
      </c>
      <c r="H26" s="1042" t="s">
        <v>80</v>
      </c>
      <c r="I26" s="402"/>
      <c r="J26" s="402"/>
      <c r="K26" s="402"/>
      <c r="L26" s="998"/>
      <c r="M26" s="1043" t="s">
        <v>81</v>
      </c>
      <c r="N26" s="819"/>
    </row>
    <row r="27" ht="18.75" customHeight="1">
      <c r="A27" s="716">
        <f>IFERROR(VLOOKUP(H27,PartyStorage,2, FALSE),0)</f>
        <v>0</v>
      </c>
      <c r="B27" s="1044">
        <f>sum(Ch8_Money)</f>
        <v>0</v>
      </c>
      <c r="C27" s="1045" t="s">
        <v>16</v>
      </c>
      <c r="D27" s="1045">
        <v>0.02</v>
      </c>
      <c r="E27" s="1045"/>
      <c r="F27" s="1046"/>
      <c r="G27" s="1047"/>
      <c r="H27" s="1048"/>
      <c r="L27" s="1003"/>
      <c r="M27" s="1049">
        <f t="shared" ref="M27:M28" si="1">IF(ISBLANK(C27),"",IF(ISBLANK(B27),D27,D27*B27))</f>
        <v>0</v>
      </c>
      <c r="N27" s="779">
        <f>IFERROR(VLOOKUP(F27,Ch8_Storage,2, FALSE),0)</f>
        <v>0</v>
      </c>
    </row>
    <row r="28" ht="18.75" customHeight="1">
      <c r="A28" s="716">
        <f>IFERROR(VLOOKUP(H28,PartyStorage,2, FALSE),0)</f>
        <v>0</v>
      </c>
      <c r="B28" s="1050">
        <f>sum(Ch8_Gems)</f>
        <v>0</v>
      </c>
      <c r="C28" s="1051" t="s">
        <v>69</v>
      </c>
      <c r="D28" s="1051">
        <v>0.02</v>
      </c>
      <c r="E28" s="1052"/>
      <c r="F28" s="1053"/>
      <c r="G28" s="1054"/>
      <c r="H28" s="1055"/>
      <c r="L28" s="1008"/>
      <c r="M28" s="1056">
        <f t="shared" si="1"/>
        <v>0</v>
      </c>
      <c r="N28" s="779">
        <f>IFERROR(VLOOKUP(F28,Ch8_Storage,2, FALSE),0)</f>
        <v>0</v>
      </c>
    </row>
    <row r="29" ht="18.75" customHeight="1">
      <c r="A29" s="716">
        <f>IFERROR(VLOOKUP(H29,PartyStorage,2, FALSE),0)</f>
        <v>0</v>
      </c>
      <c r="B29" s="1057"/>
      <c r="C29" s="1058"/>
      <c r="D29" s="1058"/>
      <c r="E29" s="1058"/>
      <c r="F29" s="1046"/>
      <c r="G29" s="1059"/>
      <c r="H29" s="1048"/>
      <c r="L29" s="1003"/>
      <c r="M29" s="1049"/>
      <c r="N29" s="779">
        <f>IFERROR(VLOOKUP(F29,Ch8_Storage,2, FALSE),0)</f>
        <v>0</v>
      </c>
    </row>
    <row r="30" ht="18.75" customHeight="1">
      <c r="A30" s="716">
        <f>IFERROR(VLOOKUP(H30,PartyStorage,2, FALSE),0)</f>
        <v>0</v>
      </c>
      <c r="B30" s="1060"/>
      <c r="C30" s="1052"/>
      <c r="D30" s="1052"/>
      <c r="E30" s="1052"/>
      <c r="F30" s="1053"/>
      <c r="G30" s="1061"/>
      <c r="H30" s="1055"/>
      <c r="L30" s="1008"/>
      <c r="M30" s="1056" t="str">
        <f t="shared" ref="M30:M208" si="2">IF(ISBLANK(C30),"",IF(ISBLANK(B30),D30,D30*B30))</f>
        <v/>
      </c>
      <c r="N30" s="779">
        <f>IFERROR(VLOOKUP(F30,Ch8_Storage,2, FALSE),0)</f>
        <v>0</v>
      </c>
    </row>
    <row r="31" ht="18.75" customHeight="1">
      <c r="A31" s="716">
        <f>IFERROR(VLOOKUP(H31,PartyStorage,2, FALSE),0)</f>
        <v>0</v>
      </c>
      <c r="B31" s="1057"/>
      <c r="C31" s="1058"/>
      <c r="D31" s="1058"/>
      <c r="E31" s="1058"/>
      <c r="F31" s="1062"/>
      <c r="G31" s="1059"/>
      <c r="H31" s="1048"/>
      <c r="L31" s="1003"/>
      <c r="M31" s="1049" t="str">
        <f t="shared" si="2"/>
        <v/>
      </c>
      <c r="N31" s="779">
        <f>IFERROR(VLOOKUP(F31,Ch8_Storage,2, FALSE),0)</f>
        <v>0</v>
      </c>
    </row>
    <row r="32" ht="18.75" customHeight="1">
      <c r="A32" s="716">
        <f>IFERROR(VLOOKUP(H32,PartyStorage,2, FALSE),0)</f>
        <v>0</v>
      </c>
      <c r="B32" s="1060"/>
      <c r="C32" s="1052"/>
      <c r="D32" s="1052"/>
      <c r="E32" s="1052"/>
      <c r="F32" s="1053"/>
      <c r="G32" s="1061"/>
      <c r="H32" s="1055"/>
      <c r="L32" s="1008"/>
      <c r="M32" s="1056" t="str">
        <f t="shared" si="2"/>
        <v/>
      </c>
      <c r="N32" s="779">
        <f>IFERROR(VLOOKUP(F32,Ch8_Storage,2, FALSE),0)</f>
        <v>0</v>
      </c>
    </row>
    <row r="33" ht="18.75" customHeight="1">
      <c r="A33" s="716">
        <f>IFERROR(VLOOKUP(H33,PartyStorage,2, FALSE),0)</f>
        <v>0</v>
      </c>
      <c r="B33" s="1057"/>
      <c r="C33" s="1058"/>
      <c r="D33" s="1058"/>
      <c r="E33" s="1058"/>
      <c r="F33" s="1062"/>
      <c r="G33" s="1059"/>
      <c r="H33" s="1048"/>
      <c r="L33" s="1003"/>
      <c r="M33" s="1049" t="str">
        <f t="shared" si="2"/>
        <v/>
      </c>
      <c r="N33" s="779">
        <f>IFERROR(VLOOKUP(F33,Ch8_Storage,2, FALSE),0)</f>
        <v>0</v>
      </c>
    </row>
    <row r="34" ht="18.75" customHeight="1">
      <c r="A34" s="716">
        <f>IFERROR(VLOOKUP(H34,PartyStorage,2, FALSE),0)</f>
        <v>0</v>
      </c>
      <c r="B34" s="1060"/>
      <c r="C34" s="1052"/>
      <c r="D34" s="1052"/>
      <c r="E34" s="1052"/>
      <c r="F34" s="1053"/>
      <c r="G34" s="1061"/>
      <c r="H34" s="1055"/>
      <c r="L34" s="1008"/>
      <c r="M34" s="1056" t="str">
        <f t="shared" si="2"/>
        <v/>
      </c>
      <c r="N34" s="779">
        <f>IFERROR(VLOOKUP(F34,Ch8_Storage,2, FALSE),0)</f>
        <v>0</v>
      </c>
    </row>
    <row r="35" ht="18.75" customHeight="1">
      <c r="A35" s="716">
        <f>IFERROR(VLOOKUP(H35,PartyStorage,2, FALSE),0)</f>
        <v>0</v>
      </c>
      <c r="B35" s="1057"/>
      <c r="C35" s="1058"/>
      <c r="D35" s="1058"/>
      <c r="E35" s="1058"/>
      <c r="F35" s="1062"/>
      <c r="G35" s="1059"/>
      <c r="H35" s="1048"/>
      <c r="L35" s="1003"/>
      <c r="M35" s="1049" t="str">
        <f t="shared" si="2"/>
        <v/>
      </c>
      <c r="N35" s="779">
        <f>IFERROR(VLOOKUP(F35,Ch8_Storage,2, FALSE),0)</f>
        <v>0</v>
      </c>
    </row>
    <row r="36" ht="18.75" customHeight="1">
      <c r="A36" s="716">
        <f>IFERROR(VLOOKUP(H36,PartyStorage,2, FALSE),0)</f>
        <v>0</v>
      </c>
      <c r="B36" s="1060"/>
      <c r="C36" s="1052"/>
      <c r="D36" s="1052"/>
      <c r="E36" s="1052"/>
      <c r="F36" s="1053"/>
      <c r="G36" s="1061"/>
      <c r="H36" s="1055"/>
      <c r="L36" s="1008"/>
      <c r="M36" s="1056" t="str">
        <f t="shared" si="2"/>
        <v/>
      </c>
      <c r="N36" s="779">
        <f>IFERROR(VLOOKUP(F36,Ch8_Storage,2, FALSE),0)</f>
        <v>0</v>
      </c>
    </row>
    <row r="37" ht="18.75" customHeight="1">
      <c r="A37" s="716">
        <f>IFERROR(VLOOKUP(H37,PartyStorage,2, FALSE),0)</f>
        <v>0</v>
      </c>
      <c r="B37" s="1057"/>
      <c r="C37" s="1058"/>
      <c r="D37" s="1058"/>
      <c r="E37" s="1058"/>
      <c r="F37" s="1062"/>
      <c r="G37" s="1059"/>
      <c r="H37" s="1048"/>
      <c r="L37" s="1003"/>
      <c r="M37" s="1049" t="str">
        <f t="shared" si="2"/>
        <v/>
      </c>
      <c r="N37" s="779">
        <f>IFERROR(VLOOKUP(F37,Ch8_Storage,2, FALSE),0)</f>
        <v>0</v>
      </c>
    </row>
    <row r="38" ht="18.75" customHeight="1">
      <c r="A38" s="716">
        <f>IFERROR(VLOOKUP(H38,PartyStorage,2, FALSE),0)</f>
        <v>0</v>
      </c>
      <c r="B38" s="1060"/>
      <c r="C38" s="1052"/>
      <c r="D38" s="1052"/>
      <c r="E38" s="1052"/>
      <c r="F38" s="1053"/>
      <c r="G38" s="1061"/>
      <c r="H38" s="1055"/>
      <c r="L38" s="1008"/>
      <c r="M38" s="1056" t="str">
        <f t="shared" si="2"/>
        <v/>
      </c>
      <c r="N38" s="779">
        <f>IFERROR(VLOOKUP(F38,Ch8_Storage,2, FALSE),0)</f>
        <v>0</v>
      </c>
    </row>
    <row r="39" ht="18.75" customHeight="1">
      <c r="A39" s="716">
        <f>IFERROR(VLOOKUP(H39,PartyStorage,2, FALSE),0)</f>
        <v>0</v>
      </c>
      <c r="B39" s="1057"/>
      <c r="C39" s="1058"/>
      <c r="D39" s="1058"/>
      <c r="E39" s="1058"/>
      <c r="F39" s="1062"/>
      <c r="G39" s="1059"/>
      <c r="H39" s="1048"/>
      <c r="L39" s="1003"/>
      <c r="M39" s="1049" t="str">
        <f t="shared" si="2"/>
        <v/>
      </c>
      <c r="N39" s="779">
        <f>IFERROR(VLOOKUP(F39,Ch8_Storage,2, FALSE),0)</f>
        <v>0</v>
      </c>
    </row>
    <row r="40" ht="18.75" customHeight="1">
      <c r="A40" s="716">
        <f>IFERROR(VLOOKUP(H40,PartyStorage,2, FALSE),0)</f>
        <v>0</v>
      </c>
      <c r="B40" s="1060"/>
      <c r="C40" s="1052"/>
      <c r="D40" s="1052"/>
      <c r="E40" s="1052"/>
      <c r="F40" s="1053"/>
      <c r="G40" s="1061"/>
      <c r="H40" s="1055"/>
      <c r="L40" s="1008"/>
      <c r="M40" s="1056" t="str">
        <f t="shared" si="2"/>
        <v/>
      </c>
      <c r="N40" s="779">
        <f>IFERROR(VLOOKUP(F40,Ch8_Storage,2, FALSE),0)</f>
        <v>0</v>
      </c>
    </row>
    <row r="41" ht="18.75" customHeight="1">
      <c r="A41" s="716">
        <f>IFERROR(VLOOKUP(H41,PartyStorage,2, FALSE),0)</f>
        <v>0</v>
      </c>
      <c r="B41" s="1057"/>
      <c r="C41" s="1058"/>
      <c r="D41" s="1058"/>
      <c r="E41" s="1058"/>
      <c r="F41" s="1062"/>
      <c r="G41" s="1059"/>
      <c r="H41" s="1048"/>
      <c r="L41" s="1003"/>
      <c r="M41" s="1049" t="str">
        <f t="shared" si="2"/>
        <v/>
      </c>
      <c r="N41" s="779">
        <f>IFERROR(VLOOKUP(F41,Ch8_Storage,2, FALSE),0)</f>
        <v>0</v>
      </c>
    </row>
    <row r="42" ht="18.75" customHeight="1">
      <c r="A42" s="716">
        <f>IFERROR(VLOOKUP(H42,PartyStorage,2, FALSE),0)</f>
        <v>0</v>
      </c>
      <c r="B42" s="1060"/>
      <c r="C42" s="1052"/>
      <c r="D42" s="1052"/>
      <c r="E42" s="1052"/>
      <c r="F42" s="1053"/>
      <c r="G42" s="1061"/>
      <c r="H42" s="1055"/>
      <c r="L42" s="1008"/>
      <c r="M42" s="1056" t="str">
        <f t="shared" si="2"/>
        <v/>
      </c>
      <c r="N42" s="779">
        <f>IFERROR(VLOOKUP(F42,Ch8_Storage,2, FALSE),0)</f>
        <v>0</v>
      </c>
    </row>
    <row r="43" ht="18.75" customHeight="1">
      <c r="A43" s="716">
        <f>IFERROR(VLOOKUP(H43,PartyStorage,2, FALSE),0)</f>
        <v>0</v>
      </c>
      <c r="B43" s="1057"/>
      <c r="C43" s="1058"/>
      <c r="D43" s="1058"/>
      <c r="E43" s="1058"/>
      <c r="F43" s="1062"/>
      <c r="G43" s="1059"/>
      <c r="H43" s="1048"/>
      <c r="L43" s="1003"/>
      <c r="M43" s="1049" t="str">
        <f t="shared" si="2"/>
        <v/>
      </c>
      <c r="N43" s="779">
        <f>IFERROR(VLOOKUP(F43,Ch8_Storage,2, FALSE),0)</f>
        <v>0</v>
      </c>
    </row>
    <row r="44" ht="18.75" customHeight="1">
      <c r="A44" s="716">
        <f>IFERROR(VLOOKUP(H44,PartyStorage,2, FALSE),0)</f>
        <v>0</v>
      </c>
      <c r="B44" s="1060"/>
      <c r="C44" s="1052"/>
      <c r="D44" s="1052"/>
      <c r="E44" s="1052"/>
      <c r="F44" s="1053"/>
      <c r="G44" s="1061"/>
      <c r="H44" s="1055"/>
      <c r="L44" s="1008"/>
      <c r="M44" s="1056" t="str">
        <f t="shared" si="2"/>
        <v/>
      </c>
      <c r="N44" s="779">
        <f>IFERROR(VLOOKUP(F44,Ch8_Storage,2, FALSE),0)</f>
        <v>0</v>
      </c>
    </row>
    <row r="45" ht="18.75" customHeight="1">
      <c r="A45" s="716">
        <f>IFERROR(VLOOKUP(H45,PartyStorage,2, FALSE),0)</f>
        <v>0</v>
      </c>
      <c r="B45" s="1057"/>
      <c r="C45" s="1058"/>
      <c r="D45" s="1058"/>
      <c r="E45" s="1058"/>
      <c r="F45" s="1062"/>
      <c r="G45" s="1059"/>
      <c r="H45" s="1048"/>
      <c r="L45" s="1003"/>
      <c r="M45" s="1049" t="str">
        <f t="shared" si="2"/>
        <v/>
      </c>
      <c r="N45" s="779">
        <f>IFERROR(VLOOKUP(F45,Ch8_Storage,2, FALSE),0)</f>
        <v>0</v>
      </c>
    </row>
    <row r="46" ht="18.75" customHeight="1">
      <c r="A46" s="716">
        <f>IFERROR(VLOOKUP(H46,PartyStorage,2, FALSE),0)</f>
        <v>0</v>
      </c>
      <c r="B46" s="1060"/>
      <c r="C46" s="1052"/>
      <c r="D46" s="1052"/>
      <c r="E46" s="1052"/>
      <c r="F46" s="1053"/>
      <c r="G46" s="1061"/>
      <c r="H46" s="1055"/>
      <c r="L46" s="1008"/>
      <c r="M46" s="1056" t="str">
        <f t="shared" si="2"/>
        <v/>
      </c>
      <c r="N46" s="779">
        <f>IFERROR(VLOOKUP(F46,Ch8_Storage,2, FALSE),0)</f>
        <v>0</v>
      </c>
    </row>
    <row r="47" ht="18.75" customHeight="1">
      <c r="A47" s="716">
        <f>IFERROR(VLOOKUP(H47,PartyStorage,2, FALSE),0)</f>
        <v>0</v>
      </c>
      <c r="B47" s="1057"/>
      <c r="C47" s="1058"/>
      <c r="D47" s="1058"/>
      <c r="E47" s="1058"/>
      <c r="F47" s="1062"/>
      <c r="G47" s="1059"/>
      <c r="H47" s="1048"/>
      <c r="L47" s="1003"/>
      <c r="M47" s="1049" t="str">
        <f t="shared" si="2"/>
        <v/>
      </c>
      <c r="N47" s="779">
        <f>IFERROR(VLOOKUP(F47,Ch8_Storage,2, FALSE),0)</f>
        <v>0</v>
      </c>
    </row>
    <row r="48" ht="18.75" customHeight="1">
      <c r="A48" s="716">
        <f>IFERROR(VLOOKUP(H48,PartyStorage,2, FALSE),0)</f>
        <v>0</v>
      </c>
      <c r="B48" s="1060"/>
      <c r="C48" s="1052"/>
      <c r="D48" s="1052"/>
      <c r="E48" s="1052"/>
      <c r="F48" s="1053"/>
      <c r="G48" s="1061"/>
      <c r="H48" s="1055"/>
      <c r="L48" s="1008"/>
      <c r="M48" s="1056" t="str">
        <f t="shared" si="2"/>
        <v/>
      </c>
      <c r="N48" s="779">
        <f>IFERROR(VLOOKUP(F48,Ch8_Storage,2, FALSE),0)</f>
        <v>0</v>
      </c>
    </row>
    <row r="49" ht="18.75" customHeight="1">
      <c r="A49" s="716">
        <f>IFERROR(VLOOKUP(H49,PartyStorage,2, FALSE),0)</f>
        <v>0</v>
      </c>
      <c r="B49" s="1057"/>
      <c r="C49" s="1058"/>
      <c r="D49" s="1058"/>
      <c r="E49" s="1058"/>
      <c r="F49" s="1062"/>
      <c r="G49" s="1059"/>
      <c r="H49" s="1048"/>
      <c r="L49" s="1003"/>
      <c r="M49" s="1049" t="str">
        <f t="shared" si="2"/>
        <v/>
      </c>
      <c r="N49" s="779">
        <f>IFERROR(VLOOKUP(F49,Ch8_Storage,2, FALSE),0)</f>
        <v>0</v>
      </c>
    </row>
    <row r="50" ht="18.75" customHeight="1">
      <c r="A50" s="716">
        <f>IFERROR(VLOOKUP(H50,PartyStorage,2, FALSE),0)</f>
        <v>0</v>
      </c>
      <c r="B50" s="1060"/>
      <c r="C50" s="1052"/>
      <c r="D50" s="1052"/>
      <c r="E50" s="1052"/>
      <c r="F50" s="1053"/>
      <c r="G50" s="1061"/>
      <c r="H50" s="1055"/>
      <c r="L50" s="1008"/>
      <c r="M50" s="1056" t="str">
        <f t="shared" si="2"/>
        <v/>
      </c>
      <c r="N50" s="779">
        <f>IFERROR(VLOOKUP(F50,Ch8_Storage,2, FALSE),0)</f>
        <v>0</v>
      </c>
    </row>
    <row r="51" ht="18.75" customHeight="1">
      <c r="A51" s="716">
        <f>IFERROR(VLOOKUP(H51,PartyStorage,2, FALSE),0)</f>
        <v>0</v>
      </c>
      <c r="B51" s="1057"/>
      <c r="C51" s="1058"/>
      <c r="D51" s="1058"/>
      <c r="E51" s="1058"/>
      <c r="F51" s="1062"/>
      <c r="G51" s="1059"/>
      <c r="H51" s="1048"/>
      <c r="L51" s="1003"/>
      <c r="M51" s="1049" t="str">
        <f t="shared" si="2"/>
        <v/>
      </c>
      <c r="N51" s="779">
        <f>IFERROR(VLOOKUP(F51,Ch8_Storage,2, FALSE),0)</f>
        <v>0</v>
      </c>
    </row>
    <row r="52" ht="18.75" customHeight="1">
      <c r="A52" s="716">
        <f>IFERROR(VLOOKUP(H52,PartyStorage,2, FALSE),0)</f>
        <v>0</v>
      </c>
      <c r="B52" s="1060"/>
      <c r="C52" s="1052"/>
      <c r="D52" s="1052"/>
      <c r="E52" s="1052"/>
      <c r="F52" s="1053"/>
      <c r="G52" s="1061"/>
      <c r="H52" s="1055"/>
      <c r="L52" s="1008"/>
      <c r="M52" s="1056" t="str">
        <f t="shared" si="2"/>
        <v/>
      </c>
      <c r="N52" s="779">
        <f>IFERROR(VLOOKUP(F52,Ch8_Storage,2, FALSE),0)</f>
        <v>0</v>
      </c>
    </row>
    <row r="53" ht="18.75" customHeight="1">
      <c r="A53" s="716">
        <f>IFERROR(VLOOKUP(H53,PartyStorage,2, FALSE),0)</f>
        <v>0</v>
      </c>
      <c r="B53" s="1057"/>
      <c r="C53" s="1058"/>
      <c r="D53" s="1058"/>
      <c r="E53" s="1058"/>
      <c r="F53" s="1062"/>
      <c r="G53" s="1059"/>
      <c r="H53" s="1048"/>
      <c r="L53" s="1003"/>
      <c r="M53" s="1049" t="str">
        <f t="shared" si="2"/>
        <v/>
      </c>
      <c r="N53" s="779">
        <f>IFERROR(VLOOKUP(F53,Ch8_Storage,2, FALSE),0)</f>
        <v>0</v>
      </c>
    </row>
    <row r="54" ht="18.75" customHeight="1">
      <c r="A54" s="716">
        <f>IFERROR(VLOOKUP(H54,PartyStorage,2, FALSE),0)</f>
        <v>0</v>
      </c>
      <c r="B54" s="1060"/>
      <c r="C54" s="1052"/>
      <c r="D54" s="1052"/>
      <c r="E54" s="1052"/>
      <c r="F54" s="1053"/>
      <c r="G54" s="1061"/>
      <c r="H54" s="1055"/>
      <c r="L54" s="1008"/>
      <c r="M54" s="1056" t="str">
        <f t="shared" si="2"/>
        <v/>
      </c>
      <c r="N54" s="779">
        <f>IFERROR(VLOOKUP(F54,Ch8_Storage,2, FALSE),0)</f>
        <v>0</v>
      </c>
    </row>
    <row r="55" ht="18.75" customHeight="1">
      <c r="A55" s="716">
        <f>IFERROR(VLOOKUP(H55,PartyStorage,2, FALSE),0)</f>
        <v>0</v>
      </c>
      <c r="B55" s="1057"/>
      <c r="C55" s="1058"/>
      <c r="D55" s="1058"/>
      <c r="E55" s="1058"/>
      <c r="F55" s="1062"/>
      <c r="G55" s="1059"/>
      <c r="H55" s="1048"/>
      <c r="L55" s="1003"/>
      <c r="M55" s="1049" t="str">
        <f t="shared" si="2"/>
        <v/>
      </c>
      <c r="N55" s="779">
        <f>IFERROR(VLOOKUP(F55,Ch8_Storage,2, FALSE),0)</f>
        <v>0</v>
      </c>
    </row>
    <row r="56" ht="18.75" customHeight="1">
      <c r="A56" s="716">
        <f>IFERROR(VLOOKUP(H56,PartyStorage,2, FALSE),0)</f>
        <v>0</v>
      </c>
      <c r="B56" s="1060"/>
      <c r="C56" s="1052"/>
      <c r="D56" s="1052"/>
      <c r="E56" s="1052"/>
      <c r="F56" s="1053"/>
      <c r="G56" s="1061"/>
      <c r="H56" s="1055"/>
      <c r="L56" s="1008"/>
      <c r="M56" s="1056" t="str">
        <f t="shared" si="2"/>
        <v/>
      </c>
      <c r="N56" s="779">
        <f>IFERROR(VLOOKUP(F56,Ch8_Storage,2, FALSE),0)</f>
        <v>0</v>
      </c>
    </row>
    <row r="57" ht="18.75" customHeight="1">
      <c r="A57" s="716">
        <f>IFERROR(VLOOKUP(H57,PartyStorage,2, FALSE),0)</f>
        <v>0</v>
      </c>
      <c r="B57" s="1057"/>
      <c r="C57" s="1058"/>
      <c r="D57" s="1058"/>
      <c r="E57" s="1058"/>
      <c r="F57" s="1062"/>
      <c r="G57" s="1059"/>
      <c r="H57" s="1048"/>
      <c r="L57" s="1003"/>
      <c r="M57" s="1049" t="str">
        <f t="shared" si="2"/>
        <v/>
      </c>
      <c r="N57" s="779">
        <f>IFERROR(VLOOKUP(F57,Ch8_Storage,2, FALSE),0)</f>
        <v>0</v>
      </c>
    </row>
    <row r="58" ht="18.75" customHeight="1">
      <c r="A58" s="716">
        <f>IFERROR(VLOOKUP(H58,PartyStorage,2, FALSE),0)</f>
        <v>0</v>
      </c>
      <c r="B58" s="1060"/>
      <c r="C58" s="1052"/>
      <c r="D58" s="1052"/>
      <c r="E58" s="1052"/>
      <c r="F58" s="1053"/>
      <c r="G58" s="1061"/>
      <c r="H58" s="1055"/>
      <c r="L58" s="1008"/>
      <c r="M58" s="1056" t="str">
        <f t="shared" si="2"/>
        <v/>
      </c>
      <c r="N58" s="779">
        <f>IFERROR(VLOOKUP(F58,Ch8_Storage,2, FALSE),0)</f>
        <v>0</v>
      </c>
    </row>
    <row r="59" ht="18.75" customHeight="1">
      <c r="A59" s="716">
        <f>IFERROR(VLOOKUP(H59,PartyStorage,2, FALSE),0)</f>
        <v>0</v>
      </c>
      <c r="B59" s="1057"/>
      <c r="C59" s="1058"/>
      <c r="D59" s="1058"/>
      <c r="E59" s="1058"/>
      <c r="F59" s="1062"/>
      <c r="G59" s="1059"/>
      <c r="H59" s="1048"/>
      <c r="L59" s="1003"/>
      <c r="M59" s="1049" t="str">
        <f t="shared" si="2"/>
        <v/>
      </c>
      <c r="N59" s="779">
        <f>IFERROR(VLOOKUP(F59,Ch8_Storage,2, FALSE),0)</f>
        <v>0</v>
      </c>
    </row>
    <row r="60" ht="18.75" customHeight="1">
      <c r="A60" s="716">
        <f>IFERROR(VLOOKUP(H60,PartyStorage,2, FALSE),0)</f>
        <v>0</v>
      </c>
      <c r="B60" s="1060"/>
      <c r="C60" s="1052"/>
      <c r="D60" s="1052"/>
      <c r="E60" s="1052"/>
      <c r="F60" s="1053"/>
      <c r="G60" s="1061"/>
      <c r="H60" s="1055"/>
      <c r="L60" s="1008"/>
      <c r="M60" s="1056" t="str">
        <f t="shared" si="2"/>
        <v/>
      </c>
      <c r="N60" s="779">
        <f>IFERROR(VLOOKUP(F60,Ch8_Storage,2, FALSE),0)</f>
        <v>0</v>
      </c>
    </row>
    <row r="61" ht="18.75" customHeight="1">
      <c r="A61" s="716">
        <f>IFERROR(VLOOKUP(H61,PartyStorage,2, FALSE),0)</f>
        <v>0</v>
      </c>
      <c r="B61" s="1057"/>
      <c r="C61" s="1058"/>
      <c r="D61" s="1058"/>
      <c r="E61" s="1058"/>
      <c r="F61" s="1062"/>
      <c r="G61" s="1059"/>
      <c r="H61" s="1048"/>
      <c r="L61" s="1003"/>
      <c r="M61" s="1049" t="str">
        <f t="shared" si="2"/>
        <v/>
      </c>
      <c r="N61" s="779">
        <f>IFERROR(VLOOKUP(F61,Ch8_Storage,2, FALSE),0)</f>
        <v>0</v>
      </c>
    </row>
    <row r="62" ht="18.75" customHeight="1">
      <c r="A62" s="716">
        <f>IFERROR(VLOOKUP(H62,PartyStorage,2, FALSE),0)</f>
        <v>0</v>
      </c>
      <c r="B62" s="1060"/>
      <c r="C62" s="1052"/>
      <c r="D62" s="1052"/>
      <c r="E62" s="1052"/>
      <c r="F62" s="1053"/>
      <c r="G62" s="1061"/>
      <c r="H62" s="1055"/>
      <c r="L62" s="1008"/>
      <c r="M62" s="1056" t="str">
        <f t="shared" si="2"/>
        <v/>
      </c>
      <c r="N62" s="779">
        <f>IFERROR(VLOOKUP(F62,Ch8_Storage,2, FALSE),0)</f>
        <v>0</v>
      </c>
    </row>
    <row r="63" ht="18.75" customHeight="1">
      <c r="A63" s="716">
        <f>IFERROR(VLOOKUP(H63,PartyStorage,2, FALSE),0)</f>
        <v>0</v>
      </c>
      <c r="B63" s="1057"/>
      <c r="C63" s="1058"/>
      <c r="D63" s="1058"/>
      <c r="E63" s="1058"/>
      <c r="F63" s="1062"/>
      <c r="G63" s="1059"/>
      <c r="H63" s="1048"/>
      <c r="L63" s="1003"/>
      <c r="M63" s="1049" t="str">
        <f t="shared" si="2"/>
        <v/>
      </c>
      <c r="N63" s="779">
        <f>IFERROR(VLOOKUP(F63,Ch8_Storage,2, FALSE),0)</f>
        <v>0</v>
      </c>
    </row>
    <row r="64" ht="18.75" customHeight="1">
      <c r="A64" s="716">
        <f>IFERROR(VLOOKUP(H64,PartyStorage,2, FALSE),0)</f>
        <v>0</v>
      </c>
      <c r="B64" s="1060"/>
      <c r="C64" s="1052"/>
      <c r="D64" s="1052"/>
      <c r="E64" s="1052"/>
      <c r="F64" s="1053"/>
      <c r="G64" s="1061"/>
      <c r="H64" s="1055"/>
      <c r="L64" s="1008"/>
      <c r="M64" s="1056" t="str">
        <f t="shared" si="2"/>
        <v/>
      </c>
      <c r="N64" s="779">
        <f>IFERROR(VLOOKUP(F64,Ch8_Storage,2, FALSE),0)</f>
        <v>0</v>
      </c>
    </row>
    <row r="65" ht="18.75" customHeight="1">
      <c r="A65" s="716">
        <f>IFERROR(VLOOKUP(H65,PartyStorage,2, FALSE),0)</f>
        <v>0</v>
      </c>
      <c r="B65" s="1057"/>
      <c r="C65" s="1058"/>
      <c r="D65" s="1058"/>
      <c r="E65" s="1058"/>
      <c r="F65" s="1062"/>
      <c r="G65" s="1059"/>
      <c r="H65" s="1048"/>
      <c r="L65" s="1003"/>
      <c r="M65" s="1049" t="str">
        <f t="shared" si="2"/>
        <v/>
      </c>
      <c r="N65" s="779">
        <f>IFERROR(VLOOKUP(F65,Ch8_Storage,2, FALSE),0)</f>
        <v>0</v>
      </c>
    </row>
    <row r="66" ht="18.75" customHeight="1">
      <c r="A66" s="716">
        <f>IFERROR(VLOOKUP(H66,PartyStorage,2, FALSE),0)</f>
        <v>0</v>
      </c>
      <c r="B66" s="1060"/>
      <c r="C66" s="1052"/>
      <c r="D66" s="1052"/>
      <c r="E66" s="1052"/>
      <c r="F66" s="1053"/>
      <c r="G66" s="1061"/>
      <c r="H66" s="1055"/>
      <c r="L66" s="1008"/>
      <c r="M66" s="1056" t="str">
        <f t="shared" si="2"/>
        <v/>
      </c>
      <c r="N66" s="779">
        <f>IFERROR(VLOOKUP(F66,Ch8_Storage,2, FALSE),0)</f>
        <v>0</v>
      </c>
    </row>
    <row r="67" ht="18.75" customHeight="1">
      <c r="A67" s="716">
        <f>IFERROR(VLOOKUP(H67,PartyStorage,2, FALSE),0)</f>
        <v>0</v>
      </c>
      <c r="B67" s="1057"/>
      <c r="C67" s="1058"/>
      <c r="D67" s="1058"/>
      <c r="E67" s="1058"/>
      <c r="F67" s="1062"/>
      <c r="G67" s="1059"/>
      <c r="H67" s="1048"/>
      <c r="L67" s="1003"/>
      <c r="M67" s="1049" t="str">
        <f t="shared" si="2"/>
        <v/>
      </c>
      <c r="N67" s="779">
        <f>IFERROR(VLOOKUP(F67,Ch8_Storage,2, FALSE),0)</f>
        <v>0</v>
      </c>
    </row>
    <row r="68" ht="18.75" customHeight="1">
      <c r="A68" s="716">
        <f>IFERROR(VLOOKUP(H68,PartyStorage,2, FALSE),0)</f>
        <v>0</v>
      </c>
      <c r="B68" s="1060"/>
      <c r="C68" s="1052"/>
      <c r="D68" s="1052"/>
      <c r="E68" s="1052"/>
      <c r="F68" s="1053"/>
      <c r="G68" s="1061"/>
      <c r="H68" s="1055"/>
      <c r="L68" s="1008"/>
      <c r="M68" s="1056" t="str">
        <f t="shared" si="2"/>
        <v/>
      </c>
      <c r="N68" s="779">
        <f>IFERROR(VLOOKUP(F68,Ch8_Storage,2, FALSE),0)</f>
        <v>0</v>
      </c>
    </row>
    <row r="69" ht="18.75" customHeight="1">
      <c r="A69" s="716">
        <f>IFERROR(VLOOKUP(H69,PartyStorage,2, FALSE),0)</f>
        <v>0</v>
      </c>
      <c r="B69" s="1057"/>
      <c r="C69" s="1058"/>
      <c r="D69" s="1058"/>
      <c r="E69" s="1058"/>
      <c r="F69" s="1062"/>
      <c r="G69" s="1059"/>
      <c r="H69" s="1048"/>
      <c r="L69" s="1003"/>
      <c r="M69" s="1049" t="str">
        <f t="shared" si="2"/>
        <v/>
      </c>
      <c r="N69" s="779">
        <f>IFERROR(VLOOKUP(F69,Ch8_Storage,2, FALSE),0)</f>
        <v>0</v>
      </c>
    </row>
    <row r="70" ht="18.75" customHeight="1">
      <c r="A70" s="716">
        <f>IFERROR(VLOOKUP(H70,PartyStorage,2, FALSE),0)</f>
        <v>0</v>
      </c>
      <c r="B70" s="1060"/>
      <c r="C70" s="1052"/>
      <c r="D70" s="1052"/>
      <c r="E70" s="1052"/>
      <c r="F70" s="1053"/>
      <c r="G70" s="1061"/>
      <c r="H70" s="1055"/>
      <c r="L70" s="1008"/>
      <c r="M70" s="1056" t="str">
        <f t="shared" si="2"/>
        <v/>
      </c>
      <c r="N70" s="779">
        <f>IFERROR(VLOOKUP(F70,Ch8_Storage,2, FALSE),0)</f>
        <v>0</v>
      </c>
    </row>
    <row r="71" ht="18.75" customHeight="1">
      <c r="A71" s="716">
        <f>IFERROR(VLOOKUP(H71,PartyStorage,2, FALSE),0)</f>
        <v>0</v>
      </c>
      <c r="B71" s="1057"/>
      <c r="C71" s="1058"/>
      <c r="D71" s="1058"/>
      <c r="E71" s="1058"/>
      <c r="F71" s="1062"/>
      <c r="G71" s="1059"/>
      <c r="H71" s="1048"/>
      <c r="L71" s="1003"/>
      <c r="M71" s="1049" t="str">
        <f t="shared" si="2"/>
        <v/>
      </c>
      <c r="N71" s="779">
        <f>IFERROR(VLOOKUP(F71,Ch8_Storage,2, FALSE),0)</f>
        <v>0</v>
      </c>
    </row>
    <row r="72" ht="18.75" customHeight="1">
      <c r="A72" s="716">
        <f>IFERROR(VLOOKUP(H72,PartyStorage,2, FALSE),0)</f>
        <v>0</v>
      </c>
      <c r="B72" s="1060"/>
      <c r="C72" s="1052"/>
      <c r="D72" s="1052"/>
      <c r="E72" s="1052"/>
      <c r="F72" s="1053"/>
      <c r="G72" s="1061"/>
      <c r="H72" s="1055"/>
      <c r="L72" s="1008"/>
      <c r="M72" s="1056" t="str">
        <f t="shared" si="2"/>
        <v/>
      </c>
      <c r="N72" s="779">
        <f>IFERROR(VLOOKUP(F72,Ch8_Storage,2, FALSE),0)</f>
        <v>0</v>
      </c>
    </row>
    <row r="73" ht="18.75" customHeight="1">
      <c r="A73" s="716">
        <f>IFERROR(VLOOKUP(H73,PartyStorage,2, FALSE),0)</f>
        <v>0</v>
      </c>
      <c r="B73" s="1057"/>
      <c r="C73" s="1058"/>
      <c r="D73" s="1058"/>
      <c r="E73" s="1058"/>
      <c r="F73" s="1062"/>
      <c r="G73" s="1059"/>
      <c r="H73" s="1048"/>
      <c r="L73" s="1003"/>
      <c r="M73" s="1049" t="str">
        <f t="shared" si="2"/>
        <v/>
      </c>
      <c r="N73" s="779">
        <f>IFERROR(VLOOKUP(F73,Ch8_Storage,2, FALSE),0)</f>
        <v>0</v>
      </c>
    </row>
    <row r="74" ht="18.75" customHeight="1">
      <c r="A74" s="716">
        <f>IFERROR(VLOOKUP(H74,PartyStorage,2, FALSE),0)</f>
        <v>0</v>
      </c>
      <c r="B74" s="1060"/>
      <c r="C74" s="1052"/>
      <c r="D74" s="1052"/>
      <c r="E74" s="1052"/>
      <c r="F74" s="1053"/>
      <c r="G74" s="1061"/>
      <c r="H74" s="1055"/>
      <c r="L74" s="1008"/>
      <c r="M74" s="1056" t="str">
        <f t="shared" si="2"/>
        <v/>
      </c>
      <c r="N74" s="779">
        <f>IFERROR(VLOOKUP(F74,Ch8_Storage,2, FALSE),0)</f>
        <v>0</v>
      </c>
    </row>
    <row r="75" ht="18.75" customHeight="1">
      <c r="A75" s="716">
        <f>IFERROR(VLOOKUP(H75,PartyStorage,2, FALSE),0)</f>
        <v>0</v>
      </c>
      <c r="B75" s="1057"/>
      <c r="C75" s="1058"/>
      <c r="D75" s="1058"/>
      <c r="E75" s="1058"/>
      <c r="F75" s="1062"/>
      <c r="G75" s="1059"/>
      <c r="H75" s="1048"/>
      <c r="L75" s="1003"/>
      <c r="M75" s="1049" t="str">
        <f t="shared" si="2"/>
        <v/>
      </c>
      <c r="N75" s="779">
        <f>IFERROR(VLOOKUP(F75,Ch8_Storage,2, FALSE),0)</f>
        <v>0</v>
      </c>
    </row>
    <row r="76" ht="18.75" customHeight="1">
      <c r="A76" s="716">
        <f>IFERROR(VLOOKUP(H76,PartyStorage,2, FALSE),0)</f>
        <v>0</v>
      </c>
      <c r="B76" s="1060"/>
      <c r="C76" s="1052"/>
      <c r="D76" s="1052"/>
      <c r="E76" s="1052"/>
      <c r="F76" s="1053"/>
      <c r="G76" s="1061"/>
      <c r="H76" s="1055"/>
      <c r="L76" s="1008"/>
      <c r="M76" s="1056" t="str">
        <f t="shared" si="2"/>
        <v/>
      </c>
      <c r="N76" s="779">
        <f>IFERROR(VLOOKUP(F76,Ch8_Storage,2, FALSE),0)</f>
        <v>0</v>
      </c>
    </row>
    <row r="77" ht="18.75" customHeight="1">
      <c r="A77" s="716">
        <f>IFERROR(VLOOKUP(H77,PartyStorage,2, FALSE),0)</f>
        <v>0</v>
      </c>
      <c r="B77" s="1057"/>
      <c r="C77" s="1058"/>
      <c r="D77" s="1058"/>
      <c r="E77" s="1058"/>
      <c r="F77" s="1062"/>
      <c r="G77" s="1059"/>
      <c r="H77" s="1048"/>
      <c r="L77" s="1003"/>
      <c r="M77" s="1049" t="str">
        <f t="shared" si="2"/>
        <v/>
      </c>
      <c r="N77" s="779">
        <f>IFERROR(VLOOKUP(F77,Ch8_Storage,2, FALSE),0)</f>
        <v>0</v>
      </c>
    </row>
    <row r="78" ht="18.75" customHeight="1">
      <c r="A78" s="716">
        <f>IFERROR(VLOOKUP(H78,PartyStorage,2, FALSE),0)</f>
        <v>0</v>
      </c>
      <c r="B78" s="1060"/>
      <c r="C78" s="1052"/>
      <c r="D78" s="1052"/>
      <c r="E78" s="1052"/>
      <c r="F78" s="1053"/>
      <c r="G78" s="1061"/>
      <c r="H78" s="1055"/>
      <c r="L78" s="1008"/>
      <c r="M78" s="1056" t="str">
        <f t="shared" si="2"/>
        <v/>
      </c>
      <c r="N78" s="779">
        <f>IFERROR(VLOOKUP(F78,Ch8_Storage,2, FALSE),0)</f>
        <v>0</v>
      </c>
    </row>
    <row r="79" ht="18.75" customHeight="1">
      <c r="A79" s="716">
        <f>IFERROR(VLOOKUP(H79,PartyStorage,2, FALSE),0)</f>
        <v>0</v>
      </c>
      <c r="B79" s="1057"/>
      <c r="C79" s="1058"/>
      <c r="D79" s="1058"/>
      <c r="E79" s="1058"/>
      <c r="F79" s="1062"/>
      <c r="G79" s="1059"/>
      <c r="H79" s="1048"/>
      <c r="L79" s="1003"/>
      <c r="M79" s="1049" t="str">
        <f t="shared" si="2"/>
        <v/>
      </c>
      <c r="N79" s="779">
        <f>IFERROR(VLOOKUP(F79,Ch8_Storage,2, FALSE),0)</f>
        <v>0</v>
      </c>
    </row>
    <row r="80" ht="18.75" customHeight="1">
      <c r="A80" s="716">
        <f>IFERROR(VLOOKUP(H80,PartyStorage,2, FALSE),0)</f>
        <v>0</v>
      </c>
      <c r="B80" s="1060"/>
      <c r="C80" s="1052"/>
      <c r="D80" s="1052"/>
      <c r="E80" s="1052"/>
      <c r="F80" s="1053"/>
      <c r="G80" s="1061"/>
      <c r="H80" s="1055"/>
      <c r="L80" s="1008"/>
      <c r="M80" s="1056" t="str">
        <f t="shared" si="2"/>
        <v/>
      </c>
      <c r="N80" s="779">
        <f>IFERROR(VLOOKUP(F80,Ch8_Storage,2, FALSE),0)</f>
        <v>0</v>
      </c>
    </row>
    <row r="81" ht="18.75" customHeight="1">
      <c r="A81" s="716">
        <f>IFERROR(VLOOKUP(H81,PartyStorage,2, FALSE),0)</f>
        <v>0</v>
      </c>
      <c r="B81" s="1057"/>
      <c r="C81" s="1058"/>
      <c r="D81" s="1058"/>
      <c r="E81" s="1058"/>
      <c r="F81" s="1062"/>
      <c r="G81" s="1059"/>
      <c r="H81" s="1048"/>
      <c r="L81" s="1003"/>
      <c r="M81" s="1049" t="str">
        <f t="shared" si="2"/>
        <v/>
      </c>
      <c r="N81" s="779">
        <f>IFERROR(VLOOKUP(F81,Ch8_Storage,2, FALSE),0)</f>
        <v>0</v>
      </c>
    </row>
    <row r="82" ht="18.75" customHeight="1">
      <c r="A82" s="716">
        <f>IFERROR(VLOOKUP(H82,PartyStorage,2, FALSE),0)</f>
        <v>0</v>
      </c>
      <c r="B82" s="1060"/>
      <c r="C82" s="1052"/>
      <c r="D82" s="1052"/>
      <c r="E82" s="1052"/>
      <c r="F82" s="1053"/>
      <c r="G82" s="1061"/>
      <c r="H82" s="1055"/>
      <c r="L82" s="1008"/>
      <c r="M82" s="1056" t="str">
        <f t="shared" si="2"/>
        <v/>
      </c>
      <c r="N82" s="779">
        <f>IFERROR(VLOOKUP(F82,Ch8_Storage,2, FALSE),0)</f>
        <v>0</v>
      </c>
    </row>
    <row r="83" ht="18.75" customHeight="1">
      <c r="A83" s="716">
        <f>IFERROR(VLOOKUP(H83,PartyStorage,2, FALSE),0)</f>
        <v>0</v>
      </c>
      <c r="B83" s="1057"/>
      <c r="C83" s="1058"/>
      <c r="D83" s="1058"/>
      <c r="E83" s="1058"/>
      <c r="F83" s="1062"/>
      <c r="G83" s="1059"/>
      <c r="H83" s="1048"/>
      <c r="L83" s="1003"/>
      <c r="M83" s="1049" t="str">
        <f t="shared" si="2"/>
        <v/>
      </c>
      <c r="N83" s="779">
        <f>IFERROR(VLOOKUP(F83,Ch8_Storage,2, FALSE),0)</f>
        <v>0</v>
      </c>
    </row>
    <row r="84" ht="18.75" customHeight="1">
      <c r="A84" s="716">
        <f>IFERROR(VLOOKUP(H84,PartyStorage,2, FALSE),0)</f>
        <v>0</v>
      </c>
      <c r="B84" s="1060"/>
      <c r="C84" s="1052"/>
      <c r="D84" s="1052"/>
      <c r="E84" s="1052"/>
      <c r="F84" s="1053"/>
      <c r="G84" s="1061"/>
      <c r="H84" s="1055"/>
      <c r="L84" s="1008"/>
      <c r="M84" s="1056" t="str">
        <f t="shared" si="2"/>
        <v/>
      </c>
      <c r="N84" s="779">
        <f>IFERROR(VLOOKUP(F84,Ch8_Storage,2, FALSE),0)</f>
        <v>0</v>
      </c>
    </row>
    <row r="85" ht="18.75" customHeight="1">
      <c r="A85" s="716">
        <f>IFERROR(VLOOKUP(H85,PartyStorage,2, FALSE),0)</f>
        <v>0</v>
      </c>
      <c r="B85" s="1057"/>
      <c r="C85" s="1058"/>
      <c r="D85" s="1058"/>
      <c r="E85" s="1058"/>
      <c r="F85" s="1062"/>
      <c r="G85" s="1059"/>
      <c r="H85" s="1048"/>
      <c r="L85" s="1003"/>
      <c r="M85" s="1049" t="str">
        <f t="shared" si="2"/>
        <v/>
      </c>
      <c r="N85" s="779">
        <f>IFERROR(VLOOKUP(F85,Ch8_Storage,2, FALSE),0)</f>
        <v>0</v>
      </c>
    </row>
    <row r="86" ht="18.75" customHeight="1">
      <c r="A86" s="716">
        <f>IFERROR(VLOOKUP(H86,PartyStorage,2, FALSE),0)</f>
        <v>0</v>
      </c>
      <c r="B86" s="1060"/>
      <c r="C86" s="1052"/>
      <c r="D86" s="1052"/>
      <c r="E86" s="1052"/>
      <c r="F86" s="1053"/>
      <c r="G86" s="1061"/>
      <c r="H86" s="1055"/>
      <c r="L86" s="1008"/>
      <c r="M86" s="1056" t="str">
        <f t="shared" si="2"/>
        <v/>
      </c>
      <c r="N86" s="779">
        <f>IFERROR(VLOOKUP(F86,Ch8_Storage,2, FALSE),0)</f>
        <v>0</v>
      </c>
    </row>
    <row r="87" ht="18.75" customHeight="1">
      <c r="A87" s="716">
        <f>IFERROR(VLOOKUP(H87,PartyStorage,2, FALSE),0)</f>
        <v>0</v>
      </c>
      <c r="B87" s="1057"/>
      <c r="C87" s="1058"/>
      <c r="D87" s="1058"/>
      <c r="E87" s="1058"/>
      <c r="F87" s="1062"/>
      <c r="G87" s="1059"/>
      <c r="H87" s="1048"/>
      <c r="L87" s="1003"/>
      <c r="M87" s="1049" t="str">
        <f t="shared" si="2"/>
        <v/>
      </c>
      <c r="N87" s="779">
        <f>IFERROR(VLOOKUP(F87,Ch8_Storage,2, FALSE),0)</f>
        <v>0</v>
      </c>
    </row>
    <row r="88" ht="18.75" customHeight="1">
      <c r="A88" s="716">
        <f>IFERROR(VLOOKUP(H88,PartyStorage,2, FALSE),0)</f>
        <v>0</v>
      </c>
      <c r="B88" s="1060"/>
      <c r="C88" s="1052"/>
      <c r="D88" s="1052"/>
      <c r="E88" s="1052"/>
      <c r="F88" s="1053"/>
      <c r="G88" s="1061"/>
      <c r="H88" s="1055"/>
      <c r="L88" s="1008"/>
      <c r="M88" s="1056" t="str">
        <f t="shared" si="2"/>
        <v/>
      </c>
      <c r="N88" s="779">
        <f>IFERROR(VLOOKUP(F88,Ch8_Storage,2, FALSE),0)</f>
        <v>0</v>
      </c>
    </row>
    <row r="89" ht="18.75" customHeight="1">
      <c r="A89" s="716">
        <f>IFERROR(VLOOKUP(H89,PartyStorage,2, FALSE),0)</f>
        <v>0</v>
      </c>
      <c r="B89" s="1057"/>
      <c r="C89" s="1058"/>
      <c r="D89" s="1058"/>
      <c r="E89" s="1058"/>
      <c r="F89" s="1062"/>
      <c r="G89" s="1059"/>
      <c r="H89" s="1048"/>
      <c r="L89" s="1003"/>
      <c r="M89" s="1049" t="str">
        <f t="shared" si="2"/>
        <v/>
      </c>
      <c r="N89" s="779">
        <f>IFERROR(VLOOKUP(F89,Ch8_Storage,2, FALSE),0)</f>
        <v>0</v>
      </c>
    </row>
    <row r="90" ht="18.75" customHeight="1">
      <c r="A90" s="716">
        <f>IFERROR(VLOOKUP(H90,PartyStorage,2, FALSE),0)</f>
        <v>0</v>
      </c>
      <c r="B90" s="1060"/>
      <c r="C90" s="1052"/>
      <c r="D90" s="1052"/>
      <c r="E90" s="1052"/>
      <c r="F90" s="1053"/>
      <c r="G90" s="1061"/>
      <c r="H90" s="1055"/>
      <c r="L90" s="1008"/>
      <c r="M90" s="1056" t="str">
        <f t="shared" si="2"/>
        <v/>
      </c>
      <c r="N90" s="779">
        <f>IFERROR(VLOOKUP(F90,Ch8_Storage,2, FALSE),0)</f>
        <v>0</v>
      </c>
    </row>
    <row r="91" ht="18.75" customHeight="1">
      <c r="A91" s="716">
        <f>IFERROR(VLOOKUP(H91,PartyStorage,2, FALSE),0)</f>
        <v>0</v>
      </c>
      <c r="B91" s="1057"/>
      <c r="C91" s="1058"/>
      <c r="D91" s="1058"/>
      <c r="E91" s="1058"/>
      <c r="F91" s="1062"/>
      <c r="G91" s="1059"/>
      <c r="H91" s="1048"/>
      <c r="L91" s="1003"/>
      <c r="M91" s="1049" t="str">
        <f t="shared" si="2"/>
        <v/>
      </c>
      <c r="N91" s="779">
        <f>IFERROR(VLOOKUP(F91,Ch8_Storage,2, FALSE),0)</f>
        <v>0</v>
      </c>
    </row>
    <row r="92" ht="18.75" customHeight="1">
      <c r="A92" s="716">
        <f>IFERROR(VLOOKUP(H92,PartyStorage,2, FALSE),0)</f>
        <v>0</v>
      </c>
      <c r="B92" s="1060"/>
      <c r="C92" s="1052"/>
      <c r="D92" s="1052"/>
      <c r="E92" s="1052"/>
      <c r="F92" s="1053"/>
      <c r="G92" s="1061"/>
      <c r="H92" s="1055"/>
      <c r="L92" s="1008"/>
      <c r="M92" s="1056" t="str">
        <f t="shared" si="2"/>
        <v/>
      </c>
      <c r="N92" s="779">
        <f>IFERROR(VLOOKUP(F92,Ch8_Storage,2, FALSE),0)</f>
        <v>0</v>
      </c>
    </row>
    <row r="93" ht="18.75" customHeight="1">
      <c r="A93" s="716">
        <f>IFERROR(VLOOKUP(H93,PartyStorage,2, FALSE),0)</f>
        <v>0</v>
      </c>
      <c r="B93" s="1057"/>
      <c r="C93" s="1058"/>
      <c r="D93" s="1058"/>
      <c r="E93" s="1058"/>
      <c r="F93" s="1062"/>
      <c r="G93" s="1059"/>
      <c r="H93" s="1048"/>
      <c r="L93" s="1003"/>
      <c r="M93" s="1049" t="str">
        <f t="shared" si="2"/>
        <v/>
      </c>
      <c r="N93" s="779">
        <f>IFERROR(VLOOKUP(F93,Ch8_Storage,2, FALSE),0)</f>
        <v>0</v>
      </c>
    </row>
    <row r="94" ht="18.75" customHeight="1">
      <c r="A94" s="716">
        <f>IFERROR(VLOOKUP(H94,PartyStorage,2, FALSE),0)</f>
        <v>0</v>
      </c>
      <c r="B94" s="1060"/>
      <c r="C94" s="1052"/>
      <c r="D94" s="1052"/>
      <c r="E94" s="1052"/>
      <c r="F94" s="1053"/>
      <c r="G94" s="1061"/>
      <c r="H94" s="1055"/>
      <c r="L94" s="1008"/>
      <c r="M94" s="1056" t="str">
        <f t="shared" si="2"/>
        <v/>
      </c>
      <c r="N94" s="779">
        <f>IFERROR(VLOOKUP(F94,Ch8_Storage,2, FALSE),0)</f>
        <v>0</v>
      </c>
    </row>
    <row r="95" ht="18.75" customHeight="1">
      <c r="A95" s="716">
        <f>IFERROR(VLOOKUP(H95,PartyStorage,2, FALSE),0)</f>
        <v>0</v>
      </c>
      <c r="B95" s="1057"/>
      <c r="C95" s="1058"/>
      <c r="D95" s="1058"/>
      <c r="E95" s="1058"/>
      <c r="F95" s="1062"/>
      <c r="G95" s="1059"/>
      <c r="H95" s="1048"/>
      <c r="L95" s="1003"/>
      <c r="M95" s="1049" t="str">
        <f t="shared" si="2"/>
        <v/>
      </c>
      <c r="N95" s="779">
        <f>IFERROR(VLOOKUP(F95,Ch8_Storage,2, FALSE),0)</f>
        <v>0</v>
      </c>
    </row>
    <row r="96" ht="18.75" customHeight="1">
      <c r="A96" s="716">
        <f>IFERROR(VLOOKUP(H96,PartyStorage,2, FALSE),0)</f>
        <v>0</v>
      </c>
      <c r="B96" s="1060"/>
      <c r="C96" s="1052"/>
      <c r="D96" s="1052"/>
      <c r="E96" s="1052"/>
      <c r="F96" s="1053"/>
      <c r="G96" s="1061"/>
      <c r="H96" s="1055"/>
      <c r="L96" s="1008"/>
      <c r="M96" s="1056" t="str">
        <f t="shared" si="2"/>
        <v/>
      </c>
      <c r="N96" s="779">
        <f>IFERROR(VLOOKUP(F96,Ch8_Storage,2, FALSE),0)</f>
        <v>0</v>
      </c>
    </row>
    <row r="97" ht="18.75" customHeight="1">
      <c r="A97" s="716">
        <f>IFERROR(VLOOKUP(H97,PartyStorage,2, FALSE),0)</f>
        <v>0</v>
      </c>
      <c r="B97" s="1057"/>
      <c r="C97" s="1058"/>
      <c r="D97" s="1058"/>
      <c r="E97" s="1058"/>
      <c r="F97" s="1062"/>
      <c r="G97" s="1059"/>
      <c r="H97" s="1048"/>
      <c r="L97" s="1003"/>
      <c r="M97" s="1049" t="str">
        <f t="shared" si="2"/>
        <v/>
      </c>
      <c r="N97" s="779">
        <f>IFERROR(VLOOKUP(F97,Ch8_Storage,2, FALSE),0)</f>
        <v>0</v>
      </c>
    </row>
    <row r="98" ht="18.75" customHeight="1">
      <c r="A98" s="716">
        <f>IFERROR(VLOOKUP(H98,PartyStorage,2, FALSE),0)</f>
        <v>0</v>
      </c>
      <c r="B98" s="1060"/>
      <c r="C98" s="1052"/>
      <c r="D98" s="1052"/>
      <c r="E98" s="1052"/>
      <c r="F98" s="1053"/>
      <c r="G98" s="1061"/>
      <c r="H98" s="1055"/>
      <c r="L98" s="1008"/>
      <c r="M98" s="1056" t="str">
        <f t="shared" si="2"/>
        <v/>
      </c>
      <c r="N98" s="779">
        <f>IFERROR(VLOOKUP(F98,Ch8_Storage,2, FALSE),0)</f>
        <v>0</v>
      </c>
    </row>
    <row r="99" ht="18.75" customHeight="1">
      <c r="A99" s="716">
        <f>IFERROR(VLOOKUP(H99,PartyStorage,2, FALSE),0)</f>
        <v>0</v>
      </c>
      <c r="B99" s="1057"/>
      <c r="C99" s="1058"/>
      <c r="D99" s="1058"/>
      <c r="E99" s="1058"/>
      <c r="F99" s="1062"/>
      <c r="G99" s="1059"/>
      <c r="H99" s="1048"/>
      <c r="L99" s="1003"/>
      <c r="M99" s="1049" t="str">
        <f t="shared" si="2"/>
        <v/>
      </c>
      <c r="N99" s="779">
        <f>IFERROR(VLOOKUP(F99,Ch8_Storage,2, FALSE),0)</f>
        <v>0</v>
      </c>
    </row>
    <row r="100" ht="18.75" customHeight="1">
      <c r="A100" s="716">
        <f>IFERROR(VLOOKUP(H100,PartyStorage,2, FALSE),0)</f>
        <v>0</v>
      </c>
      <c r="B100" s="1060"/>
      <c r="C100" s="1052"/>
      <c r="D100" s="1052"/>
      <c r="E100" s="1052"/>
      <c r="F100" s="1053"/>
      <c r="G100" s="1061"/>
      <c r="H100" s="1055"/>
      <c r="L100" s="1008"/>
      <c r="M100" s="1056" t="str">
        <f t="shared" si="2"/>
        <v/>
      </c>
      <c r="N100" s="779">
        <f>IFERROR(VLOOKUP(F100,Ch8_Storage,2, FALSE),0)</f>
        <v>0</v>
      </c>
    </row>
    <row r="101" ht="18.75" customHeight="1">
      <c r="A101" s="716">
        <f>IFERROR(VLOOKUP(H101,PartyStorage,2, FALSE),0)</f>
        <v>0</v>
      </c>
      <c r="B101" s="1057"/>
      <c r="C101" s="1058"/>
      <c r="D101" s="1058"/>
      <c r="E101" s="1058"/>
      <c r="F101" s="1062"/>
      <c r="G101" s="1059"/>
      <c r="H101" s="1048"/>
      <c r="L101" s="1003"/>
      <c r="M101" s="1049" t="str">
        <f t="shared" si="2"/>
        <v/>
      </c>
      <c r="N101" s="779">
        <f>IFERROR(VLOOKUP(F101,Ch8_Storage,2, FALSE),0)</f>
        <v>0</v>
      </c>
    </row>
    <row r="102" ht="18.75" customHeight="1">
      <c r="A102" s="716">
        <f>IFERROR(VLOOKUP(H102,PartyStorage,2, FALSE),0)</f>
        <v>0</v>
      </c>
      <c r="B102" s="1060"/>
      <c r="C102" s="1052"/>
      <c r="D102" s="1052"/>
      <c r="E102" s="1052"/>
      <c r="F102" s="1053"/>
      <c r="G102" s="1061"/>
      <c r="H102" s="1055"/>
      <c r="L102" s="1008"/>
      <c r="M102" s="1056" t="str">
        <f t="shared" si="2"/>
        <v/>
      </c>
      <c r="N102" s="779">
        <f>IFERROR(VLOOKUP(F102,Ch8_Storage,2, FALSE),0)</f>
        <v>0</v>
      </c>
    </row>
    <row r="103" ht="18.75" customHeight="1">
      <c r="A103" s="716">
        <f>IFERROR(VLOOKUP(H103,PartyStorage,2, FALSE),0)</f>
        <v>0</v>
      </c>
      <c r="B103" s="1057"/>
      <c r="C103" s="1058"/>
      <c r="D103" s="1058"/>
      <c r="E103" s="1058"/>
      <c r="F103" s="1062"/>
      <c r="G103" s="1059"/>
      <c r="H103" s="1048"/>
      <c r="L103" s="1003"/>
      <c r="M103" s="1049" t="str">
        <f t="shared" si="2"/>
        <v/>
      </c>
      <c r="N103" s="779">
        <f>IFERROR(VLOOKUP(F103,Ch8_Storage,2, FALSE),0)</f>
        <v>0</v>
      </c>
    </row>
    <row r="104" ht="18.75" customHeight="1">
      <c r="A104" s="716">
        <f>IFERROR(VLOOKUP(H104,PartyStorage,2, FALSE),0)</f>
        <v>0</v>
      </c>
      <c r="B104" s="1060"/>
      <c r="C104" s="1052"/>
      <c r="D104" s="1052"/>
      <c r="E104" s="1052"/>
      <c r="F104" s="1053"/>
      <c r="G104" s="1061"/>
      <c r="H104" s="1055"/>
      <c r="L104" s="1008"/>
      <c r="M104" s="1056" t="str">
        <f t="shared" si="2"/>
        <v/>
      </c>
      <c r="N104" s="779">
        <f>IFERROR(VLOOKUP(F104,Ch8_Storage,2, FALSE),0)</f>
        <v>0</v>
      </c>
    </row>
    <row r="105" ht="18.75" customHeight="1">
      <c r="A105" s="716">
        <f>IFERROR(VLOOKUP(H105,PartyStorage,2, FALSE),0)</f>
        <v>0</v>
      </c>
      <c r="B105" s="1057"/>
      <c r="C105" s="1058"/>
      <c r="D105" s="1058"/>
      <c r="E105" s="1058"/>
      <c r="F105" s="1062"/>
      <c r="G105" s="1059"/>
      <c r="H105" s="1048"/>
      <c r="L105" s="1003"/>
      <c r="M105" s="1049" t="str">
        <f t="shared" si="2"/>
        <v/>
      </c>
      <c r="N105" s="779">
        <f>IFERROR(VLOOKUP(F105,Ch8_Storage,2, FALSE),0)</f>
        <v>0</v>
      </c>
    </row>
    <row r="106" ht="18.75" customHeight="1">
      <c r="A106" s="716">
        <f>IFERROR(VLOOKUP(H106,PartyStorage,2, FALSE),0)</f>
        <v>0</v>
      </c>
      <c r="B106" s="1060"/>
      <c r="C106" s="1052"/>
      <c r="D106" s="1052"/>
      <c r="E106" s="1052"/>
      <c r="F106" s="1053"/>
      <c r="G106" s="1061"/>
      <c r="H106" s="1055"/>
      <c r="L106" s="1008"/>
      <c r="M106" s="1056" t="str">
        <f t="shared" si="2"/>
        <v/>
      </c>
      <c r="N106" s="779">
        <f>IFERROR(VLOOKUP(F106,Ch8_Storage,2, FALSE),0)</f>
        <v>0</v>
      </c>
    </row>
    <row r="107" ht="18.75" customHeight="1">
      <c r="A107" s="716">
        <f>IFERROR(VLOOKUP(H107,PartyStorage,2, FALSE),0)</f>
        <v>0</v>
      </c>
      <c r="B107" s="1057"/>
      <c r="C107" s="1058"/>
      <c r="D107" s="1058"/>
      <c r="E107" s="1058"/>
      <c r="F107" s="1062"/>
      <c r="G107" s="1059"/>
      <c r="H107" s="1048"/>
      <c r="L107" s="1003"/>
      <c r="M107" s="1049" t="str">
        <f t="shared" si="2"/>
        <v/>
      </c>
      <c r="N107" s="779">
        <f>IFERROR(VLOOKUP(F107,Ch8_Storage,2, FALSE),0)</f>
        <v>0</v>
      </c>
    </row>
    <row r="108" ht="18.75" customHeight="1">
      <c r="A108" s="716">
        <f>IFERROR(VLOOKUP(H108,PartyStorage,2, FALSE),0)</f>
        <v>0</v>
      </c>
      <c r="B108" s="1060"/>
      <c r="C108" s="1052"/>
      <c r="D108" s="1052"/>
      <c r="E108" s="1052"/>
      <c r="F108" s="1053"/>
      <c r="G108" s="1061"/>
      <c r="H108" s="1055"/>
      <c r="L108" s="1008"/>
      <c r="M108" s="1056" t="str">
        <f t="shared" si="2"/>
        <v/>
      </c>
      <c r="N108" s="779">
        <f>IFERROR(VLOOKUP(F108,Ch8_Storage,2, FALSE),0)</f>
        <v>0</v>
      </c>
    </row>
    <row r="109" ht="18.75" customHeight="1">
      <c r="A109" s="716">
        <f>IFERROR(VLOOKUP(H109,PartyStorage,2, FALSE),0)</f>
        <v>0</v>
      </c>
      <c r="B109" s="1057"/>
      <c r="C109" s="1058"/>
      <c r="D109" s="1058"/>
      <c r="E109" s="1058"/>
      <c r="F109" s="1062"/>
      <c r="G109" s="1059"/>
      <c r="H109" s="1048"/>
      <c r="L109" s="1003"/>
      <c r="M109" s="1049" t="str">
        <f t="shared" si="2"/>
        <v/>
      </c>
      <c r="N109" s="779">
        <f>IFERROR(VLOOKUP(F109,Ch8_Storage,2, FALSE),0)</f>
        <v>0</v>
      </c>
    </row>
    <row r="110" ht="18.75" customHeight="1">
      <c r="A110" s="716">
        <f>IFERROR(VLOOKUP(H110,PartyStorage,2, FALSE),0)</f>
        <v>0</v>
      </c>
      <c r="B110" s="1060"/>
      <c r="C110" s="1052"/>
      <c r="D110" s="1052"/>
      <c r="E110" s="1052"/>
      <c r="F110" s="1053"/>
      <c r="G110" s="1061"/>
      <c r="H110" s="1055"/>
      <c r="L110" s="1008"/>
      <c r="M110" s="1056" t="str">
        <f t="shared" si="2"/>
        <v/>
      </c>
      <c r="N110" s="779">
        <f>IFERROR(VLOOKUP(F110,Ch8_Storage,2, FALSE),0)</f>
        <v>0</v>
      </c>
    </row>
    <row r="111" ht="18.75" customHeight="1">
      <c r="A111" s="716">
        <f>IFERROR(VLOOKUP(H111,PartyStorage,2, FALSE),0)</f>
        <v>0</v>
      </c>
      <c r="B111" s="1057"/>
      <c r="C111" s="1058"/>
      <c r="D111" s="1058"/>
      <c r="E111" s="1058"/>
      <c r="F111" s="1062"/>
      <c r="G111" s="1059"/>
      <c r="H111" s="1048"/>
      <c r="L111" s="1003"/>
      <c r="M111" s="1049" t="str">
        <f t="shared" si="2"/>
        <v/>
      </c>
      <c r="N111" s="779">
        <f>IFERROR(VLOOKUP(F111,Ch8_Storage,2, FALSE),0)</f>
        <v>0</v>
      </c>
    </row>
    <row r="112" ht="18.75" customHeight="1">
      <c r="A112" s="716">
        <f>IFERROR(VLOOKUP(H112,PartyStorage,2, FALSE),0)</f>
        <v>0</v>
      </c>
      <c r="B112" s="1060"/>
      <c r="C112" s="1052"/>
      <c r="D112" s="1052"/>
      <c r="E112" s="1052"/>
      <c r="F112" s="1053"/>
      <c r="G112" s="1061"/>
      <c r="H112" s="1055"/>
      <c r="L112" s="1008"/>
      <c r="M112" s="1056" t="str">
        <f t="shared" si="2"/>
        <v/>
      </c>
      <c r="N112" s="779">
        <f>IFERROR(VLOOKUP(F112,Ch8_Storage,2, FALSE),0)</f>
        <v>0</v>
      </c>
    </row>
    <row r="113" ht="18.75" customHeight="1">
      <c r="A113" s="716">
        <f>IFERROR(VLOOKUP(H113,PartyStorage,2, FALSE),0)</f>
        <v>0</v>
      </c>
      <c r="B113" s="1057"/>
      <c r="C113" s="1058"/>
      <c r="D113" s="1058"/>
      <c r="E113" s="1058"/>
      <c r="F113" s="1062"/>
      <c r="G113" s="1059"/>
      <c r="H113" s="1048"/>
      <c r="L113" s="1003"/>
      <c r="M113" s="1049" t="str">
        <f t="shared" si="2"/>
        <v/>
      </c>
      <c r="N113" s="779">
        <f>IFERROR(VLOOKUP(F113,Ch8_Storage,2, FALSE),0)</f>
        <v>0</v>
      </c>
    </row>
    <row r="114" ht="18.75" customHeight="1">
      <c r="A114" s="716">
        <f>IFERROR(VLOOKUP(H114,PartyStorage,2, FALSE),0)</f>
        <v>0</v>
      </c>
      <c r="B114" s="1060"/>
      <c r="C114" s="1052"/>
      <c r="D114" s="1052"/>
      <c r="E114" s="1052"/>
      <c r="F114" s="1053"/>
      <c r="G114" s="1061"/>
      <c r="H114" s="1055"/>
      <c r="L114" s="1008"/>
      <c r="M114" s="1056" t="str">
        <f t="shared" si="2"/>
        <v/>
      </c>
      <c r="N114" s="779">
        <f>IFERROR(VLOOKUP(F114,Ch8_Storage,2, FALSE),0)</f>
        <v>0</v>
      </c>
    </row>
    <row r="115" ht="18.75" customHeight="1">
      <c r="A115" s="716">
        <f>IFERROR(VLOOKUP(H115,PartyStorage,2, FALSE),0)</f>
        <v>0</v>
      </c>
      <c r="B115" s="1057"/>
      <c r="C115" s="1058"/>
      <c r="D115" s="1058"/>
      <c r="E115" s="1058"/>
      <c r="F115" s="1062"/>
      <c r="G115" s="1059"/>
      <c r="H115" s="1048"/>
      <c r="L115" s="1003"/>
      <c r="M115" s="1049" t="str">
        <f t="shared" si="2"/>
        <v/>
      </c>
      <c r="N115" s="779">
        <f>IFERROR(VLOOKUP(F115,Ch8_Storage,2, FALSE),0)</f>
        <v>0</v>
      </c>
    </row>
    <row r="116" ht="18.75" customHeight="1">
      <c r="A116" s="716">
        <f>IFERROR(VLOOKUP(H116,PartyStorage,2, FALSE),0)</f>
        <v>0</v>
      </c>
      <c r="B116" s="1060"/>
      <c r="C116" s="1052"/>
      <c r="D116" s="1052"/>
      <c r="E116" s="1052"/>
      <c r="F116" s="1053"/>
      <c r="G116" s="1061"/>
      <c r="H116" s="1055"/>
      <c r="L116" s="1008"/>
      <c r="M116" s="1056" t="str">
        <f t="shared" si="2"/>
        <v/>
      </c>
      <c r="N116" s="779">
        <f>IFERROR(VLOOKUP(F116,Ch8_Storage,2, FALSE),0)</f>
        <v>0</v>
      </c>
    </row>
    <row r="117" ht="18.75" customHeight="1">
      <c r="A117" s="716">
        <f>IFERROR(VLOOKUP(H117,PartyStorage,2, FALSE),0)</f>
        <v>0</v>
      </c>
      <c r="B117" s="1057"/>
      <c r="C117" s="1058"/>
      <c r="D117" s="1058"/>
      <c r="E117" s="1058"/>
      <c r="F117" s="1062"/>
      <c r="G117" s="1059"/>
      <c r="H117" s="1048"/>
      <c r="L117" s="1003"/>
      <c r="M117" s="1049" t="str">
        <f t="shared" si="2"/>
        <v/>
      </c>
      <c r="N117" s="779">
        <f>IFERROR(VLOOKUP(F117,Ch8_Storage,2, FALSE),0)</f>
        <v>0</v>
      </c>
    </row>
    <row r="118" ht="18.75" customHeight="1">
      <c r="A118" s="716">
        <f>IFERROR(VLOOKUP(H118,PartyStorage,2, FALSE),0)</f>
        <v>0</v>
      </c>
      <c r="B118" s="1060"/>
      <c r="C118" s="1052"/>
      <c r="D118" s="1052"/>
      <c r="E118" s="1052"/>
      <c r="F118" s="1053"/>
      <c r="G118" s="1061"/>
      <c r="H118" s="1055"/>
      <c r="L118" s="1008"/>
      <c r="M118" s="1056" t="str">
        <f t="shared" si="2"/>
        <v/>
      </c>
      <c r="N118" s="779">
        <f>IFERROR(VLOOKUP(F118,Ch8_Storage,2, FALSE),0)</f>
        <v>0</v>
      </c>
    </row>
    <row r="119" ht="18.75" customHeight="1">
      <c r="A119" s="716">
        <f>IFERROR(VLOOKUP(H119,PartyStorage,2, FALSE),0)</f>
        <v>0</v>
      </c>
      <c r="B119" s="1057"/>
      <c r="C119" s="1058"/>
      <c r="D119" s="1058"/>
      <c r="E119" s="1058"/>
      <c r="F119" s="1062"/>
      <c r="G119" s="1059"/>
      <c r="H119" s="1048"/>
      <c r="L119" s="1003"/>
      <c r="M119" s="1049" t="str">
        <f t="shared" si="2"/>
        <v/>
      </c>
      <c r="N119" s="779">
        <f>IFERROR(VLOOKUP(F119,Ch8_Storage,2, FALSE),0)</f>
        <v>0</v>
      </c>
    </row>
    <row r="120" ht="18.75" customHeight="1">
      <c r="A120" s="716">
        <f>IFERROR(VLOOKUP(H120,PartyStorage,2, FALSE),0)</f>
        <v>0</v>
      </c>
      <c r="B120" s="1060"/>
      <c r="C120" s="1052"/>
      <c r="D120" s="1052"/>
      <c r="E120" s="1052"/>
      <c r="F120" s="1053"/>
      <c r="G120" s="1061"/>
      <c r="H120" s="1055"/>
      <c r="L120" s="1008"/>
      <c r="M120" s="1056" t="str">
        <f t="shared" si="2"/>
        <v/>
      </c>
      <c r="N120" s="779">
        <f>IFERROR(VLOOKUP(F120,Ch8_Storage,2, FALSE),0)</f>
        <v>0</v>
      </c>
    </row>
    <row r="121" ht="18.75" customHeight="1">
      <c r="A121" s="716">
        <f>IFERROR(VLOOKUP(H121,PartyStorage,2, FALSE),0)</f>
        <v>0</v>
      </c>
      <c r="B121" s="1057"/>
      <c r="C121" s="1058"/>
      <c r="D121" s="1058"/>
      <c r="E121" s="1058"/>
      <c r="F121" s="1062"/>
      <c r="G121" s="1059"/>
      <c r="H121" s="1048"/>
      <c r="L121" s="1003"/>
      <c r="M121" s="1049" t="str">
        <f t="shared" si="2"/>
        <v/>
      </c>
      <c r="N121" s="779">
        <f>IFERROR(VLOOKUP(F121,Ch8_Storage,2, FALSE),0)</f>
        <v>0</v>
      </c>
    </row>
    <row r="122" ht="18.75" customHeight="1">
      <c r="A122" s="716">
        <f>IFERROR(VLOOKUP(H122,PartyStorage,2, FALSE),0)</f>
        <v>0</v>
      </c>
      <c r="B122" s="1060"/>
      <c r="C122" s="1052"/>
      <c r="D122" s="1052"/>
      <c r="E122" s="1052"/>
      <c r="F122" s="1053"/>
      <c r="G122" s="1061"/>
      <c r="H122" s="1055"/>
      <c r="L122" s="1008"/>
      <c r="M122" s="1056" t="str">
        <f t="shared" si="2"/>
        <v/>
      </c>
      <c r="N122" s="779">
        <f>IFERROR(VLOOKUP(F122,Ch8_Storage,2, FALSE),0)</f>
        <v>0</v>
      </c>
    </row>
    <row r="123" ht="18.75" customHeight="1">
      <c r="A123" s="716">
        <f>IFERROR(VLOOKUP(H123,PartyStorage,2, FALSE),0)</f>
        <v>0</v>
      </c>
      <c r="B123" s="1057"/>
      <c r="C123" s="1058"/>
      <c r="D123" s="1058"/>
      <c r="E123" s="1058"/>
      <c r="F123" s="1062"/>
      <c r="G123" s="1059"/>
      <c r="H123" s="1048"/>
      <c r="L123" s="1003"/>
      <c r="M123" s="1049" t="str">
        <f t="shared" si="2"/>
        <v/>
      </c>
      <c r="N123" s="779">
        <f>IFERROR(VLOOKUP(F123,Ch8_Storage,2, FALSE),0)</f>
        <v>0</v>
      </c>
    </row>
    <row r="124" ht="18.75" customHeight="1">
      <c r="A124" s="716">
        <f>IFERROR(VLOOKUP(H124,PartyStorage,2, FALSE),0)</f>
        <v>0</v>
      </c>
      <c r="B124" s="1060"/>
      <c r="C124" s="1052"/>
      <c r="D124" s="1052"/>
      <c r="E124" s="1052"/>
      <c r="F124" s="1053"/>
      <c r="G124" s="1061"/>
      <c r="H124" s="1055"/>
      <c r="L124" s="1008"/>
      <c r="M124" s="1056" t="str">
        <f t="shared" si="2"/>
        <v/>
      </c>
      <c r="N124" s="779">
        <f>IFERROR(VLOOKUP(F124,Ch8_Storage,2, FALSE),0)</f>
        <v>0</v>
      </c>
    </row>
    <row r="125" ht="18.75" customHeight="1">
      <c r="A125" s="716">
        <f>IFERROR(VLOOKUP(H125,PartyStorage,2, FALSE),0)</f>
        <v>0</v>
      </c>
      <c r="B125" s="1057"/>
      <c r="C125" s="1058"/>
      <c r="D125" s="1058"/>
      <c r="E125" s="1058"/>
      <c r="F125" s="1062"/>
      <c r="G125" s="1059"/>
      <c r="H125" s="1048"/>
      <c r="L125" s="1003"/>
      <c r="M125" s="1049" t="str">
        <f t="shared" si="2"/>
        <v/>
      </c>
      <c r="N125" s="779">
        <f>IFERROR(VLOOKUP(F125,Ch8_Storage,2, FALSE),0)</f>
        <v>0</v>
      </c>
    </row>
    <row r="126" ht="18.75" customHeight="1">
      <c r="A126" s="716">
        <f>IFERROR(VLOOKUP(H126,PartyStorage,2, FALSE),0)</f>
        <v>0</v>
      </c>
      <c r="B126" s="1060"/>
      <c r="C126" s="1052"/>
      <c r="D126" s="1052"/>
      <c r="E126" s="1052"/>
      <c r="F126" s="1053"/>
      <c r="G126" s="1061"/>
      <c r="H126" s="1055"/>
      <c r="L126" s="1008"/>
      <c r="M126" s="1056" t="str">
        <f t="shared" si="2"/>
        <v/>
      </c>
      <c r="N126" s="779">
        <f>IFERROR(VLOOKUP(F126,Ch8_Storage,2, FALSE),0)</f>
        <v>0</v>
      </c>
    </row>
    <row r="127" ht="18.75" customHeight="1">
      <c r="A127" s="716">
        <f>IFERROR(VLOOKUP(H127,PartyStorage,2, FALSE),0)</f>
        <v>0</v>
      </c>
      <c r="B127" s="1057"/>
      <c r="C127" s="1058"/>
      <c r="D127" s="1058"/>
      <c r="E127" s="1058"/>
      <c r="F127" s="1062"/>
      <c r="G127" s="1059"/>
      <c r="H127" s="1048"/>
      <c r="L127" s="1003"/>
      <c r="M127" s="1049" t="str">
        <f t="shared" si="2"/>
        <v/>
      </c>
      <c r="N127" s="779">
        <f>IFERROR(VLOOKUP(F127,Ch8_Storage,2, FALSE),0)</f>
        <v>0</v>
      </c>
    </row>
    <row r="128" ht="18.75" customHeight="1">
      <c r="A128" s="716">
        <f>IFERROR(VLOOKUP(H128,PartyStorage,2, FALSE),0)</f>
        <v>0</v>
      </c>
      <c r="B128" s="1060"/>
      <c r="C128" s="1052"/>
      <c r="D128" s="1052"/>
      <c r="E128" s="1052"/>
      <c r="F128" s="1053"/>
      <c r="G128" s="1061"/>
      <c r="H128" s="1055"/>
      <c r="L128" s="1008"/>
      <c r="M128" s="1056" t="str">
        <f t="shared" si="2"/>
        <v/>
      </c>
      <c r="N128" s="779">
        <f>IFERROR(VLOOKUP(F128,Ch8_Storage,2, FALSE),0)</f>
        <v>0</v>
      </c>
    </row>
    <row r="129" ht="18.75" customHeight="1">
      <c r="A129" s="716">
        <f>IFERROR(VLOOKUP(H129,PartyStorage,2, FALSE),0)</f>
        <v>0</v>
      </c>
      <c r="B129" s="1057"/>
      <c r="C129" s="1058"/>
      <c r="D129" s="1058"/>
      <c r="E129" s="1058"/>
      <c r="F129" s="1062"/>
      <c r="G129" s="1059"/>
      <c r="H129" s="1048"/>
      <c r="L129" s="1003"/>
      <c r="M129" s="1049" t="str">
        <f t="shared" si="2"/>
        <v/>
      </c>
      <c r="N129" s="779">
        <f>IFERROR(VLOOKUP(F129,Ch8_Storage,2, FALSE),0)</f>
        <v>0</v>
      </c>
    </row>
    <row r="130" ht="18.75" customHeight="1">
      <c r="A130" s="716">
        <f>IFERROR(VLOOKUP(H130,PartyStorage,2, FALSE),0)</f>
        <v>0</v>
      </c>
      <c r="B130" s="1060"/>
      <c r="C130" s="1052"/>
      <c r="D130" s="1052"/>
      <c r="E130" s="1052"/>
      <c r="F130" s="1053"/>
      <c r="G130" s="1061"/>
      <c r="H130" s="1055"/>
      <c r="L130" s="1008"/>
      <c r="M130" s="1056" t="str">
        <f t="shared" si="2"/>
        <v/>
      </c>
      <c r="N130" s="779">
        <f>IFERROR(VLOOKUP(F130,Ch8_Storage,2, FALSE),0)</f>
        <v>0</v>
      </c>
    </row>
    <row r="131" ht="18.75" customHeight="1">
      <c r="A131" s="716">
        <f>IFERROR(VLOOKUP(H131,PartyStorage,2, FALSE),0)</f>
        <v>0</v>
      </c>
      <c r="B131" s="1057"/>
      <c r="C131" s="1058"/>
      <c r="D131" s="1058"/>
      <c r="E131" s="1058"/>
      <c r="F131" s="1062"/>
      <c r="G131" s="1059"/>
      <c r="H131" s="1048"/>
      <c r="L131" s="1003"/>
      <c r="M131" s="1049" t="str">
        <f t="shared" si="2"/>
        <v/>
      </c>
      <c r="N131" s="779">
        <f>IFERROR(VLOOKUP(F131,Ch8_Storage,2, FALSE),0)</f>
        <v>0</v>
      </c>
    </row>
    <row r="132" ht="18.75" customHeight="1">
      <c r="A132" s="716">
        <f>IFERROR(VLOOKUP(H132,PartyStorage,2, FALSE),0)</f>
        <v>0</v>
      </c>
      <c r="B132" s="1060"/>
      <c r="C132" s="1052"/>
      <c r="D132" s="1052"/>
      <c r="E132" s="1052"/>
      <c r="F132" s="1053"/>
      <c r="G132" s="1061"/>
      <c r="H132" s="1055"/>
      <c r="L132" s="1008"/>
      <c r="M132" s="1056" t="str">
        <f t="shared" si="2"/>
        <v/>
      </c>
      <c r="N132" s="779">
        <f>IFERROR(VLOOKUP(F132,Ch8_Storage,2, FALSE),0)</f>
        <v>0</v>
      </c>
    </row>
    <row r="133" ht="18.75" customHeight="1">
      <c r="A133" s="716">
        <f>IFERROR(VLOOKUP(H133,PartyStorage,2, FALSE),0)</f>
        <v>0</v>
      </c>
      <c r="B133" s="1057"/>
      <c r="C133" s="1058"/>
      <c r="D133" s="1058"/>
      <c r="E133" s="1058"/>
      <c r="F133" s="1062"/>
      <c r="G133" s="1059"/>
      <c r="H133" s="1048"/>
      <c r="L133" s="1003"/>
      <c r="M133" s="1049" t="str">
        <f t="shared" si="2"/>
        <v/>
      </c>
      <c r="N133" s="779">
        <f>IFERROR(VLOOKUP(F133,Ch8_Storage,2, FALSE),0)</f>
        <v>0</v>
      </c>
    </row>
    <row r="134" ht="18.75" customHeight="1">
      <c r="A134" s="716">
        <f>IFERROR(VLOOKUP(H134,PartyStorage,2, FALSE),0)</f>
        <v>0</v>
      </c>
      <c r="B134" s="1060"/>
      <c r="C134" s="1052"/>
      <c r="D134" s="1052"/>
      <c r="E134" s="1052"/>
      <c r="F134" s="1053"/>
      <c r="G134" s="1061"/>
      <c r="H134" s="1055"/>
      <c r="L134" s="1008"/>
      <c r="M134" s="1056" t="str">
        <f t="shared" si="2"/>
        <v/>
      </c>
      <c r="N134" s="779">
        <f>IFERROR(VLOOKUP(F134,Ch8_Storage,2, FALSE),0)</f>
        <v>0</v>
      </c>
    </row>
    <row r="135" ht="18.75" customHeight="1">
      <c r="A135" s="716">
        <f>IFERROR(VLOOKUP(H135,PartyStorage,2, FALSE),0)</f>
        <v>0</v>
      </c>
      <c r="B135" s="1057"/>
      <c r="C135" s="1058"/>
      <c r="D135" s="1058"/>
      <c r="E135" s="1058"/>
      <c r="F135" s="1062"/>
      <c r="G135" s="1059"/>
      <c r="H135" s="1048"/>
      <c r="L135" s="1003"/>
      <c r="M135" s="1049" t="str">
        <f t="shared" si="2"/>
        <v/>
      </c>
      <c r="N135" s="779">
        <f>IFERROR(VLOOKUP(F135,Ch8_Storage,2, FALSE),0)</f>
        <v>0</v>
      </c>
    </row>
    <row r="136" ht="18.75" customHeight="1">
      <c r="A136" s="716">
        <f>IFERROR(VLOOKUP(H136,PartyStorage,2, FALSE),0)</f>
        <v>0</v>
      </c>
      <c r="B136" s="1060"/>
      <c r="C136" s="1052"/>
      <c r="D136" s="1052"/>
      <c r="E136" s="1052"/>
      <c r="F136" s="1053"/>
      <c r="G136" s="1061"/>
      <c r="H136" s="1055"/>
      <c r="L136" s="1008"/>
      <c r="M136" s="1056" t="str">
        <f t="shared" si="2"/>
        <v/>
      </c>
      <c r="N136" s="779">
        <f>IFERROR(VLOOKUP(F136,Ch8_Storage,2, FALSE),0)</f>
        <v>0</v>
      </c>
    </row>
    <row r="137" ht="18.75" customHeight="1">
      <c r="A137" s="716">
        <f>IFERROR(VLOOKUP(H137,PartyStorage,2, FALSE),0)</f>
        <v>0</v>
      </c>
      <c r="B137" s="1057"/>
      <c r="C137" s="1058"/>
      <c r="D137" s="1058"/>
      <c r="E137" s="1058"/>
      <c r="F137" s="1062"/>
      <c r="G137" s="1059"/>
      <c r="H137" s="1048"/>
      <c r="L137" s="1003"/>
      <c r="M137" s="1049" t="str">
        <f t="shared" si="2"/>
        <v/>
      </c>
      <c r="N137" s="779">
        <f>IFERROR(VLOOKUP(F137,Ch8_Storage,2, FALSE),0)</f>
        <v>0</v>
      </c>
    </row>
    <row r="138" ht="18.75" customHeight="1">
      <c r="A138" s="716">
        <f>IFERROR(VLOOKUP(H138,PartyStorage,2, FALSE),0)</f>
        <v>0</v>
      </c>
      <c r="B138" s="1060"/>
      <c r="C138" s="1052"/>
      <c r="D138" s="1052"/>
      <c r="E138" s="1052"/>
      <c r="F138" s="1053"/>
      <c r="G138" s="1061"/>
      <c r="H138" s="1055"/>
      <c r="L138" s="1008"/>
      <c r="M138" s="1056" t="str">
        <f t="shared" si="2"/>
        <v/>
      </c>
      <c r="N138" s="779">
        <f>IFERROR(VLOOKUP(F138,Ch8_Storage,2, FALSE),0)</f>
        <v>0</v>
      </c>
    </row>
    <row r="139" ht="18.75" customHeight="1">
      <c r="A139" s="716">
        <f>IFERROR(VLOOKUP(H139,PartyStorage,2, FALSE),0)</f>
        <v>0</v>
      </c>
      <c r="B139" s="1057"/>
      <c r="C139" s="1058"/>
      <c r="D139" s="1058"/>
      <c r="E139" s="1058"/>
      <c r="F139" s="1062"/>
      <c r="G139" s="1059"/>
      <c r="H139" s="1048"/>
      <c r="L139" s="1003"/>
      <c r="M139" s="1049" t="str">
        <f t="shared" si="2"/>
        <v/>
      </c>
      <c r="N139" s="779">
        <f>IFERROR(VLOOKUP(F139,Ch8_Storage,2, FALSE),0)</f>
        <v>0</v>
      </c>
    </row>
    <row r="140" ht="18.75" customHeight="1">
      <c r="A140" s="716">
        <f>IFERROR(VLOOKUP(H140,PartyStorage,2, FALSE),0)</f>
        <v>0</v>
      </c>
      <c r="B140" s="1060"/>
      <c r="C140" s="1052"/>
      <c r="D140" s="1052"/>
      <c r="E140" s="1052"/>
      <c r="F140" s="1053"/>
      <c r="G140" s="1061"/>
      <c r="H140" s="1055"/>
      <c r="L140" s="1008"/>
      <c r="M140" s="1056" t="str">
        <f t="shared" si="2"/>
        <v/>
      </c>
      <c r="N140" s="779">
        <f>IFERROR(VLOOKUP(F140,Ch8_Storage,2, FALSE),0)</f>
        <v>0</v>
      </c>
    </row>
    <row r="141" ht="18.75" customHeight="1">
      <c r="A141" s="716">
        <f>IFERROR(VLOOKUP(H141,PartyStorage,2, FALSE),0)</f>
        <v>0</v>
      </c>
      <c r="B141" s="1057"/>
      <c r="C141" s="1058"/>
      <c r="D141" s="1058"/>
      <c r="E141" s="1058"/>
      <c r="F141" s="1062"/>
      <c r="G141" s="1059"/>
      <c r="H141" s="1048"/>
      <c r="L141" s="1003"/>
      <c r="M141" s="1049" t="str">
        <f t="shared" si="2"/>
        <v/>
      </c>
      <c r="N141" s="779">
        <f>IFERROR(VLOOKUP(F141,Ch8_Storage,2, FALSE),0)</f>
        <v>0</v>
      </c>
    </row>
    <row r="142" ht="18.75" customHeight="1">
      <c r="A142" s="716">
        <f>IFERROR(VLOOKUP(H142,PartyStorage,2, FALSE),0)</f>
        <v>0</v>
      </c>
      <c r="B142" s="1060"/>
      <c r="C142" s="1052"/>
      <c r="D142" s="1052"/>
      <c r="E142" s="1052"/>
      <c r="F142" s="1053"/>
      <c r="G142" s="1061"/>
      <c r="H142" s="1055"/>
      <c r="L142" s="1008"/>
      <c r="M142" s="1056" t="str">
        <f t="shared" si="2"/>
        <v/>
      </c>
      <c r="N142" s="779">
        <f>IFERROR(VLOOKUP(F142,Ch8_Storage,2, FALSE),0)</f>
        <v>0</v>
      </c>
    </row>
    <row r="143" ht="18.75" customHeight="1">
      <c r="A143" s="716">
        <f>IFERROR(VLOOKUP(H143,PartyStorage,2, FALSE),0)</f>
        <v>0</v>
      </c>
      <c r="B143" s="1057"/>
      <c r="C143" s="1058"/>
      <c r="D143" s="1058"/>
      <c r="E143" s="1058"/>
      <c r="F143" s="1062"/>
      <c r="G143" s="1059"/>
      <c r="H143" s="1048"/>
      <c r="L143" s="1003"/>
      <c r="M143" s="1049" t="str">
        <f t="shared" si="2"/>
        <v/>
      </c>
      <c r="N143" s="779">
        <f>IFERROR(VLOOKUP(F143,Ch8_Storage,2, FALSE),0)</f>
        <v>0</v>
      </c>
    </row>
    <row r="144" ht="18.75" customHeight="1">
      <c r="A144" s="716">
        <f>IFERROR(VLOOKUP(H144,PartyStorage,2, FALSE),0)</f>
        <v>0</v>
      </c>
      <c r="B144" s="1060"/>
      <c r="C144" s="1052"/>
      <c r="D144" s="1052"/>
      <c r="E144" s="1052"/>
      <c r="F144" s="1053"/>
      <c r="G144" s="1061"/>
      <c r="H144" s="1055"/>
      <c r="L144" s="1008"/>
      <c r="M144" s="1056" t="str">
        <f t="shared" si="2"/>
        <v/>
      </c>
      <c r="N144" s="779">
        <f>IFERROR(VLOOKUP(F144,Ch8_Storage,2, FALSE),0)</f>
        <v>0</v>
      </c>
    </row>
    <row r="145" ht="18.75" customHeight="1">
      <c r="A145" s="716">
        <f>IFERROR(VLOOKUP(H145,PartyStorage,2, FALSE),0)</f>
        <v>0</v>
      </c>
      <c r="B145" s="1057"/>
      <c r="C145" s="1058"/>
      <c r="D145" s="1058"/>
      <c r="E145" s="1058"/>
      <c r="F145" s="1062"/>
      <c r="G145" s="1059"/>
      <c r="H145" s="1048"/>
      <c r="L145" s="1003"/>
      <c r="M145" s="1049" t="str">
        <f t="shared" si="2"/>
        <v/>
      </c>
      <c r="N145" s="779">
        <f>IFERROR(VLOOKUP(F145,Ch8_Storage,2, FALSE),0)</f>
        <v>0</v>
      </c>
    </row>
    <row r="146" ht="18.75" customHeight="1">
      <c r="A146" s="716">
        <f>IFERROR(VLOOKUP(H146,PartyStorage,2, FALSE),0)</f>
        <v>0</v>
      </c>
      <c r="B146" s="1060"/>
      <c r="C146" s="1052"/>
      <c r="D146" s="1052"/>
      <c r="E146" s="1052"/>
      <c r="F146" s="1053"/>
      <c r="G146" s="1061"/>
      <c r="H146" s="1055"/>
      <c r="L146" s="1008"/>
      <c r="M146" s="1056" t="str">
        <f t="shared" si="2"/>
        <v/>
      </c>
      <c r="N146" s="779">
        <f>IFERROR(VLOOKUP(F146,Ch8_Storage,2, FALSE),0)</f>
        <v>0</v>
      </c>
    </row>
    <row r="147" ht="18.75" customHeight="1">
      <c r="A147" s="716">
        <f>IFERROR(VLOOKUP(H147,PartyStorage,2, FALSE),0)</f>
        <v>0</v>
      </c>
      <c r="B147" s="1057"/>
      <c r="C147" s="1058"/>
      <c r="D147" s="1058"/>
      <c r="E147" s="1058"/>
      <c r="F147" s="1062"/>
      <c r="G147" s="1059"/>
      <c r="H147" s="1048"/>
      <c r="L147" s="1003"/>
      <c r="M147" s="1049" t="str">
        <f t="shared" si="2"/>
        <v/>
      </c>
      <c r="N147" s="779">
        <f>IFERROR(VLOOKUP(F147,Ch8_Storage,2, FALSE),0)</f>
        <v>0</v>
      </c>
    </row>
    <row r="148" ht="18.75" customHeight="1">
      <c r="A148" s="716">
        <f>IFERROR(VLOOKUP(H148,PartyStorage,2, FALSE),0)</f>
        <v>0</v>
      </c>
      <c r="B148" s="1060"/>
      <c r="C148" s="1052"/>
      <c r="D148" s="1052"/>
      <c r="E148" s="1052"/>
      <c r="F148" s="1053"/>
      <c r="G148" s="1061"/>
      <c r="H148" s="1055"/>
      <c r="L148" s="1008"/>
      <c r="M148" s="1056" t="str">
        <f t="shared" si="2"/>
        <v/>
      </c>
      <c r="N148" s="779">
        <f>IFERROR(VLOOKUP(F148,Ch8_Storage,2, FALSE),0)</f>
        <v>0</v>
      </c>
    </row>
    <row r="149" ht="18.75" customHeight="1">
      <c r="A149" s="716">
        <f>IFERROR(VLOOKUP(H149,PartyStorage,2, FALSE),0)</f>
        <v>0</v>
      </c>
      <c r="B149" s="1057"/>
      <c r="C149" s="1058"/>
      <c r="D149" s="1058"/>
      <c r="E149" s="1058"/>
      <c r="F149" s="1062"/>
      <c r="G149" s="1059"/>
      <c r="H149" s="1048"/>
      <c r="L149" s="1003"/>
      <c r="M149" s="1049" t="str">
        <f t="shared" si="2"/>
        <v/>
      </c>
      <c r="N149" s="779">
        <f>IFERROR(VLOOKUP(F149,Ch8_Storage,2, FALSE),0)</f>
        <v>0</v>
      </c>
    </row>
    <row r="150" ht="18.75" customHeight="1">
      <c r="A150" s="716">
        <f>IFERROR(VLOOKUP(H150,PartyStorage,2, FALSE),0)</f>
        <v>0</v>
      </c>
      <c r="B150" s="1060"/>
      <c r="C150" s="1052"/>
      <c r="D150" s="1052"/>
      <c r="E150" s="1052"/>
      <c r="F150" s="1053"/>
      <c r="G150" s="1061"/>
      <c r="H150" s="1055"/>
      <c r="L150" s="1008"/>
      <c r="M150" s="1056" t="str">
        <f t="shared" si="2"/>
        <v/>
      </c>
      <c r="N150" s="779">
        <f>IFERROR(VLOOKUP(F150,Ch8_Storage,2, FALSE),0)</f>
        <v>0</v>
      </c>
    </row>
    <row r="151" ht="18.75" customHeight="1">
      <c r="A151" s="716">
        <f>IFERROR(VLOOKUP(H151,PartyStorage,2, FALSE),0)</f>
        <v>0</v>
      </c>
      <c r="B151" s="1057"/>
      <c r="C151" s="1058"/>
      <c r="D151" s="1058"/>
      <c r="E151" s="1058"/>
      <c r="F151" s="1062"/>
      <c r="G151" s="1059"/>
      <c r="H151" s="1048"/>
      <c r="L151" s="1003"/>
      <c r="M151" s="1049" t="str">
        <f t="shared" si="2"/>
        <v/>
      </c>
      <c r="N151" s="779">
        <f>IFERROR(VLOOKUP(F151,Ch8_Storage,2, FALSE),0)</f>
        <v>0</v>
      </c>
    </row>
    <row r="152" ht="18.75" customHeight="1">
      <c r="A152" s="716">
        <f>IFERROR(VLOOKUP(H152,PartyStorage,2, FALSE),0)</f>
        <v>0</v>
      </c>
      <c r="B152" s="1060"/>
      <c r="C152" s="1052"/>
      <c r="D152" s="1052"/>
      <c r="E152" s="1052"/>
      <c r="F152" s="1053"/>
      <c r="G152" s="1061"/>
      <c r="H152" s="1055"/>
      <c r="L152" s="1008"/>
      <c r="M152" s="1056" t="str">
        <f t="shared" si="2"/>
        <v/>
      </c>
      <c r="N152" s="779">
        <f>IFERROR(VLOOKUP(F152,Ch8_Storage,2, FALSE),0)</f>
        <v>0</v>
      </c>
    </row>
    <row r="153" ht="18.75" customHeight="1">
      <c r="A153" s="716">
        <f>IFERROR(VLOOKUP(H153,PartyStorage,2, FALSE),0)</f>
        <v>0</v>
      </c>
      <c r="B153" s="1057"/>
      <c r="C153" s="1058"/>
      <c r="D153" s="1058"/>
      <c r="E153" s="1058"/>
      <c r="F153" s="1062"/>
      <c r="G153" s="1059"/>
      <c r="H153" s="1048"/>
      <c r="L153" s="1003"/>
      <c r="M153" s="1049" t="str">
        <f t="shared" si="2"/>
        <v/>
      </c>
      <c r="N153" s="779">
        <f>IFERROR(VLOOKUP(F153,Ch8_Storage,2, FALSE),0)</f>
        <v>0</v>
      </c>
    </row>
    <row r="154" ht="18.75" customHeight="1">
      <c r="A154" s="716">
        <f>IFERROR(VLOOKUP(H154,PartyStorage,2, FALSE),0)</f>
        <v>0</v>
      </c>
      <c r="B154" s="1060"/>
      <c r="C154" s="1052"/>
      <c r="D154" s="1052"/>
      <c r="E154" s="1052"/>
      <c r="F154" s="1053"/>
      <c r="G154" s="1061"/>
      <c r="H154" s="1055"/>
      <c r="L154" s="1008"/>
      <c r="M154" s="1056" t="str">
        <f t="shared" si="2"/>
        <v/>
      </c>
      <c r="N154" s="779">
        <f>IFERROR(VLOOKUP(F154,Ch8_Storage,2, FALSE),0)</f>
        <v>0</v>
      </c>
    </row>
    <row r="155" ht="18.75" customHeight="1">
      <c r="A155" s="716">
        <f>IFERROR(VLOOKUP(H155,PartyStorage,2, FALSE),0)</f>
        <v>0</v>
      </c>
      <c r="B155" s="1057"/>
      <c r="C155" s="1058"/>
      <c r="D155" s="1058"/>
      <c r="E155" s="1058"/>
      <c r="F155" s="1062"/>
      <c r="G155" s="1059"/>
      <c r="H155" s="1048"/>
      <c r="L155" s="1003"/>
      <c r="M155" s="1049" t="str">
        <f t="shared" si="2"/>
        <v/>
      </c>
      <c r="N155" s="779">
        <f>IFERROR(VLOOKUP(F155,Ch8_Storage,2, FALSE),0)</f>
        <v>0</v>
      </c>
    </row>
    <row r="156" ht="18.75" customHeight="1">
      <c r="A156" s="716">
        <f>IFERROR(VLOOKUP(H156,PartyStorage,2, FALSE),0)</f>
        <v>0</v>
      </c>
      <c r="B156" s="1060"/>
      <c r="C156" s="1052"/>
      <c r="D156" s="1052"/>
      <c r="E156" s="1052"/>
      <c r="F156" s="1053"/>
      <c r="G156" s="1061"/>
      <c r="H156" s="1055"/>
      <c r="L156" s="1008"/>
      <c r="M156" s="1056" t="str">
        <f t="shared" si="2"/>
        <v/>
      </c>
      <c r="N156" s="779">
        <f>IFERROR(VLOOKUP(F156,Ch8_Storage,2, FALSE),0)</f>
        <v>0</v>
      </c>
    </row>
    <row r="157" ht="18.75" customHeight="1">
      <c r="A157" s="716">
        <f>IFERROR(VLOOKUP(H157,PartyStorage,2, FALSE),0)</f>
        <v>0</v>
      </c>
      <c r="B157" s="1057"/>
      <c r="C157" s="1058"/>
      <c r="D157" s="1058"/>
      <c r="E157" s="1058"/>
      <c r="F157" s="1062"/>
      <c r="G157" s="1059"/>
      <c r="H157" s="1048"/>
      <c r="L157" s="1003"/>
      <c r="M157" s="1049" t="str">
        <f t="shared" si="2"/>
        <v/>
      </c>
      <c r="N157" s="779">
        <f>IFERROR(VLOOKUP(F157,Ch8_Storage,2, FALSE),0)</f>
        <v>0</v>
      </c>
    </row>
    <row r="158" ht="18.75" customHeight="1">
      <c r="A158" s="716">
        <f>IFERROR(VLOOKUP(H158,PartyStorage,2, FALSE),0)</f>
        <v>0</v>
      </c>
      <c r="B158" s="1060"/>
      <c r="C158" s="1052"/>
      <c r="D158" s="1052"/>
      <c r="E158" s="1052"/>
      <c r="F158" s="1053"/>
      <c r="G158" s="1061"/>
      <c r="H158" s="1055"/>
      <c r="L158" s="1008"/>
      <c r="M158" s="1056" t="str">
        <f t="shared" si="2"/>
        <v/>
      </c>
      <c r="N158" s="779">
        <f>IFERROR(VLOOKUP(F158,Ch8_Storage,2, FALSE),0)</f>
        <v>0</v>
      </c>
    </row>
    <row r="159" ht="18.75" customHeight="1">
      <c r="A159" s="716">
        <f>IFERROR(VLOOKUP(H159,PartyStorage,2, FALSE),0)</f>
        <v>0</v>
      </c>
      <c r="B159" s="1057"/>
      <c r="C159" s="1058"/>
      <c r="D159" s="1058"/>
      <c r="E159" s="1058"/>
      <c r="F159" s="1062"/>
      <c r="G159" s="1059"/>
      <c r="H159" s="1048"/>
      <c r="L159" s="1003"/>
      <c r="M159" s="1049" t="str">
        <f t="shared" si="2"/>
        <v/>
      </c>
      <c r="N159" s="779">
        <f>IFERROR(VLOOKUP(F159,Ch8_Storage,2, FALSE),0)</f>
        <v>0</v>
      </c>
    </row>
    <row r="160" ht="18.75" customHeight="1">
      <c r="A160" s="716">
        <f>IFERROR(VLOOKUP(H160,PartyStorage,2, FALSE),0)</f>
        <v>0</v>
      </c>
      <c r="B160" s="1060"/>
      <c r="C160" s="1052"/>
      <c r="D160" s="1052"/>
      <c r="E160" s="1052"/>
      <c r="F160" s="1053"/>
      <c r="G160" s="1061"/>
      <c r="H160" s="1055"/>
      <c r="L160" s="1008"/>
      <c r="M160" s="1056" t="str">
        <f t="shared" si="2"/>
        <v/>
      </c>
      <c r="N160" s="779">
        <f>IFERROR(VLOOKUP(F160,Ch8_Storage,2, FALSE),0)</f>
        <v>0</v>
      </c>
    </row>
    <row r="161" ht="18.75" customHeight="1">
      <c r="A161" s="716">
        <f>IFERROR(VLOOKUP(H161,PartyStorage,2, FALSE),0)</f>
        <v>0</v>
      </c>
      <c r="B161" s="1057"/>
      <c r="C161" s="1058"/>
      <c r="D161" s="1058"/>
      <c r="E161" s="1058"/>
      <c r="F161" s="1062"/>
      <c r="G161" s="1059"/>
      <c r="H161" s="1048"/>
      <c r="L161" s="1003"/>
      <c r="M161" s="1049" t="str">
        <f t="shared" si="2"/>
        <v/>
      </c>
      <c r="N161" s="779">
        <f>IFERROR(VLOOKUP(F161,Ch8_Storage,2, FALSE),0)</f>
        <v>0</v>
      </c>
    </row>
    <row r="162" ht="18.75" customHeight="1">
      <c r="A162" s="716">
        <f>IFERROR(VLOOKUP(H162,PartyStorage,2, FALSE),0)</f>
        <v>0</v>
      </c>
      <c r="B162" s="1060"/>
      <c r="C162" s="1052"/>
      <c r="D162" s="1052"/>
      <c r="E162" s="1052"/>
      <c r="F162" s="1053"/>
      <c r="G162" s="1061"/>
      <c r="H162" s="1055"/>
      <c r="L162" s="1008"/>
      <c r="M162" s="1056" t="str">
        <f t="shared" si="2"/>
        <v/>
      </c>
      <c r="N162" s="779">
        <f>IFERROR(VLOOKUP(F162,Ch8_Storage,2, FALSE),0)</f>
        <v>0</v>
      </c>
    </row>
    <row r="163" ht="18.75" customHeight="1">
      <c r="A163" s="716">
        <f>IFERROR(VLOOKUP(H163,PartyStorage,2, FALSE),0)</f>
        <v>0</v>
      </c>
      <c r="B163" s="1057"/>
      <c r="C163" s="1058"/>
      <c r="D163" s="1058"/>
      <c r="E163" s="1058"/>
      <c r="F163" s="1062"/>
      <c r="G163" s="1059"/>
      <c r="H163" s="1048"/>
      <c r="L163" s="1003"/>
      <c r="M163" s="1049" t="str">
        <f t="shared" si="2"/>
        <v/>
      </c>
      <c r="N163" s="779">
        <f>IFERROR(VLOOKUP(F163,Ch8_Storage,2, FALSE),0)</f>
        <v>0</v>
      </c>
    </row>
    <row r="164" ht="18.75" customHeight="1">
      <c r="A164" s="716">
        <f>IFERROR(VLOOKUP(H164,PartyStorage,2, FALSE),0)</f>
        <v>0</v>
      </c>
      <c r="B164" s="1060"/>
      <c r="C164" s="1052"/>
      <c r="D164" s="1052"/>
      <c r="E164" s="1052"/>
      <c r="F164" s="1053"/>
      <c r="G164" s="1061"/>
      <c r="H164" s="1055"/>
      <c r="L164" s="1008"/>
      <c r="M164" s="1056" t="str">
        <f t="shared" si="2"/>
        <v/>
      </c>
      <c r="N164" s="779">
        <f>IFERROR(VLOOKUP(F164,Ch8_Storage,2, FALSE),0)</f>
        <v>0</v>
      </c>
    </row>
    <row r="165" ht="18.75" customHeight="1">
      <c r="A165" s="716">
        <f>IFERROR(VLOOKUP(H165,PartyStorage,2, FALSE),0)</f>
        <v>0</v>
      </c>
      <c r="B165" s="1057"/>
      <c r="C165" s="1058"/>
      <c r="D165" s="1058"/>
      <c r="E165" s="1058"/>
      <c r="F165" s="1062"/>
      <c r="G165" s="1059"/>
      <c r="H165" s="1048"/>
      <c r="L165" s="1003"/>
      <c r="M165" s="1049" t="str">
        <f t="shared" si="2"/>
        <v/>
      </c>
      <c r="N165" s="779">
        <f>IFERROR(VLOOKUP(F165,Ch8_Storage,2, FALSE),0)</f>
        <v>0</v>
      </c>
    </row>
    <row r="166" ht="18.75" customHeight="1">
      <c r="A166" s="716">
        <f>IFERROR(VLOOKUP(H166,PartyStorage,2, FALSE),0)</f>
        <v>0</v>
      </c>
      <c r="B166" s="1060"/>
      <c r="C166" s="1052"/>
      <c r="D166" s="1052"/>
      <c r="E166" s="1052"/>
      <c r="F166" s="1053"/>
      <c r="G166" s="1061"/>
      <c r="H166" s="1055"/>
      <c r="L166" s="1008"/>
      <c r="M166" s="1056" t="str">
        <f t="shared" si="2"/>
        <v/>
      </c>
      <c r="N166" s="779">
        <f>IFERROR(VLOOKUP(F166,Ch8_Storage,2, FALSE),0)</f>
        <v>0</v>
      </c>
    </row>
    <row r="167" ht="18.75" customHeight="1">
      <c r="A167" s="716">
        <f>IFERROR(VLOOKUP(H167,PartyStorage,2, FALSE),0)</f>
        <v>0</v>
      </c>
      <c r="B167" s="1057"/>
      <c r="C167" s="1058"/>
      <c r="D167" s="1058"/>
      <c r="E167" s="1058"/>
      <c r="F167" s="1062"/>
      <c r="G167" s="1059"/>
      <c r="H167" s="1048"/>
      <c r="L167" s="1003"/>
      <c r="M167" s="1049" t="str">
        <f t="shared" si="2"/>
        <v/>
      </c>
      <c r="N167" s="779">
        <f>IFERROR(VLOOKUP(F167,Ch8_Storage,2, FALSE),0)</f>
        <v>0</v>
      </c>
    </row>
    <row r="168" ht="18.75" customHeight="1">
      <c r="A168" s="716">
        <f>IFERROR(VLOOKUP(H168,PartyStorage,2, FALSE),0)</f>
        <v>0</v>
      </c>
      <c r="B168" s="1060"/>
      <c r="C168" s="1052"/>
      <c r="D168" s="1052"/>
      <c r="E168" s="1052"/>
      <c r="F168" s="1053"/>
      <c r="G168" s="1061"/>
      <c r="H168" s="1055"/>
      <c r="L168" s="1008"/>
      <c r="M168" s="1056" t="str">
        <f t="shared" si="2"/>
        <v/>
      </c>
      <c r="N168" s="779">
        <f>IFERROR(VLOOKUP(F168,Ch8_Storage,2, FALSE),0)</f>
        <v>0</v>
      </c>
    </row>
    <row r="169" ht="18.75" customHeight="1">
      <c r="A169" s="716">
        <f>IFERROR(VLOOKUP(H169,PartyStorage,2, FALSE),0)</f>
        <v>0</v>
      </c>
      <c r="B169" s="1057"/>
      <c r="C169" s="1058"/>
      <c r="D169" s="1058"/>
      <c r="E169" s="1058"/>
      <c r="F169" s="1062"/>
      <c r="G169" s="1059"/>
      <c r="H169" s="1048"/>
      <c r="L169" s="1003"/>
      <c r="M169" s="1049" t="str">
        <f t="shared" si="2"/>
        <v/>
      </c>
      <c r="N169" s="779">
        <f>IFERROR(VLOOKUP(F169,Ch8_Storage,2, FALSE),0)</f>
        <v>0</v>
      </c>
    </row>
    <row r="170" ht="18.75" customHeight="1">
      <c r="A170" s="716">
        <f>IFERROR(VLOOKUP(H170,PartyStorage,2, FALSE),0)</f>
        <v>0</v>
      </c>
      <c r="B170" s="1060"/>
      <c r="C170" s="1052"/>
      <c r="D170" s="1052"/>
      <c r="E170" s="1052"/>
      <c r="F170" s="1053"/>
      <c r="G170" s="1061"/>
      <c r="H170" s="1055"/>
      <c r="L170" s="1008"/>
      <c r="M170" s="1056" t="str">
        <f t="shared" si="2"/>
        <v/>
      </c>
      <c r="N170" s="779">
        <f>IFERROR(VLOOKUP(F170,Ch8_Storage,2, FALSE),0)</f>
        <v>0</v>
      </c>
    </row>
    <row r="171" ht="18.75" customHeight="1">
      <c r="A171" s="716">
        <f>IFERROR(VLOOKUP(H171,PartyStorage,2, FALSE),0)</f>
        <v>0</v>
      </c>
      <c r="B171" s="1057"/>
      <c r="C171" s="1058"/>
      <c r="D171" s="1058"/>
      <c r="E171" s="1058"/>
      <c r="F171" s="1062"/>
      <c r="G171" s="1059"/>
      <c r="H171" s="1048"/>
      <c r="L171" s="1003"/>
      <c r="M171" s="1049" t="str">
        <f t="shared" si="2"/>
        <v/>
      </c>
      <c r="N171" s="779">
        <f>IFERROR(VLOOKUP(F171,Ch8_Storage,2, FALSE),0)</f>
        <v>0</v>
      </c>
    </row>
    <row r="172" ht="18.75" customHeight="1">
      <c r="A172" s="716">
        <f>IFERROR(VLOOKUP(H172,PartyStorage,2, FALSE),0)</f>
        <v>0</v>
      </c>
      <c r="B172" s="1060"/>
      <c r="C172" s="1052"/>
      <c r="D172" s="1052"/>
      <c r="E172" s="1052"/>
      <c r="F172" s="1053"/>
      <c r="G172" s="1061"/>
      <c r="H172" s="1055"/>
      <c r="L172" s="1008"/>
      <c r="M172" s="1056" t="str">
        <f t="shared" si="2"/>
        <v/>
      </c>
      <c r="N172" s="779">
        <f>IFERROR(VLOOKUP(F172,Ch8_Storage,2, FALSE),0)</f>
        <v>0</v>
      </c>
    </row>
    <row r="173" ht="18.75" customHeight="1">
      <c r="A173" s="716">
        <f>IFERROR(VLOOKUP(H173,PartyStorage,2, FALSE),0)</f>
        <v>0</v>
      </c>
      <c r="B173" s="1057"/>
      <c r="C173" s="1058"/>
      <c r="D173" s="1058"/>
      <c r="E173" s="1058"/>
      <c r="F173" s="1062"/>
      <c r="G173" s="1059"/>
      <c r="H173" s="1048"/>
      <c r="L173" s="1003"/>
      <c r="M173" s="1049" t="str">
        <f t="shared" si="2"/>
        <v/>
      </c>
      <c r="N173" s="779">
        <f>IFERROR(VLOOKUP(F173,Ch8_Storage,2, FALSE),0)</f>
        <v>0</v>
      </c>
    </row>
    <row r="174" ht="18.75" customHeight="1">
      <c r="A174" s="716">
        <f>IFERROR(VLOOKUP(H174,PartyStorage,2, FALSE),0)</f>
        <v>0</v>
      </c>
      <c r="B174" s="1060"/>
      <c r="C174" s="1052"/>
      <c r="D174" s="1052"/>
      <c r="E174" s="1052"/>
      <c r="F174" s="1053"/>
      <c r="G174" s="1061"/>
      <c r="H174" s="1055"/>
      <c r="L174" s="1008"/>
      <c r="M174" s="1056" t="str">
        <f t="shared" si="2"/>
        <v/>
      </c>
      <c r="N174" s="779">
        <f>IFERROR(VLOOKUP(F174,Ch8_Storage,2, FALSE),0)</f>
        <v>0</v>
      </c>
    </row>
    <row r="175" ht="18.75" customHeight="1">
      <c r="A175" s="716">
        <f>IFERROR(VLOOKUP(H175,PartyStorage,2, FALSE),0)</f>
        <v>0</v>
      </c>
      <c r="B175" s="1057"/>
      <c r="C175" s="1058"/>
      <c r="D175" s="1058"/>
      <c r="E175" s="1058"/>
      <c r="F175" s="1062"/>
      <c r="G175" s="1059"/>
      <c r="H175" s="1048"/>
      <c r="L175" s="1003"/>
      <c r="M175" s="1049" t="str">
        <f t="shared" si="2"/>
        <v/>
      </c>
      <c r="N175" s="779">
        <f>IFERROR(VLOOKUP(F175,Ch8_Storage,2, FALSE),0)</f>
        <v>0</v>
      </c>
    </row>
    <row r="176" ht="18.75" customHeight="1">
      <c r="A176" s="716">
        <f>IFERROR(VLOOKUP(H176,PartyStorage,2, FALSE),0)</f>
        <v>0</v>
      </c>
      <c r="B176" s="1060"/>
      <c r="C176" s="1052"/>
      <c r="D176" s="1052"/>
      <c r="E176" s="1052"/>
      <c r="F176" s="1053"/>
      <c r="G176" s="1061"/>
      <c r="H176" s="1055"/>
      <c r="L176" s="1008"/>
      <c r="M176" s="1056" t="str">
        <f t="shared" si="2"/>
        <v/>
      </c>
      <c r="N176" s="779">
        <f>IFERROR(VLOOKUP(F176,Ch8_Storage,2, FALSE),0)</f>
        <v>0</v>
      </c>
    </row>
    <row r="177" ht="18.75" customHeight="1">
      <c r="A177" s="716">
        <f>IFERROR(VLOOKUP(H177,PartyStorage,2, FALSE),0)</f>
        <v>0</v>
      </c>
      <c r="B177" s="1057"/>
      <c r="C177" s="1058"/>
      <c r="D177" s="1058"/>
      <c r="E177" s="1058"/>
      <c r="F177" s="1062"/>
      <c r="G177" s="1059"/>
      <c r="H177" s="1048"/>
      <c r="L177" s="1003"/>
      <c r="M177" s="1049" t="str">
        <f t="shared" si="2"/>
        <v/>
      </c>
      <c r="N177" s="779">
        <f>IFERROR(VLOOKUP(F177,Ch8_Storage,2, FALSE),0)</f>
        <v>0</v>
      </c>
    </row>
    <row r="178" ht="18.75" customHeight="1">
      <c r="A178" s="716">
        <f>IFERROR(VLOOKUP(H178,PartyStorage,2, FALSE),0)</f>
        <v>0</v>
      </c>
      <c r="B178" s="1060"/>
      <c r="C178" s="1052"/>
      <c r="D178" s="1052"/>
      <c r="E178" s="1052"/>
      <c r="F178" s="1053"/>
      <c r="G178" s="1061"/>
      <c r="H178" s="1055"/>
      <c r="L178" s="1008"/>
      <c r="M178" s="1056" t="str">
        <f t="shared" si="2"/>
        <v/>
      </c>
      <c r="N178" s="779">
        <f>IFERROR(VLOOKUP(F178,Ch8_Storage,2, FALSE),0)</f>
        <v>0</v>
      </c>
    </row>
    <row r="179" ht="18.75" customHeight="1">
      <c r="A179" s="716">
        <f>IFERROR(VLOOKUP(H179,PartyStorage,2, FALSE),0)</f>
        <v>0</v>
      </c>
      <c r="B179" s="1057"/>
      <c r="C179" s="1058"/>
      <c r="D179" s="1058"/>
      <c r="E179" s="1058"/>
      <c r="F179" s="1062"/>
      <c r="G179" s="1059"/>
      <c r="H179" s="1048"/>
      <c r="L179" s="1003"/>
      <c r="M179" s="1049" t="str">
        <f t="shared" si="2"/>
        <v/>
      </c>
      <c r="N179" s="779">
        <f>IFERROR(VLOOKUP(F179,Ch8_Storage,2, FALSE),0)</f>
        <v>0</v>
      </c>
    </row>
    <row r="180" ht="18.75" customHeight="1">
      <c r="A180" s="716">
        <f>IFERROR(VLOOKUP(H180,PartyStorage,2, FALSE),0)</f>
        <v>0</v>
      </c>
      <c r="B180" s="1060"/>
      <c r="C180" s="1052"/>
      <c r="D180" s="1052"/>
      <c r="E180" s="1052"/>
      <c r="F180" s="1053"/>
      <c r="G180" s="1061"/>
      <c r="H180" s="1055"/>
      <c r="L180" s="1008"/>
      <c r="M180" s="1056" t="str">
        <f t="shared" si="2"/>
        <v/>
      </c>
      <c r="N180" s="779">
        <f>IFERROR(VLOOKUP(F180,Ch8_Storage,2, FALSE),0)</f>
        <v>0</v>
      </c>
    </row>
    <row r="181" ht="18.75" customHeight="1">
      <c r="A181" s="716">
        <f>IFERROR(VLOOKUP(H181,PartyStorage,2, FALSE),0)</f>
        <v>0</v>
      </c>
      <c r="B181" s="1057"/>
      <c r="C181" s="1058"/>
      <c r="D181" s="1058"/>
      <c r="E181" s="1058"/>
      <c r="F181" s="1062"/>
      <c r="G181" s="1059"/>
      <c r="H181" s="1048"/>
      <c r="L181" s="1003"/>
      <c r="M181" s="1049" t="str">
        <f t="shared" si="2"/>
        <v/>
      </c>
      <c r="N181" s="779">
        <f>IFERROR(VLOOKUP(F181,Ch8_Storage,2, FALSE),0)</f>
        <v>0</v>
      </c>
    </row>
    <row r="182" ht="18.75" customHeight="1">
      <c r="A182" s="716">
        <f>IFERROR(VLOOKUP(H182,PartyStorage,2, FALSE),0)</f>
        <v>0</v>
      </c>
      <c r="B182" s="1060"/>
      <c r="C182" s="1052"/>
      <c r="D182" s="1052"/>
      <c r="E182" s="1052"/>
      <c r="F182" s="1053"/>
      <c r="G182" s="1061"/>
      <c r="H182" s="1055"/>
      <c r="L182" s="1008"/>
      <c r="M182" s="1056" t="str">
        <f t="shared" si="2"/>
        <v/>
      </c>
      <c r="N182" s="779">
        <f>IFERROR(VLOOKUP(F182,Ch8_Storage,2, FALSE),0)</f>
        <v>0</v>
      </c>
    </row>
    <row r="183" ht="18.75" customHeight="1">
      <c r="A183" s="716">
        <f>IFERROR(VLOOKUP(H183,PartyStorage,2, FALSE),0)</f>
        <v>0</v>
      </c>
      <c r="B183" s="1057"/>
      <c r="C183" s="1058"/>
      <c r="D183" s="1058"/>
      <c r="E183" s="1058"/>
      <c r="F183" s="1062"/>
      <c r="G183" s="1059"/>
      <c r="H183" s="1048"/>
      <c r="L183" s="1003"/>
      <c r="M183" s="1049" t="str">
        <f t="shared" si="2"/>
        <v/>
      </c>
      <c r="N183" s="779">
        <f>IFERROR(VLOOKUP(F183,Ch8_Storage,2, FALSE),0)</f>
        <v>0</v>
      </c>
    </row>
    <row r="184" ht="18.75" customHeight="1">
      <c r="A184" s="716">
        <f>IFERROR(VLOOKUP(H184,PartyStorage,2, FALSE),0)</f>
        <v>0</v>
      </c>
      <c r="B184" s="1060"/>
      <c r="C184" s="1052"/>
      <c r="D184" s="1052"/>
      <c r="E184" s="1052"/>
      <c r="F184" s="1053"/>
      <c r="G184" s="1061"/>
      <c r="H184" s="1055"/>
      <c r="L184" s="1008"/>
      <c r="M184" s="1056" t="str">
        <f t="shared" si="2"/>
        <v/>
      </c>
      <c r="N184" s="779">
        <f>IFERROR(VLOOKUP(F184,Ch8_Storage,2, FALSE),0)</f>
        <v>0</v>
      </c>
    </row>
    <row r="185" ht="18.75" customHeight="1">
      <c r="A185" s="716">
        <f>IFERROR(VLOOKUP(H185,PartyStorage,2, FALSE),0)</f>
        <v>0</v>
      </c>
      <c r="B185" s="1057"/>
      <c r="C185" s="1058"/>
      <c r="D185" s="1058"/>
      <c r="E185" s="1058"/>
      <c r="F185" s="1062"/>
      <c r="G185" s="1059"/>
      <c r="H185" s="1048"/>
      <c r="L185" s="1003"/>
      <c r="M185" s="1049" t="str">
        <f t="shared" si="2"/>
        <v/>
      </c>
      <c r="N185" s="779">
        <f>IFERROR(VLOOKUP(F185,Ch8_Storage,2, FALSE),0)</f>
        <v>0</v>
      </c>
    </row>
    <row r="186" ht="18.75" customHeight="1">
      <c r="A186" s="716">
        <f>IFERROR(VLOOKUP(H186,PartyStorage,2, FALSE),0)</f>
        <v>0</v>
      </c>
      <c r="B186" s="1060"/>
      <c r="C186" s="1052"/>
      <c r="D186" s="1052"/>
      <c r="E186" s="1052"/>
      <c r="F186" s="1053"/>
      <c r="G186" s="1061"/>
      <c r="H186" s="1055"/>
      <c r="L186" s="1008"/>
      <c r="M186" s="1056" t="str">
        <f t="shared" si="2"/>
        <v/>
      </c>
      <c r="N186" s="779">
        <f>IFERROR(VLOOKUP(F186,Ch8_Storage,2, FALSE),0)</f>
        <v>0</v>
      </c>
    </row>
    <row r="187" ht="18.75" customHeight="1">
      <c r="A187" s="716">
        <f>IFERROR(VLOOKUP(H187,PartyStorage,2, FALSE),0)</f>
        <v>0</v>
      </c>
      <c r="B187" s="1057"/>
      <c r="C187" s="1058"/>
      <c r="D187" s="1058"/>
      <c r="E187" s="1058"/>
      <c r="F187" s="1062"/>
      <c r="G187" s="1059"/>
      <c r="H187" s="1048"/>
      <c r="L187" s="1003"/>
      <c r="M187" s="1049" t="str">
        <f t="shared" si="2"/>
        <v/>
      </c>
      <c r="N187" s="779">
        <f>IFERROR(VLOOKUP(F187,Ch8_Storage,2, FALSE),0)</f>
        <v>0</v>
      </c>
    </row>
    <row r="188" ht="18.75" customHeight="1">
      <c r="A188" s="716">
        <f>IFERROR(VLOOKUP(H188,PartyStorage,2, FALSE),0)</f>
        <v>0</v>
      </c>
      <c r="B188" s="1060"/>
      <c r="C188" s="1052"/>
      <c r="D188" s="1052"/>
      <c r="E188" s="1052"/>
      <c r="F188" s="1053"/>
      <c r="G188" s="1061"/>
      <c r="H188" s="1055"/>
      <c r="L188" s="1008"/>
      <c r="M188" s="1056" t="str">
        <f t="shared" si="2"/>
        <v/>
      </c>
      <c r="N188" s="779">
        <f>IFERROR(VLOOKUP(F188,Ch8_Storage,2, FALSE),0)</f>
        <v>0</v>
      </c>
    </row>
    <row r="189" ht="18.75" customHeight="1">
      <c r="A189" s="716">
        <f>IFERROR(VLOOKUP(H189,PartyStorage,2, FALSE),0)</f>
        <v>0</v>
      </c>
      <c r="B189" s="1057"/>
      <c r="C189" s="1058"/>
      <c r="D189" s="1058"/>
      <c r="E189" s="1058"/>
      <c r="F189" s="1062"/>
      <c r="G189" s="1059"/>
      <c r="H189" s="1048"/>
      <c r="L189" s="1003"/>
      <c r="M189" s="1049" t="str">
        <f t="shared" si="2"/>
        <v/>
      </c>
      <c r="N189" s="779">
        <f>IFERROR(VLOOKUP(F189,Ch8_Storage,2, FALSE),0)</f>
        <v>0</v>
      </c>
    </row>
    <row r="190" ht="18.75" customHeight="1">
      <c r="A190" s="716">
        <f>IFERROR(VLOOKUP(H190,PartyStorage,2, FALSE),0)</f>
        <v>0</v>
      </c>
      <c r="B190" s="1060"/>
      <c r="C190" s="1052"/>
      <c r="D190" s="1052"/>
      <c r="E190" s="1052"/>
      <c r="F190" s="1053"/>
      <c r="G190" s="1061"/>
      <c r="H190" s="1055"/>
      <c r="L190" s="1008"/>
      <c r="M190" s="1056" t="str">
        <f t="shared" si="2"/>
        <v/>
      </c>
      <c r="N190" s="779">
        <f>IFERROR(VLOOKUP(F190,Ch8_Storage,2, FALSE),0)</f>
        <v>0</v>
      </c>
    </row>
    <row r="191" ht="18.75" customHeight="1">
      <c r="A191" s="716">
        <f>IFERROR(VLOOKUP(H191,PartyStorage,2, FALSE),0)</f>
        <v>0</v>
      </c>
      <c r="B191" s="1057"/>
      <c r="C191" s="1058"/>
      <c r="D191" s="1058"/>
      <c r="E191" s="1058"/>
      <c r="F191" s="1062"/>
      <c r="G191" s="1059"/>
      <c r="H191" s="1048"/>
      <c r="L191" s="1003"/>
      <c r="M191" s="1049" t="str">
        <f t="shared" si="2"/>
        <v/>
      </c>
      <c r="N191" s="779">
        <f>IFERROR(VLOOKUP(F191,Ch8_Storage,2, FALSE),0)</f>
        <v>0</v>
      </c>
    </row>
    <row r="192" ht="18.75" customHeight="1">
      <c r="A192" s="716">
        <f>IFERROR(VLOOKUP(H192,PartyStorage,2, FALSE),0)</f>
        <v>0</v>
      </c>
      <c r="B192" s="1060"/>
      <c r="C192" s="1052"/>
      <c r="D192" s="1052"/>
      <c r="E192" s="1052"/>
      <c r="F192" s="1053"/>
      <c r="G192" s="1061"/>
      <c r="H192" s="1055"/>
      <c r="L192" s="1008"/>
      <c r="M192" s="1056" t="str">
        <f t="shared" si="2"/>
        <v/>
      </c>
      <c r="N192" s="779">
        <f>IFERROR(VLOOKUP(F192,Ch8_Storage,2, FALSE),0)</f>
        <v>0</v>
      </c>
    </row>
    <row r="193" ht="18.75" customHeight="1">
      <c r="A193" s="716">
        <f>IFERROR(VLOOKUP(H193,PartyStorage,2, FALSE),0)</f>
        <v>0</v>
      </c>
      <c r="B193" s="1057"/>
      <c r="C193" s="1058"/>
      <c r="D193" s="1058"/>
      <c r="E193" s="1058"/>
      <c r="F193" s="1062"/>
      <c r="G193" s="1059"/>
      <c r="H193" s="1048"/>
      <c r="L193" s="1003"/>
      <c r="M193" s="1049" t="str">
        <f t="shared" si="2"/>
        <v/>
      </c>
      <c r="N193" s="779">
        <f>IFERROR(VLOOKUP(F193,Ch8_Storage,2, FALSE),0)</f>
        <v>0</v>
      </c>
    </row>
    <row r="194" ht="18.75" customHeight="1">
      <c r="A194" s="716">
        <f>IFERROR(VLOOKUP(H194,PartyStorage,2, FALSE),0)</f>
        <v>0</v>
      </c>
      <c r="B194" s="1060"/>
      <c r="C194" s="1052"/>
      <c r="D194" s="1052"/>
      <c r="E194" s="1052"/>
      <c r="F194" s="1053"/>
      <c r="G194" s="1061"/>
      <c r="H194" s="1055"/>
      <c r="L194" s="1008"/>
      <c r="M194" s="1056" t="str">
        <f t="shared" si="2"/>
        <v/>
      </c>
      <c r="N194" s="779">
        <f>IFERROR(VLOOKUP(F194,Ch8_Storage,2, FALSE),0)</f>
        <v>0</v>
      </c>
    </row>
    <row r="195" ht="18.75" customHeight="1">
      <c r="A195" s="716">
        <f>IFERROR(VLOOKUP(H195,PartyStorage,2, FALSE),0)</f>
        <v>0</v>
      </c>
      <c r="B195" s="1057"/>
      <c r="C195" s="1058"/>
      <c r="D195" s="1058"/>
      <c r="E195" s="1058"/>
      <c r="F195" s="1062"/>
      <c r="G195" s="1059"/>
      <c r="H195" s="1048"/>
      <c r="L195" s="1003"/>
      <c r="M195" s="1049" t="str">
        <f t="shared" si="2"/>
        <v/>
      </c>
      <c r="N195" s="779">
        <f>IFERROR(VLOOKUP(F195,Ch8_Storage,2, FALSE),0)</f>
        <v>0</v>
      </c>
    </row>
    <row r="196" ht="18.75" customHeight="1">
      <c r="A196" s="716">
        <f>IFERROR(VLOOKUP(H196,PartyStorage,2, FALSE),0)</f>
        <v>0</v>
      </c>
      <c r="B196" s="1060"/>
      <c r="C196" s="1052"/>
      <c r="D196" s="1052"/>
      <c r="E196" s="1052"/>
      <c r="F196" s="1053"/>
      <c r="G196" s="1061"/>
      <c r="H196" s="1055"/>
      <c r="L196" s="1008"/>
      <c r="M196" s="1056" t="str">
        <f t="shared" si="2"/>
        <v/>
      </c>
      <c r="N196" s="779">
        <f>IFERROR(VLOOKUP(F196,Ch8_Storage,2, FALSE),0)</f>
        <v>0</v>
      </c>
    </row>
    <row r="197" ht="18.75" customHeight="1">
      <c r="A197" s="716">
        <f>IFERROR(VLOOKUP(H197,PartyStorage,2, FALSE),0)</f>
        <v>0</v>
      </c>
      <c r="B197" s="1057"/>
      <c r="C197" s="1058"/>
      <c r="D197" s="1058"/>
      <c r="E197" s="1058"/>
      <c r="F197" s="1062"/>
      <c r="G197" s="1059"/>
      <c r="H197" s="1048"/>
      <c r="L197" s="1003"/>
      <c r="M197" s="1049" t="str">
        <f t="shared" si="2"/>
        <v/>
      </c>
      <c r="N197" s="779">
        <f>IFERROR(VLOOKUP(F197,Ch8_Storage,2, FALSE),0)</f>
        <v>0</v>
      </c>
    </row>
    <row r="198" ht="18.75" customHeight="1">
      <c r="A198" s="716">
        <f>IFERROR(VLOOKUP(H198,PartyStorage,2, FALSE),0)</f>
        <v>0</v>
      </c>
      <c r="B198" s="1060"/>
      <c r="C198" s="1052"/>
      <c r="D198" s="1052"/>
      <c r="E198" s="1052"/>
      <c r="F198" s="1053"/>
      <c r="G198" s="1061"/>
      <c r="H198" s="1055"/>
      <c r="L198" s="1008"/>
      <c r="M198" s="1056" t="str">
        <f t="shared" si="2"/>
        <v/>
      </c>
      <c r="N198" s="779">
        <f>IFERROR(VLOOKUP(F198,Ch8_Storage,2, FALSE),0)</f>
        <v>0</v>
      </c>
    </row>
    <row r="199" ht="18.75" customHeight="1">
      <c r="A199" s="716">
        <f>IFERROR(VLOOKUP(H199,PartyStorage,2, FALSE),0)</f>
        <v>0</v>
      </c>
      <c r="B199" s="1057"/>
      <c r="C199" s="1058"/>
      <c r="D199" s="1058"/>
      <c r="E199" s="1058"/>
      <c r="F199" s="1062"/>
      <c r="G199" s="1059"/>
      <c r="H199" s="1048"/>
      <c r="L199" s="1003"/>
      <c r="M199" s="1049" t="str">
        <f t="shared" si="2"/>
        <v/>
      </c>
      <c r="N199" s="779">
        <f>IFERROR(VLOOKUP(F199,Ch8_Storage,2, FALSE),0)</f>
        <v>0</v>
      </c>
    </row>
    <row r="200" ht="18.75" customHeight="1">
      <c r="A200" s="716">
        <f>IFERROR(VLOOKUP(H200,PartyStorage,2, FALSE),0)</f>
        <v>0</v>
      </c>
      <c r="B200" s="1060"/>
      <c r="C200" s="1052"/>
      <c r="D200" s="1052"/>
      <c r="E200" s="1052"/>
      <c r="F200" s="1053"/>
      <c r="G200" s="1061"/>
      <c r="H200" s="1055"/>
      <c r="L200" s="1008"/>
      <c r="M200" s="1056" t="str">
        <f t="shared" si="2"/>
        <v/>
      </c>
      <c r="N200" s="779">
        <f>IFERROR(VLOOKUP(F200,Ch8_Storage,2, FALSE),0)</f>
        <v>0</v>
      </c>
    </row>
    <row r="201" ht="18.75" customHeight="1">
      <c r="A201" s="716">
        <f>IFERROR(VLOOKUP(H201,PartyStorage,2, FALSE),0)</f>
        <v>0</v>
      </c>
      <c r="B201" s="1057"/>
      <c r="C201" s="1058"/>
      <c r="D201" s="1058"/>
      <c r="E201" s="1058"/>
      <c r="F201" s="1062"/>
      <c r="G201" s="1059"/>
      <c r="H201" s="1048"/>
      <c r="L201" s="1003"/>
      <c r="M201" s="1049" t="str">
        <f t="shared" si="2"/>
        <v/>
      </c>
      <c r="N201" s="779">
        <f>IFERROR(VLOOKUP(F201,Ch8_Storage,2, FALSE),0)</f>
        <v>0</v>
      </c>
    </row>
    <row r="202" ht="18.75" customHeight="1">
      <c r="A202" s="716">
        <f>IFERROR(VLOOKUP(H202,PartyStorage,2, FALSE),0)</f>
        <v>0</v>
      </c>
      <c r="B202" s="1060"/>
      <c r="C202" s="1052"/>
      <c r="D202" s="1052"/>
      <c r="E202" s="1052"/>
      <c r="F202" s="1053"/>
      <c r="G202" s="1061"/>
      <c r="H202" s="1055"/>
      <c r="L202" s="1008"/>
      <c r="M202" s="1056" t="str">
        <f t="shared" si="2"/>
        <v/>
      </c>
      <c r="N202" s="779">
        <f>IFERROR(VLOOKUP(F202,Ch8_Storage,2, FALSE),0)</f>
        <v>0</v>
      </c>
    </row>
    <row r="203" ht="18.75" customHeight="1">
      <c r="A203" s="716">
        <f>IFERROR(VLOOKUP(H203,PartyStorage,2, FALSE),0)</f>
        <v>0</v>
      </c>
      <c r="B203" s="1057"/>
      <c r="C203" s="1058"/>
      <c r="D203" s="1058"/>
      <c r="E203" s="1058"/>
      <c r="F203" s="1062"/>
      <c r="G203" s="1059"/>
      <c r="H203" s="1048"/>
      <c r="L203" s="1003"/>
      <c r="M203" s="1049" t="str">
        <f t="shared" si="2"/>
        <v/>
      </c>
      <c r="N203" s="779">
        <f>IFERROR(VLOOKUP(F203,Ch8_Storage,2, FALSE),0)</f>
        <v>0</v>
      </c>
    </row>
    <row r="204" ht="18.75" customHeight="1">
      <c r="A204" s="716">
        <f>IFERROR(VLOOKUP(H204,PartyStorage,2, FALSE),0)</f>
        <v>0</v>
      </c>
      <c r="B204" s="1060"/>
      <c r="C204" s="1052"/>
      <c r="D204" s="1052"/>
      <c r="E204" s="1052"/>
      <c r="F204" s="1053"/>
      <c r="G204" s="1061"/>
      <c r="H204" s="1055"/>
      <c r="L204" s="1008"/>
      <c r="M204" s="1056" t="str">
        <f t="shared" si="2"/>
        <v/>
      </c>
      <c r="N204" s="779">
        <f>IFERROR(VLOOKUP(F204,Ch8_Storage,2, FALSE),0)</f>
        <v>0</v>
      </c>
    </row>
    <row r="205" ht="18.75" customHeight="1">
      <c r="A205" s="716">
        <f>IFERROR(VLOOKUP(H205,PartyStorage,2, FALSE),0)</f>
        <v>0</v>
      </c>
      <c r="B205" s="1057"/>
      <c r="C205" s="1058"/>
      <c r="D205" s="1058"/>
      <c r="E205" s="1058"/>
      <c r="F205" s="1062"/>
      <c r="G205" s="1059"/>
      <c r="H205" s="1048"/>
      <c r="L205" s="1003"/>
      <c r="M205" s="1049" t="str">
        <f t="shared" si="2"/>
        <v/>
      </c>
      <c r="N205" s="779">
        <f>IFERROR(VLOOKUP(F205,Ch8_Storage,2, FALSE),0)</f>
        <v>0</v>
      </c>
    </row>
    <row r="206" ht="18.75" customHeight="1">
      <c r="A206" s="716">
        <f>IFERROR(VLOOKUP(H206,PartyStorage,2, FALSE),0)</f>
        <v>0</v>
      </c>
      <c r="B206" s="1060"/>
      <c r="C206" s="1052"/>
      <c r="D206" s="1052"/>
      <c r="E206" s="1052"/>
      <c r="F206" s="1053"/>
      <c r="G206" s="1061"/>
      <c r="H206" s="1055"/>
      <c r="L206" s="1008"/>
      <c r="M206" s="1056" t="str">
        <f t="shared" si="2"/>
        <v/>
      </c>
      <c r="N206" s="779">
        <f>IFERROR(VLOOKUP(F206,Ch8_Storage,2, FALSE),0)</f>
        <v>0</v>
      </c>
    </row>
    <row r="207" ht="18.75" customHeight="1">
      <c r="A207" s="716">
        <f>IFERROR(VLOOKUP(H207,PartyStorage,2, FALSE),0)</f>
        <v>0</v>
      </c>
      <c r="B207" s="1057"/>
      <c r="C207" s="1058"/>
      <c r="D207" s="1058"/>
      <c r="E207" s="1058"/>
      <c r="F207" s="1062"/>
      <c r="G207" s="1059"/>
      <c r="H207" s="1048"/>
      <c r="L207" s="1003"/>
      <c r="M207" s="1049" t="str">
        <f t="shared" si="2"/>
        <v/>
      </c>
      <c r="N207" s="779">
        <f>IFERROR(VLOOKUP(F207,Ch8_Storage,2, FALSE),0)</f>
        <v>0</v>
      </c>
    </row>
    <row r="208" ht="18.75" customHeight="1">
      <c r="A208" s="716">
        <f>IFERROR(VLOOKUP(H208,PartyStorage,2, FALSE),0)</f>
        <v>0</v>
      </c>
      <c r="B208" s="1188"/>
      <c r="C208" s="1189"/>
      <c r="D208" s="1189"/>
      <c r="E208" s="1189"/>
      <c r="F208" s="1190"/>
      <c r="G208" s="1191"/>
      <c r="H208" s="1192"/>
      <c r="I208" s="1193"/>
      <c r="J208" s="1193"/>
      <c r="K208" s="1193"/>
      <c r="L208" s="1194"/>
      <c r="M208" s="1195" t="str">
        <f t="shared" si="2"/>
        <v/>
      </c>
      <c r="N208" s="779">
        <f>IFERROR(VLOOKUP(F208,Ch8_Storage,2, FALSE),0)</f>
        <v>0</v>
      </c>
    </row>
    <row r="209" ht="7.5" customHeight="1">
      <c r="A209" s="513"/>
      <c r="B209" s="42"/>
      <c r="C209" s="42"/>
      <c r="D209" s="42"/>
      <c r="E209" s="42"/>
      <c r="F209" s="42"/>
      <c r="G209" s="42"/>
      <c r="H209" s="42"/>
      <c r="I209" s="42"/>
      <c r="J209" s="42"/>
      <c r="K209" s="42"/>
      <c r="L209" s="42"/>
      <c r="M209" s="42"/>
      <c r="N209" s="779"/>
    </row>
  </sheetData>
  <mergeCells count="197">
    <mergeCell ref="H48:L48"/>
    <mergeCell ref="H49:L49"/>
    <mergeCell ref="H50:L50"/>
    <mergeCell ref="H51:L51"/>
    <mergeCell ref="H43:L43"/>
    <mergeCell ref="H44:L44"/>
    <mergeCell ref="H45:L45"/>
    <mergeCell ref="H59:L59"/>
    <mergeCell ref="H60:L60"/>
    <mergeCell ref="H61:L61"/>
    <mergeCell ref="H62:L62"/>
    <mergeCell ref="H56:L56"/>
    <mergeCell ref="H41:L41"/>
    <mergeCell ref="H42:L42"/>
    <mergeCell ref="H34:L34"/>
    <mergeCell ref="H40:L40"/>
    <mergeCell ref="H35:L35"/>
    <mergeCell ref="H36:L36"/>
    <mergeCell ref="H39:L39"/>
    <mergeCell ref="H37:L37"/>
    <mergeCell ref="H38:L38"/>
    <mergeCell ref="H63:L63"/>
    <mergeCell ref="H64:L64"/>
    <mergeCell ref="H65:L65"/>
    <mergeCell ref="H66:L66"/>
    <mergeCell ref="H67:L67"/>
    <mergeCell ref="H52:L52"/>
    <mergeCell ref="H53:L53"/>
    <mergeCell ref="H54:L54"/>
    <mergeCell ref="H55:L55"/>
    <mergeCell ref="H57:L57"/>
    <mergeCell ref="H58:L58"/>
    <mergeCell ref="H46:L46"/>
    <mergeCell ref="H47:L47"/>
    <mergeCell ref="H155:L155"/>
    <mergeCell ref="H156:L156"/>
    <mergeCell ref="H157:L157"/>
    <mergeCell ref="H158:L158"/>
    <mergeCell ref="H159:L159"/>
    <mergeCell ref="H160:L160"/>
    <mergeCell ref="H161:L161"/>
    <mergeCell ref="H162:L162"/>
    <mergeCell ref="H175:L175"/>
    <mergeCell ref="H168:L168"/>
    <mergeCell ref="H174:L174"/>
    <mergeCell ref="H170:L170"/>
    <mergeCell ref="H171:L171"/>
    <mergeCell ref="H169:L169"/>
    <mergeCell ref="H150:L150"/>
    <mergeCell ref="H151:L151"/>
    <mergeCell ref="H176:L176"/>
    <mergeCell ref="H181:L181"/>
    <mergeCell ref="H177:L177"/>
    <mergeCell ref="H178:L178"/>
    <mergeCell ref="H152:L152"/>
    <mergeCell ref="H167:L167"/>
    <mergeCell ref="H187:L187"/>
    <mergeCell ref="H186:L186"/>
    <mergeCell ref="H188:L188"/>
    <mergeCell ref="H189:L189"/>
    <mergeCell ref="H190:L190"/>
    <mergeCell ref="H191:L191"/>
    <mergeCell ref="H192:L192"/>
    <mergeCell ref="H193:L193"/>
    <mergeCell ref="H194:L194"/>
    <mergeCell ref="H153:L153"/>
    <mergeCell ref="H154:L154"/>
    <mergeCell ref="H196:L196"/>
    <mergeCell ref="H195:L195"/>
    <mergeCell ref="H172:L172"/>
    <mergeCell ref="H173:L173"/>
    <mergeCell ref="H163:L163"/>
    <mergeCell ref="H164:L164"/>
    <mergeCell ref="H165:L165"/>
    <mergeCell ref="H166:L166"/>
    <mergeCell ref="H182:L182"/>
    <mergeCell ref="H184:L184"/>
    <mergeCell ref="H185:L185"/>
    <mergeCell ref="H183:L183"/>
    <mergeCell ref="H204:L204"/>
    <mergeCell ref="H205:L205"/>
    <mergeCell ref="H206:L206"/>
    <mergeCell ref="H207:L207"/>
    <mergeCell ref="H208:L208"/>
    <mergeCell ref="H200:L200"/>
    <mergeCell ref="H197:L197"/>
    <mergeCell ref="H198:L198"/>
    <mergeCell ref="H199:L199"/>
    <mergeCell ref="H203:L203"/>
    <mergeCell ref="H202:L202"/>
    <mergeCell ref="H201:L201"/>
    <mergeCell ref="H119:L119"/>
    <mergeCell ref="H120:L120"/>
    <mergeCell ref="H113:L113"/>
    <mergeCell ref="H115:L115"/>
    <mergeCell ref="H114:L114"/>
    <mergeCell ref="H116:L116"/>
    <mergeCell ref="H117:L117"/>
    <mergeCell ref="H118:L118"/>
    <mergeCell ref="H122:L122"/>
    <mergeCell ref="H121:L121"/>
    <mergeCell ref="H29:L29"/>
    <mergeCell ref="H31:L31"/>
    <mergeCell ref="H30:L30"/>
    <mergeCell ref="B3:C3"/>
    <mergeCell ref="B4:C4"/>
    <mergeCell ref="B7:C7"/>
    <mergeCell ref="B6:C6"/>
    <mergeCell ref="B2:C2"/>
    <mergeCell ref="E2:F7"/>
    <mergeCell ref="B5:C5"/>
    <mergeCell ref="K3:L3"/>
    <mergeCell ref="K4:L4"/>
    <mergeCell ref="K5:L5"/>
    <mergeCell ref="I2:J7"/>
    <mergeCell ref="K7:L7"/>
    <mergeCell ref="K2:M2"/>
    <mergeCell ref="K6:L6"/>
    <mergeCell ref="H33:L33"/>
    <mergeCell ref="H27:L27"/>
    <mergeCell ref="H28:L28"/>
    <mergeCell ref="H26:L26"/>
    <mergeCell ref="H32:L32"/>
    <mergeCell ref="H138:L138"/>
    <mergeCell ref="H139:L139"/>
    <mergeCell ref="H143:L143"/>
    <mergeCell ref="H142:L142"/>
    <mergeCell ref="H123:L123"/>
    <mergeCell ref="H124:L124"/>
    <mergeCell ref="H137:L137"/>
    <mergeCell ref="H125:L125"/>
    <mergeCell ref="H149:L149"/>
    <mergeCell ref="H132:L132"/>
    <mergeCell ref="H144:L144"/>
    <mergeCell ref="H145:L145"/>
    <mergeCell ref="H146:L146"/>
    <mergeCell ref="H133:L133"/>
    <mergeCell ref="H134:L134"/>
    <mergeCell ref="H135:L135"/>
    <mergeCell ref="H136:L136"/>
    <mergeCell ref="H128:L128"/>
    <mergeCell ref="H129:L129"/>
    <mergeCell ref="H130:L130"/>
    <mergeCell ref="H131:L131"/>
    <mergeCell ref="H126:L126"/>
    <mergeCell ref="H127:L127"/>
    <mergeCell ref="H147:L147"/>
    <mergeCell ref="H148:L148"/>
    <mergeCell ref="H84:L84"/>
    <mergeCell ref="H80:L80"/>
    <mergeCell ref="H81:L81"/>
    <mergeCell ref="H82:L82"/>
    <mergeCell ref="H83:L83"/>
    <mergeCell ref="H74:L74"/>
    <mergeCell ref="H72:L72"/>
    <mergeCell ref="H68:L68"/>
    <mergeCell ref="H69:L69"/>
    <mergeCell ref="H70:L70"/>
    <mergeCell ref="H71:L71"/>
    <mergeCell ref="H73:L73"/>
    <mergeCell ref="H85:L85"/>
    <mergeCell ref="H86:L86"/>
    <mergeCell ref="H75:L75"/>
    <mergeCell ref="H90:L90"/>
    <mergeCell ref="H94:L94"/>
    <mergeCell ref="H93:L93"/>
    <mergeCell ref="H79:L79"/>
    <mergeCell ref="H76:L76"/>
    <mergeCell ref="H108:L108"/>
    <mergeCell ref="H109:L109"/>
    <mergeCell ref="H101:L101"/>
    <mergeCell ref="H102:L102"/>
    <mergeCell ref="H110:L110"/>
    <mergeCell ref="H107:L107"/>
    <mergeCell ref="H98:L98"/>
    <mergeCell ref="H99:L99"/>
    <mergeCell ref="H103:L103"/>
    <mergeCell ref="H104:L104"/>
    <mergeCell ref="H111:L111"/>
    <mergeCell ref="H100:L100"/>
    <mergeCell ref="H112:L112"/>
    <mergeCell ref="H87:L87"/>
    <mergeCell ref="H89:L89"/>
    <mergeCell ref="H88:L88"/>
    <mergeCell ref="H97:L97"/>
    <mergeCell ref="H95:L95"/>
    <mergeCell ref="H96:L96"/>
    <mergeCell ref="H91:L91"/>
    <mergeCell ref="H92:L92"/>
    <mergeCell ref="H179:L179"/>
    <mergeCell ref="H180:L180"/>
    <mergeCell ref="H140:L140"/>
    <mergeCell ref="H141:L141"/>
    <mergeCell ref="H77:L77"/>
    <mergeCell ref="H78:L78"/>
    <mergeCell ref="H105:L105"/>
    <mergeCell ref="H106:L106"/>
  </mergeCells>
  <conditionalFormatting sqref="F27:F208">
    <cfRule type="expression" dxfId="0" priority="1">
      <formula>AND(AND(NOT(ISBLANK(C27)), ISBLANK(F27)), ISBLANK(H27))</formula>
    </cfRule>
  </conditionalFormatting>
  <conditionalFormatting sqref="F27:F208">
    <cfRule type="expression" dxfId="0" priority="2">
      <formula>AND(AND(NOT(ISBLANK(C27)), ISBLANK(F27)), ISBLANK(G27))</formula>
    </cfRule>
  </conditionalFormatting>
  <conditionalFormatting sqref="K2:M2">
    <cfRule type="expression" dxfId="37" priority="3">
      <formula>IF($N$2="",true,false)</formula>
    </cfRule>
  </conditionalFormatting>
  <conditionalFormatting sqref="K3:M7">
    <cfRule type="expression" dxfId="38" priority="4">
      <formula>IF($N$2="",true,false)</formula>
    </cfRule>
  </conditionalFormatting>
  <dataValidations>
    <dataValidation type="list" allowBlank="1" showInputMessage="1" showErrorMessage="1" prompt="Every item must have a storage location." sqref="F27:F208">
      <formula1>PartyStorage</formula1>
    </dataValidation>
    <dataValidation type="list" allowBlank="1" sqref="G27:G208">
      <formula1>"Mundane,Magic,Attunement"</formula1>
    </dataValidation>
  </dataValidations>
  <hyperlinks>
    <hyperlink r:id="rId2" ref="E1"/>
    <hyperlink r:id="rId3" ref="I1"/>
  </hyperlinks>
  <drawing r:id="rId4"/>
  <legacyDrawing r:id="rId5"/>
  <tableParts count="4">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A64D79"/>
  </sheetPr>
  <sheetViews>
    <sheetView showGridLines="0" workbookViewId="0"/>
  </sheetViews>
  <sheetFormatPr customHeight="1" defaultColWidth="14.43" defaultRowHeight="15.75"/>
  <cols>
    <col customWidth="1" min="1" max="1" width="1.57"/>
    <col customWidth="1" min="2" max="2" width="5.86"/>
    <col customWidth="1" min="3" max="3" width="21.57"/>
    <col customWidth="1" min="4" max="13" width="15.86"/>
    <col customWidth="1" min="14" max="14" width="1.57"/>
    <col hidden="1" min="15" max="28" width="14.43"/>
  </cols>
  <sheetData>
    <row r="1" ht="7.5" customHeight="1">
      <c r="A1" s="170" t="str">
        <f>Ch9_Name&amp;"'s Inventory"</f>
        <v>Character 9's Inventory</v>
      </c>
      <c r="B1" s="172"/>
      <c r="C1" s="174"/>
      <c r="D1" s="174"/>
      <c r="E1" s="4" t="s">
        <v>52</v>
      </c>
      <c r="F1" s="174"/>
      <c r="G1" s="176"/>
      <c r="H1" s="176"/>
      <c r="I1" s="179" t="s">
        <v>53</v>
      </c>
      <c r="J1" s="181"/>
      <c r="K1" s="176"/>
      <c r="L1" s="176"/>
      <c r="M1" s="176"/>
      <c r="N1" s="176"/>
      <c r="O1" s="176"/>
      <c r="P1" s="176"/>
      <c r="Q1" s="176"/>
      <c r="R1" s="176"/>
      <c r="S1" s="176"/>
      <c r="T1" s="176"/>
      <c r="U1" s="176"/>
      <c r="V1" s="176"/>
      <c r="W1" s="176"/>
      <c r="X1" s="176"/>
      <c r="Y1" s="176"/>
      <c r="Z1" s="176"/>
      <c r="AA1" s="176"/>
      <c r="AB1" s="176"/>
    </row>
    <row r="2" ht="18.75" customHeight="1">
      <c r="A2" s="614">
        <f>IF(ISBLANK(Ch9_Size),"",VLOOKUP(Ch9_Size,SizeMultipliers,2, FALSE))</f>
        <v>1</v>
      </c>
      <c r="B2" s="1071" t="s">
        <v>56</v>
      </c>
      <c r="C2" s="1072"/>
      <c r="D2" s="1073"/>
      <c r="E2" s="190" t="str">
        <f>IMAGE(E1,1)</f>
        <v/>
      </c>
      <c r="G2" s="1074" t="s">
        <v>57</v>
      </c>
      <c r="H2" s="1075"/>
      <c r="I2" s="194" t="str">
        <f>IMAGE(I1,1)</f>
        <v/>
      </c>
      <c r="K2" s="1071" t="str">
        <f>IF(ISBLANK(Ch9_MountName),"Mount",Ch9_MountName)&amp;"'s Encumbrance"</f>
        <v>Mount's Encumbrance</v>
      </c>
      <c r="L2" s="408"/>
      <c r="M2" s="1076"/>
      <c r="N2" s="577" t="str">
        <f>IF(ISBLANK(Ch9_MountSize),"",VLOOKUP(Ch9_MountSize,SizeMultipliers,2, FALSE))</f>
        <v/>
      </c>
    </row>
    <row r="3" ht="18.75" customHeight="1">
      <c r="A3" s="48"/>
      <c r="B3" s="201" t="s">
        <v>60</v>
      </c>
      <c r="C3" s="1077"/>
      <c r="D3" s="1078">
        <f>Ch9_Str*Ch9_SizeMultiplier*5</f>
        <v>50</v>
      </c>
      <c r="G3" s="1079" t="s">
        <v>61</v>
      </c>
      <c r="H3" s="1080">
        <v>0.0</v>
      </c>
      <c r="K3" s="210" t="s">
        <v>60</v>
      </c>
      <c r="L3" s="1077"/>
      <c r="M3" s="1078">
        <f>Ch9_MountStr*Ch9_MountSizeMult*5</f>
        <v>0</v>
      </c>
      <c r="N3" s="779"/>
    </row>
    <row r="4" ht="18.75" customHeight="1">
      <c r="A4" s="48"/>
      <c r="B4" s="1081" t="s">
        <v>64</v>
      </c>
      <c r="C4" s="1082"/>
      <c r="D4" s="1083">
        <f>Ch9_Str*Ch9_SizeMultiplier*10</f>
        <v>100</v>
      </c>
      <c r="G4" s="1084" t="s">
        <v>65</v>
      </c>
      <c r="H4" s="1080">
        <f>(VLOOKUP(ADD(Ch9_Level,1),XPTable_v,2))-Ch9_XP</f>
        <v>300</v>
      </c>
      <c r="K4" s="1085" t="s">
        <v>64</v>
      </c>
      <c r="L4" s="1082"/>
      <c r="M4" s="1083">
        <f>Ch9_MountStr*Ch9_MountSizeMult*10</f>
        <v>0</v>
      </c>
      <c r="N4" s="779"/>
    </row>
    <row r="5" ht="18.75" customHeight="1">
      <c r="A5" s="48"/>
      <c r="B5" s="201" t="s">
        <v>7</v>
      </c>
      <c r="C5" s="1077"/>
      <c r="D5" s="1078">
        <f>Ch9_Str*Ch9_SizeMultiplier*15</f>
        <v>150</v>
      </c>
      <c r="G5" s="1086" t="s">
        <v>67</v>
      </c>
      <c r="H5" s="1087">
        <f>MATCH(Ch9_XP,XPTable_m,2)</f>
        <v>1</v>
      </c>
      <c r="K5" s="210" t="s">
        <v>7</v>
      </c>
      <c r="L5" s="1077"/>
      <c r="M5" s="1078">
        <f>Ch9_MountStr*Ch9_MountSizeMult*15</f>
        <v>0</v>
      </c>
      <c r="N5" s="779"/>
    </row>
    <row r="6" ht="18.75" customHeight="1">
      <c r="A6" s="48"/>
      <c r="B6" s="1081" t="s">
        <v>68</v>
      </c>
      <c r="C6" s="1082"/>
      <c r="D6" s="1083">
        <f>Ch9_Str*Ch9_SizeMultiplier*30</f>
        <v>300</v>
      </c>
      <c r="G6" s="29"/>
      <c r="H6" s="29"/>
      <c r="K6" s="1085" t="s">
        <v>68</v>
      </c>
      <c r="L6" s="1082"/>
      <c r="M6" s="1083">
        <f>Ch9_MountStr*Ch9_MountSizeMult*30</f>
        <v>0</v>
      </c>
      <c r="N6" s="779"/>
    </row>
    <row r="7" ht="18.75" customHeight="1">
      <c r="A7" s="48"/>
      <c r="B7" s="234" t="s">
        <v>45</v>
      </c>
      <c r="C7" s="1088"/>
      <c r="D7" s="1089">
        <f t="array" ref="D7">SUMIF(Ch9_EquipStatus,"=yes",Ch9_InventoryWeights)</f>
        <v>0</v>
      </c>
      <c r="G7" s="29"/>
      <c r="H7" s="29"/>
      <c r="K7" s="240" t="s">
        <v>45</v>
      </c>
      <c r="L7" s="1088"/>
      <c r="M7" s="1090">
        <f t="array" ref="M7">SUMIF(Ch9_EquipStatus,"=mount",Ch9_InventoryWeights)++Ch9_Weight+D7</f>
        <v>0</v>
      </c>
      <c r="N7" s="779"/>
    </row>
    <row r="8" ht="7.5" customHeight="1">
      <c r="A8" s="48"/>
      <c r="B8" s="255"/>
      <c r="C8" s="257"/>
      <c r="D8" s="258"/>
      <c r="E8" s="257"/>
      <c r="F8" s="257"/>
      <c r="G8" s="257"/>
      <c r="H8" s="257"/>
      <c r="I8" s="259"/>
      <c r="J8" s="261"/>
      <c r="K8" s="261"/>
      <c r="L8" s="261"/>
      <c r="M8" s="261"/>
      <c r="N8" s="779"/>
    </row>
    <row r="9" ht="18.75" customHeight="1">
      <c r="A9" s="48"/>
      <c r="B9" s="1091" t="s">
        <v>16</v>
      </c>
      <c r="C9" s="1092"/>
      <c r="D9" s="1093" t="s">
        <v>17</v>
      </c>
      <c r="E9" s="1094"/>
      <c r="F9" s="1094"/>
      <c r="G9" s="1094"/>
      <c r="H9" s="1094"/>
      <c r="I9" s="1095"/>
      <c r="J9" s="1096"/>
      <c r="K9" s="1096"/>
      <c r="L9" s="1096"/>
      <c r="M9" s="1097"/>
      <c r="N9" s="779"/>
    </row>
    <row r="10" ht="18.75" customHeight="1">
      <c r="A10" s="48"/>
      <c r="B10" s="1098" t="s">
        <v>23</v>
      </c>
      <c r="C10" s="1099" t="s">
        <v>10</v>
      </c>
      <c r="D10" s="1099" t="s">
        <v>24</v>
      </c>
      <c r="E10" s="1099" t="s">
        <v>25</v>
      </c>
      <c r="F10" s="1099" t="s">
        <v>26</v>
      </c>
      <c r="G10" s="1099" t="s">
        <v>27</v>
      </c>
      <c r="H10" s="1099" t="s">
        <v>28</v>
      </c>
      <c r="I10" s="1099" t="s">
        <v>29</v>
      </c>
      <c r="J10" s="1099" t="s">
        <v>30</v>
      </c>
      <c r="K10" s="1099" t="s">
        <v>31</v>
      </c>
      <c r="L10" s="1099" t="s">
        <v>32</v>
      </c>
      <c r="M10" s="1100" t="s">
        <v>33</v>
      </c>
      <c r="N10" s="71"/>
    </row>
    <row r="11" ht="18.75" customHeight="1">
      <c r="A11" s="48"/>
      <c r="B11" s="1101">
        <v>0.0</v>
      </c>
      <c r="C11" s="1102" t="s">
        <v>36</v>
      </c>
      <c r="D11" s="1103">
        <f>B11</f>
        <v>0</v>
      </c>
      <c r="E11" s="1103">
        <f>B11/10</f>
        <v>0</v>
      </c>
      <c r="F11" s="1103">
        <f>B11/50</f>
        <v>0</v>
      </c>
      <c r="G11" s="1103">
        <f>B11/100</f>
        <v>0</v>
      </c>
      <c r="H11" s="1103">
        <f>B11/1000</f>
        <v>0</v>
      </c>
      <c r="I11" s="1104">
        <f>B11/5000</f>
        <v>0</v>
      </c>
      <c r="J11" s="1105">
        <f>B11/10000</f>
        <v>0</v>
      </c>
      <c r="K11" s="1105">
        <f>B11/50000</f>
        <v>0</v>
      </c>
      <c r="L11" s="1105">
        <f>B11/100000</f>
        <v>0</v>
      </c>
      <c r="M11" s="1106">
        <f>B11/500000</f>
        <v>0</v>
      </c>
      <c r="N11" s="779"/>
    </row>
    <row r="12" ht="18.75" customHeight="1">
      <c r="A12" s="48"/>
      <c r="B12" s="1101">
        <v>0.0</v>
      </c>
      <c r="C12" s="1102" t="s">
        <v>50</v>
      </c>
      <c r="D12" s="1103">
        <f>B12*10</f>
        <v>0</v>
      </c>
      <c r="E12" s="1103">
        <f>B12</f>
        <v>0</v>
      </c>
      <c r="F12" s="1103">
        <f>B12/5</f>
        <v>0</v>
      </c>
      <c r="G12" s="1103">
        <f>B12/10</f>
        <v>0</v>
      </c>
      <c r="H12" s="1103">
        <f>B12/100</f>
        <v>0</v>
      </c>
      <c r="I12" s="1103">
        <f>B12/500</f>
        <v>0</v>
      </c>
      <c r="J12" s="1103">
        <f>B12/1000</f>
        <v>0</v>
      </c>
      <c r="K12" s="1103">
        <f>B12/5000</f>
        <v>0</v>
      </c>
      <c r="L12" s="1103">
        <f>B12/10000</f>
        <v>0</v>
      </c>
      <c r="M12" s="1107">
        <f>B12/50000</f>
        <v>0</v>
      </c>
      <c r="N12" s="779"/>
    </row>
    <row r="13" ht="18.75" customHeight="1">
      <c r="A13" s="48"/>
      <c r="B13" s="1101">
        <v>0.0</v>
      </c>
      <c r="C13" s="1102" t="s">
        <v>54</v>
      </c>
      <c r="D13" s="1103">
        <f>B13*50</f>
        <v>0</v>
      </c>
      <c r="E13" s="1103">
        <f>B13*5</f>
        <v>0</v>
      </c>
      <c r="F13" s="1103">
        <f>B13</f>
        <v>0</v>
      </c>
      <c r="G13" s="1103">
        <f>B13/2</f>
        <v>0</v>
      </c>
      <c r="H13" s="1103">
        <f>B13/20</f>
        <v>0</v>
      </c>
      <c r="I13" s="1103">
        <f>B13/100</f>
        <v>0</v>
      </c>
      <c r="J13" s="1105">
        <f>B13/200</f>
        <v>0</v>
      </c>
      <c r="K13" s="1105">
        <f>B13/1000</f>
        <v>0</v>
      </c>
      <c r="L13" s="1105">
        <f>B13/2000</f>
        <v>0</v>
      </c>
      <c r="M13" s="1106">
        <f>B13/10000</f>
        <v>0</v>
      </c>
      <c r="N13" s="779"/>
    </row>
    <row r="14" ht="18.75" customHeight="1">
      <c r="A14" s="48"/>
      <c r="B14" s="1101">
        <v>0.0</v>
      </c>
      <c r="C14" s="1102" t="s">
        <v>59</v>
      </c>
      <c r="D14" s="1103">
        <f>B14*100</f>
        <v>0</v>
      </c>
      <c r="E14" s="1103">
        <f>B14*10</f>
        <v>0</v>
      </c>
      <c r="F14" s="1103">
        <f>B14*2</f>
        <v>0</v>
      </c>
      <c r="G14" s="1103">
        <f>B14</f>
        <v>0</v>
      </c>
      <c r="H14" s="1103">
        <f>B14/10</f>
        <v>0</v>
      </c>
      <c r="I14" s="1103">
        <f>B14/50</f>
        <v>0</v>
      </c>
      <c r="J14" s="1105">
        <f>B14/100</f>
        <v>0</v>
      </c>
      <c r="K14" s="1105">
        <f>B14/500</f>
        <v>0</v>
      </c>
      <c r="L14" s="1105">
        <f>B14/1000</f>
        <v>0</v>
      </c>
      <c r="M14" s="1106">
        <f>B14/5000</f>
        <v>0</v>
      </c>
      <c r="N14" s="779"/>
    </row>
    <row r="15" ht="18.75" customHeight="1">
      <c r="A15" s="48"/>
      <c r="B15" s="1108">
        <v>0.0</v>
      </c>
      <c r="C15" s="1109" t="s">
        <v>63</v>
      </c>
      <c r="D15" s="1110">
        <f>B15*1000</f>
        <v>0</v>
      </c>
      <c r="E15" s="1110">
        <f>B15*100</f>
        <v>0</v>
      </c>
      <c r="F15" s="1110">
        <f>B15*20</f>
        <v>0</v>
      </c>
      <c r="G15" s="1110">
        <f>B15*10</f>
        <v>0</v>
      </c>
      <c r="H15" s="1110">
        <f>B15*1</f>
        <v>0</v>
      </c>
      <c r="I15" s="1110">
        <f>B15/5</f>
        <v>0</v>
      </c>
      <c r="J15" s="1111">
        <f>B15/10</f>
        <v>0</v>
      </c>
      <c r="K15" s="1111">
        <f>B15/50</f>
        <v>0</v>
      </c>
      <c r="L15" s="1111">
        <f>B15/100</f>
        <v>0</v>
      </c>
      <c r="M15" s="1112">
        <f>B15/500</f>
        <v>0</v>
      </c>
      <c r="N15" s="779"/>
    </row>
    <row r="16" ht="7.5" customHeight="1">
      <c r="A16" s="48"/>
      <c r="B16" s="265"/>
      <c r="C16" s="267"/>
      <c r="D16" s="267"/>
      <c r="E16" s="267"/>
      <c r="F16" s="267"/>
      <c r="G16" s="267"/>
      <c r="H16" s="267"/>
      <c r="I16" s="267"/>
      <c r="J16" s="269"/>
      <c r="K16" s="269"/>
      <c r="L16" s="269"/>
      <c r="M16" s="269"/>
      <c r="N16" s="812"/>
      <c r="O16" s="233"/>
      <c r="P16" s="233"/>
      <c r="Q16" s="233"/>
      <c r="R16" s="233"/>
      <c r="S16" s="233"/>
      <c r="T16" s="233"/>
      <c r="U16" s="233"/>
      <c r="V16" s="233"/>
      <c r="W16" s="233"/>
      <c r="X16" s="233"/>
      <c r="Y16" s="233"/>
      <c r="Z16" s="233"/>
      <c r="AA16" s="233"/>
      <c r="AB16" s="233"/>
    </row>
    <row r="17" ht="18.75" customHeight="1">
      <c r="A17" s="48"/>
      <c r="B17" s="1091" t="s">
        <v>69</v>
      </c>
      <c r="C17" s="1094"/>
      <c r="D17" s="1093" t="s">
        <v>17</v>
      </c>
      <c r="E17" s="1094"/>
      <c r="F17" s="1094"/>
      <c r="G17" s="1094"/>
      <c r="H17" s="1094"/>
      <c r="I17" s="1094"/>
      <c r="J17" s="1096"/>
      <c r="K17" s="1096"/>
      <c r="L17" s="1096"/>
      <c r="M17" s="1097"/>
      <c r="N17" s="779"/>
    </row>
    <row r="18" ht="18.75" customHeight="1">
      <c r="A18" s="48"/>
      <c r="B18" s="1098" t="s">
        <v>23</v>
      </c>
      <c r="C18" s="1099" t="s">
        <v>10</v>
      </c>
      <c r="D18" s="1099" t="s">
        <v>24</v>
      </c>
      <c r="E18" s="1099" t="s">
        <v>25</v>
      </c>
      <c r="F18" s="1099" t="s">
        <v>26</v>
      </c>
      <c r="G18" s="1099" t="s">
        <v>27</v>
      </c>
      <c r="H18" s="1099" t="s">
        <v>28</v>
      </c>
      <c r="I18" s="1099" t="s">
        <v>29</v>
      </c>
      <c r="J18" s="1099" t="s">
        <v>30</v>
      </c>
      <c r="K18" s="1099" t="s">
        <v>31</v>
      </c>
      <c r="L18" s="1099" t="s">
        <v>32</v>
      </c>
      <c r="M18" s="1100" t="s">
        <v>33</v>
      </c>
      <c r="N18" s="779"/>
    </row>
    <row r="19" ht="18.75" customHeight="1">
      <c r="A19" s="48"/>
      <c r="B19" s="1101">
        <v>0.0</v>
      </c>
      <c r="C19" s="1102" t="s">
        <v>70</v>
      </c>
      <c r="D19" s="1103">
        <f>B19*1000</f>
        <v>0</v>
      </c>
      <c r="E19" s="1103">
        <f>B19*100</f>
        <v>0</v>
      </c>
      <c r="F19" s="1103">
        <f>B19*20</f>
        <v>0</v>
      </c>
      <c r="G19" s="1103">
        <f>B19*10</f>
        <v>0</v>
      </c>
      <c r="H19" s="1103">
        <f>B19*1</f>
        <v>0</v>
      </c>
      <c r="I19" s="1103">
        <f>B19/5</f>
        <v>0</v>
      </c>
      <c r="J19" s="1105">
        <f>B19/10</f>
        <v>0</v>
      </c>
      <c r="K19" s="1105">
        <f>B19/50</f>
        <v>0</v>
      </c>
      <c r="L19" s="1105">
        <f>B19/100</f>
        <v>0</v>
      </c>
      <c r="M19" s="1106">
        <f>B19/500</f>
        <v>0</v>
      </c>
      <c r="N19" s="779"/>
    </row>
    <row r="20" ht="18.75" customHeight="1">
      <c r="A20" s="48"/>
      <c r="B20" s="1101">
        <v>0.0</v>
      </c>
      <c r="C20" s="1102" t="s">
        <v>71</v>
      </c>
      <c r="D20" s="1103">
        <f>B20*5000</f>
        <v>0</v>
      </c>
      <c r="E20" s="1103">
        <f>B20*500</f>
        <v>0</v>
      </c>
      <c r="F20" s="1103">
        <f>B20*100</f>
        <v>0</v>
      </c>
      <c r="G20" s="1103">
        <f>B20*50</f>
        <v>0</v>
      </c>
      <c r="H20" s="1103">
        <f>B20*5</f>
        <v>0</v>
      </c>
      <c r="I20" s="1103">
        <f>B20</f>
        <v>0</v>
      </c>
      <c r="J20" s="1105">
        <f>B20/2</f>
        <v>0</v>
      </c>
      <c r="K20" s="1105">
        <f>B20/10</f>
        <v>0</v>
      </c>
      <c r="L20" s="1105">
        <f>B20/20</f>
        <v>0</v>
      </c>
      <c r="M20" s="1106">
        <f>B20/100</f>
        <v>0</v>
      </c>
      <c r="N20" s="779"/>
    </row>
    <row r="21" ht="18.75" customHeight="1">
      <c r="A21" s="48"/>
      <c r="B21" s="1101">
        <v>0.0</v>
      </c>
      <c r="C21" s="1102" t="s">
        <v>72</v>
      </c>
      <c r="D21" s="1103">
        <f>B21*10000</f>
        <v>0</v>
      </c>
      <c r="E21" s="1103">
        <f>B21*1000</f>
        <v>0</v>
      </c>
      <c r="F21" s="1103">
        <f>B21*200</f>
        <v>0</v>
      </c>
      <c r="G21" s="1103">
        <f>B21*100</f>
        <v>0</v>
      </c>
      <c r="H21" s="1103">
        <f>B21*10</f>
        <v>0</v>
      </c>
      <c r="I21" s="1103">
        <f>B21/5*10</f>
        <v>0</v>
      </c>
      <c r="J21" s="1105">
        <f>B21</f>
        <v>0</v>
      </c>
      <c r="K21" s="1105">
        <f>B21/5</f>
        <v>0</v>
      </c>
      <c r="L21" s="1105">
        <f>B21/10</f>
        <v>0</v>
      </c>
      <c r="M21" s="1106">
        <f>B21/50</f>
        <v>0</v>
      </c>
      <c r="N21" s="779"/>
    </row>
    <row r="22" ht="18.75" customHeight="1">
      <c r="A22" s="48"/>
      <c r="B22" s="1101">
        <v>0.0</v>
      </c>
      <c r="C22" s="1102" t="s">
        <v>73</v>
      </c>
      <c r="D22" s="1103">
        <f>B22*50000</f>
        <v>0</v>
      </c>
      <c r="E22" s="1103">
        <f>B22*5000</f>
        <v>0</v>
      </c>
      <c r="F22" s="1103">
        <f>B22*1000</f>
        <v>0</v>
      </c>
      <c r="G22" s="1103">
        <f>B22*500</f>
        <v>0</v>
      </c>
      <c r="H22" s="1103">
        <f>B22*50</f>
        <v>0</v>
      </c>
      <c r="I22" s="1103">
        <f>B22*10</f>
        <v>0</v>
      </c>
      <c r="J22" s="1105">
        <f>B22/2*10</f>
        <v>0</v>
      </c>
      <c r="K22" s="1105">
        <f>B22</f>
        <v>0</v>
      </c>
      <c r="L22" s="1105">
        <f>B22/2</f>
        <v>0</v>
      </c>
      <c r="M22" s="1106">
        <f>B22/10</f>
        <v>0</v>
      </c>
      <c r="N22" s="779"/>
    </row>
    <row r="23" ht="18.75" customHeight="1">
      <c r="A23" s="48"/>
      <c r="B23" s="1101">
        <v>0.0</v>
      </c>
      <c r="C23" s="1102" t="s">
        <v>74</v>
      </c>
      <c r="D23" s="1103">
        <f>B23*100000</f>
        <v>0</v>
      </c>
      <c r="E23" s="1103">
        <f>B23*10000</f>
        <v>0</v>
      </c>
      <c r="F23" s="1103">
        <f>B23*2000</f>
        <v>0</v>
      </c>
      <c r="G23" s="1103">
        <f>B23*1000</f>
        <v>0</v>
      </c>
      <c r="H23" s="1103">
        <f>B23*100</f>
        <v>0</v>
      </c>
      <c r="I23" s="1103">
        <f>B23/5*100</f>
        <v>0</v>
      </c>
      <c r="J23" s="1105">
        <f>B23*10</f>
        <v>0</v>
      </c>
      <c r="K23" s="1105">
        <f>B23/5*10</f>
        <v>0</v>
      </c>
      <c r="L23" s="1105">
        <f>B23</f>
        <v>0</v>
      </c>
      <c r="M23" s="1106">
        <f>B23/5</f>
        <v>0</v>
      </c>
      <c r="N23" s="779"/>
    </row>
    <row r="24" ht="18.75" customHeight="1">
      <c r="A24" s="48"/>
      <c r="B24" s="1108">
        <v>0.0</v>
      </c>
      <c r="C24" s="1109" t="s">
        <v>75</v>
      </c>
      <c r="D24" s="1110">
        <f>B24*500000</f>
        <v>0</v>
      </c>
      <c r="E24" s="1110">
        <f>B24*50000</f>
        <v>0</v>
      </c>
      <c r="F24" s="1110">
        <f>B24*10000</f>
        <v>0</v>
      </c>
      <c r="G24" s="1110">
        <f>B24*5000</f>
        <v>0</v>
      </c>
      <c r="H24" s="1110">
        <f>B24*500</f>
        <v>0</v>
      </c>
      <c r="I24" s="1110">
        <f>B24*100</f>
        <v>0</v>
      </c>
      <c r="J24" s="1111">
        <f>B24/2*100</f>
        <v>0</v>
      </c>
      <c r="K24" s="1111">
        <f>B24*10</f>
        <v>0</v>
      </c>
      <c r="L24" s="1111">
        <f>B24/2*10</f>
        <v>0</v>
      </c>
      <c r="M24" s="1112">
        <f>B24</f>
        <v>0</v>
      </c>
      <c r="N24" s="779"/>
    </row>
    <row r="25" ht="7.5" customHeight="1">
      <c r="A25" s="48"/>
      <c r="B25" s="199"/>
      <c r="C25" s="19"/>
      <c r="D25" s="19"/>
      <c r="E25" s="19"/>
      <c r="F25" s="19"/>
      <c r="G25" s="19"/>
      <c r="H25" s="19"/>
      <c r="I25" s="19"/>
      <c r="J25" s="42"/>
      <c r="K25" s="42"/>
      <c r="L25" s="42"/>
      <c r="M25" s="42"/>
      <c r="N25" s="779"/>
    </row>
    <row r="26" ht="18.75" customHeight="1">
      <c r="A26" s="48"/>
      <c r="B26" s="1113" t="s">
        <v>23</v>
      </c>
      <c r="C26" s="1114" t="s">
        <v>76</v>
      </c>
      <c r="D26" s="1114" t="s">
        <v>77</v>
      </c>
      <c r="E26" s="1114" t="s">
        <v>81</v>
      </c>
      <c r="F26" s="1114" t="s">
        <v>78</v>
      </c>
      <c r="G26" s="1114" t="s">
        <v>11</v>
      </c>
      <c r="H26" s="1114" t="s">
        <v>90</v>
      </c>
      <c r="I26" s="1115" t="s">
        <v>80</v>
      </c>
      <c r="J26" s="408"/>
      <c r="K26" s="408"/>
      <c r="L26" s="408"/>
      <c r="M26" s="1076"/>
      <c r="N26" s="819"/>
    </row>
    <row r="27" ht="18.75" customHeight="1">
      <c r="A27" s="716">
        <f>IFERROR(VLOOKUP(H27,PartyStorage,2, FALSE),0)</f>
        <v>0</v>
      </c>
      <c r="B27" s="457">
        <f>sum(Ch9_Money)</f>
        <v>0</v>
      </c>
      <c r="C27" s="310" t="s">
        <v>16</v>
      </c>
      <c r="D27" s="310">
        <v>0.02</v>
      </c>
      <c r="E27" s="1116">
        <f t="shared" ref="E27:E208" si="1">IF(ISBLANK(C27),"",IF(ISBLANK(B27),D27,D27*B27))</f>
        <v>0</v>
      </c>
      <c r="F27" s="1117"/>
      <c r="G27" s="461"/>
      <c r="H27" s="1118"/>
      <c r="I27" s="1119"/>
      <c r="M27" s="1120"/>
      <c r="N27" s="779">
        <f>IFERROR(VLOOKUP(F27,Ch9_Storage,2, FALSE),0)</f>
        <v>0</v>
      </c>
    </row>
    <row r="28" ht="18.75" customHeight="1">
      <c r="A28" s="716">
        <f>IFERROR(VLOOKUP(H28,PartyStorage,2, FALSE),0)</f>
        <v>0</v>
      </c>
      <c r="B28" s="1121">
        <f>sum(Ch9_Gems)</f>
        <v>0</v>
      </c>
      <c r="C28" s="1122" t="s">
        <v>69</v>
      </c>
      <c r="D28" s="1122">
        <v>0.02</v>
      </c>
      <c r="E28" s="1123">
        <f t="shared" si="1"/>
        <v>0</v>
      </c>
      <c r="F28" s="1124"/>
      <c r="G28" s="1125"/>
      <c r="H28" s="1126"/>
      <c r="I28" s="1127"/>
      <c r="M28" s="1128"/>
      <c r="N28" s="779">
        <f>IFERROR(VLOOKUP(F28,Ch9_Storage,2, FALSE),0)</f>
        <v>0</v>
      </c>
    </row>
    <row r="29" ht="18.75" customHeight="1">
      <c r="A29" s="716">
        <f>IFERROR(VLOOKUP(H29,PartyStorage,2, FALSE),0)</f>
        <v>0</v>
      </c>
      <c r="B29" s="1129"/>
      <c r="C29" s="1117"/>
      <c r="D29" s="1117"/>
      <c r="E29" s="1116" t="str">
        <f t="shared" si="1"/>
        <v/>
      </c>
      <c r="F29" s="1117"/>
      <c r="G29" s="1131"/>
      <c r="H29" s="1118"/>
      <c r="I29" s="1119"/>
      <c r="M29" s="1120"/>
      <c r="N29" s="779">
        <f>IFERROR(VLOOKUP(F29,Ch9_Storage,2, FALSE),0)</f>
        <v>0</v>
      </c>
    </row>
    <row r="30" ht="18.75" customHeight="1">
      <c r="A30" s="716">
        <f>IFERROR(VLOOKUP(H30,PartyStorage,2, FALSE),0)</f>
        <v>0</v>
      </c>
      <c r="B30" s="1134"/>
      <c r="C30" s="1124"/>
      <c r="D30" s="1124"/>
      <c r="E30" s="1123" t="str">
        <f t="shared" si="1"/>
        <v/>
      </c>
      <c r="F30" s="1124"/>
      <c r="G30" s="1137"/>
      <c r="H30" s="1126"/>
      <c r="I30" s="1127"/>
      <c r="M30" s="1128"/>
      <c r="N30" s="779">
        <f>IFERROR(VLOOKUP(F30,Ch9_Storage,2, FALSE),0)</f>
        <v>0</v>
      </c>
    </row>
    <row r="31" ht="18.75" customHeight="1">
      <c r="A31" s="716">
        <f>IFERROR(VLOOKUP(H31,PartyStorage,2, FALSE),0)</f>
        <v>0</v>
      </c>
      <c r="B31" s="1129"/>
      <c r="C31" s="1117"/>
      <c r="D31" s="1117"/>
      <c r="E31" s="1116" t="str">
        <f t="shared" si="1"/>
        <v/>
      </c>
      <c r="F31" s="1117"/>
      <c r="G31" s="1131"/>
      <c r="H31" s="1118"/>
      <c r="I31" s="1119"/>
      <c r="M31" s="1120"/>
      <c r="N31" s="779">
        <f>IFERROR(VLOOKUP(F31,Ch9_Storage,2, FALSE),0)</f>
        <v>0</v>
      </c>
    </row>
    <row r="32" ht="18.75" customHeight="1">
      <c r="A32" s="716">
        <f>IFERROR(VLOOKUP(H32,PartyStorage,2, FALSE),0)</f>
        <v>0</v>
      </c>
      <c r="B32" s="1134"/>
      <c r="C32" s="1124"/>
      <c r="D32" s="1124"/>
      <c r="E32" s="1123" t="str">
        <f t="shared" si="1"/>
        <v/>
      </c>
      <c r="F32" s="1124"/>
      <c r="G32" s="1137"/>
      <c r="H32" s="1126"/>
      <c r="I32" s="1127"/>
      <c r="M32" s="1128"/>
      <c r="N32" s="779">
        <f>IFERROR(VLOOKUP(F32,Ch9_Storage,2, FALSE),0)</f>
        <v>0</v>
      </c>
    </row>
    <row r="33" ht="18.75" customHeight="1">
      <c r="A33" s="716">
        <f>IFERROR(VLOOKUP(H33,PartyStorage,2, FALSE),0)</f>
        <v>0</v>
      </c>
      <c r="B33" s="1129"/>
      <c r="C33" s="1117"/>
      <c r="D33" s="1117"/>
      <c r="E33" s="1116" t="str">
        <f t="shared" si="1"/>
        <v/>
      </c>
      <c r="F33" s="1117"/>
      <c r="G33" s="1131"/>
      <c r="H33" s="1118"/>
      <c r="I33" s="1119"/>
      <c r="M33" s="1120"/>
      <c r="N33" s="779">
        <f>IFERROR(VLOOKUP(F33,Ch9_Storage,2, FALSE),0)</f>
        <v>0</v>
      </c>
    </row>
    <row r="34" ht="18.75" customHeight="1">
      <c r="A34" s="716">
        <f>IFERROR(VLOOKUP(H34,PartyStorage,2, FALSE),0)</f>
        <v>0</v>
      </c>
      <c r="B34" s="1134"/>
      <c r="C34" s="1124"/>
      <c r="D34" s="1124"/>
      <c r="E34" s="1123" t="str">
        <f t="shared" si="1"/>
        <v/>
      </c>
      <c r="F34" s="1124"/>
      <c r="G34" s="1137"/>
      <c r="H34" s="1126"/>
      <c r="I34" s="1127"/>
      <c r="M34" s="1128"/>
      <c r="N34" s="779">
        <f>IFERROR(VLOOKUP(F34,Ch9_Storage,2, FALSE),0)</f>
        <v>0</v>
      </c>
    </row>
    <row r="35" ht="18.75" customHeight="1">
      <c r="A35" s="716">
        <f>IFERROR(VLOOKUP(H35,PartyStorage,2, FALSE),0)</f>
        <v>0</v>
      </c>
      <c r="B35" s="1129"/>
      <c r="C35" s="1117"/>
      <c r="D35" s="1117"/>
      <c r="E35" s="1116" t="str">
        <f t="shared" si="1"/>
        <v/>
      </c>
      <c r="F35" s="1117"/>
      <c r="G35" s="1131"/>
      <c r="H35" s="1118"/>
      <c r="I35" s="1119"/>
      <c r="M35" s="1120"/>
      <c r="N35" s="779">
        <f>IFERROR(VLOOKUP(F35,Ch9_Storage,2, FALSE),0)</f>
        <v>0</v>
      </c>
    </row>
    <row r="36" ht="18.75" customHeight="1">
      <c r="A36" s="716">
        <f>IFERROR(VLOOKUP(H36,PartyStorage,2, FALSE),0)</f>
        <v>0</v>
      </c>
      <c r="B36" s="1134"/>
      <c r="C36" s="1124"/>
      <c r="D36" s="1124"/>
      <c r="E36" s="1123" t="str">
        <f t="shared" si="1"/>
        <v/>
      </c>
      <c r="F36" s="1124"/>
      <c r="G36" s="1137"/>
      <c r="H36" s="1126"/>
      <c r="I36" s="1127"/>
      <c r="M36" s="1128"/>
      <c r="N36" s="779">
        <f>IFERROR(VLOOKUP(F36,Ch9_Storage,2, FALSE),0)</f>
        <v>0</v>
      </c>
    </row>
    <row r="37" ht="18.75" customHeight="1">
      <c r="A37" s="716">
        <f>IFERROR(VLOOKUP(H37,PartyStorage,2, FALSE),0)</f>
        <v>0</v>
      </c>
      <c r="B37" s="1129"/>
      <c r="C37" s="1117"/>
      <c r="D37" s="1117"/>
      <c r="E37" s="1116" t="str">
        <f t="shared" si="1"/>
        <v/>
      </c>
      <c r="F37" s="1117"/>
      <c r="G37" s="1131"/>
      <c r="H37" s="1118"/>
      <c r="I37" s="1119"/>
      <c r="M37" s="1120"/>
      <c r="N37" s="779">
        <f>IFERROR(VLOOKUP(F37,Ch9_Storage,2, FALSE),0)</f>
        <v>0</v>
      </c>
    </row>
    <row r="38" ht="18.75" customHeight="1">
      <c r="A38" s="716">
        <f>IFERROR(VLOOKUP(H38,PartyStorage,2, FALSE),0)</f>
        <v>0</v>
      </c>
      <c r="B38" s="1134"/>
      <c r="C38" s="1124"/>
      <c r="D38" s="1124"/>
      <c r="E38" s="1123" t="str">
        <f t="shared" si="1"/>
        <v/>
      </c>
      <c r="F38" s="1124"/>
      <c r="G38" s="1137"/>
      <c r="H38" s="1126"/>
      <c r="I38" s="1127"/>
      <c r="M38" s="1128"/>
      <c r="N38" s="779">
        <f>IFERROR(VLOOKUP(F38,Ch9_Storage,2, FALSE),0)</f>
        <v>0</v>
      </c>
    </row>
    <row r="39" ht="18.75" customHeight="1">
      <c r="A39" s="716">
        <f>IFERROR(VLOOKUP(H39,PartyStorage,2, FALSE),0)</f>
        <v>0</v>
      </c>
      <c r="B39" s="1129"/>
      <c r="C39" s="1117"/>
      <c r="D39" s="1117"/>
      <c r="E39" s="1116" t="str">
        <f t="shared" si="1"/>
        <v/>
      </c>
      <c r="F39" s="1117"/>
      <c r="G39" s="1131"/>
      <c r="H39" s="1118"/>
      <c r="I39" s="1119"/>
      <c r="M39" s="1120"/>
      <c r="N39" s="779">
        <f>IFERROR(VLOOKUP(F39,Ch9_Storage,2, FALSE),0)</f>
        <v>0</v>
      </c>
    </row>
    <row r="40" ht="18.75" customHeight="1">
      <c r="A40" s="716">
        <f>IFERROR(VLOOKUP(H40,PartyStorage,2, FALSE),0)</f>
        <v>0</v>
      </c>
      <c r="B40" s="1134"/>
      <c r="C40" s="1124"/>
      <c r="D40" s="1124"/>
      <c r="E40" s="1123" t="str">
        <f t="shared" si="1"/>
        <v/>
      </c>
      <c r="F40" s="1124"/>
      <c r="G40" s="1137"/>
      <c r="H40" s="1126"/>
      <c r="I40" s="1127"/>
      <c r="M40" s="1128"/>
      <c r="N40" s="779">
        <f>IFERROR(VLOOKUP(F40,Ch9_Storage,2, FALSE),0)</f>
        <v>0</v>
      </c>
    </row>
    <row r="41" ht="18.75" customHeight="1">
      <c r="A41" s="716">
        <f>IFERROR(VLOOKUP(H41,PartyStorage,2, FALSE),0)</f>
        <v>0</v>
      </c>
      <c r="B41" s="1129"/>
      <c r="C41" s="1117"/>
      <c r="D41" s="1117"/>
      <c r="E41" s="1116" t="str">
        <f t="shared" si="1"/>
        <v/>
      </c>
      <c r="F41" s="1117"/>
      <c r="G41" s="1131"/>
      <c r="H41" s="1118"/>
      <c r="I41" s="1119"/>
      <c r="M41" s="1120"/>
      <c r="N41" s="779">
        <f>IFERROR(VLOOKUP(F41,Ch9_Storage,2, FALSE),0)</f>
        <v>0</v>
      </c>
    </row>
    <row r="42" ht="18.75" customHeight="1">
      <c r="A42" s="716">
        <f>IFERROR(VLOOKUP(H42,PartyStorage,2, FALSE),0)</f>
        <v>0</v>
      </c>
      <c r="B42" s="1134"/>
      <c r="C42" s="1124"/>
      <c r="D42" s="1124"/>
      <c r="E42" s="1123" t="str">
        <f t="shared" si="1"/>
        <v/>
      </c>
      <c r="F42" s="1124"/>
      <c r="G42" s="1137"/>
      <c r="H42" s="1126"/>
      <c r="I42" s="1127"/>
      <c r="M42" s="1128"/>
      <c r="N42" s="779">
        <f>IFERROR(VLOOKUP(F42,Ch9_Storage,2, FALSE),0)</f>
        <v>0</v>
      </c>
    </row>
    <row r="43" ht="18.75" customHeight="1">
      <c r="A43" s="716">
        <f>IFERROR(VLOOKUP(H43,PartyStorage,2, FALSE),0)</f>
        <v>0</v>
      </c>
      <c r="B43" s="1129"/>
      <c r="C43" s="1117"/>
      <c r="D43" s="1117"/>
      <c r="E43" s="1116" t="str">
        <f t="shared" si="1"/>
        <v/>
      </c>
      <c r="F43" s="1117"/>
      <c r="G43" s="1131"/>
      <c r="H43" s="1118"/>
      <c r="I43" s="1119"/>
      <c r="M43" s="1120"/>
      <c r="N43" s="779">
        <f>IFERROR(VLOOKUP(F43,Ch9_Storage,2, FALSE),0)</f>
        <v>0</v>
      </c>
    </row>
    <row r="44" ht="18.75" customHeight="1">
      <c r="A44" s="716">
        <f>IFERROR(VLOOKUP(H44,PartyStorage,2, FALSE),0)</f>
        <v>0</v>
      </c>
      <c r="B44" s="1134"/>
      <c r="C44" s="1124"/>
      <c r="D44" s="1124"/>
      <c r="E44" s="1123" t="str">
        <f t="shared" si="1"/>
        <v/>
      </c>
      <c r="F44" s="1124"/>
      <c r="G44" s="1137"/>
      <c r="H44" s="1126"/>
      <c r="I44" s="1127"/>
      <c r="M44" s="1128"/>
      <c r="N44" s="779">
        <f>IFERROR(VLOOKUP(F44,Ch9_Storage,2, FALSE),0)</f>
        <v>0</v>
      </c>
    </row>
    <row r="45" ht="18.75" customHeight="1">
      <c r="A45" s="716">
        <f>IFERROR(VLOOKUP(H45,PartyStorage,2, FALSE),0)</f>
        <v>0</v>
      </c>
      <c r="B45" s="1129"/>
      <c r="C45" s="1117"/>
      <c r="D45" s="1117"/>
      <c r="E45" s="1116" t="str">
        <f t="shared" si="1"/>
        <v/>
      </c>
      <c r="F45" s="1117"/>
      <c r="G45" s="1131"/>
      <c r="H45" s="1118"/>
      <c r="I45" s="1119"/>
      <c r="M45" s="1120"/>
      <c r="N45" s="779">
        <f>IFERROR(VLOOKUP(F45,Ch9_Storage,2, FALSE),0)</f>
        <v>0</v>
      </c>
    </row>
    <row r="46" ht="18.75" customHeight="1">
      <c r="A46" s="716">
        <f>IFERROR(VLOOKUP(H46,PartyStorage,2, FALSE),0)</f>
        <v>0</v>
      </c>
      <c r="B46" s="1134"/>
      <c r="C46" s="1124"/>
      <c r="D46" s="1124"/>
      <c r="E46" s="1123" t="str">
        <f t="shared" si="1"/>
        <v/>
      </c>
      <c r="F46" s="1124"/>
      <c r="G46" s="1137"/>
      <c r="H46" s="1126"/>
      <c r="I46" s="1127"/>
      <c r="M46" s="1128"/>
      <c r="N46" s="779">
        <f>IFERROR(VLOOKUP(F46,Ch9_Storage,2, FALSE),0)</f>
        <v>0</v>
      </c>
    </row>
    <row r="47" ht="18.75" customHeight="1">
      <c r="A47" s="716">
        <f>IFERROR(VLOOKUP(H47,PartyStorage,2, FALSE),0)</f>
        <v>0</v>
      </c>
      <c r="B47" s="1129"/>
      <c r="C47" s="1117"/>
      <c r="D47" s="1117"/>
      <c r="E47" s="1116" t="str">
        <f t="shared" si="1"/>
        <v/>
      </c>
      <c r="F47" s="1117"/>
      <c r="G47" s="1131"/>
      <c r="H47" s="1118"/>
      <c r="I47" s="1119"/>
      <c r="M47" s="1120"/>
      <c r="N47" s="779">
        <f>IFERROR(VLOOKUP(F47,Ch9_Storage,2, FALSE),0)</f>
        <v>0</v>
      </c>
    </row>
    <row r="48" ht="18.75" customHeight="1">
      <c r="A48" s="716">
        <f>IFERROR(VLOOKUP(H48,PartyStorage,2, FALSE),0)</f>
        <v>0</v>
      </c>
      <c r="B48" s="1134"/>
      <c r="C48" s="1124"/>
      <c r="D48" s="1124"/>
      <c r="E48" s="1123" t="str">
        <f t="shared" si="1"/>
        <v/>
      </c>
      <c r="F48" s="1124"/>
      <c r="G48" s="1137"/>
      <c r="H48" s="1126"/>
      <c r="I48" s="1127"/>
      <c r="M48" s="1128"/>
      <c r="N48" s="779">
        <f>IFERROR(VLOOKUP(F48,Ch9_Storage,2, FALSE),0)</f>
        <v>0</v>
      </c>
    </row>
    <row r="49" ht="18.75" customHeight="1">
      <c r="A49" s="716">
        <f>IFERROR(VLOOKUP(H49,PartyStorage,2, FALSE),0)</f>
        <v>0</v>
      </c>
      <c r="B49" s="1129"/>
      <c r="C49" s="1117"/>
      <c r="D49" s="1117"/>
      <c r="E49" s="1116" t="str">
        <f t="shared" si="1"/>
        <v/>
      </c>
      <c r="F49" s="1117"/>
      <c r="G49" s="1131"/>
      <c r="H49" s="1118"/>
      <c r="I49" s="1119"/>
      <c r="M49" s="1120"/>
      <c r="N49" s="779">
        <f>IFERROR(VLOOKUP(F49,Ch9_Storage,2, FALSE),0)</f>
        <v>0</v>
      </c>
    </row>
    <row r="50" ht="18.75" customHeight="1">
      <c r="A50" s="716">
        <f>IFERROR(VLOOKUP(H50,PartyStorage,2, FALSE),0)</f>
        <v>0</v>
      </c>
      <c r="B50" s="1134"/>
      <c r="C50" s="1124"/>
      <c r="D50" s="1124"/>
      <c r="E50" s="1123" t="str">
        <f t="shared" si="1"/>
        <v/>
      </c>
      <c r="F50" s="1124"/>
      <c r="G50" s="1137"/>
      <c r="H50" s="1126"/>
      <c r="I50" s="1127"/>
      <c r="M50" s="1128"/>
      <c r="N50" s="779">
        <f>IFERROR(VLOOKUP(F50,Ch9_Storage,2, FALSE),0)</f>
        <v>0</v>
      </c>
    </row>
    <row r="51" ht="18.75" customHeight="1">
      <c r="A51" s="716">
        <f>IFERROR(VLOOKUP(H51,PartyStorage,2, FALSE),0)</f>
        <v>0</v>
      </c>
      <c r="B51" s="1129"/>
      <c r="C51" s="1117"/>
      <c r="D51" s="1117"/>
      <c r="E51" s="1116" t="str">
        <f t="shared" si="1"/>
        <v/>
      </c>
      <c r="F51" s="1117"/>
      <c r="G51" s="1131"/>
      <c r="H51" s="1118"/>
      <c r="I51" s="1119"/>
      <c r="M51" s="1120"/>
      <c r="N51" s="779">
        <f>IFERROR(VLOOKUP(F51,Ch9_Storage,2, FALSE),0)</f>
        <v>0</v>
      </c>
    </row>
    <row r="52" ht="18.75" customHeight="1">
      <c r="A52" s="716">
        <f>IFERROR(VLOOKUP(H52,PartyStorage,2, FALSE),0)</f>
        <v>0</v>
      </c>
      <c r="B52" s="1134"/>
      <c r="C52" s="1124"/>
      <c r="D52" s="1124"/>
      <c r="E52" s="1123" t="str">
        <f t="shared" si="1"/>
        <v/>
      </c>
      <c r="F52" s="1124"/>
      <c r="G52" s="1137"/>
      <c r="H52" s="1126"/>
      <c r="I52" s="1127"/>
      <c r="M52" s="1128"/>
      <c r="N52" s="779">
        <f>IFERROR(VLOOKUP(F52,Ch9_Storage,2, FALSE),0)</f>
        <v>0</v>
      </c>
    </row>
    <row r="53" ht="18.75" customHeight="1">
      <c r="A53" s="716">
        <f>IFERROR(VLOOKUP(H53,PartyStorage,2, FALSE),0)</f>
        <v>0</v>
      </c>
      <c r="B53" s="1129"/>
      <c r="C53" s="1117"/>
      <c r="D53" s="1117"/>
      <c r="E53" s="1116" t="str">
        <f t="shared" si="1"/>
        <v/>
      </c>
      <c r="F53" s="1117"/>
      <c r="G53" s="1131"/>
      <c r="H53" s="1118"/>
      <c r="I53" s="1119"/>
      <c r="M53" s="1120"/>
      <c r="N53" s="779">
        <f>IFERROR(VLOOKUP(F53,Ch9_Storage,2, FALSE),0)</f>
        <v>0</v>
      </c>
    </row>
    <row r="54" ht="18.75" customHeight="1">
      <c r="A54" s="716">
        <f>IFERROR(VLOOKUP(H54,PartyStorage,2, FALSE),0)</f>
        <v>0</v>
      </c>
      <c r="B54" s="1134"/>
      <c r="C54" s="1124"/>
      <c r="D54" s="1124"/>
      <c r="E54" s="1123" t="str">
        <f t="shared" si="1"/>
        <v/>
      </c>
      <c r="F54" s="1124"/>
      <c r="G54" s="1137"/>
      <c r="H54" s="1126"/>
      <c r="I54" s="1127"/>
      <c r="M54" s="1128"/>
      <c r="N54" s="779">
        <f>IFERROR(VLOOKUP(F54,Ch9_Storage,2, FALSE),0)</f>
        <v>0</v>
      </c>
    </row>
    <row r="55" ht="18.75" customHeight="1">
      <c r="A55" s="716">
        <f>IFERROR(VLOOKUP(H55,PartyStorage,2, FALSE),0)</f>
        <v>0</v>
      </c>
      <c r="B55" s="1129"/>
      <c r="C55" s="1117"/>
      <c r="D55" s="1117"/>
      <c r="E55" s="1116" t="str">
        <f t="shared" si="1"/>
        <v/>
      </c>
      <c r="F55" s="1117"/>
      <c r="G55" s="1131"/>
      <c r="H55" s="1118"/>
      <c r="I55" s="1119"/>
      <c r="M55" s="1120"/>
      <c r="N55" s="779">
        <f>IFERROR(VLOOKUP(F55,Ch9_Storage,2, FALSE),0)</f>
        <v>0</v>
      </c>
    </row>
    <row r="56" ht="18.75" customHeight="1">
      <c r="A56" s="716">
        <f>IFERROR(VLOOKUP(H56,PartyStorage,2, FALSE),0)</f>
        <v>0</v>
      </c>
      <c r="B56" s="1134"/>
      <c r="C56" s="1124"/>
      <c r="D56" s="1124"/>
      <c r="E56" s="1123" t="str">
        <f t="shared" si="1"/>
        <v/>
      </c>
      <c r="F56" s="1124"/>
      <c r="G56" s="1137"/>
      <c r="H56" s="1126"/>
      <c r="I56" s="1127"/>
      <c r="M56" s="1128"/>
      <c r="N56" s="779">
        <f>IFERROR(VLOOKUP(F56,Ch9_Storage,2, FALSE),0)</f>
        <v>0</v>
      </c>
    </row>
    <row r="57" ht="18.75" customHeight="1">
      <c r="A57" s="716">
        <f>IFERROR(VLOOKUP(H57,PartyStorage,2, FALSE),0)</f>
        <v>0</v>
      </c>
      <c r="B57" s="1129"/>
      <c r="C57" s="1117"/>
      <c r="D57" s="1117"/>
      <c r="E57" s="1116" t="str">
        <f t="shared" si="1"/>
        <v/>
      </c>
      <c r="F57" s="1117"/>
      <c r="G57" s="1131"/>
      <c r="H57" s="1118"/>
      <c r="I57" s="1119"/>
      <c r="M57" s="1120"/>
      <c r="N57" s="779">
        <f>IFERROR(VLOOKUP(F57,Ch9_Storage,2, FALSE),0)</f>
        <v>0</v>
      </c>
    </row>
    <row r="58" ht="18.75" customHeight="1">
      <c r="A58" s="716">
        <f>IFERROR(VLOOKUP(H58,PartyStorage,2, FALSE),0)</f>
        <v>0</v>
      </c>
      <c r="B58" s="1134"/>
      <c r="C58" s="1124"/>
      <c r="D58" s="1124"/>
      <c r="E58" s="1123" t="str">
        <f t="shared" si="1"/>
        <v/>
      </c>
      <c r="F58" s="1124"/>
      <c r="G58" s="1137"/>
      <c r="H58" s="1126"/>
      <c r="I58" s="1127"/>
      <c r="M58" s="1128"/>
      <c r="N58" s="779">
        <f>IFERROR(VLOOKUP(F58,Ch9_Storage,2, FALSE),0)</f>
        <v>0</v>
      </c>
    </row>
    <row r="59" ht="18.75" customHeight="1">
      <c r="A59" s="716">
        <f>IFERROR(VLOOKUP(H59,PartyStorage,2, FALSE),0)</f>
        <v>0</v>
      </c>
      <c r="B59" s="1129"/>
      <c r="C59" s="1117"/>
      <c r="D59" s="1117"/>
      <c r="E59" s="1116" t="str">
        <f t="shared" si="1"/>
        <v/>
      </c>
      <c r="F59" s="1117"/>
      <c r="G59" s="1131"/>
      <c r="H59" s="1118"/>
      <c r="I59" s="1119"/>
      <c r="M59" s="1120"/>
      <c r="N59" s="779">
        <f>IFERROR(VLOOKUP(F59,Ch9_Storage,2, FALSE),0)</f>
        <v>0</v>
      </c>
    </row>
    <row r="60" ht="18.75" customHeight="1">
      <c r="A60" s="716">
        <f>IFERROR(VLOOKUP(H60,PartyStorage,2, FALSE),0)</f>
        <v>0</v>
      </c>
      <c r="B60" s="1134"/>
      <c r="C60" s="1124"/>
      <c r="D60" s="1124"/>
      <c r="E60" s="1123" t="str">
        <f t="shared" si="1"/>
        <v/>
      </c>
      <c r="F60" s="1124"/>
      <c r="G60" s="1137"/>
      <c r="H60" s="1126"/>
      <c r="I60" s="1127"/>
      <c r="M60" s="1128"/>
      <c r="N60" s="779">
        <f>IFERROR(VLOOKUP(F60,Ch9_Storage,2, FALSE),0)</f>
        <v>0</v>
      </c>
    </row>
    <row r="61" ht="18.75" customHeight="1">
      <c r="A61" s="716">
        <f>IFERROR(VLOOKUP(H61,PartyStorage,2, FALSE),0)</f>
        <v>0</v>
      </c>
      <c r="B61" s="1129"/>
      <c r="C61" s="1117"/>
      <c r="D61" s="1117"/>
      <c r="E61" s="1116" t="str">
        <f t="shared" si="1"/>
        <v/>
      </c>
      <c r="F61" s="1117"/>
      <c r="G61" s="1131"/>
      <c r="H61" s="1118"/>
      <c r="I61" s="1119"/>
      <c r="M61" s="1120"/>
      <c r="N61" s="779">
        <f>IFERROR(VLOOKUP(F61,Ch9_Storage,2, FALSE),0)</f>
        <v>0</v>
      </c>
    </row>
    <row r="62" ht="18.75" customHeight="1">
      <c r="A62" s="716">
        <f>IFERROR(VLOOKUP(H62,PartyStorage,2, FALSE),0)</f>
        <v>0</v>
      </c>
      <c r="B62" s="1134"/>
      <c r="C62" s="1124"/>
      <c r="D62" s="1124"/>
      <c r="E62" s="1123" t="str">
        <f t="shared" si="1"/>
        <v/>
      </c>
      <c r="F62" s="1124"/>
      <c r="G62" s="1137"/>
      <c r="H62" s="1126"/>
      <c r="I62" s="1127"/>
      <c r="M62" s="1128"/>
      <c r="N62" s="779">
        <f>IFERROR(VLOOKUP(F62,Ch9_Storage,2, FALSE),0)</f>
        <v>0</v>
      </c>
    </row>
    <row r="63" ht="18.75" customHeight="1">
      <c r="A63" s="716">
        <f>IFERROR(VLOOKUP(H63,PartyStorage,2, FALSE),0)</f>
        <v>0</v>
      </c>
      <c r="B63" s="1129"/>
      <c r="C63" s="1117"/>
      <c r="D63" s="1117"/>
      <c r="E63" s="1116" t="str">
        <f t="shared" si="1"/>
        <v/>
      </c>
      <c r="F63" s="1117"/>
      <c r="G63" s="1131"/>
      <c r="H63" s="1118"/>
      <c r="I63" s="1119"/>
      <c r="M63" s="1120"/>
      <c r="N63" s="779">
        <f>IFERROR(VLOOKUP(F63,Ch9_Storage,2, FALSE),0)</f>
        <v>0</v>
      </c>
    </row>
    <row r="64" ht="18.75" customHeight="1">
      <c r="A64" s="716">
        <f>IFERROR(VLOOKUP(H64,PartyStorage,2, FALSE),0)</f>
        <v>0</v>
      </c>
      <c r="B64" s="1134"/>
      <c r="C64" s="1124"/>
      <c r="D64" s="1124"/>
      <c r="E64" s="1123" t="str">
        <f t="shared" si="1"/>
        <v/>
      </c>
      <c r="F64" s="1124"/>
      <c r="G64" s="1137"/>
      <c r="H64" s="1126"/>
      <c r="I64" s="1127"/>
      <c r="M64" s="1128"/>
      <c r="N64" s="779">
        <f>IFERROR(VLOOKUP(F64,Ch9_Storage,2, FALSE),0)</f>
        <v>0</v>
      </c>
    </row>
    <row r="65" ht="18.75" customHeight="1">
      <c r="A65" s="716">
        <f>IFERROR(VLOOKUP(H65,PartyStorage,2, FALSE),0)</f>
        <v>0</v>
      </c>
      <c r="B65" s="1129"/>
      <c r="C65" s="1117"/>
      <c r="D65" s="1117"/>
      <c r="E65" s="1116" t="str">
        <f t="shared" si="1"/>
        <v/>
      </c>
      <c r="F65" s="1117"/>
      <c r="G65" s="1131"/>
      <c r="H65" s="1118"/>
      <c r="I65" s="1119"/>
      <c r="M65" s="1120"/>
      <c r="N65" s="779">
        <f>IFERROR(VLOOKUP(F65,Ch9_Storage,2, FALSE),0)</f>
        <v>0</v>
      </c>
    </row>
    <row r="66" ht="18.75" customHeight="1">
      <c r="A66" s="716">
        <f>IFERROR(VLOOKUP(H66,PartyStorage,2, FALSE),0)</f>
        <v>0</v>
      </c>
      <c r="B66" s="1134"/>
      <c r="C66" s="1124"/>
      <c r="D66" s="1124"/>
      <c r="E66" s="1123" t="str">
        <f t="shared" si="1"/>
        <v/>
      </c>
      <c r="F66" s="1124"/>
      <c r="G66" s="1137"/>
      <c r="H66" s="1126"/>
      <c r="I66" s="1127"/>
      <c r="M66" s="1128"/>
      <c r="N66" s="779">
        <f>IFERROR(VLOOKUP(F66,Ch9_Storage,2, FALSE),0)</f>
        <v>0</v>
      </c>
    </row>
    <row r="67" ht="18.75" customHeight="1">
      <c r="A67" s="716">
        <f>IFERROR(VLOOKUP(H67,PartyStorage,2, FALSE),0)</f>
        <v>0</v>
      </c>
      <c r="B67" s="1129"/>
      <c r="C67" s="1117"/>
      <c r="D67" s="1117"/>
      <c r="E67" s="1116" t="str">
        <f t="shared" si="1"/>
        <v/>
      </c>
      <c r="F67" s="1117"/>
      <c r="G67" s="1131"/>
      <c r="H67" s="1118"/>
      <c r="I67" s="1119"/>
      <c r="M67" s="1120"/>
      <c r="N67" s="779">
        <f>IFERROR(VLOOKUP(F67,Ch9_Storage,2, FALSE),0)</f>
        <v>0</v>
      </c>
    </row>
    <row r="68" ht="18.75" customHeight="1">
      <c r="A68" s="716">
        <f>IFERROR(VLOOKUP(H68,PartyStorage,2, FALSE),0)</f>
        <v>0</v>
      </c>
      <c r="B68" s="1134"/>
      <c r="C68" s="1124"/>
      <c r="D68" s="1124"/>
      <c r="E68" s="1123" t="str">
        <f t="shared" si="1"/>
        <v/>
      </c>
      <c r="F68" s="1124"/>
      <c r="G68" s="1137"/>
      <c r="H68" s="1126"/>
      <c r="I68" s="1127"/>
      <c r="M68" s="1128"/>
      <c r="N68" s="779">
        <f>IFERROR(VLOOKUP(F68,Ch9_Storage,2, FALSE),0)</f>
        <v>0</v>
      </c>
    </row>
    <row r="69" ht="18.75" customHeight="1">
      <c r="A69" s="716">
        <f>IFERROR(VLOOKUP(H69,PartyStorage,2, FALSE),0)</f>
        <v>0</v>
      </c>
      <c r="B69" s="1129"/>
      <c r="C69" s="1117"/>
      <c r="D69" s="1117"/>
      <c r="E69" s="1116" t="str">
        <f t="shared" si="1"/>
        <v/>
      </c>
      <c r="F69" s="1117"/>
      <c r="G69" s="1131"/>
      <c r="H69" s="1118"/>
      <c r="I69" s="1119"/>
      <c r="M69" s="1120"/>
      <c r="N69" s="779">
        <f>IFERROR(VLOOKUP(F69,Ch9_Storage,2, FALSE),0)</f>
        <v>0</v>
      </c>
    </row>
    <row r="70" ht="18.75" customHeight="1">
      <c r="A70" s="716">
        <f>IFERROR(VLOOKUP(H70,PartyStorage,2, FALSE),0)</f>
        <v>0</v>
      </c>
      <c r="B70" s="1134"/>
      <c r="C70" s="1124"/>
      <c r="D70" s="1124"/>
      <c r="E70" s="1123" t="str">
        <f t="shared" si="1"/>
        <v/>
      </c>
      <c r="F70" s="1124"/>
      <c r="G70" s="1137"/>
      <c r="H70" s="1126"/>
      <c r="I70" s="1127"/>
      <c r="M70" s="1128"/>
      <c r="N70" s="779">
        <f>IFERROR(VLOOKUP(F70,Ch9_Storage,2, FALSE),0)</f>
        <v>0</v>
      </c>
    </row>
    <row r="71" ht="18.75" customHeight="1">
      <c r="A71" s="716">
        <f>IFERROR(VLOOKUP(H71,PartyStorage,2, FALSE),0)</f>
        <v>0</v>
      </c>
      <c r="B71" s="1129"/>
      <c r="C71" s="1117"/>
      <c r="D71" s="1117"/>
      <c r="E71" s="1116" t="str">
        <f t="shared" si="1"/>
        <v/>
      </c>
      <c r="F71" s="1117"/>
      <c r="G71" s="1131"/>
      <c r="H71" s="1118"/>
      <c r="I71" s="1119"/>
      <c r="M71" s="1120"/>
      <c r="N71" s="779">
        <f>IFERROR(VLOOKUP(F71,Ch9_Storage,2, FALSE),0)</f>
        <v>0</v>
      </c>
    </row>
    <row r="72" ht="18.75" customHeight="1">
      <c r="A72" s="716">
        <f>IFERROR(VLOOKUP(H72,PartyStorage,2, FALSE),0)</f>
        <v>0</v>
      </c>
      <c r="B72" s="1134"/>
      <c r="C72" s="1124"/>
      <c r="D72" s="1124"/>
      <c r="E72" s="1123" t="str">
        <f t="shared" si="1"/>
        <v/>
      </c>
      <c r="F72" s="1124"/>
      <c r="G72" s="1137"/>
      <c r="H72" s="1126"/>
      <c r="I72" s="1127"/>
      <c r="M72" s="1128"/>
      <c r="N72" s="779">
        <f>IFERROR(VLOOKUP(F72,Ch9_Storage,2, FALSE),0)</f>
        <v>0</v>
      </c>
    </row>
    <row r="73" ht="18.75" customHeight="1">
      <c r="A73" s="716">
        <f>IFERROR(VLOOKUP(H73,PartyStorage,2, FALSE),0)</f>
        <v>0</v>
      </c>
      <c r="B73" s="1129"/>
      <c r="C73" s="1117"/>
      <c r="D73" s="1117"/>
      <c r="E73" s="1116" t="str">
        <f t="shared" si="1"/>
        <v/>
      </c>
      <c r="F73" s="1117"/>
      <c r="G73" s="1131"/>
      <c r="H73" s="1118"/>
      <c r="I73" s="1119"/>
      <c r="M73" s="1120"/>
      <c r="N73" s="779">
        <f>IFERROR(VLOOKUP(F73,Ch9_Storage,2, FALSE),0)</f>
        <v>0</v>
      </c>
    </row>
    <row r="74" ht="18.75" customHeight="1">
      <c r="A74" s="716">
        <f>IFERROR(VLOOKUP(H74,PartyStorage,2, FALSE),0)</f>
        <v>0</v>
      </c>
      <c r="B74" s="1134"/>
      <c r="C74" s="1124"/>
      <c r="D74" s="1124"/>
      <c r="E74" s="1123" t="str">
        <f t="shared" si="1"/>
        <v/>
      </c>
      <c r="F74" s="1124"/>
      <c r="G74" s="1137"/>
      <c r="H74" s="1126"/>
      <c r="I74" s="1127"/>
      <c r="M74" s="1128"/>
      <c r="N74" s="779">
        <f>IFERROR(VLOOKUP(F74,Ch9_Storage,2, FALSE),0)</f>
        <v>0</v>
      </c>
    </row>
    <row r="75" ht="18.75" customHeight="1">
      <c r="A75" s="716">
        <f>IFERROR(VLOOKUP(H75,PartyStorage,2, FALSE),0)</f>
        <v>0</v>
      </c>
      <c r="B75" s="1129"/>
      <c r="C75" s="1117"/>
      <c r="D75" s="1117"/>
      <c r="E75" s="1116" t="str">
        <f t="shared" si="1"/>
        <v/>
      </c>
      <c r="F75" s="1117"/>
      <c r="G75" s="1131"/>
      <c r="H75" s="1118"/>
      <c r="I75" s="1119"/>
      <c r="M75" s="1120"/>
      <c r="N75" s="779">
        <f>IFERROR(VLOOKUP(F75,Ch9_Storage,2, FALSE),0)</f>
        <v>0</v>
      </c>
    </row>
    <row r="76" ht="18.75" customHeight="1">
      <c r="A76" s="716">
        <f>IFERROR(VLOOKUP(H76,PartyStorage,2, FALSE),0)</f>
        <v>0</v>
      </c>
      <c r="B76" s="1134"/>
      <c r="C76" s="1124"/>
      <c r="D76" s="1124"/>
      <c r="E76" s="1123" t="str">
        <f t="shared" si="1"/>
        <v/>
      </c>
      <c r="F76" s="1124"/>
      <c r="G76" s="1137"/>
      <c r="H76" s="1126"/>
      <c r="I76" s="1127"/>
      <c r="M76" s="1128"/>
      <c r="N76" s="779">
        <f>IFERROR(VLOOKUP(F76,Ch9_Storage,2, FALSE),0)</f>
        <v>0</v>
      </c>
    </row>
    <row r="77" ht="18.75" customHeight="1">
      <c r="A77" s="716">
        <f>IFERROR(VLOOKUP(H77,PartyStorage,2, FALSE),0)</f>
        <v>0</v>
      </c>
      <c r="B77" s="1129"/>
      <c r="C77" s="1117"/>
      <c r="D77" s="1117"/>
      <c r="E77" s="1116" t="str">
        <f t="shared" si="1"/>
        <v/>
      </c>
      <c r="F77" s="1117"/>
      <c r="G77" s="1131"/>
      <c r="H77" s="1118"/>
      <c r="I77" s="1119"/>
      <c r="M77" s="1120"/>
      <c r="N77" s="779">
        <f>IFERROR(VLOOKUP(F77,Ch9_Storage,2, FALSE),0)</f>
        <v>0</v>
      </c>
    </row>
    <row r="78" ht="18.75" customHeight="1">
      <c r="A78" s="716">
        <f>IFERROR(VLOOKUP(H78,PartyStorage,2, FALSE),0)</f>
        <v>0</v>
      </c>
      <c r="B78" s="1134"/>
      <c r="C78" s="1124"/>
      <c r="D78" s="1124"/>
      <c r="E78" s="1123" t="str">
        <f t="shared" si="1"/>
        <v/>
      </c>
      <c r="F78" s="1124"/>
      <c r="G78" s="1137"/>
      <c r="H78" s="1126"/>
      <c r="I78" s="1127"/>
      <c r="M78" s="1128"/>
      <c r="N78" s="779">
        <f>IFERROR(VLOOKUP(F78,Ch9_Storage,2, FALSE),0)</f>
        <v>0</v>
      </c>
    </row>
    <row r="79" ht="18.75" customHeight="1">
      <c r="A79" s="716">
        <f>IFERROR(VLOOKUP(H79,PartyStorage,2, FALSE),0)</f>
        <v>0</v>
      </c>
      <c r="B79" s="1129"/>
      <c r="C79" s="1117"/>
      <c r="D79" s="1117"/>
      <c r="E79" s="1116" t="str">
        <f t="shared" si="1"/>
        <v/>
      </c>
      <c r="F79" s="1117"/>
      <c r="G79" s="1131"/>
      <c r="H79" s="1118"/>
      <c r="I79" s="1119"/>
      <c r="M79" s="1120"/>
      <c r="N79" s="779">
        <f>IFERROR(VLOOKUP(F79,Ch9_Storage,2, FALSE),0)</f>
        <v>0</v>
      </c>
    </row>
    <row r="80" ht="18.75" customHeight="1">
      <c r="A80" s="716">
        <f>IFERROR(VLOOKUP(H80,PartyStorage,2, FALSE),0)</f>
        <v>0</v>
      </c>
      <c r="B80" s="1134"/>
      <c r="C80" s="1124"/>
      <c r="D80" s="1124"/>
      <c r="E80" s="1123" t="str">
        <f t="shared" si="1"/>
        <v/>
      </c>
      <c r="F80" s="1124"/>
      <c r="G80" s="1137"/>
      <c r="H80" s="1126"/>
      <c r="I80" s="1127"/>
      <c r="M80" s="1128"/>
      <c r="N80" s="779">
        <f>IFERROR(VLOOKUP(F80,Ch9_Storage,2, FALSE),0)</f>
        <v>0</v>
      </c>
    </row>
    <row r="81" ht="18.75" customHeight="1">
      <c r="A81" s="716">
        <f>IFERROR(VLOOKUP(H81,PartyStorage,2, FALSE),0)</f>
        <v>0</v>
      </c>
      <c r="B81" s="1129"/>
      <c r="C81" s="1117"/>
      <c r="D81" s="1117"/>
      <c r="E81" s="1116" t="str">
        <f t="shared" si="1"/>
        <v/>
      </c>
      <c r="F81" s="1117"/>
      <c r="G81" s="1131"/>
      <c r="H81" s="1118"/>
      <c r="I81" s="1119"/>
      <c r="M81" s="1120"/>
      <c r="N81" s="779">
        <f>IFERROR(VLOOKUP(F81,Ch9_Storage,2, FALSE),0)</f>
        <v>0</v>
      </c>
    </row>
    <row r="82" ht="18.75" customHeight="1">
      <c r="A82" s="716">
        <f>IFERROR(VLOOKUP(H82,PartyStorage,2, FALSE),0)</f>
        <v>0</v>
      </c>
      <c r="B82" s="1134"/>
      <c r="C82" s="1124"/>
      <c r="D82" s="1124"/>
      <c r="E82" s="1123" t="str">
        <f t="shared" si="1"/>
        <v/>
      </c>
      <c r="F82" s="1124"/>
      <c r="G82" s="1137"/>
      <c r="H82" s="1126"/>
      <c r="I82" s="1127"/>
      <c r="M82" s="1128"/>
      <c r="N82" s="779">
        <f>IFERROR(VLOOKUP(F82,Ch9_Storage,2, FALSE),0)</f>
        <v>0</v>
      </c>
    </row>
    <row r="83" ht="18.75" customHeight="1">
      <c r="A83" s="716">
        <f>IFERROR(VLOOKUP(H83,PartyStorage,2, FALSE),0)</f>
        <v>0</v>
      </c>
      <c r="B83" s="1129"/>
      <c r="C83" s="1117"/>
      <c r="D83" s="1117"/>
      <c r="E83" s="1116" t="str">
        <f t="shared" si="1"/>
        <v/>
      </c>
      <c r="F83" s="1117"/>
      <c r="G83" s="1131"/>
      <c r="H83" s="1118"/>
      <c r="I83" s="1119"/>
      <c r="M83" s="1120"/>
      <c r="N83" s="779">
        <f>IFERROR(VLOOKUP(F83,Ch9_Storage,2, FALSE),0)</f>
        <v>0</v>
      </c>
    </row>
    <row r="84" ht="18.75" customHeight="1">
      <c r="A84" s="716">
        <f>IFERROR(VLOOKUP(H84,PartyStorage,2, FALSE),0)</f>
        <v>0</v>
      </c>
      <c r="B84" s="1134"/>
      <c r="C84" s="1124"/>
      <c r="D84" s="1124"/>
      <c r="E84" s="1123" t="str">
        <f t="shared" si="1"/>
        <v/>
      </c>
      <c r="F84" s="1124"/>
      <c r="G84" s="1137"/>
      <c r="H84" s="1126"/>
      <c r="I84" s="1127"/>
      <c r="M84" s="1128"/>
      <c r="N84" s="779">
        <f>IFERROR(VLOOKUP(F84,Ch9_Storage,2, FALSE),0)</f>
        <v>0</v>
      </c>
    </row>
    <row r="85" ht="18.75" customHeight="1">
      <c r="A85" s="716">
        <f>IFERROR(VLOOKUP(H85,PartyStorage,2, FALSE),0)</f>
        <v>0</v>
      </c>
      <c r="B85" s="1129"/>
      <c r="C85" s="1117"/>
      <c r="D85" s="1117"/>
      <c r="E85" s="1116" t="str">
        <f t="shared" si="1"/>
        <v/>
      </c>
      <c r="F85" s="1117"/>
      <c r="G85" s="1131"/>
      <c r="H85" s="1118"/>
      <c r="I85" s="1119"/>
      <c r="M85" s="1120"/>
      <c r="N85" s="779">
        <f>IFERROR(VLOOKUP(F85,Ch9_Storage,2, FALSE),0)</f>
        <v>0</v>
      </c>
    </row>
    <row r="86" ht="18.75" customHeight="1">
      <c r="A86" s="716">
        <f>IFERROR(VLOOKUP(H86,PartyStorage,2, FALSE),0)</f>
        <v>0</v>
      </c>
      <c r="B86" s="1134"/>
      <c r="C86" s="1124"/>
      <c r="D86" s="1124"/>
      <c r="E86" s="1123" t="str">
        <f t="shared" si="1"/>
        <v/>
      </c>
      <c r="F86" s="1124"/>
      <c r="G86" s="1137"/>
      <c r="H86" s="1126"/>
      <c r="I86" s="1127"/>
      <c r="M86" s="1128"/>
      <c r="N86" s="779">
        <f>IFERROR(VLOOKUP(F86,Ch9_Storage,2, FALSE),0)</f>
        <v>0</v>
      </c>
    </row>
    <row r="87" ht="18.75" customHeight="1">
      <c r="A87" s="716">
        <f>IFERROR(VLOOKUP(H87,PartyStorage,2, FALSE),0)</f>
        <v>0</v>
      </c>
      <c r="B87" s="1129"/>
      <c r="C87" s="1117"/>
      <c r="D87" s="1117"/>
      <c r="E87" s="1116" t="str">
        <f t="shared" si="1"/>
        <v/>
      </c>
      <c r="F87" s="1117"/>
      <c r="G87" s="1131"/>
      <c r="H87" s="1118"/>
      <c r="I87" s="1119"/>
      <c r="M87" s="1120"/>
      <c r="N87" s="779">
        <f>IFERROR(VLOOKUP(F87,Ch9_Storage,2, FALSE),0)</f>
        <v>0</v>
      </c>
    </row>
    <row r="88" ht="18.75" customHeight="1">
      <c r="A88" s="716">
        <f>IFERROR(VLOOKUP(H88,PartyStorage,2, FALSE),0)</f>
        <v>0</v>
      </c>
      <c r="B88" s="1134"/>
      <c r="C88" s="1124"/>
      <c r="D88" s="1124"/>
      <c r="E88" s="1123" t="str">
        <f t="shared" si="1"/>
        <v/>
      </c>
      <c r="F88" s="1124"/>
      <c r="G88" s="1137"/>
      <c r="H88" s="1126"/>
      <c r="I88" s="1127"/>
      <c r="M88" s="1128"/>
      <c r="N88" s="779">
        <f>IFERROR(VLOOKUP(F88,Ch9_Storage,2, FALSE),0)</f>
        <v>0</v>
      </c>
    </row>
    <row r="89" ht="18.75" customHeight="1">
      <c r="A89" s="716">
        <f>IFERROR(VLOOKUP(H89,PartyStorage,2, FALSE),0)</f>
        <v>0</v>
      </c>
      <c r="B89" s="1129"/>
      <c r="C89" s="1117"/>
      <c r="D89" s="1117"/>
      <c r="E89" s="1116" t="str">
        <f t="shared" si="1"/>
        <v/>
      </c>
      <c r="F89" s="1117"/>
      <c r="G89" s="1131"/>
      <c r="H89" s="1118"/>
      <c r="I89" s="1119"/>
      <c r="M89" s="1120"/>
      <c r="N89" s="779">
        <f>IFERROR(VLOOKUP(F89,Ch9_Storage,2, FALSE),0)</f>
        <v>0</v>
      </c>
    </row>
    <row r="90" ht="18.75" customHeight="1">
      <c r="A90" s="716">
        <f>IFERROR(VLOOKUP(H90,PartyStorage,2, FALSE),0)</f>
        <v>0</v>
      </c>
      <c r="B90" s="1134"/>
      <c r="C90" s="1124"/>
      <c r="D90" s="1124"/>
      <c r="E90" s="1123" t="str">
        <f t="shared" si="1"/>
        <v/>
      </c>
      <c r="F90" s="1124"/>
      <c r="G90" s="1137"/>
      <c r="H90" s="1126"/>
      <c r="I90" s="1127"/>
      <c r="M90" s="1128"/>
      <c r="N90" s="779">
        <f>IFERROR(VLOOKUP(F90,Ch9_Storage,2, FALSE),0)</f>
        <v>0</v>
      </c>
    </row>
    <row r="91" ht="18.75" customHeight="1">
      <c r="A91" s="716">
        <f>IFERROR(VLOOKUP(H91,PartyStorage,2, FALSE),0)</f>
        <v>0</v>
      </c>
      <c r="B91" s="1129"/>
      <c r="C91" s="1117"/>
      <c r="D91" s="1117"/>
      <c r="E91" s="1116" t="str">
        <f t="shared" si="1"/>
        <v/>
      </c>
      <c r="F91" s="1117"/>
      <c r="G91" s="1131"/>
      <c r="H91" s="1118"/>
      <c r="I91" s="1119"/>
      <c r="M91" s="1120"/>
      <c r="N91" s="779">
        <f>IFERROR(VLOOKUP(F91,Ch9_Storage,2, FALSE),0)</f>
        <v>0</v>
      </c>
    </row>
    <row r="92" ht="18.75" customHeight="1">
      <c r="A92" s="716">
        <f>IFERROR(VLOOKUP(H92,PartyStorage,2, FALSE),0)</f>
        <v>0</v>
      </c>
      <c r="B92" s="1134"/>
      <c r="C92" s="1124"/>
      <c r="D92" s="1124"/>
      <c r="E92" s="1123" t="str">
        <f t="shared" si="1"/>
        <v/>
      </c>
      <c r="F92" s="1124"/>
      <c r="G92" s="1137"/>
      <c r="H92" s="1126"/>
      <c r="I92" s="1127"/>
      <c r="M92" s="1128"/>
      <c r="N92" s="779">
        <f>IFERROR(VLOOKUP(F92,Ch9_Storage,2, FALSE),0)</f>
        <v>0</v>
      </c>
    </row>
    <row r="93" ht="18.75" customHeight="1">
      <c r="A93" s="716">
        <f>IFERROR(VLOOKUP(H93,PartyStorage,2, FALSE),0)</f>
        <v>0</v>
      </c>
      <c r="B93" s="1129"/>
      <c r="C93" s="1117"/>
      <c r="D93" s="1117"/>
      <c r="E93" s="1116" t="str">
        <f t="shared" si="1"/>
        <v/>
      </c>
      <c r="F93" s="1117"/>
      <c r="G93" s="1131"/>
      <c r="H93" s="1118"/>
      <c r="I93" s="1119"/>
      <c r="M93" s="1120"/>
      <c r="N93" s="779">
        <f>IFERROR(VLOOKUP(F93,Ch9_Storage,2, FALSE),0)</f>
        <v>0</v>
      </c>
    </row>
    <row r="94" ht="18.75" customHeight="1">
      <c r="A94" s="716">
        <f>IFERROR(VLOOKUP(H94,PartyStorage,2, FALSE),0)</f>
        <v>0</v>
      </c>
      <c r="B94" s="1134"/>
      <c r="C94" s="1124"/>
      <c r="D94" s="1124"/>
      <c r="E94" s="1123" t="str">
        <f t="shared" si="1"/>
        <v/>
      </c>
      <c r="F94" s="1124"/>
      <c r="G94" s="1137"/>
      <c r="H94" s="1126"/>
      <c r="I94" s="1127"/>
      <c r="M94" s="1128"/>
      <c r="N94" s="779">
        <f>IFERROR(VLOOKUP(F94,Ch9_Storage,2, FALSE),0)</f>
        <v>0</v>
      </c>
    </row>
    <row r="95" ht="18.75" customHeight="1">
      <c r="A95" s="716">
        <f>IFERROR(VLOOKUP(H95,PartyStorage,2, FALSE),0)</f>
        <v>0</v>
      </c>
      <c r="B95" s="1129"/>
      <c r="C95" s="1117"/>
      <c r="D95" s="1117"/>
      <c r="E95" s="1116" t="str">
        <f t="shared" si="1"/>
        <v/>
      </c>
      <c r="F95" s="1117"/>
      <c r="G95" s="1131"/>
      <c r="H95" s="1118"/>
      <c r="I95" s="1119"/>
      <c r="M95" s="1120"/>
      <c r="N95" s="779">
        <f>IFERROR(VLOOKUP(F95,Ch9_Storage,2, FALSE),0)</f>
        <v>0</v>
      </c>
    </row>
    <row r="96" ht="18.75" customHeight="1">
      <c r="A96" s="716">
        <f>IFERROR(VLOOKUP(H96,PartyStorage,2, FALSE),0)</f>
        <v>0</v>
      </c>
      <c r="B96" s="1134"/>
      <c r="C96" s="1124"/>
      <c r="D96" s="1124"/>
      <c r="E96" s="1123" t="str">
        <f t="shared" si="1"/>
        <v/>
      </c>
      <c r="F96" s="1124"/>
      <c r="G96" s="1137"/>
      <c r="H96" s="1126"/>
      <c r="I96" s="1127"/>
      <c r="M96" s="1128"/>
      <c r="N96" s="779">
        <f>IFERROR(VLOOKUP(F96,Ch9_Storage,2, FALSE),0)</f>
        <v>0</v>
      </c>
    </row>
    <row r="97" ht="18.75" customHeight="1">
      <c r="A97" s="716">
        <f>IFERROR(VLOOKUP(H97,PartyStorage,2, FALSE),0)</f>
        <v>0</v>
      </c>
      <c r="B97" s="1129"/>
      <c r="C97" s="1117"/>
      <c r="D97" s="1117"/>
      <c r="E97" s="1116" t="str">
        <f t="shared" si="1"/>
        <v/>
      </c>
      <c r="F97" s="1117"/>
      <c r="G97" s="1131"/>
      <c r="H97" s="1118"/>
      <c r="I97" s="1119"/>
      <c r="M97" s="1120"/>
      <c r="N97" s="779">
        <f>IFERROR(VLOOKUP(F97,Ch9_Storage,2, FALSE),0)</f>
        <v>0</v>
      </c>
    </row>
    <row r="98" ht="18.75" customHeight="1">
      <c r="A98" s="716">
        <f>IFERROR(VLOOKUP(H98,PartyStorage,2, FALSE),0)</f>
        <v>0</v>
      </c>
      <c r="B98" s="1134"/>
      <c r="C98" s="1124"/>
      <c r="D98" s="1124"/>
      <c r="E98" s="1123" t="str">
        <f t="shared" si="1"/>
        <v/>
      </c>
      <c r="F98" s="1124"/>
      <c r="G98" s="1137"/>
      <c r="H98" s="1126"/>
      <c r="I98" s="1127"/>
      <c r="M98" s="1128"/>
      <c r="N98" s="779">
        <f>IFERROR(VLOOKUP(F98,Ch9_Storage,2, FALSE),0)</f>
        <v>0</v>
      </c>
    </row>
    <row r="99" ht="18.75" customHeight="1">
      <c r="A99" s="716">
        <f>IFERROR(VLOOKUP(H99,PartyStorage,2, FALSE),0)</f>
        <v>0</v>
      </c>
      <c r="B99" s="1129"/>
      <c r="C99" s="1117"/>
      <c r="D99" s="1117"/>
      <c r="E99" s="1116" t="str">
        <f t="shared" si="1"/>
        <v/>
      </c>
      <c r="F99" s="1117"/>
      <c r="G99" s="1131"/>
      <c r="H99" s="1118"/>
      <c r="I99" s="1119"/>
      <c r="M99" s="1120"/>
      <c r="N99" s="779">
        <f>IFERROR(VLOOKUP(F99,Ch9_Storage,2, FALSE),0)</f>
        <v>0</v>
      </c>
    </row>
    <row r="100" ht="18.75" customHeight="1">
      <c r="A100" s="716">
        <f>IFERROR(VLOOKUP(H100,PartyStorage,2, FALSE),0)</f>
        <v>0</v>
      </c>
      <c r="B100" s="1134"/>
      <c r="C100" s="1124"/>
      <c r="D100" s="1124"/>
      <c r="E100" s="1123" t="str">
        <f t="shared" si="1"/>
        <v/>
      </c>
      <c r="F100" s="1124"/>
      <c r="G100" s="1137"/>
      <c r="H100" s="1126"/>
      <c r="I100" s="1127"/>
      <c r="M100" s="1128"/>
      <c r="N100" s="779">
        <f>IFERROR(VLOOKUP(F100,Ch9_Storage,2, FALSE),0)</f>
        <v>0</v>
      </c>
    </row>
    <row r="101" ht="18.75" customHeight="1">
      <c r="A101" s="716">
        <f>IFERROR(VLOOKUP(H101,PartyStorage,2, FALSE),0)</f>
        <v>0</v>
      </c>
      <c r="B101" s="1129"/>
      <c r="C101" s="1117"/>
      <c r="D101" s="1117"/>
      <c r="E101" s="1116" t="str">
        <f t="shared" si="1"/>
        <v/>
      </c>
      <c r="F101" s="1117"/>
      <c r="G101" s="1131"/>
      <c r="H101" s="1118"/>
      <c r="I101" s="1119"/>
      <c r="M101" s="1120"/>
      <c r="N101" s="779">
        <f>IFERROR(VLOOKUP(F101,Ch9_Storage,2, FALSE),0)</f>
        <v>0</v>
      </c>
    </row>
    <row r="102" ht="18.75" customHeight="1">
      <c r="A102" s="716">
        <f>IFERROR(VLOOKUP(H102,PartyStorage,2, FALSE),0)</f>
        <v>0</v>
      </c>
      <c r="B102" s="1134"/>
      <c r="C102" s="1124"/>
      <c r="D102" s="1124"/>
      <c r="E102" s="1123" t="str">
        <f t="shared" si="1"/>
        <v/>
      </c>
      <c r="F102" s="1124"/>
      <c r="G102" s="1137"/>
      <c r="H102" s="1126"/>
      <c r="I102" s="1127"/>
      <c r="M102" s="1128"/>
      <c r="N102" s="779">
        <f>IFERROR(VLOOKUP(F102,Ch9_Storage,2, FALSE),0)</f>
        <v>0</v>
      </c>
    </row>
    <row r="103" ht="18.75" customHeight="1">
      <c r="A103" s="716">
        <f>IFERROR(VLOOKUP(H103,PartyStorage,2, FALSE),0)</f>
        <v>0</v>
      </c>
      <c r="B103" s="1129"/>
      <c r="C103" s="1117"/>
      <c r="D103" s="1117"/>
      <c r="E103" s="1116" t="str">
        <f t="shared" si="1"/>
        <v/>
      </c>
      <c r="F103" s="1117"/>
      <c r="G103" s="1131"/>
      <c r="H103" s="1118"/>
      <c r="I103" s="1119"/>
      <c r="M103" s="1120"/>
      <c r="N103" s="779">
        <f>IFERROR(VLOOKUP(F103,Ch9_Storage,2, FALSE),0)</f>
        <v>0</v>
      </c>
    </row>
    <row r="104" ht="18.75" customHeight="1">
      <c r="A104" s="716">
        <f>IFERROR(VLOOKUP(H104,PartyStorage,2, FALSE),0)</f>
        <v>0</v>
      </c>
      <c r="B104" s="1134"/>
      <c r="C104" s="1124"/>
      <c r="D104" s="1124"/>
      <c r="E104" s="1123" t="str">
        <f t="shared" si="1"/>
        <v/>
      </c>
      <c r="F104" s="1124"/>
      <c r="G104" s="1137"/>
      <c r="H104" s="1126"/>
      <c r="I104" s="1127"/>
      <c r="M104" s="1128"/>
      <c r="N104" s="779">
        <f>IFERROR(VLOOKUP(F104,Ch9_Storage,2, FALSE),0)</f>
        <v>0</v>
      </c>
    </row>
    <row r="105" ht="18.75" customHeight="1">
      <c r="A105" s="716">
        <f>IFERROR(VLOOKUP(H105,PartyStorage,2, FALSE),0)</f>
        <v>0</v>
      </c>
      <c r="B105" s="1129"/>
      <c r="C105" s="1117"/>
      <c r="D105" s="1117"/>
      <c r="E105" s="1116" t="str">
        <f t="shared" si="1"/>
        <v/>
      </c>
      <c r="F105" s="1117"/>
      <c r="G105" s="1131"/>
      <c r="H105" s="1118"/>
      <c r="I105" s="1119"/>
      <c r="M105" s="1120"/>
      <c r="N105" s="779">
        <f>IFERROR(VLOOKUP(F105,Ch9_Storage,2, FALSE),0)</f>
        <v>0</v>
      </c>
    </row>
    <row r="106" ht="18.75" customHeight="1">
      <c r="A106" s="716">
        <f>IFERROR(VLOOKUP(H106,PartyStorage,2, FALSE),0)</f>
        <v>0</v>
      </c>
      <c r="B106" s="1134"/>
      <c r="C106" s="1124"/>
      <c r="D106" s="1124"/>
      <c r="E106" s="1123" t="str">
        <f t="shared" si="1"/>
        <v/>
      </c>
      <c r="F106" s="1124"/>
      <c r="G106" s="1137"/>
      <c r="H106" s="1126"/>
      <c r="I106" s="1127"/>
      <c r="M106" s="1128"/>
      <c r="N106" s="779">
        <f>IFERROR(VLOOKUP(F106,Ch9_Storage,2, FALSE),0)</f>
        <v>0</v>
      </c>
    </row>
    <row r="107" ht="18.75" customHeight="1">
      <c r="A107" s="716">
        <f>IFERROR(VLOOKUP(H107,PartyStorage,2, FALSE),0)</f>
        <v>0</v>
      </c>
      <c r="B107" s="1129"/>
      <c r="C107" s="1117"/>
      <c r="D107" s="1117"/>
      <c r="E107" s="1116" t="str">
        <f t="shared" si="1"/>
        <v/>
      </c>
      <c r="F107" s="1117"/>
      <c r="G107" s="1131"/>
      <c r="H107" s="1118"/>
      <c r="I107" s="1119"/>
      <c r="M107" s="1120"/>
      <c r="N107" s="779">
        <f>IFERROR(VLOOKUP(F107,Ch9_Storage,2, FALSE),0)</f>
        <v>0</v>
      </c>
    </row>
    <row r="108" ht="18.75" customHeight="1">
      <c r="A108" s="716">
        <f>IFERROR(VLOOKUP(H108,PartyStorage,2, FALSE),0)</f>
        <v>0</v>
      </c>
      <c r="B108" s="1134"/>
      <c r="C108" s="1124"/>
      <c r="D108" s="1124"/>
      <c r="E108" s="1123" t="str">
        <f t="shared" si="1"/>
        <v/>
      </c>
      <c r="F108" s="1124"/>
      <c r="G108" s="1137"/>
      <c r="H108" s="1126"/>
      <c r="I108" s="1127"/>
      <c r="M108" s="1128"/>
      <c r="N108" s="779">
        <f>IFERROR(VLOOKUP(F108,Ch9_Storage,2, FALSE),0)</f>
        <v>0</v>
      </c>
    </row>
    <row r="109" ht="18.75" customHeight="1">
      <c r="A109" s="716">
        <f>IFERROR(VLOOKUP(H109,PartyStorage,2, FALSE),0)</f>
        <v>0</v>
      </c>
      <c r="B109" s="1129"/>
      <c r="C109" s="1117"/>
      <c r="D109" s="1117"/>
      <c r="E109" s="1116" t="str">
        <f t="shared" si="1"/>
        <v/>
      </c>
      <c r="F109" s="1117"/>
      <c r="G109" s="1131"/>
      <c r="H109" s="1118"/>
      <c r="I109" s="1119"/>
      <c r="M109" s="1120"/>
      <c r="N109" s="779">
        <f>IFERROR(VLOOKUP(F109,Ch9_Storage,2, FALSE),0)</f>
        <v>0</v>
      </c>
    </row>
    <row r="110" ht="18.75" customHeight="1">
      <c r="A110" s="716">
        <f>IFERROR(VLOOKUP(H110,PartyStorage,2, FALSE),0)</f>
        <v>0</v>
      </c>
      <c r="B110" s="1134"/>
      <c r="C110" s="1124"/>
      <c r="D110" s="1124"/>
      <c r="E110" s="1123" t="str">
        <f t="shared" si="1"/>
        <v/>
      </c>
      <c r="F110" s="1124"/>
      <c r="G110" s="1137"/>
      <c r="H110" s="1126"/>
      <c r="I110" s="1127"/>
      <c r="M110" s="1128"/>
      <c r="N110" s="779">
        <f>IFERROR(VLOOKUP(F110,Ch9_Storage,2, FALSE),0)</f>
        <v>0</v>
      </c>
    </row>
    <row r="111" ht="18.75" customHeight="1">
      <c r="A111" s="716">
        <f>IFERROR(VLOOKUP(H111,PartyStorage,2, FALSE),0)</f>
        <v>0</v>
      </c>
      <c r="B111" s="1129"/>
      <c r="C111" s="1117"/>
      <c r="D111" s="1117"/>
      <c r="E111" s="1116" t="str">
        <f t="shared" si="1"/>
        <v/>
      </c>
      <c r="F111" s="1117"/>
      <c r="G111" s="1131"/>
      <c r="H111" s="1118"/>
      <c r="I111" s="1119"/>
      <c r="M111" s="1120"/>
      <c r="N111" s="779">
        <f>IFERROR(VLOOKUP(F111,Ch9_Storage,2, FALSE),0)</f>
        <v>0</v>
      </c>
    </row>
    <row r="112" ht="18.75" customHeight="1">
      <c r="A112" s="716">
        <f>IFERROR(VLOOKUP(H112,PartyStorage,2, FALSE),0)</f>
        <v>0</v>
      </c>
      <c r="B112" s="1134"/>
      <c r="C112" s="1124"/>
      <c r="D112" s="1124"/>
      <c r="E112" s="1123" t="str">
        <f t="shared" si="1"/>
        <v/>
      </c>
      <c r="F112" s="1124"/>
      <c r="G112" s="1137"/>
      <c r="H112" s="1126"/>
      <c r="I112" s="1127"/>
      <c r="M112" s="1128"/>
      <c r="N112" s="779">
        <f>IFERROR(VLOOKUP(F112,Ch9_Storage,2, FALSE),0)</f>
        <v>0</v>
      </c>
    </row>
    <row r="113" ht="18.75" customHeight="1">
      <c r="A113" s="716">
        <f>IFERROR(VLOOKUP(H113,PartyStorage,2, FALSE),0)</f>
        <v>0</v>
      </c>
      <c r="B113" s="1129"/>
      <c r="C113" s="1117"/>
      <c r="D113" s="1117"/>
      <c r="E113" s="1116" t="str">
        <f t="shared" si="1"/>
        <v/>
      </c>
      <c r="F113" s="1117"/>
      <c r="G113" s="1131"/>
      <c r="H113" s="1118"/>
      <c r="I113" s="1119"/>
      <c r="M113" s="1120"/>
      <c r="N113" s="779">
        <f>IFERROR(VLOOKUP(F113,Ch9_Storage,2, FALSE),0)</f>
        <v>0</v>
      </c>
    </row>
    <row r="114" ht="18.75" customHeight="1">
      <c r="A114" s="716">
        <f>IFERROR(VLOOKUP(H114,PartyStorage,2, FALSE),0)</f>
        <v>0</v>
      </c>
      <c r="B114" s="1134"/>
      <c r="C114" s="1124"/>
      <c r="D114" s="1124"/>
      <c r="E114" s="1123" t="str">
        <f t="shared" si="1"/>
        <v/>
      </c>
      <c r="F114" s="1124"/>
      <c r="G114" s="1137"/>
      <c r="H114" s="1126"/>
      <c r="I114" s="1127"/>
      <c r="M114" s="1128"/>
      <c r="N114" s="779">
        <f>IFERROR(VLOOKUP(F114,Ch9_Storage,2, FALSE),0)</f>
        <v>0</v>
      </c>
    </row>
    <row r="115" ht="18.75" customHeight="1">
      <c r="A115" s="716">
        <f>IFERROR(VLOOKUP(H115,PartyStorage,2, FALSE),0)</f>
        <v>0</v>
      </c>
      <c r="B115" s="1129"/>
      <c r="C115" s="1117"/>
      <c r="D115" s="1117"/>
      <c r="E115" s="1116" t="str">
        <f t="shared" si="1"/>
        <v/>
      </c>
      <c r="F115" s="1117"/>
      <c r="G115" s="1131"/>
      <c r="H115" s="1118"/>
      <c r="I115" s="1119"/>
      <c r="M115" s="1120"/>
      <c r="N115" s="779">
        <f>IFERROR(VLOOKUP(F115,Ch9_Storage,2, FALSE),0)</f>
        <v>0</v>
      </c>
    </row>
    <row r="116" ht="18.75" customHeight="1">
      <c r="A116" s="716">
        <f>IFERROR(VLOOKUP(H116,PartyStorage,2, FALSE),0)</f>
        <v>0</v>
      </c>
      <c r="B116" s="1134"/>
      <c r="C116" s="1124"/>
      <c r="D116" s="1124"/>
      <c r="E116" s="1123" t="str">
        <f t="shared" si="1"/>
        <v/>
      </c>
      <c r="F116" s="1124"/>
      <c r="G116" s="1137"/>
      <c r="H116" s="1126"/>
      <c r="I116" s="1127"/>
      <c r="M116" s="1128"/>
      <c r="N116" s="779">
        <f>IFERROR(VLOOKUP(F116,Ch9_Storage,2, FALSE),0)</f>
        <v>0</v>
      </c>
    </row>
    <row r="117" ht="18.75" customHeight="1">
      <c r="A117" s="716">
        <f>IFERROR(VLOOKUP(H117,PartyStorage,2, FALSE),0)</f>
        <v>0</v>
      </c>
      <c r="B117" s="1129"/>
      <c r="C117" s="1117"/>
      <c r="D117" s="1117"/>
      <c r="E117" s="1116" t="str">
        <f t="shared" si="1"/>
        <v/>
      </c>
      <c r="F117" s="1117"/>
      <c r="G117" s="1131"/>
      <c r="H117" s="1118"/>
      <c r="I117" s="1119"/>
      <c r="M117" s="1120"/>
      <c r="N117" s="779">
        <f>IFERROR(VLOOKUP(F117,Ch9_Storage,2, FALSE),0)</f>
        <v>0</v>
      </c>
    </row>
    <row r="118" ht="18.75" customHeight="1">
      <c r="A118" s="716">
        <f>IFERROR(VLOOKUP(H118,PartyStorage,2, FALSE),0)</f>
        <v>0</v>
      </c>
      <c r="B118" s="1134"/>
      <c r="C118" s="1124"/>
      <c r="D118" s="1124"/>
      <c r="E118" s="1123" t="str">
        <f t="shared" si="1"/>
        <v/>
      </c>
      <c r="F118" s="1124"/>
      <c r="G118" s="1137"/>
      <c r="H118" s="1126"/>
      <c r="I118" s="1127"/>
      <c r="M118" s="1128"/>
      <c r="N118" s="779">
        <f>IFERROR(VLOOKUP(F118,Ch9_Storage,2, FALSE),0)</f>
        <v>0</v>
      </c>
    </row>
    <row r="119" ht="18.75" customHeight="1">
      <c r="A119" s="716">
        <f>IFERROR(VLOOKUP(H119,PartyStorage,2, FALSE),0)</f>
        <v>0</v>
      </c>
      <c r="B119" s="1129"/>
      <c r="C119" s="1117"/>
      <c r="D119" s="1117"/>
      <c r="E119" s="1116" t="str">
        <f t="shared" si="1"/>
        <v/>
      </c>
      <c r="F119" s="1117"/>
      <c r="G119" s="1131"/>
      <c r="H119" s="1118"/>
      <c r="I119" s="1119"/>
      <c r="M119" s="1120"/>
      <c r="N119" s="779">
        <f>IFERROR(VLOOKUP(F119,Ch9_Storage,2, FALSE),0)</f>
        <v>0</v>
      </c>
    </row>
    <row r="120" ht="18.75" customHeight="1">
      <c r="A120" s="716">
        <f>IFERROR(VLOOKUP(H120,PartyStorage,2, FALSE),0)</f>
        <v>0</v>
      </c>
      <c r="B120" s="1134"/>
      <c r="C120" s="1124"/>
      <c r="D120" s="1124"/>
      <c r="E120" s="1123" t="str">
        <f t="shared" si="1"/>
        <v/>
      </c>
      <c r="F120" s="1124"/>
      <c r="G120" s="1137"/>
      <c r="H120" s="1126"/>
      <c r="I120" s="1127"/>
      <c r="M120" s="1128"/>
      <c r="N120" s="779">
        <f>IFERROR(VLOOKUP(F120,Ch9_Storage,2, FALSE),0)</f>
        <v>0</v>
      </c>
    </row>
    <row r="121" ht="18.75" customHeight="1">
      <c r="A121" s="716">
        <f>IFERROR(VLOOKUP(H121,PartyStorage,2, FALSE),0)</f>
        <v>0</v>
      </c>
      <c r="B121" s="1129"/>
      <c r="C121" s="1117"/>
      <c r="D121" s="1117"/>
      <c r="E121" s="1116" t="str">
        <f t="shared" si="1"/>
        <v/>
      </c>
      <c r="F121" s="1117"/>
      <c r="G121" s="1131"/>
      <c r="H121" s="1118"/>
      <c r="I121" s="1119"/>
      <c r="M121" s="1120"/>
      <c r="N121" s="779">
        <f>IFERROR(VLOOKUP(F121,Ch9_Storage,2, FALSE),0)</f>
        <v>0</v>
      </c>
    </row>
    <row r="122" ht="18.75" customHeight="1">
      <c r="A122" s="716">
        <f>IFERROR(VLOOKUP(H122,PartyStorage,2, FALSE),0)</f>
        <v>0</v>
      </c>
      <c r="B122" s="1134"/>
      <c r="C122" s="1124"/>
      <c r="D122" s="1124"/>
      <c r="E122" s="1123" t="str">
        <f t="shared" si="1"/>
        <v/>
      </c>
      <c r="F122" s="1124"/>
      <c r="G122" s="1137"/>
      <c r="H122" s="1126"/>
      <c r="I122" s="1127"/>
      <c r="M122" s="1128"/>
      <c r="N122" s="779">
        <f>IFERROR(VLOOKUP(F122,Ch9_Storage,2, FALSE),0)</f>
        <v>0</v>
      </c>
    </row>
    <row r="123" ht="18.75" customHeight="1">
      <c r="A123" s="716">
        <f>IFERROR(VLOOKUP(H123,PartyStorage,2, FALSE),0)</f>
        <v>0</v>
      </c>
      <c r="B123" s="1129"/>
      <c r="C123" s="1117"/>
      <c r="D123" s="1117"/>
      <c r="E123" s="1116" t="str">
        <f t="shared" si="1"/>
        <v/>
      </c>
      <c r="F123" s="1117"/>
      <c r="G123" s="1131"/>
      <c r="H123" s="1118"/>
      <c r="I123" s="1119"/>
      <c r="M123" s="1120"/>
      <c r="N123" s="779">
        <f>IFERROR(VLOOKUP(F123,Ch9_Storage,2, FALSE),0)</f>
        <v>0</v>
      </c>
    </row>
    <row r="124" ht="18.75" customHeight="1">
      <c r="A124" s="716">
        <f>IFERROR(VLOOKUP(H124,PartyStorage,2, FALSE),0)</f>
        <v>0</v>
      </c>
      <c r="B124" s="1134"/>
      <c r="C124" s="1124"/>
      <c r="D124" s="1124"/>
      <c r="E124" s="1123" t="str">
        <f t="shared" si="1"/>
        <v/>
      </c>
      <c r="F124" s="1124"/>
      <c r="G124" s="1137"/>
      <c r="H124" s="1126"/>
      <c r="I124" s="1127"/>
      <c r="M124" s="1128"/>
      <c r="N124" s="779">
        <f>IFERROR(VLOOKUP(F124,Ch9_Storage,2, FALSE),0)</f>
        <v>0</v>
      </c>
    </row>
    <row r="125" ht="18.75" customHeight="1">
      <c r="A125" s="716">
        <f>IFERROR(VLOOKUP(H125,PartyStorage,2, FALSE),0)</f>
        <v>0</v>
      </c>
      <c r="B125" s="1129"/>
      <c r="C125" s="1117"/>
      <c r="D125" s="1117"/>
      <c r="E125" s="1116" t="str">
        <f t="shared" si="1"/>
        <v/>
      </c>
      <c r="F125" s="1117"/>
      <c r="G125" s="1131"/>
      <c r="H125" s="1118"/>
      <c r="I125" s="1119"/>
      <c r="M125" s="1120"/>
      <c r="N125" s="779">
        <f>IFERROR(VLOOKUP(F125,Ch9_Storage,2, FALSE),0)</f>
        <v>0</v>
      </c>
    </row>
    <row r="126" ht="18.75" customHeight="1">
      <c r="A126" s="716">
        <f>IFERROR(VLOOKUP(H126,PartyStorage,2, FALSE),0)</f>
        <v>0</v>
      </c>
      <c r="B126" s="1134"/>
      <c r="C126" s="1124"/>
      <c r="D126" s="1124"/>
      <c r="E126" s="1123" t="str">
        <f t="shared" si="1"/>
        <v/>
      </c>
      <c r="F126" s="1124"/>
      <c r="G126" s="1137"/>
      <c r="H126" s="1126"/>
      <c r="I126" s="1127"/>
      <c r="M126" s="1128"/>
      <c r="N126" s="779">
        <f>IFERROR(VLOOKUP(F126,Ch9_Storage,2, FALSE),0)</f>
        <v>0</v>
      </c>
    </row>
    <row r="127" ht="18.75" customHeight="1">
      <c r="A127" s="716">
        <f>IFERROR(VLOOKUP(H127,PartyStorage,2, FALSE),0)</f>
        <v>0</v>
      </c>
      <c r="B127" s="1129"/>
      <c r="C127" s="1117"/>
      <c r="D127" s="1117"/>
      <c r="E127" s="1116" t="str">
        <f t="shared" si="1"/>
        <v/>
      </c>
      <c r="F127" s="1117"/>
      <c r="G127" s="1131"/>
      <c r="H127" s="1118"/>
      <c r="I127" s="1119"/>
      <c r="M127" s="1120"/>
      <c r="N127" s="779">
        <f>IFERROR(VLOOKUP(F127,Ch9_Storage,2, FALSE),0)</f>
        <v>0</v>
      </c>
    </row>
    <row r="128" ht="18.75" customHeight="1">
      <c r="A128" s="716">
        <f>IFERROR(VLOOKUP(H128,PartyStorage,2, FALSE),0)</f>
        <v>0</v>
      </c>
      <c r="B128" s="1134"/>
      <c r="C128" s="1124"/>
      <c r="D128" s="1124"/>
      <c r="E128" s="1123" t="str">
        <f t="shared" si="1"/>
        <v/>
      </c>
      <c r="F128" s="1124"/>
      <c r="G128" s="1137"/>
      <c r="H128" s="1126"/>
      <c r="I128" s="1127"/>
      <c r="M128" s="1128"/>
      <c r="N128" s="779">
        <f>IFERROR(VLOOKUP(F128,Ch9_Storage,2, FALSE),0)</f>
        <v>0</v>
      </c>
    </row>
    <row r="129" ht="18.75" customHeight="1">
      <c r="A129" s="716">
        <f>IFERROR(VLOOKUP(H129,PartyStorage,2, FALSE),0)</f>
        <v>0</v>
      </c>
      <c r="B129" s="1129"/>
      <c r="C129" s="1117"/>
      <c r="D129" s="1117"/>
      <c r="E129" s="1116" t="str">
        <f t="shared" si="1"/>
        <v/>
      </c>
      <c r="F129" s="1117"/>
      <c r="G129" s="1131"/>
      <c r="H129" s="1118"/>
      <c r="I129" s="1119"/>
      <c r="M129" s="1120"/>
      <c r="N129" s="779">
        <f>IFERROR(VLOOKUP(F129,Ch9_Storage,2, FALSE),0)</f>
        <v>0</v>
      </c>
    </row>
    <row r="130" ht="18.75" customHeight="1">
      <c r="A130" s="716">
        <f>IFERROR(VLOOKUP(H130,PartyStorage,2, FALSE),0)</f>
        <v>0</v>
      </c>
      <c r="B130" s="1134"/>
      <c r="C130" s="1124"/>
      <c r="D130" s="1124"/>
      <c r="E130" s="1123" t="str">
        <f t="shared" si="1"/>
        <v/>
      </c>
      <c r="F130" s="1124"/>
      <c r="G130" s="1137"/>
      <c r="H130" s="1126"/>
      <c r="I130" s="1127"/>
      <c r="M130" s="1128"/>
      <c r="N130" s="779">
        <f>IFERROR(VLOOKUP(F130,Ch9_Storage,2, FALSE),0)</f>
        <v>0</v>
      </c>
    </row>
    <row r="131" ht="18.75" customHeight="1">
      <c r="A131" s="716">
        <f>IFERROR(VLOOKUP(H131,PartyStorage,2, FALSE),0)</f>
        <v>0</v>
      </c>
      <c r="B131" s="1129"/>
      <c r="C131" s="1117"/>
      <c r="D131" s="1117"/>
      <c r="E131" s="1116" t="str">
        <f t="shared" si="1"/>
        <v/>
      </c>
      <c r="F131" s="1117"/>
      <c r="G131" s="1131"/>
      <c r="H131" s="1118"/>
      <c r="I131" s="1119"/>
      <c r="M131" s="1120"/>
      <c r="N131" s="779">
        <f>IFERROR(VLOOKUP(F131,Ch9_Storage,2, FALSE),0)</f>
        <v>0</v>
      </c>
    </row>
    <row r="132" ht="18.75" customHeight="1">
      <c r="A132" s="716">
        <f>IFERROR(VLOOKUP(H132,PartyStorage,2, FALSE),0)</f>
        <v>0</v>
      </c>
      <c r="B132" s="1134"/>
      <c r="C132" s="1124"/>
      <c r="D132" s="1124"/>
      <c r="E132" s="1123" t="str">
        <f t="shared" si="1"/>
        <v/>
      </c>
      <c r="F132" s="1124"/>
      <c r="G132" s="1137"/>
      <c r="H132" s="1126"/>
      <c r="I132" s="1127"/>
      <c r="M132" s="1128"/>
      <c r="N132" s="779">
        <f>IFERROR(VLOOKUP(F132,Ch9_Storage,2, FALSE),0)</f>
        <v>0</v>
      </c>
    </row>
    <row r="133" ht="18.75" customHeight="1">
      <c r="A133" s="716">
        <f>IFERROR(VLOOKUP(H133,PartyStorage,2, FALSE),0)</f>
        <v>0</v>
      </c>
      <c r="B133" s="1129"/>
      <c r="C133" s="1117"/>
      <c r="D133" s="1117"/>
      <c r="E133" s="1116" t="str">
        <f t="shared" si="1"/>
        <v/>
      </c>
      <c r="F133" s="1117"/>
      <c r="G133" s="1131"/>
      <c r="H133" s="1118"/>
      <c r="I133" s="1119"/>
      <c r="M133" s="1120"/>
      <c r="N133" s="779">
        <f>IFERROR(VLOOKUP(F133,Ch9_Storage,2, FALSE),0)</f>
        <v>0</v>
      </c>
    </row>
    <row r="134" ht="18.75" customHeight="1">
      <c r="A134" s="716">
        <f>IFERROR(VLOOKUP(H134,PartyStorage,2, FALSE),0)</f>
        <v>0</v>
      </c>
      <c r="B134" s="1134"/>
      <c r="C134" s="1124"/>
      <c r="D134" s="1124"/>
      <c r="E134" s="1123" t="str">
        <f t="shared" si="1"/>
        <v/>
      </c>
      <c r="F134" s="1124"/>
      <c r="G134" s="1137"/>
      <c r="H134" s="1126"/>
      <c r="I134" s="1127"/>
      <c r="M134" s="1128"/>
      <c r="N134" s="779">
        <f>IFERROR(VLOOKUP(F134,Ch9_Storage,2, FALSE),0)</f>
        <v>0</v>
      </c>
    </row>
    <row r="135" ht="18.75" customHeight="1">
      <c r="A135" s="716">
        <f>IFERROR(VLOOKUP(H135,PartyStorage,2, FALSE),0)</f>
        <v>0</v>
      </c>
      <c r="B135" s="1129"/>
      <c r="C135" s="1117"/>
      <c r="D135" s="1117"/>
      <c r="E135" s="1116" t="str">
        <f t="shared" si="1"/>
        <v/>
      </c>
      <c r="F135" s="1117"/>
      <c r="G135" s="1131"/>
      <c r="H135" s="1118"/>
      <c r="I135" s="1119"/>
      <c r="M135" s="1120"/>
      <c r="N135" s="779">
        <f>IFERROR(VLOOKUP(F135,Ch9_Storage,2, FALSE),0)</f>
        <v>0</v>
      </c>
    </row>
    <row r="136" ht="18.75" customHeight="1">
      <c r="A136" s="716">
        <f>IFERROR(VLOOKUP(H136,PartyStorage,2, FALSE),0)</f>
        <v>0</v>
      </c>
      <c r="B136" s="1134"/>
      <c r="C136" s="1124"/>
      <c r="D136" s="1124"/>
      <c r="E136" s="1123" t="str">
        <f t="shared" si="1"/>
        <v/>
      </c>
      <c r="F136" s="1124"/>
      <c r="G136" s="1137"/>
      <c r="H136" s="1126"/>
      <c r="I136" s="1127"/>
      <c r="M136" s="1128"/>
      <c r="N136" s="779">
        <f>IFERROR(VLOOKUP(F136,Ch9_Storage,2, FALSE),0)</f>
        <v>0</v>
      </c>
    </row>
    <row r="137" ht="18.75" customHeight="1">
      <c r="A137" s="716">
        <f>IFERROR(VLOOKUP(H137,PartyStorage,2, FALSE),0)</f>
        <v>0</v>
      </c>
      <c r="B137" s="1129"/>
      <c r="C137" s="1117"/>
      <c r="D137" s="1117"/>
      <c r="E137" s="1116" t="str">
        <f t="shared" si="1"/>
        <v/>
      </c>
      <c r="F137" s="1117"/>
      <c r="G137" s="1131"/>
      <c r="H137" s="1118"/>
      <c r="I137" s="1119"/>
      <c r="M137" s="1120"/>
      <c r="N137" s="779">
        <f>IFERROR(VLOOKUP(F137,Ch9_Storage,2, FALSE),0)</f>
        <v>0</v>
      </c>
    </row>
    <row r="138" ht="18.75" customHeight="1">
      <c r="A138" s="716">
        <f>IFERROR(VLOOKUP(H138,PartyStorage,2, FALSE),0)</f>
        <v>0</v>
      </c>
      <c r="B138" s="1134"/>
      <c r="C138" s="1124"/>
      <c r="D138" s="1124"/>
      <c r="E138" s="1123" t="str">
        <f t="shared" si="1"/>
        <v/>
      </c>
      <c r="F138" s="1124"/>
      <c r="G138" s="1137"/>
      <c r="H138" s="1126"/>
      <c r="I138" s="1127"/>
      <c r="M138" s="1128"/>
      <c r="N138" s="779">
        <f>IFERROR(VLOOKUP(F138,Ch9_Storage,2, FALSE),0)</f>
        <v>0</v>
      </c>
    </row>
    <row r="139" ht="18.75" customHeight="1">
      <c r="A139" s="716">
        <f>IFERROR(VLOOKUP(H139,PartyStorage,2, FALSE),0)</f>
        <v>0</v>
      </c>
      <c r="B139" s="1129"/>
      <c r="C139" s="1117"/>
      <c r="D139" s="1117"/>
      <c r="E139" s="1116" t="str">
        <f t="shared" si="1"/>
        <v/>
      </c>
      <c r="F139" s="1117"/>
      <c r="G139" s="1131"/>
      <c r="H139" s="1118"/>
      <c r="I139" s="1119"/>
      <c r="M139" s="1120"/>
      <c r="N139" s="779">
        <f>IFERROR(VLOOKUP(F139,Ch9_Storage,2, FALSE),0)</f>
        <v>0</v>
      </c>
    </row>
    <row r="140" ht="18.75" customHeight="1">
      <c r="A140" s="716">
        <f>IFERROR(VLOOKUP(H140,PartyStorage,2, FALSE),0)</f>
        <v>0</v>
      </c>
      <c r="B140" s="1134"/>
      <c r="C140" s="1124"/>
      <c r="D140" s="1124"/>
      <c r="E140" s="1123" t="str">
        <f t="shared" si="1"/>
        <v/>
      </c>
      <c r="F140" s="1124"/>
      <c r="G140" s="1137"/>
      <c r="H140" s="1126"/>
      <c r="I140" s="1127"/>
      <c r="M140" s="1128"/>
      <c r="N140" s="779">
        <f>IFERROR(VLOOKUP(F140,Ch9_Storage,2, FALSE),0)</f>
        <v>0</v>
      </c>
    </row>
    <row r="141" ht="18.75" customHeight="1">
      <c r="A141" s="716">
        <f>IFERROR(VLOOKUP(H141,PartyStorage,2, FALSE),0)</f>
        <v>0</v>
      </c>
      <c r="B141" s="1129"/>
      <c r="C141" s="1117"/>
      <c r="D141" s="1117"/>
      <c r="E141" s="1116" t="str">
        <f t="shared" si="1"/>
        <v/>
      </c>
      <c r="F141" s="1117"/>
      <c r="G141" s="1131"/>
      <c r="H141" s="1118"/>
      <c r="I141" s="1119"/>
      <c r="M141" s="1120"/>
      <c r="N141" s="779">
        <f>IFERROR(VLOOKUP(F141,Ch9_Storage,2, FALSE),0)</f>
        <v>0</v>
      </c>
    </row>
    <row r="142" ht="18.75" customHeight="1">
      <c r="A142" s="716">
        <f>IFERROR(VLOOKUP(H142,PartyStorage,2, FALSE),0)</f>
        <v>0</v>
      </c>
      <c r="B142" s="1134"/>
      <c r="C142" s="1124"/>
      <c r="D142" s="1124"/>
      <c r="E142" s="1123" t="str">
        <f t="shared" si="1"/>
        <v/>
      </c>
      <c r="F142" s="1124"/>
      <c r="G142" s="1137"/>
      <c r="H142" s="1126"/>
      <c r="I142" s="1127"/>
      <c r="M142" s="1128"/>
      <c r="N142" s="779">
        <f>IFERROR(VLOOKUP(F142,Ch9_Storage,2, FALSE),0)</f>
        <v>0</v>
      </c>
    </row>
    <row r="143" ht="18.75" customHeight="1">
      <c r="A143" s="716">
        <f>IFERROR(VLOOKUP(H143,PartyStorage,2, FALSE),0)</f>
        <v>0</v>
      </c>
      <c r="B143" s="1129"/>
      <c r="C143" s="1117"/>
      <c r="D143" s="1117"/>
      <c r="E143" s="1116" t="str">
        <f t="shared" si="1"/>
        <v/>
      </c>
      <c r="F143" s="1117"/>
      <c r="G143" s="1131"/>
      <c r="H143" s="1118"/>
      <c r="I143" s="1119"/>
      <c r="M143" s="1120"/>
      <c r="N143" s="779">
        <f>IFERROR(VLOOKUP(F143,Ch9_Storage,2, FALSE),0)</f>
        <v>0</v>
      </c>
    </row>
    <row r="144" ht="18.75" customHeight="1">
      <c r="A144" s="716">
        <f>IFERROR(VLOOKUP(H144,PartyStorage,2, FALSE),0)</f>
        <v>0</v>
      </c>
      <c r="B144" s="1134"/>
      <c r="C144" s="1124"/>
      <c r="D144" s="1124"/>
      <c r="E144" s="1123" t="str">
        <f t="shared" si="1"/>
        <v/>
      </c>
      <c r="F144" s="1124"/>
      <c r="G144" s="1137"/>
      <c r="H144" s="1126"/>
      <c r="I144" s="1127"/>
      <c r="M144" s="1128"/>
      <c r="N144" s="779">
        <f>IFERROR(VLOOKUP(F144,Ch9_Storage,2, FALSE),0)</f>
        <v>0</v>
      </c>
    </row>
    <row r="145" ht="18.75" customHeight="1">
      <c r="A145" s="716">
        <f>IFERROR(VLOOKUP(H145,PartyStorage,2, FALSE),0)</f>
        <v>0</v>
      </c>
      <c r="B145" s="1129"/>
      <c r="C145" s="1117"/>
      <c r="D145" s="1117"/>
      <c r="E145" s="1116" t="str">
        <f t="shared" si="1"/>
        <v/>
      </c>
      <c r="F145" s="1117"/>
      <c r="G145" s="1131"/>
      <c r="H145" s="1118"/>
      <c r="I145" s="1119"/>
      <c r="M145" s="1120"/>
      <c r="N145" s="779">
        <f>IFERROR(VLOOKUP(F145,Ch9_Storage,2, FALSE),0)</f>
        <v>0</v>
      </c>
    </row>
    <row r="146" ht="18.75" customHeight="1">
      <c r="A146" s="716">
        <f>IFERROR(VLOOKUP(H146,PartyStorage,2, FALSE),0)</f>
        <v>0</v>
      </c>
      <c r="B146" s="1134"/>
      <c r="C146" s="1124"/>
      <c r="D146" s="1124"/>
      <c r="E146" s="1123" t="str">
        <f t="shared" si="1"/>
        <v/>
      </c>
      <c r="F146" s="1124"/>
      <c r="G146" s="1137"/>
      <c r="H146" s="1126"/>
      <c r="I146" s="1127"/>
      <c r="M146" s="1128"/>
      <c r="N146" s="779">
        <f>IFERROR(VLOOKUP(F146,Ch9_Storage,2, FALSE),0)</f>
        <v>0</v>
      </c>
    </row>
    <row r="147" ht="18.75" customHeight="1">
      <c r="A147" s="716">
        <f>IFERROR(VLOOKUP(H147,PartyStorage,2, FALSE),0)</f>
        <v>0</v>
      </c>
      <c r="B147" s="1129"/>
      <c r="C147" s="1117"/>
      <c r="D147" s="1117"/>
      <c r="E147" s="1116" t="str">
        <f t="shared" si="1"/>
        <v/>
      </c>
      <c r="F147" s="1117"/>
      <c r="G147" s="1131"/>
      <c r="H147" s="1118"/>
      <c r="I147" s="1119"/>
      <c r="M147" s="1120"/>
      <c r="N147" s="779">
        <f>IFERROR(VLOOKUP(F147,Ch9_Storage,2, FALSE),0)</f>
        <v>0</v>
      </c>
    </row>
    <row r="148" ht="18.75" customHeight="1">
      <c r="A148" s="716">
        <f>IFERROR(VLOOKUP(H148,PartyStorage,2, FALSE),0)</f>
        <v>0</v>
      </c>
      <c r="B148" s="1134"/>
      <c r="C148" s="1124"/>
      <c r="D148" s="1124"/>
      <c r="E148" s="1123" t="str">
        <f t="shared" si="1"/>
        <v/>
      </c>
      <c r="F148" s="1124"/>
      <c r="G148" s="1137"/>
      <c r="H148" s="1126"/>
      <c r="I148" s="1127"/>
      <c r="M148" s="1128"/>
      <c r="N148" s="779">
        <f>IFERROR(VLOOKUP(F148,Ch9_Storage,2, FALSE),0)</f>
        <v>0</v>
      </c>
    </row>
    <row r="149" ht="18.75" customHeight="1">
      <c r="A149" s="716">
        <f>IFERROR(VLOOKUP(H149,PartyStorage,2, FALSE),0)</f>
        <v>0</v>
      </c>
      <c r="B149" s="1129"/>
      <c r="C149" s="1117"/>
      <c r="D149" s="1117"/>
      <c r="E149" s="1116" t="str">
        <f t="shared" si="1"/>
        <v/>
      </c>
      <c r="F149" s="1117"/>
      <c r="G149" s="1131"/>
      <c r="H149" s="1118"/>
      <c r="I149" s="1119"/>
      <c r="M149" s="1120"/>
      <c r="N149" s="779">
        <f>IFERROR(VLOOKUP(F149,Ch9_Storage,2, FALSE),0)</f>
        <v>0</v>
      </c>
    </row>
    <row r="150" ht="18.75" customHeight="1">
      <c r="A150" s="716">
        <f>IFERROR(VLOOKUP(H150,PartyStorage,2, FALSE),0)</f>
        <v>0</v>
      </c>
      <c r="B150" s="1134"/>
      <c r="C150" s="1124"/>
      <c r="D150" s="1124"/>
      <c r="E150" s="1123" t="str">
        <f t="shared" si="1"/>
        <v/>
      </c>
      <c r="F150" s="1124"/>
      <c r="G150" s="1137"/>
      <c r="H150" s="1126"/>
      <c r="I150" s="1127"/>
      <c r="M150" s="1128"/>
      <c r="N150" s="779">
        <f>IFERROR(VLOOKUP(F150,Ch9_Storage,2, FALSE),0)</f>
        <v>0</v>
      </c>
    </row>
    <row r="151" ht="18.75" customHeight="1">
      <c r="A151" s="716">
        <f>IFERROR(VLOOKUP(H151,PartyStorage,2, FALSE),0)</f>
        <v>0</v>
      </c>
      <c r="B151" s="1129"/>
      <c r="C151" s="1117"/>
      <c r="D151" s="1117"/>
      <c r="E151" s="1116" t="str">
        <f t="shared" si="1"/>
        <v/>
      </c>
      <c r="F151" s="1117"/>
      <c r="G151" s="1131"/>
      <c r="H151" s="1118"/>
      <c r="I151" s="1119"/>
      <c r="M151" s="1120"/>
      <c r="N151" s="779">
        <f>IFERROR(VLOOKUP(F151,Ch9_Storage,2, FALSE),0)</f>
        <v>0</v>
      </c>
    </row>
    <row r="152" ht="18.75" customHeight="1">
      <c r="A152" s="716">
        <f>IFERROR(VLOOKUP(H152,PartyStorage,2, FALSE),0)</f>
        <v>0</v>
      </c>
      <c r="B152" s="1134"/>
      <c r="C152" s="1124"/>
      <c r="D152" s="1124"/>
      <c r="E152" s="1123" t="str">
        <f t="shared" si="1"/>
        <v/>
      </c>
      <c r="F152" s="1124"/>
      <c r="G152" s="1137"/>
      <c r="H152" s="1126"/>
      <c r="I152" s="1127"/>
      <c r="M152" s="1128"/>
      <c r="N152" s="779">
        <f>IFERROR(VLOOKUP(F152,Ch9_Storage,2, FALSE),0)</f>
        <v>0</v>
      </c>
    </row>
    <row r="153" ht="18.75" customHeight="1">
      <c r="A153" s="716">
        <f>IFERROR(VLOOKUP(H153,PartyStorage,2, FALSE),0)</f>
        <v>0</v>
      </c>
      <c r="B153" s="1129"/>
      <c r="C153" s="1117"/>
      <c r="D153" s="1117"/>
      <c r="E153" s="1116" t="str">
        <f t="shared" si="1"/>
        <v/>
      </c>
      <c r="F153" s="1117"/>
      <c r="G153" s="1131"/>
      <c r="H153" s="1118"/>
      <c r="I153" s="1119"/>
      <c r="M153" s="1120"/>
      <c r="N153" s="779">
        <f>IFERROR(VLOOKUP(F153,Ch9_Storage,2, FALSE),0)</f>
        <v>0</v>
      </c>
    </row>
    <row r="154" ht="18.75" customHeight="1">
      <c r="A154" s="716">
        <f>IFERROR(VLOOKUP(H154,PartyStorage,2, FALSE),0)</f>
        <v>0</v>
      </c>
      <c r="B154" s="1134"/>
      <c r="C154" s="1124"/>
      <c r="D154" s="1124"/>
      <c r="E154" s="1123" t="str">
        <f t="shared" si="1"/>
        <v/>
      </c>
      <c r="F154" s="1124"/>
      <c r="G154" s="1137"/>
      <c r="H154" s="1126"/>
      <c r="I154" s="1127"/>
      <c r="M154" s="1128"/>
      <c r="N154" s="779">
        <f>IFERROR(VLOOKUP(F154,Ch9_Storage,2, FALSE),0)</f>
        <v>0</v>
      </c>
    </row>
    <row r="155" ht="18.75" customHeight="1">
      <c r="A155" s="716">
        <f>IFERROR(VLOOKUP(H155,PartyStorage,2, FALSE),0)</f>
        <v>0</v>
      </c>
      <c r="B155" s="1129"/>
      <c r="C155" s="1117"/>
      <c r="D155" s="1117"/>
      <c r="E155" s="1116" t="str">
        <f t="shared" si="1"/>
        <v/>
      </c>
      <c r="F155" s="1117"/>
      <c r="G155" s="1131"/>
      <c r="H155" s="1118"/>
      <c r="I155" s="1119"/>
      <c r="M155" s="1120"/>
      <c r="N155" s="779">
        <f>IFERROR(VLOOKUP(F155,Ch9_Storage,2, FALSE),0)</f>
        <v>0</v>
      </c>
    </row>
    <row r="156" ht="18.75" customHeight="1">
      <c r="A156" s="716">
        <f>IFERROR(VLOOKUP(H156,PartyStorage,2, FALSE),0)</f>
        <v>0</v>
      </c>
      <c r="B156" s="1134"/>
      <c r="C156" s="1124"/>
      <c r="D156" s="1124"/>
      <c r="E156" s="1123" t="str">
        <f t="shared" si="1"/>
        <v/>
      </c>
      <c r="F156" s="1124"/>
      <c r="G156" s="1137"/>
      <c r="H156" s="1126"/>
      <c r="I156" s="1127"/>
      <c r="M156" s="1128"/>
      <c r="N156" s="779">
        <f>IFERROR(VLOOKUP(F156,Ch9_Storage,2, FALSE),0)</f>
        <v>0</v>
      </c>
    </row>
    <row r="157" ht="18.75" customHeight="1">
      <c r="A157" s="716">
        <f>IFERROR(VLOOKUP(H157,PartyStorage,2, FALSE),0)</f>
        <v>0</v>
      </c>
      <c r="B157" s="1129"/>
      <c r="C157" s="1117"/>
      <c r="D157" s="1117"/>
      <c r="E157" s="1116" t="str">
        <f t="shared" si="1"/>
        <v/>
      </c>
      <c r="F157" s="1117"/>
      <c r="G157" s="1131"/>
      <c r="H157" s="1118"/>
      <c r="I157" s="1119"/>
      <c r="M157" s="1120"/>
      <c r="N157" s="779">
        <f>IFERROR(VLOOKUP(F157,Ch9_Storage,2, FALSE),0)</f>
        <v>0</v>
      </c>
    </row>
    <row r="158" ht="18.75" customHeight="1">
      <c r="A158" s="716">
        <f>IFERROR(VLOOKUP(H158,PartyStorage,2, FALSE),0)</f>
        <v>0</v>
      </c>
      <c r="B158" s="1134"/>
      <c r="C158" s="1124"/>
      <c r="D158" s="1124"/>
      <c r="E158" s="1123" t="str">
        <f t="shared" si="1"/>
        <v/>
      </c>
      <c r="F158" s="1124"/>
      <c r="G158" s="1137"/>
      <c r="H158" s="1126"/>
      <c r="I158" s="1127"/>
      <c r="M158" s="1128"/>
      <c r="N158" s="779">
        <f>IFERROR(VLOOKUP(F158,Ch9_Storage,2, FALSE),0)</f>
        <v>0</v>
      </c>
    </row>
    <row r="159" ht="18.75" customHeight="1">
      <c r="A159" s="716">
        <f>IFERROR(VLOOKUP(H159,PartyStorage,2, FALSE),0)</f>
        <v>0</v>
      </c>
      <c r="B159" s="1129"/>
      <c r="C159" s="1117"/>
      <c r="D159" s="1117"/>
      <c r="E159" s="1116" t="str">
        <f t="shared" si="1"/>
        <v/>
      </c>
      <c r="F159" s="1117"/>
      <c r="G159" s="1131"/>
      <c r="H159" s="1118"/>
      <c r="I159" s="1119"/>
      <c r="M159" s="1120"/>
      <c r="N159" s="779">
        <f>IFERROR(VLOOKUP(F159,Ch9_Storage,2, FALSE),0)</f>
        <v>0</v>
      </c>
    </row>
    <row r="160" ht="18.75" customHeight="1">
      <c r="A160" s="716">
        <f>IFERROR(VLOOKUP(H160,PartyStorage,2, FALSE),0)</f>
        <v>0</v>
      </c>
      <c r="B160" s="1134"/>
      <c r="C160" s="1124"/>
      <c r="D160" s="1124"/>
      <c r="E160" s="1123" t="str">
        <f t="shared" si="1"/>
        <v/>
      </c>
      <c r="F160" s="1124"/>
      <c r="G160" s="1137"/>
      <c r="H160" s="1126"/>
      <c r="I160" s="1127"/>
      <c r="M160" s="1128"/>
      <c r="N160" s="779">
        <f>IFERROR(VLOOKUP(F160,Ch9_Storage,2, FALSE),0)</f>
        <v>0</v>
      </c>
    </row>
    <row r="161" ht="18.75" customHeight="1">
      <c r="A161" s="716">
        <f>IFERROR(VLOOKUP(H161,PartyStorage,2, FALSE),0)</f>
        <v>0</v>
      </c>
      <c r="B161" s="1129"/>
      <c r="C161" s="1117"/>
      <c r="D161" s="1117"/>
      <c r="E161" s="1116" t="str">
        <f t="shared" si="1"/>
        <v/>
      </c>
      <c r="F161" s="1117"/>
      <c r="G161" s="1131"/>
      <c r="H161" s="1118"/>
      <c r="I161" s="1119"/>
      <c r="M161" s="1120"/>
      <c r="N161" s="779">
        <f>IFERROR(VLOOKUP(F161,Ch9_Storage,2, FALSE),0)</f>
        <v>0</v>
      </c>
    </row>
    <row r="162" ht="18.75" customHeight="1">
      <c r="A162" s="716">
        <f>IFERROR(VLOOKUP(H162,PartyStorage,2, FALSE),0)</f>
        <v>0</v>
      </c>
      <c r="B162" s="1134"/>
      <c r="C162" s="1124"/>
      <c r="D162" s="1124"/>
      <c r="E162" s="1123" t="str">
        <f t="shared" si="1"/>
        <v/>
      </c>
      <c r="F162" s="1124"/>
      <c r="G162" s="1137"/>
      <c r="H162" s="1126"/>
      <c r="I162" s="1127"/>
      <c r="M162" s="1128"/>
      <c r="N162" s="779">
        <f>IFERROR(VLOOKUP(F162,Ch9_Storage,2, FALSE),0)</f>
        <v>0</v>
      </c>
    </row>
    <row r="163" ht="18.75" customHeight="1">
      <c r="A163" s="716">
        <f>IFERROR(VLOOKUP(H163,PartyStorage,2, FALSE),0)</f>
        <v>0</v>
      </c>
      <c r="B163" s="1129"/>
      <c r="C163" s="1117"/>
      <c r="D163" s="1117"/>
      <c r="E163" s="1116" t="str">
        <f t="shared" si="1"/>
        <v/>
      </c>
      <c r="F163" s="1117"/>
      <c r="G163" s="1131"/>
      <c r="H163" s="1118"/>
      <c r="I163" s="1119"/>
      <c r="M163" s="1120"/>
      <c r="N163" s="779">
        <f>IFERROR(VLOOKUP(F163,Ch9_Storage,2, FALSE),0)</f>
        <v>0</v>
      </c>
    </row>
    <row r="164" ht="18.75" customHeight="1">
      <c r="A164" s="716">
        <f>IFERROR(VLOOKUP(H164,PartyStorage,2, FALSE),0)</f>
        <v>0</v>
      </c>
      <c r="B164" s="1134"/>
      <c r="C164" s="1124"/>
      <c r="D164" s="1124"/>
      <c r="E164" s="1123" t="str">
        <f t="shared" si="1"/>
        <v/>
      </c>
      <c r="F164" s="1124"/>
      <c r="G164" s="1137"/>
      <c r="H164" s="1126"/>
      <c r="I164" s="1127"/>
      <c r="M164" s="1128"/>
      <c r="N164" s="779">
        <f>IFERROR(VLOOKUP(F164,Ch9_Storage,2, FALSE),0)</f>
        <v>0</v>
      </c>
    </row>
    <row r="165" ht="18.75" customHeight="1">
      <c r="A165" s="716">
        <f>IFERROR(VLOOKUP(H165,PartyStorage,2, FALSE),0)</f>
        <v>0</v>
      </c>
      <c r="B165" s="1129"/>
      <c r="C165" s="1117"/>
      <c r="D165" s="1117"/>
      <c r="E165" s="1116" t="str">
        <f t="shared" si="1"/>
        <v/>
      </c>
      <c r="F165" s="1117"/>
      <c r="G165" s="1131"/>
      <c r="H165" s="1118"/>
      <c r="I165" s="1119"/>
      <c r="M165" s="1120"/>
      <c r="N165" s="779">
        <f>IFERROR(VLOOKUP(F165,Ch9_Storage,2, FALSE),0)</f>
        <v>0</v>
      </c>
    </row>
    <row r="166" ht="18.75" customHeight="1">
      <c r="A166" s="716">
        <f>IFERROR(VLOOKUP(H166,PartyStorage,2, FALSE),0)</f>
        <v>0</v>
      </c>
      <c r="B166" s="1134"/>
      <c r="C166" s="1124"/>
      <c r="D166" s="1124"/>
      <c r="E166" s="1123" t="str">
        <f t="shared" si="1"/>
        <v/>
      </c>
      <c r="F166" s="1124"/>
      <c r="G166" s="1137"/>
      <c r="H166" s="1126"/>
      <c r="I166" s="1127"/>
      <c r="M166" s="1128"/>
      <c r="N166" s="779">
        <f>IFERROR(VLOOKUP(F166,Ch9_Storage,2, FALSE),0)</f>
        <v>0</v>
      </c>
    </row>
    <row r="167" ht="18.75" customHeight="1">
      <c r="A167" s="716">
        <f>IFERROR(VLOOKUP(H167,PartyStorage,2, FALSE),0)</f>
        <v>0</v>
      </c>
      <c r="B167" s="1129"/>
      <c r="C167" s="1117"/>
      <c r="D167" s="1117"/>
      <c r="E167" s="1116" t="str">
        <f t="shared" si="1"/>
        <v/>
      </c>
      <c r="F167" s="1117"/>
      <c r="G167" s="1131"/>
      <c r="H167" s="1118"/>
      <c r="I167" s="1119"/>
      <c r="M167" s="1120"/>
      <c r="N167" s="779">
        <f>IFERROR(VLOOKUP(F167,Ch9_Storage,2, FALSE),0)</f>
        <v>0</v>
      </c>
    </row>
    <row r="168" ht="18.75" customHeight="1">
      <c r="A168" s="716">
        <f>IFERROR(VLOOKUP(H168,PartyStorage,2, FALSE),0)</f>
        <v>0</v>
      </c>
      <c r="B168" s="1134"/>
      <c r="C168" s="1124"/>
      <c r="D168" s="1124"/>
      <c r="E168" s="1123" t="str">
        <f t="shared" si="1"/>
        <v/>
      </c>
      <c r="F168" s="1124"/>
      <c r="G168" s="1137"/>
      <c r="H168" s="1126"/>
      <c r="I168" s="1127"/>
      <c r="M168" s="1128"/>
      <c r="N168" s="779">
        <f>IFERROR(VLOOKUP(F168,Ch9_Storage,2, FALSE),0)</f>
        <v>0</v>
      </c>
    </row>
    <row r="169" ht="18.75" customHeight="1">
      <c r="A169" s="716">
        <f>IFERROR(VLOOKUP(H169,PartyStorage,2, FALSE),0)</f>
        <v>0</v>
      </c>
      <c r="B169" s="1129"/>
      <c r="C169" s="1117"/>
      <c r="D169" s="1117"/>
      <c r="E169" s="1116" t="str">
        <f t="shared" si="1"/>
        <v/>
      </c>
      <c r="F169" s="1117"/>
      <c r="G169" s="1131"/>
      <c r="H169" s="1118"/>
      <c r="I169" s="1119"/>
      <c r="M169" s="1120"/>
      <c r="N169" s="779">
        <f>IFERROR(VLOOKUP(F169,Ch9_Storage,2, FALSE),0)</f>
        <v>0</v>
      </c>
    </row>
    <row r="170" ht="18.75" customHeight="1">
      <c r="A170" s="716">
        <f>IFERROR(VLOOKUP(H170,PartyStorage,2, FALSE),0)</f>
        <v>0</v>
      </c>
      <c r="B170" s="1134"/>
      <c r="C170" s="1124"/>
      <c r="D170" s="1124"/>
      <c r="E170" s="1123" t="str">
        <f t="shared" si="1"/>
        <v/>
      </c>
      <c r="F170" s="1124"/>
      <c r="G170" s="1137"/>
      <c r="H170" s="1126"/>
      <c r="I170" s="1127"/>
      <c r="M170" s="1128"/>
      <c r="N170" s="779">
        <f>IFERROR(VLOOKUP(F170,Ch9_Storage,2, FALSE),0)</f>
        <v>0</v>
      </c>
    </row>
    <row r="171" ht="18.75" customHeight="1">
      <c r="A171" s="716">
        <f>IFERROR(VLOOKUP(H171,PartyStorage,2, FALSE),0)</f>
        <v>0</v>
      </c>
      <c r="B171" s="1129"/>
      <c r="C171" s="1117"/>
      <c r="D171" s="1117"/>
      <c r="E171" s="1116" t="str">
        <f t="shared" si="1"/>
        <v/>
      </c>
      <c r="F171" s="1117"/>
      <c r="G171" s="1131"/>
      <c r="H171" s="1118"/>
      <c r="I171" s="1119"/>
      <c r="M171" s="1120"/>
      <c r="N171" s="779">
        <f>IFERROR(VLOOKUP(F171,Ch9_Storage,2, FALSE),0)</f>
        <v>0</v>
      </c>
    </row>
    <row r="172" ht="18.75" customHeight="1">
      <c r="A172" s="716">
        <f>IFERROR(VLOOKUP(H172,PartyStorage,2, FALSE),0)</f>
        <v>0</v>
      </c>
      <c r="B172" s="1134"/>
      <c r="C172" s="1124"/>
      <c r="D172" s="1124"/>
      <c r="E172" s="1123" t="str">
        <f t="shared" si="1"/>
        <v/>
      </c>
      <c r="F172" s="1124"/>
      <c r="G172" s="1137"/>
      <c r="H172" s="1126"/>
      <c r="I172" s="1127"/>
      <c r="M172" s="1128"/>
      <c r="N172" s="779">
        <f>IFERROR(VLOOKUP(F172,Ch9_Storage,2, FALSE),0)</f>
        <v>0</v>
      </c>
    </row>
    <row r="173" ht="18.75" customHeight="1">
      <c r="A173" s="716">
        <f>IFERROR(VLOOKUP(H173,PartyStorage,2, FALSE),0)</f>
        <v>0</v>
      </c>
      <c r="B173" s="1129"/>
      <c r="C173" s="1117"/>
      <c r="D173" s="1117"/>
      <c r="E173" s="1116" t="str">
        <f t="shared" si="1"/>
        <v/>
      </c>
      <c r="F173" s="1117"/>
      <c r="G173" s="1131"/>
      <c r="H173" s="1118"/>
      <c r="I173" s="1119"/>
      <c r="M173" s="1120"/>
      <c r="N173" s="779">
        <f>IFERROR(VLOOKUP(F173,Ch9_Storage,2, FALSE),0)</f>
        <v>0</v>
      </c>
    </row>
    <row r="174" ht="18.75" customHeight="1">
      <c r="A174" s="716">
        <f>IFERROR(VLOOKUP(H174,PartyStorage,2, FALSE),0)</f>
        <v>0</v>
      </c>
      <c r="B174" s="1134"/>
      <c r="C174" s="1124"/>
      <c r="D174" s="1124"/>
      <c r="E174" s="1123" t="str">
        <f t="shared" si="1"/>
        <v/>
      </c>
      <c r="F174" s="1124"/>
      <c r="G174" s="1137"/>
      <c r="H174" s="1126"/>
      <c r="I174" s="1127"/>
      <c r="M174" s="1128"/>
      <c r="N174" s="779">
        <f>IFERROR(VLOOKUP(F174,Ch9_Storage,2, FALSE),0)</f>
        <v>0</v>
      </c>
    </row>
    <row r="175" ht="18.75" customHeight="1">
      <c r="A175" s="716">
        <f>IFERROR(VLOOKUP(H175,PartyStorage,2, FALSE),0)</f>
        <v>0</v>
      </c>
      <c r="B175" s="1129"/>
      <c r="C175" s="1117"/>
      <c r="D175" s="1117"/>
      <c r="E175" s="1116" t="str">
        <f t="shared" si="1"/>
        <v/>
      </c>
      <c r="F175" s="1117"/>
      <c r="G175" s="1131"/>
      <c r="H175" s="1118"/>
      <c r="I175" s="1119"/>
      <c r="M175" s="1120"/>
      <c r="N175" s="779">
        <f>IFERROR(VLOOKUP(F175,Ch9_Storage,2, FALSE),0)</f>
        <v>0</v>
      </c>
    </row>
    <row r="176" ht="18.75" customHeight="1">
      <c r="A176" s="716">
        <f>IFERROR(VLOOKUP(H176,PartyStorage,2, FALSE),0)</f>
        <v>0</v>
      </c>
      <c r="B176" s="1134"/>
      <c r="C176" s="1124"/>
      <c r="D176" s="1124"/>
      <c r="E176" s="1123" t="str">
        <f t="shared" si="1"/>
        <v/>
      </c>
      <c r="F176" s="1124"/>
      <c r="G176" s="1137"/>
      <c r="H176" s="1126"/>
      <c r="I176" s="1127"/>
      <c r="M176" s="1128"/>
      <c r="N176" s="779">
        <f>IFERROR(VLOOKUP(F176,Ch9_Storage,2, FALSE),0)</f>
        <v>0</v>
      </c>
    </row>
    <row r="177" ht="18.75" customHeight="1">
      <c r="A177" s="716">
        <f>IFERROR(VLOOKUP(H177,PartyStorage,2, FALSE),0)</f>
        <v>0</v>
      </c>
      <c r="B177" s="1129"/>
      <c r="C177" s="1117"/>
      <c r="D177" s="1117"/>
      <c r="E177" s="1116" t="str">
        <f t="shared" si="1"/>
        <v/>
      </c>
      <c r="F177" s="1117"/>
      <c r="G177" s="1131"/>
      <c r="H177" s="1118"/>
      <c r="I177" s="1119"/>
      <c r="M177" s="1120"/>
      <c r="N177" s="779">
        <f>IFERROR(VLOOKUP(F177,Ch9_Storage,2, FALSE),0)</f>
        <v>0</v>
      </c>
    </row>
    <row r="178" ht="18.75" customHeight="1">
      <c r="A178" s="716">
        <f>IFERROR(VLOOKUP(H178,PartyStorage,2, FALSE),0)</f>
        <v>0</v>
      </c>
      <c r="B178" s="1134"/>
      <c r="C178" s="1124"/>
      <c r="D178" s="1124"/>
      <c r="E178" s="1123" t="str">
        <f t="shared" si="1"/>
        <v/>
      </c>
      <c r="F178" s="1124"/>
      <c r="G178" s="1137"/>
      <c r="H178" s="1126"/>
      <c r="I178" s="1127"/>
      <c r="M178" s="1128"/>
      <c r="N178" s="779">
        <f>IFERROR(VLOOKUP(F178,Ch9_Storage,2, FALSE),0)</f>
        <v>0</v>
      </c>
    </row>
    <row r="179" ht="18.75" customHeight="1">
      <c r="A179" s="716">
        <f>IFERROR(VLOOKUP(H179,PartyStorage,2, FALSE),0)</f>
        <v>0</v>
      </c>
      <c r="B179" s="1129"/>
      <c r="C179" s="1117"/>
      <c r="D179" s="1117"/>
      <c r="E179" s="1116" t="str">
        <f t="shared" si="1"/>
        <v/>
      </c>
      <c r="F179" s="1117"/>
      <c r="G179" s="1131"/>
      <c r="H179" s="1118"/>
      <c r="I179" s="1119"/>
      <c r="M179" s="1120"/>
      <c r="N179" s="779">
        <f>IFERROR(VLOOKUP(F179,Ch9_Storage,2, FALSE),0)</f>
        <v>0</v>
      </c>
    </row>
    <row r="180" ht="18.75" customHeight="1">
      <c r="A180" s="716">
        <f>IFERROR(VLOOKUP(H180,PartyStorage,2, FALSE),0)</f>
        <v>0</v>
      </c>
      <c r="B180" s="1134"/>
      <c r="C180" s="1124"/>
      <c r="D180" s="1124"/>
      <c r="E180" s="1123" t="str">
        <f t="shared" si="1"/>
        <v/>
      </c>
      <c r="F180" s="1124"/>
      <c r="G180" s="1137"/>
      <c r="H180" s="1126"/>
      <c r="I180" s="1127"/>
      <c r="M180" s="1128"/>
      <c r="N180" s="779">
        <f>IFERROR(VLOOKUP(F180,Ch9_Storage,2, FALSE),0)</f>
        <v>0</v>
      </c>
    </row>
    <row r="181" ht="18.75" customHeight="1">
      <c r="A181" s="716">
        <f>IFERROR(VLOOKUP(H181,PartyStorage,2, FALSE),0)</f>
        <v>0</v>
      </c>
      <c r="B181" s="1129"/>
      <c r="C181" s="1117"/>
      <c r="D181" s="1117"/>
      <c r="E181" s="1116" t="str">
        <f t="shared" si="1"/>
        <v/>
      </c>
      <c r="F181" s="1117"/>
      <c r="G181" s="1131"/>
      <c r="H181" s="1118"/>
      <c r="I181" s="1119"/>
      <c r="M181" s="1120"/>
      <c r="N181" s="779">
        <f>IFERROR(VLOOKUP(F181,Ch9_Storage,2, FALSE),0)</f>
        <v>0</v>
      </c>
    </row>
    <row r="182" ht="18.75" customHeight="1">
      <c r="A182" s="716">
        <f>IFERROR(VLOOKUP(H182,PartyStorage,2, FALSE),0)</f>
        <v>0</v>
      </c>
      <c r="B182" s="1134"/>
      <c r="C182" s="1124"/>
      <c r="D182" s="1124"/>
      <c r="E182" s="1123" t="str">
        <f t="shared" si="1"/>
        <v/>
      </c>
      <c r="F182" s="1124"/>
      <c r="G182" s="1137"/>
      <c r="H182" s="1126"/>
      <c r="I182" s="1127"/>
      <c r="M182" s="1128"/>
      <c r="N182" s="779">
        <f>IFERROR(VLOOKUP(F182,Ch9_Storage,2, FALSE),0)</f>
        <v>0</v>
      </c>
    </row>
    <row r="183" ht="18.75" customHeight="1">
      <c r="A183" s="716">
        <f>IFERROR(VLOOKUP(H183,PartyStorage,2, FALSE),0)</f>
        <v>0</v>
      </c>
      <c r="B183" s="1129"/>
      <c r="C183" s="1117"/>
      <c r="D183" s="1117"/>
      <c r="E183" s="1116" t="str">
        <f t="shared" si="1"/>
        <v/>
      </c>
      <c r="F183" s="1117"/>
      <c r="G183" s="1131"/>
      <c r="H183" s="1118"/>
      <c r="I183" s="1119"/>
      <c r="M183" s="1120"/>
      <c r="N183" s="779">
        <f>IFERROR(VLOOKUP(F183,Ch9_Storage,2, FALSE),0)</f>
        <v>0</v>
      </c>
    </row>
    <row r="184" ht="18.75" customHeight="1">
      <c r="A184" s="716">
        <f>IFERROR(VLOOKUP(H184,PartyStorage,2, FALSE),0)</f>
        <v>0</v>
      </c>
      <c r="B184" s="1134"/>
      <c r="C184" s="1124"/>
      <c r="D184" s="1124"/>
      <c r="E184" s="1123" t="str">
        <f t="shared" si="1"/>
        <v/>
      </c>
      <c r="F184" s="1124"/>
      <c r="G184" s="1137"/>
      <c r="H184" s="1126"/>
      <c r="I184" s="1127"/>
      <c r="M184" s="1128"/>
      <c r="N184" s="779">
        <f>IFERROR(VLOOKUP(F184,Ch9_Storage,2, FALSE),0)</f>
        <v>0</v>
      </c>
    </row>
    <row r="185" ht="18.75" customHeight="1">
      <c r="A185" s="716">
        <f>IFERROR(VLOOKUP(H185,PartyStorage,2, FALSE),0)</f>
        <v>0</v>
      </c>
      <c r="B185" s="1129"/>
      <c r="C185" s="1117"/>
      <c r="D185" s="1117"/>
      <c r="E185" s="1116" t="str">
        <f t="shared" si="1"/>
        <v/>
      </c>
      <c r="F185" s="1117"/>
      <c r="G185" s="1131"/>
      <c r="H185" s="1118"/>
      <c r="I185" s="1119"/>
      <c r="M185" s="1120"/>
      <c r="N185" s="779">
        <f>IFERROR(VLOOKUP(F185,Ch9_Storage,2, FALSE),0)</f>
        <v>0</v>
      </c>
    </row>
    <row r="186" ht="18.75" customHeight="1">
      <c r="A186" s="716">
        <f>IFERROR(VLOOKUP(H186,PartyStorage,2, FALSE),0)</f>
        <v>0</v>
      </c>
      <c r="B186" s="1134"/>
      <c r="C186" s="1124"/>
      <c r="D186" s="1124"/>
      <c r="E186" s="1123" t="str">
        <f t="shared" si="1"/>
        <v/>
      </c>
      <c r="F186" s="1124"/>
      <c r="G186" s="1137"/>
      <c r="H186" s="1126"/>
      <c r="I186" s="1127"/>
      <c r="M186" s="1128"/>
      <c r="N186" s="779">
        <f>IFERROR(VLOOKUP(F186,Ch9_Storage,2, FALSE),0)</f>
        <v>0</v>
      </c>
    </row>
    <row r="187" ht="18.75" customHeight="1">
      <c r="A187" s="716">
        <f>IFERROR(VLOOKUP(H187,PartyStorage,2, FALSE),0)</f>
        <v>0</v>
      </c>
      <c r="B187" s="1129"/>
      <c r="C187" s="1117"/>
      <c r="D187" s="1117"/>
      <c r="E187" s="1116" t="str">
        <f t="shared" si="1"/>
        <v/>
      </c>
      <c r="F187" s="1117"/>
      <c r="G187" s="1131"/>
      <c r="H187" s="1118"/>
      <c r="I187" s="1119"/>
      <c r="M187" s="1120"/>
      <c r="N187" s="779">
        <f>IFERROR(VLOOKUP(F187,Ch9_Storage,2, FALSE),0)</f>
        <v>0</v>
      </c>
    </row>
    <row r="188" ht="18.75" customHeight="1">
      <c r="A188" s="716">
        <f>IFERROR(VLOOKUP(H188,PartyStorage,2, FALSE),0)</f>
        <v>0</v>
      </c>
      <c r="B188" s="1134"/>
      <c r="C188" s="1124"/>
      <c r="D188" s="1124"/>
      <c r="E188" s="1123" t="str">
        <f t="shared" si="1"/>
        <v/>
      </c>
      <c r="F188" s="1124"/>
      <c r="G188" s="1137"/>
      <c r="H188" s="1126"/>
      <c r="I188" s="1127"/>
      <c r="M188" s="1128"/>
      <c r="N188" s="779">
        <f>IFERROR(VLOOKUP(F188,Ch9_Storage,2, FALSE),0)</f>
        <v>0</v>
      </c>
    </row>
    <row r="189" ht="18.75" customHeight="1">
      <c r="A189" s="716">
        <f>IFERROR(VLOOKUP(H189,PartyStorage,2, FALSE),0)</f>
        <v>0</v>
      </c>
      <c r="B189" s="1129"/>
      <c r="C189" s="1117"/>
      <c r="D189" s="1117"/>
      <c r="E189" s="1116" t="str">
        <f t="shared" si="1"/>
        <v/>
      </c>
      <c r="F189" s="1117"/>
      <c r="G189" s="1131"/>
      <c r="H189" s="1118"/>
      <c r="I189" s="1119"/>
      <c r="M189" s="1120"/>
      <c r="N189" s="779">
        <f>IFERROR(VLOOKUP(F189,Ch9_Storage,2, FALSE),0)</f>
        <v>0</v>
      </c>
    </row>
    <row r="190" ht="18.75" customHeight="1">
      <c r="A190" s="716">
        <f>IFERROR(VLOOKUP(H190,PartyStorage,2, FALSE),0)</f>
        <v>0</v>
      </c>
      <c r="B190" s="1134"/>
      <c r="C190" s="1124"/>
      <c r="D190" s="1124"/>
      <c r="E190" s="1123" t="str">
        <f t="shared" si="1"/>
        <v/>
      </c>
      <c r="F190" s="1124"/>
      <c r="G190" s="1137"/>
      <c r="H190" s="1126"/>
      <c r="I190" s="1127"/>
      <c r="M190" s="1128"/>
      <c r="N190" s="779">
        <f>IFERROR(VLOOKUP(F190,Ch9_Storage,2, FALSE),0)</f>
        <v>0</v>
      </c>
    </row>
    <row r="191" ht="18.75" customHeight="1">
      <c r="A191" s="716">
        <f>IFERROR(VLOOKUP(H191,PartyStorage,2, FALSE),0)</f>
        <v>0</v>
      </c>
      <c r="B191" s="1129"/>
      <c r="C191" s="1117"/>
      <c r="D191" s="1117"/>
      <c r="E191" s="1116" t="str">
        <f t="shared" si="1"/>
        <v/>
      </c>
      <c r="F191" s="1117"/>
      <c r="G191" s="1131"/>
      <c r="H191" s="1118"/>
      <c r="I191" s="1119"/>
      <c r="M191" s="1120"/>
      <c r="N191" s="779">
        <f>IFERROR(VLOOKUP(F191,Ch9_Storage,2, FALSE),0)</f>
        <v>0</v>
      </c>
    </row>
    <row r="192" ht="18.75" customHeight="1">
      <c r="A192" s="716">
        <f>IFERROR(VLOOKUP(H192,PartyStorage,2, FALSE),0)</f>
        <v>0</v>
      </c>
      <c r="B192" s="1134"/>
      <c r="C192" s="1124"/>
      <c r="D192" s="1124"/>
      <c r="E192" s="1123" t="str">
        <f t="shared" si="1"/>
        <v/>
      </c>
      <c r="F192" s="1124"/>
      <c r="G192" s="1137"/>
      <c r="H192" s="1126"/>
      <c r="I192" s="1127"/>
      <c r="M192" s="1128"/>
      <c r="N192" s="779">
        <f>IFERROR(VLOOKUP(F192,Ch9_Storage,2, FALSE),0)</f>
        <v>0</v>
      </c>
    </row>
    <row r="193" ht="18.75" customHeight="1">
      <c r="A193" s="716">
        <f>IFERROR(VLOOKUP(H193,PartyStorage,2, FALSE),0)</f>
        <v>0</v>
      </c>
      <c r="B193" s="1129"/>
      <c r="C193" s="1117"/>
      <c r="D193" s="1117"/>
      <c r="E193" s="1116" t="str">
        <f t="shared" si="1"/>
        <v/>
      </c>
      <c r="F193" s="1117"/>
      <c r="G193" s="1131"/>
      <c r="H193" s="1118"/>
      <c r="I193" s="1119"/>
      <c r="M193" s="1120"/>
      <c r="N193" s="779">
        <f>IFERROR(VLOOKUP(F193,Ch9_Storage,2, FALSE),0)</f>
        <v>0</v>
      </c>
    </row>
    <row r="194" ht="18.75" customHeight="1">
      <c r="A194" s="716">
        <f>IFERROR(VLOOKUP(H194,PartyStorage,2, FALSE),0)</f>
        <v>0</v>
      </c>
      <c r="B194" s="1134"/>
      <c r="C194" s="1124"/>
      <c r="D194" s="1124"/>
      <c r="E194" s="1123" t="str">
        <f t="shared" si="1"/>
        <v/>
      </c>
      <c r="F194" s="1124"/>
      <c r="G194" s="1137"/>
      <c r="H194" s="1126"/>
      <c r="I194" s="1127"/>
      <c r="M194" s="1128"/>
      <c r="N194" s="779">
        <f>IFERROR(VLOOKUP(F194,Ch9_Storage,2, FALSE),0)</f>
        <v>0</v>
      </c>
    </row>
    <row r="195" ht="18.75" customHeight="1">
      <c r="A195" s="716">
        <f>IFERROR(VLOOKUP(H195,PartyStorage,2, FALSE),0)</f>
        <v>0</v>
      </c>
      <c r="B195" s="1129"/>
      <c r="C195" s="1117"/>
      <c r="D195" s="1117"/>
      <c r="E195" s="1116" t="str">
        <f t="shared" si="1"/>
        <v/>
      </c>
      <c r="F195" s="1117"/>
      <c r="G195" s="1131"/>
      <c r="H195" s="1118"/>
      <c r="I195" s="1119"/>
      <c r="M195" s="1120"/>
      <c r="N195" s="779">
        <f>IFERROR(VLOOKUP(F195,Ch9_Storage,2, FALSE),0)</f>
        <v>0</v>
      </c>
    </row>
    <row r="196" ht="18.75" customHeight="1">
      <c r="A196" s="716">
        <f>IFERROR(VLOOKUP(H196,PartyStorage,2, FALSE),0)</f>
        <v>0</v>
      </c>
      <c r="B196" s="1134"/>
      <c r="C196" s="1124"/>
      <c r="D196" s="1124"/>
      <c r="E196" s="1123" t="str">
        <f t="shared" si="1"/>
        <v/>
      </c>
      <c r="F196" s="1124"/>
      <c r="G196" s="1137"/>
      <c r="H196" s="1126"/>
      <c r="I196" s="1127"/>
      <c r="M196" s="1128"/>
      <c r="N196" s="779">
        <f>IFERROR(VLOOKUP(F196,Ch9_Storage,2, FALSE),0)</f>
        <v>0</v>
      </c>
    </row>
    <row r="197" ht="18.75" customHeight="1">
      <c r="A197" s="716">
        <f>IFERROR(VLOOKUP(H197,PartyStorage,2, FALSE),0)</f>
        <v>0</v>
      </c>
      <c r="B197" s="1129"/>
      <c r="C197" s="1117"/>
      <c r="D197" s="1117"/>
      <c r="E197" s="1116" t="str">
        <f t="shared" si="1"/>
        <v/>
      </c>
      <c r="F197" s="1117"/>
      <c r="G197" s="1131"/>
      <c r="H197" s="1118"/>
      <c r="I197" s="1119"/>
      <c r="M197" s="1120"/>
      <c r="N197" s="779">
        <f>IFERROR(VLOOKUP(F197,Ch9_Storage,2, FALSE),0)</f>
        <v>0</v>
      </c>
    </row>
    <row r="198" ht="18.75" customHeight="1">
      <c r="A198" s="716">
        <f>IFERROR(VLOOKUP(H198,PartyStorage,2, FALSE),0)</f>
        <v>0</v>
      </c>
      <c r="B198" s="1134"/>
      <c r="C198" s="1124"/>
      <c r="D198" s="1124"/>
      <c r="E198" s="1123" t="str">
        <f t="shared" si="1"/>
        <v/>
      </c>
      <c r="F198" s="1124"/>
      <c r="G198" s="1137"/>
      <c r="H198" s="1126"/>
      <c r="I198" s="1127"/>
      <c r="M198" s="1128"/>
      <c r="N198" s="779">
        <f>IFERROR(VLOOKUP(F198,Ch9_Storage,2, FALSE),0)</f>
        <v>0</v>
      </c>
    </row>
    <row r="199" ht="18.75" customHeight="1">
      <c r="A199" s="716">
        <f>IFERROR(VLOOKUP(H199,PartyStorage,2, FALSE),0)</f>
        <v>0</v>
      </c>
      <c r="B199" s="1129"/>
      <c r="C199" s="1117"/>
      <c r="D199" s="1117"/>
      <c r="E199" s="1116" t="str">
        <f t="shared" si="1"/>
        <v/>
      </c>
      <c r="F199" s="1117"/>
      <c r="G199" s="1131"/>
      <c r="H199" s="1118"/>
      <c r="I199" s="1119"/>
      <c r="M199" s="1120"/>
      <c r="N199" s="779">
        <f>IFERROR(VLOOKUP(F199,Ch9_Storage,2, FALSE),0)</f>
        <v>0</v>
      </c>
    </row>
    <row r="200" ht="18.75" customHeight="1">
      <c r="A200" s="716">
        <f>IFERROR(VLOOKUP(H200,PartyStorage,2, FALSE),0)</f>
        <v>0</v>
      </c>
      <c r="B200" s="1134"/>
      <c r="C200" s="1124"/>
      <c r="D200" s="1124"/>
      <c r="E200" s="1123" t="str">
        <f t="shared" si="1"/>
        <v/>
      </c>
      <c r="F200" s="1124"/>
      <c r="G200" s="1137"/>
      <c r="H200" s="1126"/>
      <c r="I200" s="1127"/>
      <c r="M200" s="1128"/>
      <c r="N200" s="779">
        <f>IFERROR(VLOOKUP(F200,Ch9_Storage,2, FALSE),0)</f>
        <v>0</v>
      </c>
    </row>
    <row r="201" ht="18.75" customHeight="1">
      <c r="A201" s="716">
        <f>IFERROR(VLOOKUP(H201,PartyStorage,2, FALSE),0)</f>
        <v>0</v>
      </c>
      <c r="B201" s="1129"/>
      <c r="C201" s="1117"/>
      <c r="D201" s="1117"/>
      <c r="E201" s="1116" t="str">
        <f t="shared" si="1"/>
        <v/>
      </c>
      <c r="F201" s="1117"/>
      <c r="G201" s="1131"/>
      <c r="H201" s="1118"/>
      <c r="I201" s="1119"/>
      <c r="M201" s="1120"/>
      <c r="N201" s="779">
        <f>IFERROR(VLOOKUP(F201,Ch9_Storage,2, FALSE),0)</f>
        <v>0</v>
      </c>
    </row>
    <row r="202" ht="18.75" customHeight="1">
      <c r="A202" s="716">
        <f>IFERROR(VLOOKUP(H202,PartyStorage,2, FALSE),0)</f>
        <v>0</v>
      </c>
      <c r="B202" s="1134"/>
      <c r="C202" s="1124"/>
      <c r="D202" s="1124"/>
      <c r="E202" s="1123" t="str">
        <f t="shared" si="1"/>
        <v/>
      </c>
      <c r="F202" s="1124"/>
      <c r="G202" s="1137"/>
      <c r="H202" s="1126"/>
      <c r="I202" s="1127"/>
      <c r="M202" s="1128"/>
      <c r="N202" s="779">
        <f>IFERROR(VLOOKUP(F202,Ch9_Storage,2, FALSE),0)</f>
        <v>0</v>
      </c>
    </row>
    <row r="203" ht="18.75" customHeight="1">
      <c r="A203" s="716">
        <f>IFERROR(VLOOKUP(H203,PartyStorage,2, FALSE),0)</f>
        <v>0</v>
      </c>
      <c r="B203" s="1129"/>
      <c r="C203" s="1117"/>
      <c r="D203" s="1117"/>
      <c r="E203" s="1116" t="str">
        <f t="shared" si="1"/>
        <v/>
      </c>
      <c r="F203" s="1117"/>
      <c r="G203" s="1131"/>
      <c r="H203" s="1118"/>
      <c r="I203" s="1119"/>
      <c r="M203" s="1120"/>
      <c r="N203" s="779">
        <f>IFERROR(VLOOKUP(F203,Ch9_Storage,2, FALSE),0)</f>
        <v>0</v>
      </c>
    </row>
    <row r="204" ht="18.75" customHeight="1">
      <c r="A204" s="716">
        <f>IFERROR(VLOOKUP(H204,PartyStorage,2, FALSE),0)</f>
        <v>0</v>
      </c>
      <c r="B204" s="1134"/>
      <c r="C204" s="1124"/>
      <c r="D204" s="1124"/>
      <c r="E204" s="1123" t="str">
        <f t="shared" si="1"/>
        <v/>
      </c>
      <c r="F204" s="1124"/>
      <c r="G204" s="1137"/>
      <c r="H204" s="1126"/>
      <c r="I204" s="1127"/>
      <c r="M204" s="1128"/>
      <c r="N204" s="779">
        <f>IFERROR(VLOOKUP(F204,Ch9_Storage,2, FALSE),0)</f>
        <v>0</v>
      </c>
    </row>
    <row r="205" ht="18.75" customHeight="1">
      <c r="A205" s="716">
        <f>IFERROR(VLOOKUP(H205,PartyStorage,2, FALSE),0)</f>
        <v>0</v>
      </c>
      <c r="B205" s="1129"/>
      <c r="C205" s="1117"/>
      <c r="D205" s="1117"/>
      <c r="E205" s="1116" t="str">
        <f t="shared" si="1"/>
        <v/>
      </c>
      <c r="F205" s="1117"/>
      <c r="G205" s="1131"/>
      <c r="H205" s="1118"/>
      <c r="I205" s="1119"/>
      <c r="M205" s="1120"/>
      <c r="N205" s="779">
        <f>IFERROR(VLOOKUP(F205,Ch9_Storage,2, FALSE),0)</f>
        <v>0</v>
      </c>
    </row>
    <row r="206" ht="18.75" customHeight="1">
      <c r="A206" s="716">
        <f>IFERROR(VLOOKUP(H206,PartyStorage,2, FALSE),0)</f>
        <v>0</v>
      </c>
      <c r="B206" s="1134"/>
      <c r="C206" s="1124"/>
      <c r="D206" s="1124"/>
      <c r="E206" s="1123" t="str">
        <f t="shared" si="1"/>
        <v/>
      </c>
      <c r="F206" s="1124"/>
      <c r="G206" s="1137"/>
      <c r="H206" s="1126"/>
      <c r="I206" s="1127"/>
      <c r="M206" s="1128"/>
      <c r="N206" s="779">
        <f>IFERROR(VLOOKUP(F206,Ch9_Storage,2, FALSE),0)</f>
        <v>0</v>
      </c>
    </row>
    <row r="207" ht="18.75" customHeight="1">
      <c r="A207" s="716">
        <f>IFERROR(VLOOKUP(H207,PartyStorage,2, FALSE),0)</f>
        <v>0</v>
      </c>
      <c r="B207" s="1129"/>
      <c r="C207" s="1117"/>
      <c r="D207" s="1117"/>
      <c r="E207" s="1116" t="str">
        <f t="shared" si="1"/>
        <v/>
      </c>
      <c r="F207" s="1117"/>
      <c r="G207" s="1131"/>
      <c r="H207" s="1118"/>
      <c r="I207" s="1119"/>
      <c r="M207" s="1120"/>
      <c r="N207" s="779">
        <f>IFERROR(VLOOKUP(F207,Ch9_Storage,2, FALSE),0)</f>
        <v>0</v>
      </c>
    </row>
    <row r="208" ht="18.75" customHeight="1">
      <c r="A208" s="716">
        <f>IFERROR(VLOOKUP(H208,PartyStorage,2, FALSE),0)</f>
        <v>0</v>
      </c>
      <c r="B208" s="1196"/>
      <c r="C208" s="1197"/>
      <c r="D208" s="1197"/>
      <c r="E208" s="1198" t="str">
        <f t="shared" si="1"/>
        <v/>
      </c>
      <c r="F208" s="1197"/>
      <c r="G208" s="1199"/>
      <c r="H208" s="1200"/>
      <c r="I208" s="1201"/>
      <c r="J208" s="1202"/>
      <c r="K208" s="1202"/>
      <c r="L208" s="1202"/>
      <c r="M208" s="1203"/>
      <c r="N208" s="779">
        <f>IFERROR(VLOOKUP(F208,Ch9_Storage,2, FALSE),0)</f>
        <v>0</v>
      </c>
    </row>
    <row r="209" ht="7.5" customHeight="1">
      <c r="A209" s="513"/>
      <c r="B209" s="42"/>
      <c r="C209" s="42"/>
      <c r="D209" s="42"/>
      <c r="E209" s="42"/>
      <c r="F209" s="42"/>
      <c r="G209" s="42"/>
      <c r="H209" s="42"/>
      <c r="I209" s="42"/>
      <c r="J209" s="42"/>
      <c r="K209" s="42"/>
      <c r="L209" s="42"/>
      <c r="M209" s="42"/>
      <c r="N209" s="779"/>
    </row>
  </sheetData>
  <mergeCells count="197">
    <mergeCell ref="I53:M53"/>
    <mergeCell ref="I54:M54"/>
    <mergeCell ref="I48:M48"/>
    <mergeCell ref="I49:M49"/>
    <mergeCell ref="I56:M56"/>
    <mergeCell ref="I55:M55"/>
    <mergeCell ref="I50:M50"/>
    <mergeCell ref="I58:M58"/>
    <mergeCell ref="I57:M57"/>
    <mergeCell ref="I26:M26"/>
    <mergeCell ref="I27:M27"/>
    <mergeCell ref="B2:C2"/>
    <mergeCell ref="B3:C3"/>
    <mergeCell ref="I29:M29"/>
    <mergeCell ref="I28:M28"/>
    <mergeCell ref="K7:L7"/>
    <mergeCell ref="I2:J7"/>
    <mergeCell ref="B7:C7"/>
    <mergeCell ref="K6:L6"/>
    <mergeCell ref="E2:F7"/>
    <mergeCell ref="B4:C4"/>
    <mergeCell ref="I51:M51"/>
    <mergeCell ref="I52:M52"/>
    <mergeCell ref="I46:M46"/>
    <mergeCell ref="I47:M47"/>
    <mergeCell ref="I44:M44"/>
    <mergeCell ref="I45:M45"/>
    <mergeCell ref="I43:M43"/>
    <mergeCell ref="K5:L5"/>
    <mergeCell ref="K4:L4"/>
    <mergeCell ref="K3:L3"/>
    <mergeCell ref="K2:M2"/>
    <mergeCell ref="I39:M39"/>
    <mergeCell ref="I38:M38"/>
    <mergeCell ref="I40:M40"/>
    <mergeCell ref="I41:M41"/>
    <mergeCell ref="I42:M42"/>
    <mergeCell ref="I35:M35"/>
    <mergeCell ref="I34:M34"/>
    <mergeCell ref="I33:M33"/>
    <mergeCell ref="I32:M32"/>
    <mergeCell ref="I36:M36"/>
    <mergeCell ref="I30:M30"/>
    <mergeCell ref="I31:M31"/>
    <mergeCell ref="I37:M37"/>
    <mergeCell ref="B6:C6"/>
    <mergeCell ref="B5:C5"/>
    <mergeCell ref="I197:M197"/>
    <mergeCell ref="I186:M186"/>
    <mergeCell ref="I187:M187"/>
    <mergeCell ref="I188:M188"/>
    <mergeCell ref="I189:M189"/>
    <mergeCell ref="I182:M182"/>
    <mergeCell ref="I185:M185"/>
    <mergeCell ref="I184:M184"/>
    <mergeCell ref="I178:M178"/>
    <mergeCell ref="I179:M179"/>
    <mergeCell ref="I180:M180"/>
    <mergeCell ref="I172:M172"/>
    <mergeCell ref="I174:M174"/>
    <mergeCell ref="I175:M175"/>
    <mergeCell ref="I176:M176"/>
    <mergeCell ref="I177:M177"/>
    <mergeCell ref="I173:M173"/>
    <mergeCell ref="I164:M164"/>
    <mergeCell ref="I165:M165"/>
    <mergeCell ref="I171:M171"/>
    <mergeCell ref="I169:M169"/>
    <mergeCell ref="I170:M170"/>
    <mergeCell ref="I168:M168"/>
    <mergeCell ref="I166:M166"/>
    <mergeCell ref="I167:M167"/>
    <mergeCell ref="I162:M162"/>
    <mergeCell ref="I161:M161"/>
    <mergeCell ref="I163:M163"/>
    <mergeCell ref="I201:M201"/>
    <mergeCell ref="I198:M198"/>
    <mergeCell ref="I199:M199"/>
    <mergeCell ref="I200:M200"/>
    <mergeCell ref="I156:M156"/>
    <mergeCell ref="I155:M155"/>
    <mergeCell ref="I147:M147"/>
    <mergeCell ref="I148:M148"/>
    <mergeCell ref="I158:M158"/>
    <mergeCell ref="I157:M157"/>
    <mergeCell ref="I159:M159"/>
    <mergeCell ref="I160:M160"/>
    <mergeCell ref="I151:M151"/>
    <mergeCell ref="I154:M154"/>
    <mergeCell ref="I194:M194"/>
    <mergeCell ref="I193:M193"/>
    <mergeCell ref="I202:M202"/>
    <mergeCell ref="I205:M205"/>
    <mergeCell ref="I206:M206"/>
    <mergeCell ref="I207:M207"/>
    <mergeCell ref="I208:M208"/>
    <mergeCell ref="I204:M204"/>
    <mergeCell ref="I203:M203"/>
    <mergeCell ref="I195:M195"/>
    <mergeCell ref="I196:M196"/>
    <mergeCell ref="I190:M190"/>
    <mergeCell ref="I192:M192"/>
    <mergeCell ref="I191:M191"/>
    <mergeCell ref="I183:M183"/>
    <mergeCell ref="I181:M181"/>
    <mergeCell ref="I93:M93"/>
    <mergeCell ref="I92:M92"/>
    <mergeCell ref="I97:M97"/>
    <mergeCell ref="I94:M94"/>
    <mergeCell ref="I81:M81"/>
    <mergeCell ref="I82:M82"/>
    <mergeCell ref="I99:M99"/>
    <mergeCell ref="I98:M98"/>
    <mergeCell ref="I88:M88"/>
    <mergeCell ref="I87:M87"/>
    <mergeCell ref="I86:M86"/>
    <mergeCell ref="I85:M85"/>
    <mergeCell ref="I80:M80"/>
    <mergeCell ref="I139:M139"/>
    <mergeCell ref="I133:M133"/>
    <mergeCell ref="I62:M62"/>
    <mergeCell ref="I63:M63"/>
    <mergeCell ref="I61:M61"/>
    <mergeCell ref="I59:M59"/>
    <mergeCell ref="I60:M60"/>
    <mergeCell ref="I116:M116"/>
    <mergeCell ref="I109:M109"/>
    <mergeCell ref="I115:M115"/>
    <mergeCell ref="I114:M114"/>
    <mergeCell ref="I110:M110"/>
    <mergeCell ref="I111:M111"/>
    <mergeCell ref="I108:M108"/>
    <mergeCell ref="I105:M105"/>
    <mergeCell ref="I106:M106"/>
    <mergeCell ref="I107:M107"/>
    <mergeCell ref="I65:M65"/>
    <mergeCell ref="I64:M64"/>
    <mergeCell ref="I68:M68"/>
    <mergeCell ref="I78:M78"/>
    <mergeCell ref="I76:M76"/>
    <mergeCell ref="I73:M73"/>
    <mergeCell ref="I77:M77"/>
    <mergeCell ref="I75:M75"/>
    <mergeCell ref="I66:M66"/>
    <mergeCell ref="I143:M143"/>
    <mergeCell ref="I146:M146"/>
    <mergeCell ref="I126:M126"/>
    <mergeCell ref="I123:M123"/>
    <mergeCell ref="I142:M142"/>
    <mergeCell ref="I67:M67"/>
    <mergeCell ref="I129:M129"/>
    <mergeCell ref="I130:M130"/>
    <mergeCell ref="I127:M127"/>
    <mergeCell ref="I128:M128"/>
    <mergeCell ref="I141:M141"/>
    <mergeCell ref="I140:M140"/>
    <mergeCell ref="I145:M145"/>
    <mergeCell ref="I144:M144"/>
    <mergeCell ref="I153:M153"/>
    <mergeCell ref="I152:M152"/>
    <mergeCell ref="I150:M150"/>
    <mergeCell ref="I149:M149"/>
    <mergeCell ref="I91:M91"/>
    <mergeCell ref="I89:M89"/>
    <mergeCell ref="I90:M90"/>
    <mergeCell ref="I95:M95"/>
    <mergeCell ref="I96:M96"/>
    <mergeCell ref="I119:M119"/>
    <mergeCell ref="I117:M117"/>
    <mergeCell ref="I118:M118"/>
    <mergeCell ref="I131:M131"/>
    <mergeCell ref="I132:M132"/>
    <mergeCell ref="I125:M125"/>
    <mergeCell ref="I124:M124"/>
    <mergeCell ref="I120:M120"/>
    <mergeCell ref="I112:M112"/>
    <mergeCell ref="I113:M113"/>
    <mergeCell ref="I138:M138"/>
    <mergeCell ref="I137:M137"/>
    <mergeCell ref="I136:M136"/>
    <mergeCell ref="I134:M134"/>
    <mergeCell ref="I135:M135"/>
    <mergeCell ref="I69:M69"/>
    <mergeCell ref="I70:M70"/>
    <mergeCell ref="I72:M72"/>
    <mergeCell ref="I74:M74"/>
    <mergeCell ref="I71:M71"/>
    <mergeCell ref="I101:M101"/>
    <mergeCell ref="I100:M100"/>
    <mergeCell ref="I104:M104"/>
    <mergeCell ref="I102:M102"/>
    <mergeCell ref="I103:M103"/>
    <mergeCell ref="I84:M84"/>
    <mergeCell ref="I83:M83"/>
    <mergeCell ref="I79:M79"/>
    <mergeCell ref="I121:M121"/>
    <mergeCell ref="I122:M122"/>
  </mergeCells>
  <conditionalFormatting sqref="G27:G208">
    <cfRule type="expression" dxfId="0" priority="1">
      <formula>AND(AND(NOT(ISBLANK(C27)), ISBLANK(G27)), ISBLANK(H27))</formula>
    </cfRule>
  </conditionalFormatting>
  <conditionalFormatting sqref="K2:M2">
    <cfRule type="expression" dxfId="41" priority="2">
      <formula>IF($N$2="",true,false)</formula>
    </cfRule>
  </conditionalFormatting>
  <conditionalFormatting sqref="K3:M7">
    <cfRule type="expression" dxfId="42" priority="3">
      <formula>IF($N$2="",true,false)</formula>
    </cfRule>
  </conditionalFormatting>
  <dataValidations>
    <dataValidation type="list" allowBlank="1" showInputMessage="1" showErrorMessage="1" prompt="Every item must have a PC or party storage location" sqref="G27:G208">
      <formula1>'Character Info'!$Z$32:$Z$41</formula1>
    </dataValidation>
    <dataValidation type="list" allowBlank="1" showErrorMessage="1" sqref="H27:H208">
      <formula1>PartyStorage</formula1>
    </dataValidation>
  </dataValidations>
  <hyperlinks>
    <hyperlink r:id="rId2" ref="E1"/>
    <hyperlink r:id="rId3" ref="I1"/>
  </hyperlinks>
  <drawing r:id="rId4"/>
  <legacyDrawing r:id="rId5"/>
  <tableParts count="4">
    <tablePart r:id="rId10"/>
    <tablePart r:id="rId11"/>
    <tablePart r:id="rId12"/>
    <tablePart r:id="rId1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14"/>
    <col customWidth="1" min="8" max="8" width="17.29"/>
  </cols>
  <sheetData>
    <row r="1">
      <c r="A1" s="1141" t="s">
        <v>91</v>
      </c>
      <c r="B1" s="1142" t="s">
        <v>92</v>
      </c>
      <c r="E1" s="1143" t="s">
        <v>93</v>
      </c>
      <c r="F1" s="1144" t="s">
        <v>37</v>
      </c>
      <c r="G1" s="1144" t="s">
        <v>94</v>
      </c>
      <c r="H1" s="1145" t="s">
        <v>95</v>
      </c>
      <c r="I1" s="1146"/>
      <c r="J1" s="1146"/>
      <c r="K1" s="1146"/>
      <c r="L1" s="1146"/>
      <c r="M1" s="1146"/>
      <c r="N1" s="1146"/>
      <c r="O1" s="1146"/>
      <c r="P1" s="1146"/>
    </row>
    <row r="2">
      <c r="A2" s="1143" t="s">
        <v>96</v>
      </c>
      <c r="B2" s="1147"/>
      <c r="C2" s="1143" t="s">
        <v>97</v>
      </c>
      <c r="D2" s="1147"/>
      <c r="E2" s="1148" t="s">
        <v>93</v>
      </c>
      <c r="F2" t="str">
        <f>'Party Info'!C19</f>
        <v/>
      </c>
      <c r="G2" t="str">
        <f>'Party Info'!C4</f>
        <v/>
      </c>
      <c r="H2" s="1149" t="s">
        <v>95</v>
      </c>
    </row>
    <row r="3">
      <c r="A3" s="17" t="str">
        <f>'Party Info'!C4</f>
        <v/>
      </c>
      <c r="B3" s="1150" t="str">
        <f>'Party Info'!C4</f>
        <v/>
      </c>
      <c r="C3" s="1148" t="s">
        <v>93</v>
      </c>
      <c r="D3" s="1150"/>
      <c r="E3" s="17"/>
      <c r="F3" t="str">
        <f>'Party Info'!C20</f>
        <v/>
      </c>
      <c r="G3" t="str">
        <f>'Party Info'!C5</f>
        <v/>
      </c>
      <c r="H3" s="1150"/>
    </row>
    <row r="4">
      <c r="A4" s="17" t="str">
        <f>'Party Info'!C5</f>
        <v/>
      </c>
      <c r="B4" s="1150" t="str">
        <f>'Party Info'!C5</f>
        <v/>
      </c>
      <c r="C4" s="1148" t="s">
        <v>37</v>
      </c>
      <c r="D4" s="1150"/>
      <c r="E4" s="17"/>
      <c r="F4" t="str">
        <f>'Party Info'!C21</f>
        <v/>
      </c>
      <c r="G4" t="str">
        <f>'Party Info'!C6</f>
        <v/>
      </c>
      <c r="H4" s="1150"/>
    </row>
    <row r="5">
      <c r="A5" s="17" t="str">
        <f>'Party Info'!C6</f>
        <v/>
      </c>
      <c r="B5" s="1150" t="str">
        <f>'Party Info'!C6</f>
        <v/>
      </c>
      <c r="C5" s="1148" t="s">
        <v>94</v>
      </c>
      <c r="D5" s="1150"/>
      <c r="E5" s="17"/>
      <c r="G5" t="str">
        <f>'Party Info'!C7</f>
        <v/>
      </c>
      <c r="H5" s="1150"/>
    </row>
    <row r="6">
      <c r="A6" s="17" t="str">
        <f>'Party Info'!C7</f>
        <v/>
      </c>
      <c r="B6" s="1150" t="str">
        <f>'Party Info'!C7</f>
        <v/>
      </c>
      <c r="C6" s="1151" t="s">
        <v>95</v>
      </c>
      <c r="D6" s="1152"/>
      <c r="E6" s="17"/>
      <c r="G6" t="str">
        <f>'Party Info'!C8</f>
        <v/>
      </c>
      <c r="H6" s="1150"/>
    </row>
    <row r="7">
      <c r="A7" s="17" t="str">
        <f>'Party Info'!C8</f>
        <v/>
      </c>
      <c r="B7" s="1150" t="str">
        <f>'Party Info'!C8</f>
        <v/>
      </c>
      <c r="E7" s="17"/>
      <c r="G7" t="str">
        <f>'Party Info'!C9</f>
        <v/>
      </c>
      <c r="H7" s="1150"/>
    </row>
    <row r="8">
      <c r="A8" s="17" t="str">
        <f>'Party Info'!C9</f>
        <v/>
      </c>
      <c r="B8" s="1150" t="str">
        <f>'Party Info'!C9</f>
        <v/>
      </c>
      <c r="E8" s="17"/>
      <c r="G8" t="str">
        <f>'Party Info'!C10</f>
        <v/>
      </c>
      <c r="H8" s="1150"/>
    </row>
    <row r="9">
      <c r="A9" s="17" t="str">
        <f>'Party Info'!C10</f>
        <v/>
      </c>
      <c r="B9" s="1150" t="str">
        <f>'Party Info'!C10</f>
        <v/>
      </c>
      <c r="E9" s="17"/>
      <c r="G9" t="str">
        <f>'Party Info'!C11</f>
        <v/>
      </c>
      <c r="H9" s="1150"/>
    </row>
    <row r="10">
      <c r="A10" s="17" t="str">
        <f>'Party Info'!C11</f>
        <v/>
      </c>
      <c r="B10" s="1150" t="str">
        <f>'Party Info'!C11</f>
        <v/>
      </c>
      <c r="E10" s="17"/>
      <c r="G10" t="str">
        <f>'Party Info'!C12</f>
        <v/>
      </c>
      <c r="H10" s="1150"/>
    </row>
    <row r="11">
      <c r="A11" s="17" t="str">
        <f>'Party Info'!C12</f>
        <v/>
      </c>
      <c r="B11" s="1150" t="str">
        <f>'Party Info'!C12</f>
        <v/>
      </c>
      <c r="E11" s="17"/>
      <c r="G11" t="str">
        <f>'Party Info'!C13</f>
        <v/>
      </c>
      <c r="H11" s="1150"/>
    </row>
    <row r="12">
      <c r="A12" s="17" t="str">
        <f>'Party Info'!C13</f>
        <v/>
      </c>
      <c r="B12" s="1150" t="str">
        <f>'Party Info'!C13</f>
        <v/>
      </c>
      <c r="E12" s="17"/>
      <c r="G12" t="str">
        <f>'Party Info'!C14</f>
        <v/>
      </c>
      <c r="H12" s="1150"/>
    </row>
    <row r="13">
      <c r="A13" s="17" t="str">
        <f>'Party Info'!C14</f>
        <v/>
      </c>
      <c r="B13" s="1150" t="str">
        <f>'Party Info'!C14</f>
        <v/>
      </c>
      <c r="E13" s="1153"/>
      <c r="F13" s="1154"/>
      <c r="G13" s="1154" t="str">
        <f>'Party Info'!C15</f>
        <v/>
      </c>
      <c r="H13" s="1152"/>
    </row>
    <row r="14">
      <c r="A14" s="17" t="str">
        <f>'Party Info'!C15</f>
        <v/>
      </c>
      <c r="B14" s="1150" t="str">
        <f>'Party Info'!C15</f>
        <v/>
      </c>
    </row>
    <row r="15">
      <c r="A15" s="17" t="str">
        <f>'Party Info'!I4</f>
        <v/>
      </c>
      <c r="B15" s="1150" t="str">
        <f>'Party Info'!K4</f>
        <v/>
      </c>
    </row>
    <row r="16">
      <c r="A16" s="17" t="str">
        <f>'Party Info'!I5</f>
        <v/>
      </c>
      <c r="B16" s="1150" t="str">
        <f>'Party Info'!K5</f>
        <v/>
      </c>
    </row>
    <row r="17">
      <c r="A17" s="17" t="str">
        <f>'Party Info'!I6</f>
        <v/>
      </c>
      <c r="B17" s="1150" t="str">
        <f>'Party Info'!K6</f>
        <v/>
      </c>
    </row>
    <row r="18">
      <c r="A18" s="17" t="str">
        <f>'Party Info'!I7</f>
        <v/>
      </c>
      <c r="B18" s="1150" t="str">
        <f>'Party Info'!K7</f>
        <v/>
      </c>
    </row>
    <row r="19">
      <c r="A19" s="17" t="str">
        <f>'Party Info'!I8</f>
        <v/>
      </c>
      <c r="B19" s="1150" t="str">
        <f>'Party Info'!K8</f>
        <v/>
      </c>
    </row>
    <row r="20">
      <c r="A20" s="17" t="str">
        <f>'Party Info'!I9</f>
        <v/>
      </c>
      <c r="B20" s="1150" t="str">
        <f>'Party Info'!K9</f>
        <v/>
      </c>
    </row>
    <row r="21">
      <c r="A21" s="17" t="str">
        <f>'Party Info'!I10</f>
        <v/>
      </c>
      <c r="B21" s="1150" t="str">
        <f>'Party Info'!K10</f>
        <v/>
      </c>
    </row>
    <row r="22">
      <c r="A22" s="17" t="str">
        <f>'Party Info'!I11</f>
        <v/>
      </c>
      <c r="B22" s="1150" t="str">
        <f>'Party Info'!K11</f>
        <v/>
      </c>
    </row>
    <row r="23">
      <c r="A23" s="17" t="str">
        <f>'Party Info'!I12</f>
        <v/>
      </c>
      <c r="B23" s="1150" t="str">
        <f>'Party Info'!K12</f>
        <v/>
      </c>
    </row>
    <row r="24">
      <c r="A24" s="17" t="str">
        <f>'Party Info'!I13</f>
        <v/>
      </c>
      <c r="B24" s="1150" t="str">
        <f>'Party Info'!K13</f>
        <v/>
      </c>
    </row>
    <row r="25">
      <c r="A25" s="17" t="str">
        <f>'Party Info'!I14</f>
        <v/>
      </c>
      <c r="B25" s="1150" t="str">
        <f>'Party Info'!K14</f>
        <v/>
      </c>
    </row>
    <row r="26">
      <c r="A26" s="17" t="str">
        <f>'Party Info'!I15</f>
        <v/>
      </c>
      <c r="B26" s="1150" t="str">
        <f>'Party Info'!K15</f>
        <v/>
      </c>
    </row>
    <row r="27">
      <c r="A27" s="17" t="str">
        <f>'Party Info'!C19</f>
        <v/>
      </c>
      <c r="B27" s="1150" t="str">
        <f>'Party Info'!C19</f>
        <v/>
      </c>
    </row>
    <row r="28">
      <c r="A28" s="17" t="str">
        <f>'Party Info'!C20</f>
        <v/>
      </c>
      <c r="B28" s="1150" t="str">
        <f>'Party Info'!C20</f>
        <v/>
      </c>
    </row>
    <row r="29">
      <c r="A29" s="1153" t="str">
        <f>'Party Info'!C21</f>
        <v/>
      </c>
      <c r="B29" s="1152" t="str">
        <f>'Party Info'!C21</f>
        <v/>
      </c>
    </row>
    <row r="31">
      <c r="A31" s="1143" t="s">
        <v>57</v>
      </c>
      <c r="B31" s="1144" t="s">
        <v>98</v>
      </c>
      <c r="C31" s="1155" t="s">
        <v>57</v>
      </c>
    </row>
    <row r="32">
      <c r="A32" s="1148">
        <v>0.0</v>
      </c>
      <c r="B32" s="260">
        <v>1.0</v>
      </c>
      <c r="C32" s="1149">
        <v>0.0</v>
      </c>
    </row>
    <row r="33">
      <c r="A33" s="1148">
        <v>300.0</v>
      </c>
      <c r="B33" s="260">
        <v>2.0</v>
      </c>
      <c r="C33" s="1149">
        <v>300.0</v>
      </c>
    </row>
    <row r="34">
      <c r="A34" s="1148">
        <v>900.0</v>
      </c>
      <c r="B34" s="260">
        <v>3.0</v>
      </c>
      <c r="C34" s="1149">
        <v>900.0</v>
      </c>
    </row>
    <row r="35">
      <c r="A35" s="1156">
        <v>2700.0</v>
      </c>
      <c r="B35" s="260">
        <v>4.0</v>
      </c>
      <c r="C35" s="1157">
        <v>2700.0</v>
      </c>
    </row>
    <row r="36">
      <c r="A36" s="1156">
        <v>6500.0</v>
      </c>
      <c r="B36" s="260">
        <v>5.0</v>
      </c>
      <c r="C36" s="1157">
        <v>6500.0</v>
      </c>
    </row>
    <row r="37">
      <c r="A37" s="1156">
        <v>14000.0</v>
      </c>
      <c r="B37" s="260">
        <v>6.0</v>
      </c>
      <c r="C37" s="1157">
        <v>14000.0</v>
      </c>
    </row>
    <row r="38">
      <c r="A38" s="1156">
        <v>23000.0</v>
      </c>
      <c r="B38" s="260">
        <v>7.0</v>
      </c>
      <c r="C38" s="1157">
        <v>23000.0</v>
      </c>
    </row>
    <row r="39">
      <c r="A39" s="1156">
        <v>34000.0</v>
      </c>
      <c r="B39" s="260">
        <v>8.0</v>
      </c>
      <c r="C39" s="1157">
        <v>34000.0</v>
      </c>
    </row>
    <row r="40">
      <c r="A40" s="1156">
        <v>48000.0</v>
      </c>
      <c r="B40" s="260">
        <v>9.0</v>
      </c>
      <c r="C40" s="1157">
        <v>48000.0</v>
      </c>
    </row>
    <row r="41">
      <c r="A41" s="1156">
        <v>64000.0</v>
      </c>
      <c r="B41" s="260">
        <v>10.0</v>
      </c>
      <c r="C41" s="1157">
        <v>64000.0</v>
      </c>
    </row>
    <row r="42">
      <c r="A42" s="1156">
        <v>85000.0</v>
      </c>
      <c r="B42" s="260">
        <v>11.0</v>
      </c>
      <c r="C42" s="1157">
        <v>85000.0</v>
      </c>
    </row>
    <row r="43">
      <c r="A43" s="1156">
        <v>100000.0</v>
      </c>
      <c r="B43" s="260">
        <v>12.0</v>
      </c>
      <c r="C43" s="1157">
        <v>100000.0</v>
      </c>
    </row>
    <row r="44">
      <c r="A44" s="1156">
        <v>120000.0</v>
      </c>
      <c r="B44" s="260">
        <v>13.0</v>
      </c>
      <c r="C44" s="1157">
        <v>120000.0</v>
      </c>
    </row>
    <row r="45">
      <c r="A45" s="1156">
        <v>140000.0</v>
      </c>
      <c r="B45" s="260">
        <v>14.0</v>
      </c>
      <c r="C45" s="1157">
        <v>140000.0</v>
      </c>
    </row>
    <row r="46">
      <c r="A46" s="1156">
        <v>165000.0</v>
      </c>
      <c r="B46" s="260">
        <v>15.0</v>
      </c>
      <c r="C46" s="1157">
        <v>165000.0</v>
      </c>
    </row>
    <row r="47">
      <c r="A47" s="1156">
        <v>195000.0</v>
      </c>
      <c r="B47" s="260">
        <v>16.0</v>
      </c>
      <c r="C47" s="1157">
        <v>195000.0</v>
      </c>
    </row>
    <row r="48">
      <c r="A48" s="1156">
        <v>225000.0</v>
      </c>
      <c r="B48" s="260">
        <v>17.0</v>
      </c>
      <c r="C48" s="1157">
        <v>225000.0</v>
      </c>
    </row>
    <row r="49">
      <c r="A49" s="1156">
        <v>265000.0</v>
      </c>
      <c r="B49" s="260">
        <v>18.0</v>
      </c>
      <c r="C49" s="1157">
        <v>265000.0</v>
      </c>
    </row>
    <row r="50">
      <c r="A50" s="1156">
        <v>305000.0</v>
      </c>
      <c r="B50" s="260">
        <v>19.0</v>
      </c>
      <c r="C50" s="1157">
        <v>305000.0</v>
      </c>
    </row>
    <row r="51">
      <c r="A51" s="1158">
        <v>355000.0</v>
      </c>
      <c r="B51" s="1159">
        <v>20.0</v>
      </c>
      <c r="C51" s="1160">
        <v>355000.0</v>
      </c>
    </row>
    <row r="53">
      <c r="A53" s="1143" t="s">
        <v>8</v>
      </c>
      <c r="B53" s="1155" t="s">
        <v>99</v>
      </c>
    </row>
    <row r="54">
      <c r="A54" s="1148" t="s">
        <v>19</v>
      </c>
      <c r="B54" s="1149">
        <v>1.0</v>
      </c>
    </row>
    <row r="55">
      <c r="A55" s="1148" t="s">
        <v>100</v>
      </c>
      <c r="B55" s="1149">
        <v>2.0</v>
      </c>
    </row>
    <row r="56">
      <c r="A56" s="1151" t="s">
        <v>101</v>
      </c>
      <c r="B56" s="1161">
        <v>4.0</v>
      </c>
    </row>
    <row r="58">
      <c r="A58" s="1143" t="s">
        <v>102</v>
      </c>
      <c r="B58" s="1144" t="s">
        <v>22</v>
      </c>
      <c r="C58" s="1144" t="s">
        <v>12</v>
      </c>
      <c r="D58" s="1144" t="s">
        <v>11</v>
      </c>
      <c r="E58" s="1155" t="s">
        <v>80</v>
      </c>
    </row>
    <row r="59">
      <c r="A59" s="1162" t="s">
        <v>103</v>
      </c>
      <c r="B59" s="1163">
        <v>30.0</v>
      </c>
      <c r="C59" s="1163">
        <v>5.0</v>
      </c>
      <c r="D59" s="1164"/>
      <c r="E59" s="1165"/>
    </row>
    <row r="60">
      <c r="A60" s="1162" t="s">
        <v>104</v>
      </c>
      <c r="B60" s="1163">
        <v>15.0</v>
      </c>
      <c r="C60" s="1163">
        <v>0.0</v>
      </c>
      <c r="D60" s="1164"/>
      <c r="E60" s="1165"/>
    </row>
    <row r="61">
      <c r="A61" s="1162" t="s">
        <v>105</v>
      </c>
      <c r="B61" s="1163">
        <v>6.0</v>
      </c>
      <c r="C61" s="1163">
        <v>2.0</v>
      </c>
      <c r="D61" s="1164"/>
      <c r="E61" s="1166" t="s">
        <v>106</v>
      </c>
    </row>
    <row r="62">
      <c r="A62" s="1162" t="s">
        <v>107</v>
      </c>
      <c r="B62" s="1163">
        <v>500.0</v>
      </c>
      <c r="C62" s="1163">
        <v>15.0</v>
      </c>
      <c r="D62" s="1163" t="s">
        <v>95</v>
      </c>
      <c r="E62" s="1166"/>
    </row>
    <row r="63">
      <c r="A63" s="1162" t="s">
        <v>108</v>
      </c>
      <c r="B63" s="1163">
        <v>334.0</v>
      </c>
      <c r="C63" s="1163">
        <v>70.0</v>
      </c>
      <c r="D63" s="1164"/>
      <c r="E63" s="1166" t="s">
        <v>109</v>
      </c>
    </row>
    <row r="64">
      <c r="A64" s="1162" t="s">
        <v>110</v>
      </c>
      <c r="B64" s="1163">
        <v>40.0</v>
      </c>
      <c r="C64" s="1163">
        <v>2.0</v>
      </c>
      <c r="D64" s="1164"/>
      <c r="E64" s="1165"/>
    </row>
    <row r="65">
      <c r="A65" s="1162" t="s">
        <v>111</v>
      </c>
      <c r="B65" s="1163">
        <v>1.5</v>
      </c>
      <c r="C65" s="1163">
        <v>2.0</v>
      </c>
      <c r="D65" s="1164"/>
      <c r="E65" s="1166" t="s">
        <v>112</v>
      </c>
    </row>
    <row r="66">
      <c r="A66" s="1162" t="s">
        <v>113</v>
      </c>
      <c r="B66" s="1163">
        <v>20.0</v>
      </c>
      <c r="C66" s="1163">
        <v>1.0</v>
      </c>
      <c r="D66" s="1164"/>
      <c r="E66" s="1165"/>
    </row>
    <row r="67">
      <c r="A67" s="1162" t="s">
        <v>114</v>
      </c>
      <c r="B67" s="1163">
        <v>0.5</v>
      </c>
      <c r="C67" s="1163">
        <v>2.0</v>
      </c>
      <c r="D67" s="1164"/>
      <c r="E67" s="1166" t="s">
        <v>115</v>
      </c>
    </row>
    <row r="68">
      <c r="A68" s="1162" t="s">
        <v>116</v>
      </c>
      <c r="B68" s="1163">
        <v>25.0</v>
      </c>
      <c r="C68" s="1163">
        <v>2.0</v>
      </c>
      <c r="D68" s="1164"/>
      <c r="E68" s="1166" t="s">
        <v>117</v>
      </c>
    </row>
    <row r="69">
      <c r="A69" s="1162" t="s">
        <v>118</v>
      </c>
      <c r="B69" s="1163">
        <v>1.5</v>
      </c>
      <c r="C69" s="1163">
        <v>1.0</v>
      </c>
      <c r="D69" s="1164"/>
      <c r="E69" s="1166" t="s">
        <v>119</v>
      </c>
    </row>
    <row r="70">
      <c r="A70" s="1162" t="s">
        <v>120</v>
      </c>
      <c r="B70" s="1163">
        <v>0.25</v>
      </c>
      <c r="C70" s="1163">
        <v>1.0</v>
      </c>
      <c r="D70" s="1164"/>
      <c r="E70" s="1166" t="s">
        <v>121</v>
      </c>
    </row>
    <row r="71">
      <c r="A71" s="1162" t="s">
        <v>122</v>
      </c>
      <c r="B71" s="1163">
        <v>67.0</v>
      </c>
      <c r="C71" s="1163">
        <v>12.0</v>
      </c>
      <c r="D71" s="1164"/>
      <c r="E71" s="1166" t="s">
        <v>123</v>
      </c>
    </row>
    <row r="72">
      <c r="A72" s="1162" t="s">
        <v>124</v>
      </c>
      <c r="B72" s="1163">
        <v>300.0</v>
      </c>
      <c r="C72" s="1163">
        <v>25.0</v>
      </c>
      <c r="D72" s="1164"/>
      <c r="E72" s="1165"/>
    </row>
    <row r="73">
      <c r="A73" s="1162" t="s">
        <v>125</v>
      </c>
      <c r="B73" s="1163">
        <v>750.0</v>
      </c>
      <c r="C73" s="1163">
        <v>40.0</v>
      </c>
      <c r="D73" s="1164"/>
      <c r="E73" s="1165"/>
    </row>
    <row r="74">
      <c r="A74" s="1162" t="s">
        <v>126</v>
      </c>
      <c r="B74" s="1163">
        <v>1.0</v>
      </c>
      <c r="C74" s="1163">
        <v>1.0</v>
      </c>
      <c r="D74" s="1164"/>
      <c r="E74" s="1166" t="s">
        <v>127</v>
      </c>
    </row>
    <row r="75">
      <c r="A75" s="1162" t="s">
        <v>128</v>
      </c>
      <c r="B75" s="1163">
        <v>45.0</v>
      </c>
      <c r="C75" s="1163">
        <v>7.0</v>
      </c>
      <c r="D75" s="1164"/>
      <c r="E75" s="1165"/>
    </row>
    <row r="76">
      <c r="A76" s="1162" t="s">
        <v>129</v>
      </c>
      <c r="B76" s="1163">
        <v>23.0</v>
      </c>
      <c r="C76" s="1163">
        <v>0.0</v>
      </c>
      <c r="D76" s="1164"/>
      <c r="E76" s="1165"/>
    </row>
    <row r="77">
      <c r="A77" s="1162" t="s">
        <v>130</v>
      </c>
      <c r="B77" s="1163">
        <v>120.0</v>
      </c>
      <c r="C77" s="1163">
        <v>5.0</v>
      </c>
      <c r="D77" s="1163" t="s">
        <v>95</v>
      </c>
      <c r="E77" s="1165"/>
    </row>
    <row r="78">
      <c r="A78" s="1162" t="s">
        <v>131</v>
      </c>
      <c r="B78" s="1163">
        <v>23.0</v>
      </c>
      <c r="C78" s="1163">
        <v>0.0</v>
      </c>
      <c r="D78" s="1163"/>
      <c r="E78" s="1165"/>
    </row>
    <row r="79">
      <c r="A79" s="1162" t="s">
        <v>132</v>
      </c>
      <c r="B79" s="1163">
        <v>8.0</v>
      </c>
      <c r="C79" s="1163">
        <v>4.0</v>
      </c>
      <c r="D79" s="1164"/>
      <c r="E79" s="1166" t="s">
        <v>133</v>
      </c>
    </row>
    <row r="80">
      <c r="A80" s="1162" t="s">
        <v>134</v>
      </c>
      <c r="B80" s="1163">
        <v>10.0</v>
      </c>
      <c r="C80" s="1163">
        <v>3.0</v>
      </c>
      <c r="D80" s="1164"/>
      <c r="E80" s="1166" t="s">
        <v>135</v>
      </c>
    </row>
    <row r="81">
      <c r="A81" s="1162" t="s">
        <v>136</v>
      </c>
      <c r="B81" s="1167">
        <v>300000.0</v>
      </c>
      <c r="C81" s="1163">
        <v>1.0</v>
      </c>
      <c r="D81" s="1163" t="s">
        <v>95</v>
      </c>
      <c r="E81" s="1166"/>
    </row>
    <row r="82">
      <c r="A82" s="1162" t="s">
        <v>137</v>
      </c>
      <c r="B82" s="1163">
        <v>8.0</v>
      </c>
      <c r="C82" s="1163">
        <v>10.0</v>
      </c>
      <c r="D82" s="1164"/>
      <c r="E82" s="1166" t="s">
        <v>133</v>
      </c>
    </row>
    <row r="83">
      <c r="A83" s="1162" t="s">
        <v>138</v>
      </c>
      <c r="B83" s="1163">
        <v>6.0</v>
      </c>
      <c r="C83" s="1163">
        <v>1.0</v>
      </c>
      <c r="D83" s="1164"/>
      <c r="E83" s="1166" t="s">
        <v>139</v>
      </c>
    </row>
    <row r="84">
      <c r="A84" s="1162" t="s">
        <v>140</v>
      </c>
      <c r="B84" s="1163">
        <v>1.0</v>
      </c>
      <c r="C84" s="1163">
        <v>1.0</v>
      </c>
      <c r="D84" s="1164"/>
      <c r="E84" s="1166" t="s">
        <v>141</v>
      </c>
    </row>
    <row r="85">
      <c r="A85" s="1162" t="s">
        <v>142</v>
      </c>
      <c r="B85" s="1163">
        <v>1.0</v>
      </c>
      <c r="C85" s="1163">
        <v>1.0</v>
      </c>
      <c r="D85" s="1164"/>
      <c r="E85" s="1166" t="s">
        <v>143</v>
      </c>
    </row>
    <row r="86">
      <c r="A86" s="1162" t="s">
        <v>144</v>
      </c>
      <c r="B86" s="1163">
        <v>60.0</v>
      </c>
      <c r="C86" s="1163">
        <v>9.0</v>
      </c>
      <c r="D86" s="1164"/>
      <c r="E86" s="1165"/>
    </row>
    <row r="87">
      <c r="A87" s="1162" t="s">
        <v>145</v>
      </c>
      <c r="B87" s="1163">
        <v>30.0</v>
      </c>
      <c r="C87" s="1163">
        <v>0.0</v>
      </c>
      <c r="D87" s="1164"/>
      <c r="E87" s="1165"/>
    </row>
    <row r="88">
      <c r="A88" s="1162" t="s">
        <v>146</v>
      </c>
      <c r="B88" s="1163">
        <v>30.0</v>
      </c>
      <c r="C88" s="1163">
        <v>0.5</v>
      </c>
      <c r="D88" s="1164"/>
      <c r="E88" s="1165"/>
    </row>
    <row r="89">
      <c r="A89" s="1162" t="s">
        <v>147</v>
      </c>
      <c r="B89" s="1163">
        <v>90.0</v>
      </c>
      <c r="C89" s="1163">
        <v>1.0</v>
      </c>
      <c r="D89" s="1164"/>
      <c r="E89" s="1165"/>
    </row>
    <row r="90">
      <c r="A90" s="1162" t="s">
        <v>148</v>
      </c>
      <c r="B90" s="1163">
        <v>60.0</v>
      </c>
      <c r="C90" s="1163">
        <v>8.0</v>
      </c>
      <c r="D90" s="1164"/>
      <c r="E90" s="1165"/>
    </row>
    <row r="91">
      <c r="A91" s="1162" t="s">
        <v>149</v>
      </c>
      <c r="B91" s="1163">
        <v>30.0</v>
      </c>
      <c r="C91" s="1163">
        <v>8.0</v>
      </c>
      <c r="D91" s="1164"/>
      <c r="E91" s="1165"/>
    </row>
    <row r="92">
      <c r="A92" s="1162" t="s">
        <v>150</v>
      </c>
      <c r="B92" s="1163">
        <v>15.0</v>
      </c>
      <c r="C92" s="1163">
        <v>3.0</v>
      </c>
      <c r="D92" s="1164"/>
      <c r="E92" s="1165"/>
    </row>
    <row r="93">
      <c r="A93" s="1162" t="s">
        <v>151</v>
      </c>
      <c r="B93" s="1163">
        <v>1.0</v>
      </c>
      <c r="C93" s="1163">
        <v>1.0</v>
      </c>
      <c r="D93" s="1164"/>
      <c r="E93" s="1166" t="s">
        <v>127</v>
      </c>
    </row>
    <row r="94">
      <c r="A94" s="1162" t="s">
        <v>152</v>
      </c>
      <c r="B94" s="1163">
        <v>0.25</v>
      </c>
      <c r="C94" s="1163">
        <v>0.0</v>
      </c>
      <c r="D94" s="1164"/>
      <c r="E94" s="1166" t="s">
        <v>153</v>
      </c>
    </row>
    <row r="95">
      <c r="A95" s="1162" t="s">
        <v>154</v>
      </c>
      <c r="B95" s="1163">
        <v>4.0</v>
      </c>
      <c r="C95" s="1163">
        <v>1.0</v>
      </c>
      <c r="D95" s="1164"/>
      <c r="E95" s="1166" t="s">
        <v>155</v>
      </c>
    </row>
    <row r="96">
      <c r="A96" s="1151" t="s">
        <v>156</v>
      </c>
      <c r="B96" s="1154"/>
      <c r="C96" s="1154"/>
      <c r="D96" s="1154"/>
      <c r="E96" s="1152"/>
    </row>
    <row r="98">
      <c r="A98" s="1143" t="s">
        <v>157</v>
      </c>
      <c r="B98" s="1168" t="s">
        <v>158</v>
      </c>
      <c r="C98" s="1168" t="s">
        <v>159</v>
      </c>
      <c r="D98" s="1168" t="s">
        <v>160</v>
      </c>
      <c r="E98" s="1168" t="s">
        <v>161</v>
      </c>
      <c r="F98" s="1168" t="s">
        <v>162</v>
      </c>
      <c r="G98" s="1168" t="s">
        <v>163</v>
      </c>
      <c r="H98" s="1168" t="s">
        <v>164</v>
      </c>
      <c r="I98" s="1169" t="s">
        <v>165</v>
      </c>
    </row>
    <row r="99">
      <c r="A99" s="1170" t="str">
        <f>IFERROR(__xludf.DUMMYFUNCTION("arrayformula(query({'Character Info'!L6:L15;Reference!A3:A29}, ""where Col1 &lt;&gt;'' ""))"),"Test")</f>
        <v>Test</v>
      </c>
      <c r="B99" s="1171" t="str">
        <f>IFERROR(__xludf.DUMMYFUNCTION("arrayformula(query({'Character Info'!S6:S15;Reference!A3:A29}, ""where Col1 &lt;&gt;'' ""))"),"#N/A")</f>
        <v>#N/A</v>
      </c>
      <c r="C99" s="1171" t="str">
        <f>IFERROR(__xludf.DUMMYFUNCTION("arrayformula(query({'Character Info'!Z6:Z15;Reference!A3:A29}, ""where Col1 &lt;&gt;'' ""))"),"#N/A")</f>
        <v>#N/A</v>
      </c>
      <c r="D99" s="1171" t="str">
        <f>IFERROR(__xludf.DUMMYFUNCTION("arrayformula(query({'Character Info'!L19:L28;Reference!A3:A29}, ""where Col1 &lt;&gt;'' ""))"),"#N/A")</f>
        <v>#N/A</v>
      </c>
      <c r="E99" s="1171" t="str">
        <f>IFERROR(__xludf.DUMMYFUNCTION("arrayformula(query({'Character Info'!S19:S28;Reference!A3:A29}, ""where Col1 &lt;&gt;'' ""))"),"#N/A")</f>
        <v>#N/A</v>
      </c>
      <c r="F99" s="1171" t="str">
        <f>IFERROR(__xludf.DUMMYFUNCTION("arrayformula(query({'Character Info'!Z19:Z28;Reference!A3:A29}, ""where Col1 &lt;&gt;'' ""))"),"#N/A")</f>
        <v>#N/A</v>
      </c>
      <c r="G99" s="1171" t="str">
        <f>IFERROR(__xludf.DUMMYFUNCTION("arrayformula(query({'Character Info'!L32:L41;Reference!A3:A29}, ""where Col1 &lt;&gt;'' ""))"),"#N/A")</f>
        <v>#N/A</v>
      </c>
      <c r="H99" s="1171" t="str">
        <f>IFERROR(__xludf.DUMMYFUNCTION("arrayformula(query({'Character Info'!S32:S41;Reference!A3:A29}, ""where Col1 &lt;&gt;'' ""))"),"#N/A")</f>
        <v>#N/A</v>
      </c>
      <c r="I99" s="1172" t="str">
        <f>IFERROR(__xludf.DUMMYFUNCTION("arrayformula(query({'Character Info'!Z32:Z41;Reference!A3:A29}, ""where Col1 &lt;&gt;'' ""))"),"#N/A")</f>
        <v>#N/A</v>
      </c>
    </row>
    <row r="100">
      <c r="A100" s="17" t="s">
        <v>47</v>
      </c>
      <c r="I100" s="1150"/>
    </row>
    <row r="101">
      <c r="A101" s="17" t="s">
        <v>49</v>
      </c>
      <c r="I101" s="1150"/>
    </row>
    <row r="102">
      <c r="A102" s="17"/>
      <c r="I102" s="1150"/>
    </row>
    <row r="103">
      <c r="A103" s="17"/>
      <c r="I103" s="1150"/>
    </row>
    <row r="104">
      <c r="A104" s="17"/>
      <c r="I104" s="1150"/>
    </row>
    <row r="105">
      <c r="A105" s="17"/>
      <c r="I105" s="1150"/>
    </row>
    <row r="106">
      <c r="A106" s="17"/>
      <c r="I106" s="1150"/>
    </row>
    <row r="107">
      <c r="A107" s="17"/>
      <c r="I107" s="1150"/>
    </row>
    <row r="108">
      <c r="A108" s="17"/>
      <c r="I108" s="1150"/>
    </row>
    <row r="109">
      <c r="A109" s="17"/>
      <c r="I109" s="1150"/>
    </row>
    <row r="110">
      <c r="A110" s="17"/>
      <c r="I110" s="1150"/>
    </row>
    <row r="111">
      <c r="A111" s="17"/>
      <c r="I111" s="1150"/>
    </row>
    <row r="112">
      <c r="A112" s="17"/>
      <c r="I112" s="1150"/>
    </row>
    <row r="113">
      <c r="A113" s="17"/>
      <c r="I113" s="1150"/>
    </row>
    <row r="114">
      <c r="A114" s="17"/>
      <c r="I114" s="1150"/>
    </row>
    <row r="115">
      <c r="A115" s="17"/>
      <c r="I115" s="1150"/>
    </row>
    <row r="116">
      <c r="A116" s="17"/>
      <c r="I116" s="1150"/>
    </row>
    <row r="117">
      <c r="A117" s="17"/>
      <c r="I117" s="1150"/>
    </row>
    <row r="118">
      <c r="A118" s="17"/>
      <c r="I118" s="1150"/>
    </row>
    <row r="119">
      <c r="A119" s="17"/>
      <c r="I119" s="1150"/>
    </row>
    <row r="120">
      <c r="A120" s="17"/>
      <c r="I120" s="1150"/>
    </row>
    <row r="121">
      <c r="A121" s="17"/>
      <c r="I121" s="1150"/>
    </row>
    <row r="122">
      <c r="A122" s="17"/>
      <c r="I122" s="1150"/>
    </row>
    <row r="123">
      <c r="A123" s="17"/>
      <c r="I123" s="1150"/>
    </row>
    <row r="124">
      <c r="A124" s="17"/>
      <c r="I124" s="1150"/>
    </row>
    <row r="125">
      <c r="A125" s="17"/>
      <c r="I125" s="1150"/>
    </row>
    <row r="126">
      <c r="A126" s="17"/>
      <c r="I126" s="1150"/>
    </row>
    <row r="127">
      <c r="A127" s="17"/>
      <c r="I127" s="1150"/>
    </row>
    <row r="128">
      <c r="A128" s="17"/>
      <c r="I128" s="1150"/>
    </row>
    <row r="129">
      <c r="A129" s="17"/>
      <c r="I129" s="1150"/>
    </row>
    <row r="130">
      <c r="A130" s="17"/>
      <c r="I130" s="1150"/>
    </row>
    <row r="131">
      <c r="A131" s="17"/>
      <c r="I131" s="1150"/>
    </row>
    <row r="132">
      <c r="A132" s="17"/>
      <c r="I132" s="1150"/>
    </row>
    <row r="133">
      <c r="A133" s="17"/>
      <c r="I133" s="1150"/>
    </row>
    <row r="134">
      <c r="A134" s="17"/>
      <c r="I134" s="1150"/>
    </row>
    <row r="135">
      <c r="A135" s="17"/>
      <c r="I135" s="1150"/>
    </row>
    <row r="136">
      <c r="A136" s="17"/>
      <c r="I136" s="1150"/>
    </row>
    <row r="137">
      <c r="A137" s="17"/>
      <c r="I137" s="1150"/>
    </row>
    <row r="138">
      <c r="A138" s="17"/>
      <c r="I138" s="1150"/>
    </row>
    <row r="139">
      <c r="A139" s="17"/>
      <c r="I139" s="1150"/>
    </row>
    <row r="140">
      <c r="A140" s="17"/>
      <c r="I140" s="1150"/>
    </row>
    <row r="141">
      <c r="A141" s="17"/>
      <c r="I141" s="1150"/>
    </row>
    <row r="142">
      <c r="A142" s="17"/>
      <c r="I142" s="1150"/>
    </row>
    <row r="143">
      <c r="A143" s="17"/>
      <c r="I143" s="1150"/>
    </row>
    <row r="144">
      <c r="A144" s="1153"/>
      <c r="B144" s="1154"/>
      <c r="C144" s="1154"/>
      <c r="D144" s="1154"/>
      <c r="E144" s="1154"/>
      <c r="F144" s="1154"/>
      <c r="G144" s="1154"/>
      <c r="H144" s="1154"/>
      <c r="I144" s="1152"/>
    </row>
  </sheetData>
  <mergeCells count="1">
    <mergeCell ref="B1:D1"/>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1.57"/>
    <col customWidth="1" min="8" max="8" width="1.57"/>
  </cols>
  <sheetData>
    <row r="1" ht="7.5" customHeight="1">
      <c r="A1" s="181" t="s">
        <v>166</v>
      </c>
      <c r="B1" s="1173"/>
    </row>
    <row r="2">
      <c r="B2" s="1174" t="s">
        <v>166</v>
      </c>
    </row>
    <row r="4" ht="7.5" customHeight="1">
      <c r="B4" s="1175"/>
      <c r="C4" s="1175"/>
      <c r="D4" s="1175"/>
      <c r="E4" s="1175"/>
      <c r="F4" s="1175"/>
      <c r="G4" s="1175"/>
    </row>
    <row r="5">
      <c r="A5" s="1173"/>
      <c r="B5" s="1176" t="s">
        <v>167</v>
      </c>
      <c r="C5" s="1177" t="s">
        <v>168</v>
      </c>
      <c r="D5" s="10"/>
      <c r="E5" s="10"/>
      <c r="F5" s="10"/>
      <c r="G5" s="1147"/>
    </row>
    <row r="6">
      <c r="B6" s="1178">
        <v>42839.0</v>
      </c>
      <c r="C6" s="1179" t="s">
        <v>169</v>
      </c>
      <c r="G6" s="1150"/>
    </row>
    <row r="7">
      <c r="B7" s="1180"/>
      <c r="C7" s="1179" t="s">
        <v>170</v>
      </c>
      <c r="G7" s="1150"/>
    </row>
    <row r="8">
      <c r="B8" s="1180"/>
      <c r="C8" s="1179" t="s">
        <v>171</v>
      </c>
      <c r="G8" s="1150"/>
    </row>
    <row r="9">
      <c r="B9" s="1180"/>
      <c r="C9" s="1179" t="s">
        <v>172</v>
      </c>
      <c r="G9" s="1150"/>
    </row>
    <row r="10">
      <c r="B10" s="1180"/>
      <c r="C10" s="1179" t="s">
        <v>173</v>
      </c>
      <c r="G10" s="1150"/>
    </row>
    <row r="11">
      <c r="B11" s="1180"/>
      <c r="C11" s="1179" t="s">
        <v>174</v>
      </c>
      <c r="G11" s="1150"/>
    </row>
    <row r="12">
      <c r="B12" s="1180"/>
      <c r="C12" s="1179" t="s">
        <v>175</v>
      </c>
      <c r="G12" s="1150"/>
    </row>
    <row r="13">
      <c r="B13" s="1180"/>
      <c r="C13" s="1179" t="s">
        <v>176</v>
      </c>
      <c r="G13" s="1150"/>
    </row>
    <row r="14">
      <c r="B14" s="1180"/>
      <c r="C14" s="1179" t="s">
        <v>177</v>
      </c>
      <c r="G14" s="1150"/>
    </row>
    <row r="15">
      <c r="B15" s="1181"/>
      <c r="C15" s="1179" t="s">
        <v>178</v>
      </c>
      <c r="G15" s="1150"/>
    </row>
    <row r="16">
      <c r="B16" s="1181"/>
      <c r="C16" s="1179" t="s">
        <v>179</v>
      </c>
      <c r="G16" s="1150"/>
    </row>
    <row r="17">
      <c r="B17" s="1181"/>
      <c r="C17" s="1179" t="s">
        <v>180</v>
      </c>
      <c r="G17" s="1150"/>
    </row>
    <row r="18">
      <c r="B18" s="1180"/>
      <c r="C18" s="1179" t="s">
        <v>181</v>
      </c>
      <c r="G18" s="1150"/>
    </row>
    <row r="19">
      <c r="B19" s="1180"/>
      <c r="C19" s="1179" t="s">
        <v>182</v>
      </c>
      <c r="G19" s="1150"/>
    </row>
    <row r="20">
      <c r="B20" s="1180"/>
      <c r="C20" s="1179" t="s">
        <v>183</v>
      </c>
      <c r="G20" s="1150"/>
    </row>
    <row r="21">
      <c r="B21" s="1180"/>
      <c r="C21" s="1179" t="s">
        <v>184</v>
      </c>
      <c r="G21" s="1150"/>
    </row>
    <row r="22">
      <c r="B22" s="1178">
        <v>42840.0</v>
      </c>
      <c r="C22" s="1182" t="s">
        <v>185</v>
      </c>
      <c r="G22" s="1150"/>
    </row>
    <row r="23">
      <c r="B23" s="1180"/>
      <c r="C23" s="1183" t="s">
        <v>186</v>
      </c>
      <c r="G23" s="1150"/>
    </row>
    <row r="24">
      <c r="B24" s="1180"/>
      <c r="C24" s="1179" t="s">
        <v>187</v>
      </c>
      <c r="G24" s="1150"/>
    </row>
    <row r="25">
      <c r="B25" s="1180"/>
      <c r="C25" s="1184" t="s">
        <v>188</v>
      </c>
      <c r="G25" s="1150"/>
    </row>
    <row r="26">
      <c r="B26" s="1180"/>
      <c r="C26" s="1179" t="s">
        <v>189</v>
      </c>
    </row>
    <row r="27">
      <c r="B27" s="1180"/>
      <c r="C27" s="1179" t="s">
        <v>190</v>
      </c>
    </row>
    <row r="28">
      <c r="B28" s="1180"/>
      <c r="C28" s="1179" t="s">
        <v>191</v>
      </c>
    </row>
    <row r="29">
      <c r="B29" s="1180"/>
      <c r="C29" s="1179" t="s">
        <v>192</v>
      </c>
      <c r="G29" s="1150"/>
    </row>
    <row r="30">
      <c r="B30" s="1180"/>
    </row>
    <row r="31">
      <c r="B31" s="1180"/>
      <c r="C31" s="1185"/>
      <c r="G31" s="1150"/>
    </row>
    <row r="32">
      <c r="B32" s="1180"/>
      <c r="C32" s="1185"/>
      <c r="G32" s="1150"/>
    </row>
    <row r="33">
      <c r="B33" s="1180"/>
      <c r="C33" s="1185"/>
      <c r="G33" s="1150"/>
    </row>
    <row r="34">
      <c r="B34" s="1180"/>
      <c r="C34" s="1185"/>
      <c r="G34" s="1150"/>
    </row>
    <row r="35">
      <c r="B35" s="1180"/>
      <c r="C35" s="1185"/>
      <c r="G35" s="1150"/>
    </row>
    <row r="36">
      <c r="B36" s="1180"/>
      <c r="C36" s="1185"/>
      <c r="G36" s="1150"/>
    </row>
    <row r="37">
      <c r="B37" s="1180"/>
      <c r="C37" s="1185"/>
      <c r="G37" s="1150"/>
    </row>
    <row r="38">
      <c r="B38" s="1180"/>
      <c r="C38" s="1185"/>
      <c r="G38" s="1150"/>
    </row>
    <row r="39">
      <c r="B39" s="1180"/>
      <c r="C39" s="1185"/>
      <c r="G39" s="1150"/>
    </row>
    <row r="40">
      <c r="B40" s="1180"/>
      <c r="C40" s="1185"/>
      <c r="G40" s="1150"/>
    </row>
    <row r="41">
      <c r="B41" s="1180"/>
      <c r="C41" s="1185"/>
      <c r="G41" s="1150"/>
    </row>
    <row r="42">
      <c r="B42" s="1180"/>
      <c r="C42" s="1185"/>
      <c r="G42" s="1150"/>
    </row>
    <row r="43">
      <c r="B43" s="1180"/>
      <c r="C43" s="1185"/>
      <c r="G43" s="1150"/>
    </row>
    <row r="44">
      <c r="B44" s="1180"/>
      <c r="C44" s="1185"/>
      <c r="G44" s="1150"/>
    </row>
    <row r="45">
      <c r="B45" s="1180"/>
      <c r="C45" s="1185"/>
      <c r="G45" s="1150"/>
    </row>
    <row r="46">
      <c r="B46" s="1180"/>
      <c r="C46" s="1185"/>
      <c r="G46" s="1150"/>
    </row>
    <row r="47">
      <c r="B47" s="1180"/>
      <c r="C47" s="1185"/>
      <c r="G47" s="1150"/>
    </row>
    <row r="48">
      <c r="B48" s="1180"/>
      <c r="C48" s="1185"/>
      <c r="G48" s="1150"/>
    </row>
    <row r="49">
      <c r="B49" s="1180"/>
      <c r="C49" s="1185"/>
      <c r="G49" s="1150"/>
    </row>
    <row r="50">
      <c r="B50" s="1180"/>
      <c r="C50" s="1185"/>
      <c r="G50" s="1150"/>
    </row>
    <row r="51">
      <c r="B51" s="1180"/>
      <c r="C51" s="1185"/>
      <c r="G51" s="1150"/>
    </row>
    <row r="52">
      <c r="B52" s="1180"/>
      <c r="C52" s="1185"/>
      <c r="G52" s="1150"/>
    </row>
    <row r="53">
      <c r="B53" s="1180"/>
      <c r="C53" s="1185"/>
      <c r="G53" s="1150"/>
    </row>
    <row r="54">
      <c r="B54" s="1180"/>
      <c r="C54" s="1185"/>
      <c r="G54" s="1150"/>
    </row>
    <row r="55">
      <c r="B55" s="1180"/>
      <c r="C55" s="1185"/>
      <c r="G55" s="1150"/>
    </row>
    <row r="56">
      <c r="B56" s="1180"/>
      <c r="C56" s="1185"/>
      <c r="G56" s="1150"/>
    </row>
    <row r="57">
      <c r="B57" s="1180"/>
      <c r="C57" s="1185"/>
      <c r="G57" s="1150"/>
    </row>
    <row r="58">
      <c r="B58" s="1180"/>
      <c r="C58" s="1185"/>
      <c r="G58" s="1150"/>
    </row>
    <row r="59">
      <c r="B59" s="1180"/>
      <c r="C59" s="1185"/>
      <c r="G59" s="1150"/>
    </row>
    <row r="60">
      <c r="B60" s="1180"/>
      <c r="C60" s="1185"/>
      <c r="G60" s="1150"/>
    </row>
    <row r="61">
      <c r="B61" s="1180"/>
      <c r="C61" s="1185"/>
      <c r="G61" s="1150"/>
    </row>
    <row r="62">
      <c r="B62" s="1180"/>
      <c r="C62" s="1185"/>
      <c r="G62" s="1150"/>
    </row>
    <row r="63">
      <c r="B63" s="1180"/>
      <c r="C63" s="1185"/>
      <c r="G63" s="1150"/>
    </row>
    <row r="64">
      <c r="B64" s="1180"/>
      <c r="C64" s="1185"/>
      <c r="G64" s="1150"/>
    </row>
    <row r="65">
      <c r="B65" s="1180"/>
      <c r="C65" s="1185"/>
      <c r="G65" s="1150"/>
    </row>
    <row r="66">
      <c r="B66" s="1180"/>
      <c r="C66" s="1185"/>
      <c r="G66" s="1150"/>
    </row>
    <row r="67">
      <c r="B67" s="1180"/>
      <c r="C67" s="1185"/>
      <c r="G67" s="1150"/>
    </row>
    <row r="68">
      <c r="B68" s="1180"/>
      <c r="C68" s="1185"/>
      <c r="G68" s="1150"/>
    </row>
    <row r="69">
      <c r="B69" s="1180"/>
      <c r="C69" s="1185"/>
      <c r="G69" s="1150"/>
    </row>
    <row r="70">
      <c r="B70" s="1180"/>
      <c r="C70" s="1185"/>
      <c r="G70" s="1150"/>
    </row>
    <row r="71">
      <c r="B71" s="1180"/>
      <c r="C71" s="1185"/>
      <c r="G71" s="1150"/>
    </row>
    <row r="72">
      <c r="B72" s="1180"/>
      <c r="C72" s="1185"/>
      <c r="G72" s="1150"/>
    </row>
    <row r="73">
      <c r="B73" s="1180"/>
      <c r="C73" s="1185"/>
      <c r="G73" s="1150"/>
    </row>
    <row r="74">
      <c r="B74" s="1180"/>
      <c r="C74" s="1185"/>
      <c r="G74" s="1150"/>
    </row>
    <row r="75">
      <c r="B75" s="1180"/>
      <c r="C75" s="1185"/>
      <c r="G75" s="1150"/>
    </row>
    <row r="76">
      <c r="B76" s="1180"/>
      <c r="C76" s="1185"/>
      <c r="G76" s="1150"/>
    </row>
    <row r="77">
      <c r="B77" s="1180"/>
      <c r="C77" s="1185"/>
      <c r="G77" s="1150"/>
    </row>
    <row r="78">
      <c r="B78" s="1180"/>
      <c r="C78" s="1185"/>
      <c r="G78" s="1150"/>
    </row>
    <row r="79">
      <c r="B79" s="1180"/>
      <c r="C79" s="1185"/>
      <c r="G79" s="1150"/>
    </row>
    <row r="80">
      <c r="B80" s="1180"/>
      <c r="C80" s="1185"/>
      <c r="G80" s="1150"/>
    </row>
    <row r="81">
      <c r="B81" s="1180"/>
      <c r="C81" s="1185"/>
      <c r="G81" s="1150"/>
    </row>
    <row r="82">
      <c r="B82" s="1180"/>
      <c r="C82" s="1185"/>
      <c r="G82" s="1150"/>
    </row>
    <row r="83">
      <c r="B83" s="1180"/>
      <c r="C83" s="1185"/>
      <c r="G83" s="1150"/>
    </row>
    <row r="84">
      <c r="B84" s="1180"/>
      <c r="C84" s="1185"/>
      <c r="G84" s="1150"/>
    </row>
    <row r="85">
      <c r="B85" s="1180"/>
      <c r="C85" s="1185"/>
      <c r="G85" s="1150"/>
    </row>
    <row r="86">
      <c r="B86" s="1180"/>
      <c r="C86" s="1185"/>
      <c r="G86" s="1150"/>
    </row>
    <row r="87">
      <c r="B87" s="1180"/>
      <c r="C87" s="1185"/>
      <c r="G87" s="1150"/>
    </row>
    <row r="88">
      <c r="B88" s="1180"/>
      <c r="C88" s="1185"/>
      <c r="G88" s="1150"/>
    </row>
    <row r="89">
      <c r="B89" s="1180"/>
      <c r="C89" s="1185"/>
      <c r="G89" s="1150"/>
    </row>
    <row r="90">
      <c r="B90" s="1180"/>
      <c r="C90" s="1185"/>
      <c r="G90" s="1150"/>
    </row>
    <row r="91">
      <c r="B91" s="1180"/>
      <c r="C91" s="1185"/>
      <c r="G91" s="1150"/>
    </row>
    <row r="92">
      <c r="B92" s="1180"/>
      <c r="C92" s="1185"/>
      <c r="G92" s="1150"/>
    </row>
    <row r="93">
      <c r="B93" s="1180"/>
      <c r="C93" s="1185"/>
      <c r="G93" s="1150"/>
    </row>
    <row r="94">
      <c r="B94" s="1180"/>
      <c r="C94" s="1185"/>
      <c r="G94" s="1150"/>
    </row>
    <row r="95">
      <c r="B95" s="1180"/>
      <c r="C95" s="1185"/>
      <c r="G95" s="1150"/>
    </row>
    <row r="96">
      <c r="B96" s="1180"/>
      <c r="C96" s="1185"/>
      <c r="G96" s="1150"/>
    </row>
    <row r="97">
      <c r="B97" s="1180"/>
      <c r="C97" s="1185"/>
      <c r="G97" s="1150"/>
    </row>
    <row r="98">
      <c r="B98" s="1180"/>
      <c r="C98" s="1185"/>
      <c r="G98" s="1150"/>
    </row>
    <row r="99">
      <c r="B99" s="1180"/>
      <c r="C99" s="1185"/>
      <c r="G99" s="1150"/>
    </row>
    <row r="100">
      <c r="B100" s="1180"/>
      <c r="C100" s="1185"/>
      <c r="G100" s="1150"/>
    </row>
    <row r="101">
      <c r="B101" s="1180"/>
      <c r="C101" s="1185"/>
      <c r="G101" s="1150"/>
    </row>
    <row r="102">
      <c r="B102" s="1180"/>
      <c r="C102" s="1185"/>
      <c r="G102" s="1150"/>
    </row>
    <row r="103">
      <c r="B103" s="1186"/>
      <c r="C103" s="1187"/>
      <c r="D103" s="1154"/>
      <c r="E103" s="1154"/>
      <c r="F103" s="1154"/>
      <c r="G103" s="1152"/>
    </row>
    <row r="104" ht="7.5" customHeight="1"/>
  </sheetData>
  <mergeCells count="99">
    <mergeCell ref="C45:G45"/>
    <mergeCell ref="C46:G46"/>
    <mergeCell ref="C47:G47"/>
    <mergeCell ref="C48:G48"/>
    <mergeCell ref="C50:G50"/>
    <mergeCell ref="C51:G51"/>
    <mergeCell ref="C53:G53"/>
    <mergeCell ref="C52:G52"/>
    <mergeCell ref="C55:G55"/>
    <mergeCell ref="C57:G57"/>
    <mergeCell ref="C56:G56"/>
    <mergeCell ref="C49:G49"/>
    <mergeCell ref="C54:G54"/>
    <mergeCell ref="C78:G78"/>
    <mergeCell ref="C76:G76"/>
    <mergeCell ref="C77:G77"/>
    <mergeCell ref="C82:G82"/>
    <mergeCell ref="C71:G71"/>
    <mergeCell ref="C72:G72"/>
    <mergeCell ref="C81:G81"/>
    <mergeCell ref="C79:G79"/>
    <mergeCell ref="C80:G80"/>
    <mergeCell ref="C73:G73"/>
    <mergeCell ref="C83:G83"/>
    <mergeCell ref="C84:G84"/>
    <mergeCell ref="C85:G85"/>
    <mergeCell ref="C88:G88"/>
    <mergeCell ref="C89:G89"/>
    <mergeCell ref="C87:G87"/>
    <mergeCell ref="C86:G86"/>
    <mergeCell ref="C94:G94"/>
    <mergeCell ref="C95:G95"/>
    <mergeCell ref="C92:G92"/>
    <mergeCell ref="C93:G93"/>
    <mergeCell ref="C98:G98"/>
    <mergeCell ref="C97:G97"/>
    <mergeCell ref="C90:G90"/>
    <mergeCell ref="C99:G99"/>
    <mergeCell ref="C101:G101"/>
    <mergeCell ref="C100:G100"/>
    <mergeCell ref="C102:G102"/>
    <mergeCell ref="C103:G103"/>
    <mergeCell ref="C91:G91"/>
    <mergeCell ref="C96:G96"/>
    <mergeCell ref="C63:G63"/>
    <mergeCell ref="C64:G64"/>
    <mergeCell ref="C75:G75"/>
    <mergeCell ref="C74:G74"/>
    <mergeCell ref="C70:G70"/>
    <mergeCell ref="C69:G69"/>
    <mergeCell ref="C66:G66"/>
    <mergeCell ref="C67:G67"/>
    <mergeCell ref="C65:G65"/>
    <mergeCell ref="C68:G68"/>
    <mergeCell ref="C34:G34"/>
    <mergeCell ref="C36:G36"/>
    <mergeCell ref="C35:G35"/>
    <mergeCell ref="C25:G25"/>
    <mergeCell ref="C27:G27"/>
    <mergeCell ref="C26:G26"/>
    <mergeCell ref="C28:G28"/>
    <mergeCell ref="C29:G29"/>
    <mergeCell ref="C40:G40"/>
    <mergeCell ref="C33:G33"/>
    <mergeCell ref="C8:G8"/>
    <mergeCell ref="C9:G9"/>
    <mergeCell ref="C16:G16"/>
    <mergeCell ref="C15:G15"/>
    <mergeCell ref="C14:G14"/>
    <mergeCell ref="C6:G6"/>
    <mergeCell ref="C13:G13"/>
    <mergeCell ref="C12:G12"/>
    <mergeCell ref="C7:G7"/>
    <mergeCell ref="C21:G21"/>
    <mergeCell ref="C22:G22"/>
    <mergeCell ref="C23:G23"/>
    <mergeCell ref="C24:G24"/>
    <mergeCell ref="C18:G18"/>
    <mergeCell ref="C19:G19"/>
    <mergeCell ref="C17:G17"/>
    <mergeCell ref="C20:G20"/>
    <mergeCell ref="C5:G5"/>
    <mergeCell ref="B2:G3"/>
    <mergeCell ref="C37:G37"/>
    <mergeCell ref="C39:G39"/>
    <mergeCell ref="C38:G38"/>
    <mergeCell ref="C41:G41"/>
    <mergeCell ref="C42:G42"/>
    <mergeCell ref="C44:G44"/>
    <mergeCell ref="C43:G43"/>
    <mergeCell ref="C62:G62"/>
    <mergeCell ref="C61:G61"/>
    <mergeCell ref="C58:G58"/>
    <mergeCell ref="C60:G60"/>
    <mergeCell ref="C59:G59"/>
    <mergeCell ref="C31:G31"/>
    <mergeCell ref="C32:G32"/>
    <mergeCell ref="C11:G11"/>
    <mergeCell ref="C10:G10"/>
  </mergeCells>
  <drawing r:id="rId1"/>
</worksheet>
</file>