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G\Desktop\SOPORTE\"/>
    </mc:Choice>
  </mc:AlternateContent>
  <bookViews>
    <workbookView xWindow="0" yWindow="0" windowWidth="15330" windowHeight="7485" tabRatio="198"/>
  </bookViews>
  <sheets>
    <sheet name="Estimación" sheetId="2" r:id="rId1"/>
    <sheet name="DV-IDENTITY-0" sheetId="6" state="veryHidden" r:id="rId2"/>
  </sheets>
  <calcPr calcId="162913"/>
</workbook>
</file>

<file path=xl/calcChain.xml><?xml version="1.0" encoding="utf-8"?>
<calcChain xmlns="http://schemas.openxmlformats.org/spreadsheetml/2006/main">
  <c r="F19" i="2" l="1"/>
  <c r="F25" i="2"/>
  <c r="F28" i="2" l="1"/>
  <c r="F14" i="2"/>
  <c r="F8" i="2"/>
  <c r="A2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A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GC1" i="6"/>
  <c r="GD1" i="6"/>
  <c r="GE1" i="6"/>
  <c r="GF1" i="6"/>
  <c r="GG1" i="6"/>
  <c r="GH1" i="6"/>
  <c r="GI1" i="6"/>
  <c r="GJ1" i="6"/>
  <c r="GK1" i="6"/>
  <c r="GL1" i="6"/>
  <c r="GM1" i="6"/>
  <c r="GN1" i="6"/>
  <c r="GO1" i="6"/>
  <c r="GP1" i="6"/>
  <c r="GQ1" i="6"/>
  <c r="GR1" i="6"/>
  <c r="GS1" i="6"/>
  <c r="GT1" i="6"/>
  <c r="GU1" i="6"/>
  <c r="GV1" i="6"/>
  <c r="GW1" i="6"/>
  <c r="GX1" i="6"/>
  <c r="GY1" i="6"/>
  <c r="GZ1" i="6"/>
  <c r="HA1" i="6"/>
  <c r="HB1" i="6"/>
  <c r="HC1" i="6"/>
  <c r="HD1" i="6"/>
  <c r="HE1" i="6"/>
  <c r="HF1" i="6"/>
  <c r="HG1" i="6"/>
  <c r="HH1" i="6"/>
  <c r="HI1" i="6"/>
  <c r="HJ1" i="6"/>
  <c r="HK1" i="6"/>
  <c r="HL1" i="6"/>
  <c r="HM1" i="6"/>
  <c r="HN1" i="6"/>
  <c r="HO1" i="6"/>
  <c r="HP1" i="6"/>
  <c r="HQ1" i="6"/>
  <c r="HR1" i="6"/>
  <c r="HS1" i="6"/>
  <c r="HT1" i="6"/>
  <c r="HU1" i="6"/>
  <c r="HV1" i="6"/>
  <c r="HW1" i="6"/>
  <c r="HX1" i="6"/>
  <c r="HY1" i="6"/>
  <c r="HZ1" i="6"/>
  <c r="IA1" i="6"/>
  <c r="IB1" i="6"/>
  <c r="IC1" i="6"/>
  <c r="ID1" i="6"/>
  <c r="IE1" i="6"/>
  <c r="IF1" i="6"/>
  <c r="IG1" i="6"/>
  <c r="IH1" i="6"/>
  <c r="II1" i="6"/>
  <c r="IJ1" i="6"/>
  <c r="IK1" i="6"/>
  <c r="IL1" i="6"/>
  <c r="IM1" i="6"/>
  <c r="IN1" i="6"/>
  <c r="IO1" i="6"/>
  <c r="IP1" i="6"/>
  <c r="IQ1" i="6"/>
  <c r="IR1" i="6"/>
  <c r="IS1" i="6"/>
  <c r="IT1" i="6"/>
  <c r="IU1" i="6"/>
  <c r="IV1" i="6"/>
  <c r="F3" i="2"/>
  <c r="F30" i="2"/>
  <c r="F32" i="2" s="1"/>
  <c r="F33" i="2" l="1"/>
  <c r="F34" i="2" s="1"/>
</calcChain>
</file>

<file path=xl/comments1.xml><?xml version="1.0" encoding="utf-8"?>
<comments xmlns="http://schemas.openxmlformats.org/spreadsheetml/2006/main">
  <authors>
    <author>Francisco Aravena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Francisco Aravena:</t>
        </r>
        <r>
          <rPr>
            <sz val="9"/>
            <color indexed="81"/>
            <rFont val="Tahoma"/>
            <family val="2"/>
          </rPr>
          <t xml:space="preserve">
Código de la Propuesta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Francisco Aravena:</t>
        </r>
        <r>
          <rPr>
            <sz val="9"/>
            <color indexed="81"/>
            <rFont val="Tahoma"/>
            <family val="2"/>
          </rPr>
          <t xml:space="preserve">
Puede ser un número de requerimiento u Orden de Compra.</t>
        </r>
      </text>
    </comment>
  </commentList>
</comments>
</file>

<file path=xl/sharedStrings.xml><?xml version="1.0" encoding="utf-8"?>
<sst xmlns="http://schemas.openxmlformats.org/spreadsheetml/2006/main" count="42" uniqueCount="41">
  <si>
    <t>12 Oriente #1853, Talca</t>
  </si>
  <si>
    <t xml:space="preserve">Teléfono + 56 71 224367   </t>
  </si>
  <si>
    <t>Cotizado a:</t>
  </si>
  <si>
    <t>Cotización válida hasta:</t>
  </si>
  <si>
    <t>Preparada por:</t>
  </si>
  <si>
    <t>Horas</t>
  </si>
  <si>
    <t>Incluye las siguientes tareas:</t>
  </si>
  <si>
    <t>TOTAL</t>
  </si>
  <si>
    <t>Valor UF :</t>
  </si>
  <si>
    <t xml:space="preserve">Junior HH: </t>
  </si>
  <si>
    <t>UF</t>
  </si>
  <si>
    <t>Para cualquier consulta respecto a esta cotización, favor contactar a Francisco Aravena (francisco.aravena@tutelkan.com)</t>
  </si>
  <si>
    <t>Nota:  Valor no incluye IVA</t>
  </si>
  <si>
    <t>Diseñador</t>
  </si>
  <si>
    <t>Total</t>
  </si>
  <si>
    <t>[Empresa]</t>
  </si>
  <si>
    <t>[Nombre Solicitante]</t>
  </si>
  <si>
    <t>[Dirección Empresa]</t>
  </si>
  <si>
    <t>[Rut Cliente]</t>
  </si>
  <si>
    <t>TAAAAXXX</t>
  </si>
  <si>
    <t>[Cod Cliente]</t>
  </si>
  <si>
    <t>AAAAAF6/76w=</t>
  </si>
  <si>
    <t>Tiempo Estimado: [  ] días Hábiles (n recursos full-time + 1 coordinador)</t>
  </si>
  <si>
    <t>según si.</t>
  </si>
  <si>
    <t>Pablo Acevedo.</t>
  </si>
  <si>
    <t>Estimación</t>
  </si>
  <si>
    <t>Mejoras Ordenamiento Automatico</t>
  </si>
  <si>
    <t>En torre de destino</t>
  </si>
  <si>
    <t>En torre de origen</t>
  </si>
  <si>
    <t>Algoritmo para listar torres desordenadas</t>
  </si>
  <si>
    <t>Priorizar unidades planificadas prontas a salir</t>
  </si>
  <si>
    <t>Crear lista de torres por zona</t>
  </si>
  <si>
    <t>Ordenar unidades de la misma torre</t>
  </si>
  <si>
    <t>Buscar torres con menos unidades</t>
  </si>
  <si>
    <t>Buscar torres por zona</t>
  </si>
  <si>
    <t>Crear constante limite para torres "solo salida" y crear advertencia cuando se exceda el número máximo</t>
  </si>
  <si>
    <t>En la entrada de rollos, no usar torres perfectas sino cumplen con los criterios de la torre</t>
  </si>
  <si>
    <t>Pruebas</t>
  </si>
  <si>
    <t>Pruebas locales</t>
  </si>
  <si>
    <t>Pruebas en producción</t>
  </si>
  <si>
    <t>Mantener lista actualizada de torres perfectas (ordenadas)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</si>
</sst>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* #,##0.00\ _€_-;\-* #,##0.00\ _€_-;_-* &quot;-&quot;??\ _€_-;_-@_-"/>
    <numFmt numFmtId="166" formatCode="_(* #,##0.0_);_(* \(#,##0.0\);_(* &quot;-&quot;??_);_(@_)"/>
    <numFmt numFmtId="167" formatCode="@\ \ "/>
    <numFmt numFmtId="168" formatCode="_-* #,##0_-;\-* #,##0_-;_-* &quot;-&quot;??_-;_-@_-"/>
    <numFmt numFmtId="169" formatCode="_-* #,##0.0\ _€_-;\-* #,##0.0\ _€_-;_-* &quot;-&quot;?\ _€_-;_-@_-"/>
    <numFmt numFmtId="170" formatCode="_ * #,##0.0_ ;_ * \-#,##0.0_ ;_ * &quot;-&quot;?_ ;_ @_ "/>
  </numFmts>
  <fonts count="17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6"/>
      <color theme="1" tint="0.249977111117893"/>
      <name val="Neuropol"/>
      <family val="2"/>
    </font>
    <font>
      <i/>
      <sz val="9"/>
      <color theme="1" tint="0.499984740745262"/>
      <name val="Arial"/>
      <family val="2"/>
    </font>
    <font>
      <sz val="7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8"/>
      <color theme="0" tint="-0.34998626667073579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0" xfId="0" applyAlignment="1">
      <alignment horizontal="left" indent="1"/>
    </xf>
    <xf numFmtId="0" fontId="8" fillId="0" borderId="0" xfId="0" applyFont="1" applyAlignment="1">
      <alignment horizontal="left"/>
    </xf>
    <xf numFmtId="0" fontId="0" fillId="0" borderId="0" xfId="0" applyAlignment="1"/>
    <xf numFmtId="0" fontId="9" fillId="0" borderId="0" xfId="0" applyFont="1" applyAlignment="1">
      <alignment horizontal="left"/>
    </xf>
    <xf numFmtId="14" fontId="0" fillId="0" borderId="0" xfId="0" applyNumberFormat="1" applyAlignment="1">
      <alignment horizontal="left" indent="1" shrinkToFit="1"/>
    </xf>
    <xf numFmtId="0" fontId="2" fillId="0" borderId="0" xfId="0" applyFont="1"/>
    <xf numFmtId="0" fontId="1" fillId="0" borderId="0" xfId="0" applyFont="1"/>
    <xf numFmtId="14" fontId="4" fillId="0" borderId="0" xfId="0" applyNumberFormat="1" applyFont="1" applyAlignment="1">
      <alignment horizontal="left" shrinkToFit="1"/>
    </xf>
    <xf numFmtId="0" fontId="4" fillId="0" borderId="0" xfId="0" applyFont="1"/>
    <xf numFmtId="0" fontId="0" fillId="0" borderId="0" xfId="0" applyBorder="1"/>
    <xf numFmtId="166" fontId="5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" fontId="4" fillId="0" borderId="0" xfId="0" applyNumberFormat="1" applyFont="1" applyAlignment="1">
      <alignment horizontal="left"/>
    </xf>
    <xf numFmtId="0" fontId="5" fillId="0" borderId="0" xfId="0" applyFont="1"/>
    <xf numFmtId="164" fontId="0" fillId="0" borderId="0" xfId="0" applyNumberFormat="1"/>
    <xf numFmtId="168" fontId="6" fillId="4" borderId="4" xfId="0" applyNumberFormat="1" applyFont="1" applyFill="1" applyBorder="1" applyAlignment="1">
      <alignment horizontal="right" vertical="center"/>
    </xf>
    <xf numFmtId="166" fontId="7" fillId="4" borderId="4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right" vertical="center"/>
    </xf>
    <xf numFmtId="0" fontId="11" fillId="0" borderId="5" xfId="0" applyNumberFormat="1" applyFont="1" applyBorder="1" applyAlignment="1">
      <alignment horizontal="left" vertical="center" wrapText="1" indent="1"/>
    </xf>
    <xf numFmtId="0" fontId="11" fillId="0" borderId="6" xfId="0" applyNumberFormat="1" applyFont="1" applyBorder="1" applyAlignment="1">
      <alignment horizontal="left" vertical="center" wrapText="1" indent="1"/>
    </xf>
    <xf numFmtId="0" fontId="11" fillId="0" borderId="11" xfId="0" applyNumberFormat="1" applyFont="1" applyBorder="1" applyAlignment="1">
      <alignment horizontal="left" vertical="center" wrapText="1" indent="1"/>
    </xf>
    <xf numFmtId="165" fontId="4" fillId="0" borderId="0" xfId="0" applyNumberFormat="1" applyFont="1" applyAlignment="1">
      <alignment vertical="center"/>
    </xf>
    <xf numFmtId="169" fontId="6" fillId="2" borderId="4" xfId="0" applyNumberFormat="1" applyFont="1" applyFill="1" applyBorder="1" applyAlignment="1">
      <alignment horizontal="right" vertical="center" indent="1"/>
    </xf>
    <xf numFmtId="0" fontId="13" fillId="5" borderId="4" xfId="0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NumberFormat="1" applyFont="1" applyAlignment="1">
      <alignment horizontal="left" indent="1"/>
    </xf>
    <xf numFmtId="0" fontId="3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70" fontId="7" fillId="2" borderId="4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0" fillId="0" borderId="0" xfId="0"/>
    <xf numFmtId="166" fontId="0" fillId="0" borderId="0" xfId="0" applyNumberFormat="1"/>
    <xf numFmtId="0" fontId="16" fillId="0" borderId="0" xfId="0" applyFont="1" applyAlignment="1">
      <alignment horizontal="center" vertical="top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2" fillId="2" borderId="8" xfId="0" applyNumberFormat="1" applyFont="1" applyFill="1" applyBorder="1" applyAlignment="1">
      <alignment horizontal="left" vertical="center" wrapText="1"/>
    </xf>
    <xf numFmtId="0" fontId="2" fillId="2" borderId="9" xfId="0" applyNumberFormat="1" applyFont="1" applyFill="1" applyBorder="1" applyAlignment="1">
      <alignment horizontal="left" vertical="center" wrapText="1"/>
    </xf>
    <xf numFmtId="0" fontId="2" fillId="2" borderId="10" xfId="0" applyNumberFormat="1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left" vertical="top" wrapText="1" indent="1"/>
    </xf>
    <xf numFmtId="0" fontId="11" fillId="3" borderId="2" xfId="0" applyNumberFormat="1" applyFont="1" applyFill="1" applyBorder="1" applyAlignment="1">
      <alignment horizontal="left" vertical="top" wrapText="1" indent="1"/>
    </xf>
    <xf numFmtId="0" fontId="11" fillId="3" borderId="3" xfId="0" applyNumberFormat="1" applyFont="1" applyFill="1" applyBorder="1" applyAlignment="1">
      <alignment horizontal="left" vertical="top" wrapText="1" indent="1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12" fillId="6" borderId="1" xfId="0" applyNumberFormat="1" applyFont="1" applyFill="1" applyBorder="1" applyAlignment="1">
      <alignment horizontal="left" vertical="top" wrapText="1"/>
    </xf>
    <xf numFmtId="0" fontId="12" fillId="6" borderId="2" xfId="0" applyNumberFormat="1" applyFont="1" applyFill="1" applyBorder="1" applyAlignment="1">
      <alignment horizontal="left" vertical="top" wrapText="1"/>
    </xf>
    <xf numFmtId="0" fontId="12" fillId="6" borderId="3" xfId="0" applyNumberFormat="1" applyFont="1" applyFill="1" applyBorder="1" applyAlignment="1">
      <alignment horizontal="left" vertical="top" wrapText="1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3DEB3D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utelkan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3</xdr:col>
      <xdr:colOff>0</xdr:colOff>
      <xdr:row>2</xdr:row>
      <xdr:rowOff>104775</xdr:rowOff>
    </xdr:to>
    <xdr:pic>
      <xdr:nvPicPr>
        <xdr:cNvPr id="1029" name="Picture 229" descr="129122766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38100"/>
          <a:ext cx="22860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M38"/>
  <sheetViews>
    <sheetView showGridLines="0" tabSelected="1" zoomScale="130" zoomScaleNormal="130" workbookViewId="0">
      <selection activeCell="I23" sqref="I23"/>
    </sheetView>
  </sheetViews>
  <sheetFormatPr baseColWidth="10" defaultColWidth="11.5703125" defaultRowHeight="12.75"/>
  <cols>
    <col min="1" max="1" width="11.5703125" customWidth="1"/>
    <col min="4" max="4" width="16.42578125" customWidth="1"/>
    <col min="5" max="5" width="32.5703125" customWidth="1"/>
    <col min="6" max="6" width="14.5703125" customWidth="1"/>
    <col min="14" max="14" width="4.85546875" customWidth="1"/>
  </cols>
  <sheetData>
    <row r="1" spans="1:6" ht="42.75">
      <c r="B1" s="2"/>
      <c r="C1" s="3"/>
      <c r="D1" s="3"/>
      <c r="E1" s="35" t="s">
        <v>25</v>
      </c>
      <c r="F1" s="35"/>
    </row>
    <row r="2" spans="1:6">
      <c r="B2" s="4"/>
    </row>
    <row r="3" spans="1:6">
      <c r="F3" s="5">
        <f ca="1">TODAY()</f>
        <v>43924</v>
      </c>
    </row>
    <row r="4" spans="1:6">
      <c r="A4" s="6" t="s">
        <v>0</v>
      </c>
      <c r="F4" s="1" t="s">
        <v>19</v>
      </c>
    </row>
    <row r="5" spans="1:6">
      <c r="A5" t="s">
        <v>1</v>
      </c>
      <c r="F5" s="28" t="s">
        <v>20</v>
      </c>
    </row>
    <row r="6" spans="1:6">
      <c r="F6" s="28" t="s">
        <v>18</v>
      </c>
    </row>
    <row r="7" spans="1:6">
      <c r="A7" s="7" t="s">
        <v>2</v>
      </c>
    </row>
    <row r="8" spans="1:6">
      <c r="A8" t="s">
        <v>16</v>
      </c>
      <c r="E8" s="30" t="s">
        <v>3</v>
      </c>
      <c r="F8" s="8">
        <f ca="1">TODAY()</f>
        <v>43924</v>
      </c>
    </row>
    <row r="9" spans="1:6">
      <c r="A9" t="s">
        <v>15</v>
      </c>
      <c r="E9" s="29" t="s">
        <v>4</v>
      </c>
      <c r="F9" s="9" t="s">
        <v>24</v>
      </c>
    </row>
    <row r="10" spans="1:6">
      <c r="A10" s="27" t="s">
        <v>17</v>
      </c>
      <c r="B10" s="10"/>
      <c r="C10" s="10"/>
      <c r="D10" s="10"/>
      <c r="E10" s="10"/>
    </row>
    <row r="12" spans="1:6">
      <c r="A12" s="52" t="s">
        <v>26</v>
      </c>
      <c r="B12" s="53"/>
      <c r="C12" s="53"/>
      <c r="D12" s="53"/>
      <c r="E12" s="54"/>
      <c r="F12" s="25" t="s">
        <v>5</v>
      </c>
    </row>
    <row r="13" spans="1:6">
      <c r="A13" s="39" t="s">
        <v>6</v>
      </c>
      <c r="B13" s="40"/>
      <c r="C13" s="40"/>
      <c r="D13" s="40"/>
      <c r="E13" s="40"/>
      <c r="F13" s="41"/>
    </row>
    <row r="14" spans="1:6">
      <c r="A14" s="36" t="s">
        <v>28</v>
      </c>
      <c r="B14" s="37"/>
      <c r="C14" s="37"/>
      <c r="D14" s="37"/>
      <c r="E14" s="38"/>
      <c r="F14" s="26">
        <f>SUM(F15:F18)</f>
        <v>9</v>
      </c>
    </row>
    <row r="15" spans="1:6" s="33" customFormat="1" ht="12.75" customHeight="1">
      <c r="A15" s="42" t="s">
        <v>29</v>
      </c>
      <c r="B15" s="43"/>
      <c r="C15" s="43"/>
      <c r="D15" s="43"/>
      <c r="E15" s="44"/>
      <c r="F15" s="18">
        <v>4</v>
      </c>
    </row>
    <row r="16" spans="1:6" s="33" customFormat="1" ht="12.75" customHeight="1">
      <c r="A16" s="42" t="s">
        <v>30</v>
      </c>
      <c r="B16" s="43"/>
      <c r="C16" s="43"/>
      <c r="D16" s="43"/>
      <c r="E16" s="44"/>
      <c r="F16" s="18">
        <v>2</v>
      </c>
    </row>
    <row r="17" spans="1:13" s="33" customFormat="1" ht="12.75" customHeight="1">
      <c r="A17" s="42" t="s">
        <v>31</v>
      </c>
      <c r="B17" s="43"/>
      <c r="C17" s="43"/>
      <c r="D17" s="43"/>
      <c r="E17" s="44"/>
      <c r="F17" s="18">
        <v>2</v>
      </c>
    </row>
    <row r="18" spans="1:13" s="33" customFormat="1" ht="12.75" customHeight="1">
      <c r="A18" s="42" t="s">
        <v>32</v>
      </c>
      <c r="B18" s="43"/>
      <c r="C18" s="43"/>
      <c r="D18" s="43"/>
      <c r="E18" s="44"/>
      <c r="F18" s="18">
        <v>1</v>
      </c>
    </row>
    <row r="19" spans="1:13" s="33" customFormat="1" ht="12.75" customHeight="1">
      <c r="A19" s="36" t="s">
        <v>27</v>
      </c>
      <c r="B19" s="37"/>
      <c r="C19" s="37"/>
      <c r="D19" s="37"/>
      <c r="E19" s="38"/>
      <c r="F19" s="26">
        <f>SUM(F20:F24)</f>
        <v>11</v>
      </c>
      <c r="H19" s="34"/>
    </row>
    <row r="20" spans="1:13" s="33" customFormat="1" ht="12.75" customHeight="1">
      <c r="A20" s="42" t="s">
        <v>33</v>
      </c>
      <c r="B20" s="43"/>
      <c r="C20" s="43"/>
      <c r="D20" s="43"/>
      <c r="E20" s="44"/>
      <c r="F20" s="18">
        <v>2</v>
      </c>
    </row>
    <row r="21" spans="1:13" s="33" customFormat="1" ht="12.75" customHeight="1">
      <c r="A21" s="42" t="s">
        <v>34</v>
      </c>
      <c r="B21" s="43"/>
      <c r="C21" s="43"/>
      <c r="D21" s="43"/>
      <c r="E21" s="44"/>
      <c r="F21" s="18">
        <v>2</v>
      </c>
    </row>
    <row r="22" spans="1:13" s="33" customFormat="1" ht="12.75" customHeight="1">
      <c r="A22" s="42" t="s">
        <v>35</v>
      </c>
      <c r="B22" s="43"/>
      <c r="C22" s="43"/>
      <c r="D22" s="43"/>
      <c r="E22" s="44"/>
      <c r="F22" s="18">
        <v>3</v>
      </c>
    </row>
    <row r="23" spans="1:13" s="33" customFormat="1" ht="12.75" customHeight="1">
      <c r="A23" s="42" t="s">
        <v>36</v>
      </c>
      <c r="B23" s="43"/>
      <c r="C23" s="43"/>
      <c r="D23" s="43"/>
      <c r="E23" s="44"/>
      <c r="F23" s="18">
        <v>2</v>
      </c>
    </row>
    <row r="24" spans="1:13" s="33" customFormat="1" ht="12.75" customHeight="1">
      <c r="A24" s="42" t="s">
        <v>40</v>
      </c>
      <c r="B24" s="43"/>
      <c r="C24" s="43"/>
      <c r="D24" s="43"/>
      <c r="E24" s="44"/>
      <c r="F24" s="18">
        <v>2</v>
      </c>
    </row>
    <row r="25" spans="1:13" s="33" customFormat="1" ht="12.75" customHeight="1">
      <c r="A25" s="36" t="s">
        <v>37</v>
      </c>
      <c r="B25" s="37"/>
      <c r="C25" s="37"/>
      <c r="D25" s="37"/>
      <c r="E25" s="38"/>
      <c r="F25" s="26">
        <f>SUM(F26:F27)</f>
        <v>7</v>
      </c>
      <c r="H25" s="34"/>
    </row>
    <row r="26" spans="1:13" s="33" customFormat="1" ht="12.75" customHeight="1">
      <c r="A26" s="42" t="s">
        <v>38</v>
      </c>
      <c r="B26" s="43"/>
      <c r="C26" s="43"/>
      <c r="D26" s="43"/>
      <c r="E26" s="44"/>
      <c r="F26" s="18">
        <v>5</v>
      </c>
    </row>
    <row r="27" spans="1:13" s="33" customFormat="1" ht="12.75" customHeight="1">
      <c r="A27" s="42" t="s">
        <v>39</v>
      </c>
      <c r="B27" s="43"/>
      <c r="C27" s="43"/>
      <c r="D27" s="43"/>
      <c r="E27" s="44"/>
      <c r="F27" s="18">
        <v>2</v>
      </c>
    </row>
    <row r="28" spans="1:13">
      <c r="A28" s="47" t="s">
        <v>14</v>
      </c>
      <c r="B28" s="48"/>
      <c r="C28" s="48"/>
      <c r="D28" s="48"/>
      <c r="E28" s="49"/>
      <c r="F28" s="31">
        <f>F14+F19+F25</f>
        <v>27</v>
      </c>
      <c r="H28" s="32"/>
    </row>
    <row r="29" spans="1:13">
      <c r="A29" s="20"/>
      <c r="B29" s="21"/>
      <c r="C29" s="21"/>
      <c r="D29" s="21"/>
      <c r="E29" s="22"/>
      <c r="F29" s="11"/>
      <c r="G29" s="50"/>
      <c r="H29" s="51"/>
      <c r="I29" s="51"/>
      <c r="J29" s="51"/>
      <c r="K29" s="51"/>
      <c r="L29" s="51"/>
      <c r="M29" s="51"/>
    </row>
    <row r="30" spans="1:13" ht="15">
      <c r="A30" s="12" t="s">
        <v>22</v>
      </c>
      <c r="B30" s="13"/>
      <c r="C30" s="13"/>
      <c r="D30" s="13"/>
      <c r="E30" s="19" t="s">
        <v>7</v>
      </c>
      <c r="F30" s="24">
        <f>F28</f>
        <v>27</v>
      </c>
      <c r="G30" s="50"/>
      <c r="H30" s="51"/>
      <c r="I30" s="51"/>
      <c r="J30" s="51"/>
      <c r="K30" s="51"/>
      <c r="L30" s="51"/>
      <c r="M30" s="51"/>
    </row>
    <row r="31" spans="1:13">
      <c r="A31" s="12" t="s">
        <v>12</v>
      </c>
      <c r="D31" s="12"/>
      <c r="I31" s="32"/>
    </row>
    <row r="32" spans="1:13" ht="15" hidden="1">
      <c r="A32" s="12"/>
      <c r="F32" s="17">
        <f>F30*B33</f>
        <v>610938.72</v>
      </c>
    </row>
    <row r="33" spans="1:6" ht="15" hidden="1">
      <c r="A33" s="9" t="s">
        <v>8</v>
      </c>
      <c r="B33" s="14">
        <v>22627.360000000001</v>
      </c>
      <c r="C33" s="9" t="s">
        <v>23</v>
      </c>
      <c r="D33" s="15"/>
      <c r="F33" s="17">
        <f>ROUND(F32*0.19,0)</f>
        <v>116078</v>
      </c>
    </row>
    <row r="34" spans="1:6" ht="15" hidden="1">
      <c r="A34" s="9" t="s">
        <v>9</v>
      </c>
      <c r="B34" s="9">
        <v>0.6</v>
      </c>
      <c r="C34" t="s">
        <v>10</v>
      </c>
      <c r="D34" s="16"/>
      <c r="F34" s="17">
        <f>SUM(F32:F33)</f>
        <v>727016.72</v>
      </c>
    </row>
    <row r="35" spans="1:6" hidden="1">
      <c r="A35" s="12" t="s">
        <v>13</v>
      </c>
      <c r="B35" s="12">
        <v>0.4</v>
      </c>
      <c r="C35" t="s">
        <v>10</v>
      </c>
      <c r="D35" s="23"/>
      <c r="E35" s="12"/>
      <c r="F35" s="12"/>
    </row>
    <row r="36" spans="1:6">
      <c r="A36" s="46"/>
      <c r="B36" s="46"/>
      <c r="C36" s="46"/>
      <c r="D36" s="46"/>
      <c r="E36" s="46"/>
      <c r="F36" s="46"/>
    </row>
    <row r="37" spans="1:6" ht="12.75" customHeight="1">
      <c r="A37" s="45" t="s">
        <v>11</v>
      </c>
      <c r="B37" s="45"/>
      <c r="C37" s="45"/>
      <c r="D37" s="45"/>
      <c r="E37" s="45"/>
      <c r="F37" s="45"/>
    </row>
    <row r="38" spans="1:6">
      <c r="A38" s="6"/>
    </row>
  </sheetData>
  <sheetProtection selectLockedCells="1" selectUnlockedCells="1"/>
  <mergeCells count="21">
    <mergeCell ref="A37:F37"/>
    <mergeCell ref="A36:F36"/>
    <mergeCell ref="A28:E28"/>
    <mergeCell ref="G29:M30"/>
    <mergeCell ref="A12:E12"/>
    <mergeCell ref="A24:E24"/>
    <mergeCell ref="A21:E21"/>
    <mergeCell ref="A23:E23"/>
    <mergeCell ref="A22:E22"/>
    <mergeCell ref="A25:E25"/>
    <mergeCell ref="A26:E26"/>
    <mergeCell ref="A27:E27"/>
    <mergeCell ref="E1:F1"/>
    <mergeCell ref="A14:E14"/>
    <mergeCell ref="A13:F13"/>
    <mergeCell ref="A18:E18"/>
    <mergeCell ref="A20:E20"/>
    <mergeCell ref="A19:E19"/>
    <mergeCell ref="A15:E15"/>
    <mergeCell ref="A16:E16"/>
    <mergeCell ref="A17:E17"/>
  </mergeCells>
  <pageMargins left="0.7" right="0.7" top="0.75" bottom="0.75" header="0.3" footer="0.3"/>
  <pageSetup scale="50" orientation="portrait" horizontalDpi="300" verticalDpi="300" r:id="rId1"/>
  <headerFooter alignWithMargins="0"/>
  <customProperties>
    <customPr name="DVSECTIONID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V2"/>
  <sheetViews>
    <sheetView workbookViewId="0">
      <selection activeCell="FQ2" sqref="FQ2"/>
    </sheetView>
  </sheetViews>
  <sheetFormatPr baseColWidth="10" defaultRowHeight="12.75"/>
  <sheetData>
    <row r="1" spans="1:256">
      <c r="A1">
        <f>IF(Estimación!1:1,"AAAAAH39fgA=",0)</f>
        <v>0</v>
      </c>
      <c r="B1" t="e">
        <f>AND(Estimación!A1,"AAAAAH39fgE=")</f>
        <v>#VALUE!</v>
      </c>
      <c r="C1" t="e">
        <f>AND(Estimación!B1,"AAAAAH39fgI=")</f>
        <v>#VALUE!</v>
      </c>
      <c r="D1" t="e">
        <f>AND(Estimación!C1,"AAAAAH39fgM=")</f>
        <v>#VALUE!</v>
      </c>
      <c r="E1" t="e">
        <f>AND(Estimación!D1,"AAAAAH39fgQ=")</f>
        <v>#VALUE!</v>
      </c>
      <c r="F1" t="e">
        <f>AND(Estimación!E1,"AAAAAH39fgU=")</f>
        <v>#VALUE!</v>
      </c>
      <c r="G1" t="e">
        <f>AND(Estimación!#REF!,"AAAAAH39fgY=")</f>
        <v>#REF!</v>
      </c>
      <c r="H1" t="e">
        <f>AND(Estimación!F1,"AAAAAH39fgc=")</f>
        <v>#VALUE!</v>
      </c>
      <c r="I1" t="e">
        <f>AND(Estimación!G1,"AAAAAH39fgg=")</f>
        <v>#VALUE!</v>
      </c>
      <c r="J1" t="e">
        <f>AND(Estimación!H1,"AAAAAH39fgk=")</f>
        <v>#VALUE!</v>
      </c>
      <c r="K1" t="e">
        <f>AND(Estimación!I1,"AAAAAH39fgo=")</f>
        <v>#VALUE!</v>
      </c>
      <c r="L1">
        <f>IF(Estimación!2:2,"AAAAAH39fgs=",0)</f>
        <v>0</v>
      </c>
      <c r="M1" t="e">
        <f>AND(Estimación!A2,"AAAAAH39fgw=")</f>
        <v>#VALUE!</v>
      </c>
      <c r="N1" t="e">
        <f>AND(Estimación!B2,"AAAAAH39fg0=")</f>
        <v>#VALUE!</v>
      </c>
      <c r="O1" t="e">
        <f>AND(Estimación!C2,"AAAAAH39fg4=")</f>
        <v>#VALUE!</v>
      </c>
      <c r="P1" t="e">
        <f>AND(Estimación!D2,"AAAAAH39fg8=")</f>
        <v>#VALUE!</v>
      </c>
      <c r="Q1" t="e">
        <f>AND(Estimación!E2,"AAAAAH39fhA=")</f>
        <v>#VALUE!</v>
      </c>
      <c r="R1" t="e">
        <f>AND(Estimación!#REF!,"AAAAAH39fhE=")</f>
        <v>#REF!</v>
      </c>
      <c r="S1" t="e">
        <f>AND(Estimación!F2,"AAAAAH39fhI=")</f>
        <v>#VALUE!</v>
      </c>
      <c r="T1" t="e">
        <f>AND(Estimación!G2,"AAAAAH39fhM=")</f>
        <v>#VALUE!</v>
      </c>
      <c r="U1" t="e">
        <f>AND(Estimación!H2,"AAAAAH39fhQ=")</f>
        <v>#VALUE!</v>
      </c>
      <c r="V1" t="e">
        <f>AND(Estimación!I2,"AAAAAH39fhU=")</f>
        <v>#VALUE!</v>
      </c>
      <c r="W1">
        <f>IF(Estimación!3:3,"AAAAAH39fhY=",0)</f>
        <v>0</v>
      </c>
      <c r="X1" t="e">
        <f>AND(Estimación!A3,"AAAAAH39fhc=")</f>
        <v>#VALUE!</v>
      </c>
      <c r="Y1" t="e">
        <f>AND(Estimación!B3,"AAAAAH39fhg=")</f>
        <v>#VALUE!</v>
      </c>
      <c r="Z1" t="e">
        <f>AND(Estimación!C3,"AAAAAH39fhk=")</f>
        <v>#VALUE!</v>
      </c>
      <c r="AA1" t="e">
        <f>AND(Estimación!D3,"AAAAAH39fho=")</f>
        <v>#VALUE!</v>
      </c>
      <c r="AB1" t="e">
        <f>AND(Estimación!E3,"AAAAAH39fhs=")</f>
        <v>#VALUE!</v>
      </c>
      <c r="AC1" t="e">
        <f>AND(Estimación!#REF!,"AAAAAH39fhw=")</f>
        <v>#REF!</v>
      </c>
      <c r="AD1" t="e">
        <f>AND(Estimación!F3,"AAAAAH39fh0=")</f>
        <v>#VALUE!</v>
      </c>
      <c r="AE1" t="e">
        <f>AND(Estimación!G3,"AAAAAH39fh4=")</f>
        <v>#VALUE!</v>
      </c>
      <c r="AF1" t="e">
        <f>AND(Estimación!H3,"AAAAAH39fh8=")</f>
        <v>#VALUE!</v>
      </c>
      <c r="AG1" t="e">
        <f>AND(Estimación!I3,"AAAAAH39fiA=")</f>
        <v>#VALUE!</v>
      </c>
      <c r="AH1">
        <f>IF(Estimación!4:4,"AAAAAH39fiE=",0)</f>
        <v>0</v>
      </c>
      <c r="AI1" t="e">
        <f>AND(Estimación!A4,"AAAAAH39fiI=")</f>
        <v>#VALUE!</v>
      </c>
      <c r="AJ1" t="e">
        <f>AND(Estimación!B4,"AAAAAH39fiM=")</f>
        <v>#VALUE!</v>
      </c>
      <c r="AK1" t="e">
        <f>AND(Estimación!C4,"AAAAAH39fiQ=")</f>
        <v>#VALUE!</v>
      </c>
      <c r="AL1" t="e">
        <f>AND(Estimación!D4,"AAAAAH39fiU=")</f>
        <v>#VALUE!</v>
      </c>
      <c r="AM1" t="e">
        <f>AND(Estimación!E4,"AAAAAH39fiY=")</f>
        <v>#VALUE!</v>
      </c>
      <c r="AN1" t="e">
        <f>AND(Estimación!#REF!,"AAAAAH39fic=")</f>
        <v>#REF!</v>
      </c>
      <c r="AO1" t="e">
        <f>AND(Estimación!F4,"AAAAAH39fig=")</f>
        <v>#VALUE!</v>
      </c>
      <c r="AP1" t="e">
        <f>AND(Estimación!G4,"AAAAAH39fik=")</f>
        <v>#VALUE!</v>
      </c>
      <c r="AQ1" t="e">
        <f>AND(Estimación!H4,"AAAAAH39fio=")</f>
        <v>#VALUE!</v>
      </c>
      <c r="AR1" t="e">
        <f>AND(Estimación!I4,"AAAAAH39fis=")</f>
        <v>#VALUE!</v>
      </c>
      <c r="AS1">
        <f>IF(Estimación!5:5,"AAAAAH39fiw=",0)</f>
        <v>0</v>
      </c>
      <c r="AT1" t="e">
        <f>AND(Estimación!A5,"AAAAAH39fi0=")</f>
        <v>#VALUE!</v>
      </c>
      <c r="AU1" t="e">
        <f>AND(Estimación!B5,"AAAAAH39fi4=")</f>
        <v>#VALUE!</v>
      </c>
      <c r="AV1" t="e">
        <f>AND(Estimación!C5,"AAAAAH39fi8=")</f>
        <v>#VALUE!</v>
      </c>
      <c r="AW1" t="e">
        <f>AND(Estimación!D5,"AAAAAH39fjA=")</f>
        <v>#VALUE!</v>
      </c>
      <c r="AX1" t="e">
        <f>AND(Estimación!E5,"AAAAAH39fjE=")</f>
        <v>#VALUE!</v>
      </c>
      <c r="AY1" t="e">
        <f>AND(Estimación!#REF!,"AAAAAH39fjI=")</f>
        <v>#REF!</v>
      </c>
      <c r="AZ1" t="e">
        <f>AND(Estimación!F5,"AAAAAH39fjM=")</f>
        <v>#VALUE!</v>
      </c>
      <c r="BA1" t="e">
        <f>AND(Estimación!G5,"AAAAAH39fjQ=")</f>
        <v>#VALUE!</v>
      </c>
      <c r="BB1" t="e">
        <f>AND(Estimación!H5,"AAAAAH39fjU=")</f>
        <v>#VALUE!</v>
      </c>
      <c r="BC1" t="e">
        <f>AND(Estimación!I5,"AAAAAH39fjY=")</f>
        <v>#VALUE!</v>
      </c>
      <c r="BD1">
        <f>IF(Estimación!6:6,"AAAAAH39fjc=",0)</f>
        <v>0</v>
      </c>
      <c r="BE1" t="e">
        <f>AND(Estimación!A6,"AAAAAH39fjg=")</f>
        <v>#VALUE!</v>
      </c>
      <c r="BF1" t="e">
        <f>AND(Estimación!B6,"AAAAAH39fjk=")</f>
        <v>#VALUE!</v>
      </c>
      <c r="BG1" t="e">
        <f>AND(Estimación!C6,"AAAAAH39fjo=")</f>
        <v>#VALUE!</v>
      </c>
      <c r="BH1" t="e">
        <f>AND(Estimación!D6,"AAAAAH39fjs=")</f>
        <v>#VALUE!</v>
      </c>
      <c r="BI1" t="e">
        <f>AND(Estimación!E6,"AAAAAH39fjw=")</f>
        <v>#VALUE!</v>
      </c>
      <c r="BJ1" t="e">
        <f>AND(Estimación!#REF!,"AAAAAH39fj0=")</f>
        <v>#REF!</v>
      </c>
      <c r="BK1" t="e">
        <f>AND(Estimación!F6,"AAAAAH39fj4=")</f>
        <v>#VALUE!</v>
      </c>
      <c r="BL1" t="e">
        <f>AND(Estimación!G6,"AAAAAH39fj8=")</f>
        <v>#VALUE!</v>
      </c>
      <c r="BM1" t="e">
        <f>AND(Estimación!H6,"AAAAAH39fkA=")</f>
        <v>#VALUE!</v>
      </c>
      <c r="BN1" t="e">
        <f>AND(Estimación!I6,"AAAAAH39fkE=")</f>
        <v>#VALUE!</v>
      </c>
      <c r="BO1">
        <f>IF(Estimación!7:7,"AAAAAH39fkI=",0)</f>
        <v>0</v>
      </c>
      <c r="BP1" t="e">
        <f>AND(Estimación!A7,"AAAAAH39fkM=")</f>
        <v>#VALUE!</v>
      </c>
      <c r="BQ1" t="e">
        <f>AND(Estimación!B7,"AAAAAH39fkQ=")</f>
        <v>#VALUE!</v>
      </c>
      <c r="BR1" t="e">
        <f>AND(Estimación!C7,"AAAAAH39fkU=")</f>
        <v>#VALUE!</v>
      </c>
      <c r="BS1" t="e">
        <f>AND(Estimación!D7,"AAAAAH39fkY=")</f>
        <v>#VALUE!</v>
      </c>
      <c r="BT1" t="e">
        <f>AND(Estimación!E8,"AAAAAH39fkc=")</f>
        <v>#VALUE!</v>
      </c>
      <c r="BU1" t="e">
        <f>AND(Estimación!#REF!,"AAAAAH39fkg=")</f>
        <v>#REF!</v>
      </c>
      <c r="BV1" t="e">
        <f>AND(Estimación!F8,"AAAAAH39fkk=")</f>
        <v>#VALUE!</v>
      </c>
      <c r="BW1" t="e">
        <f>AND(Estimación!G7,"AAAAAH39fko=")</f>
        <v>#VALUE!</v>
      </c>
      <c r="BX1" t="e">
        <f>AND(Estimación!H7,"AAAAAH39fks=")</f>
        <v>#VALUE!</v>
      </c>
      <c r="BY1" t="e">
        <f>AND(Estimación!I7,"AAAAAH39fkw=")</f>
        <v>#VALUE!</v>
      </c>
      <c r="BZ1">
        <f>IF(Estimación!8:8,"AAAAAH39fk0=",0)</f>
        <v>0</v>
      </c>
      <c r="CA1" t="e">
        <f>AND(Estimación!A8,"AAAAAH39fk4=")</f>
        <v>#VALUE!</v>
      </c>
      <c r="CB1" t="e">
        <f>AND(Estimación!B8,"AAAAAH39fk8=")</f>
        <v>#VALUE!</v>
      </c>
      <c r="CC1" t="e">
        <f>AND(Estimación!C8,"AAAAAH39flA=")</f>
        <v>#VALUE!</v>
      </c>
      <c r="CD1" t="e">
        <f>AND(Estimación!D8,"AAAAAH39flE=")</f>
        <v>#VALUE!</v>
      </c>
      <c r="CE1" t="e">
        <f>AND(Estimación!E9,"AAAAAH39flI=")</f>
        <v>#VALUE!</v>
      </c>
      <c r="CF1" t="e">
        <f>AND(Estimación!#REF!,"AAAAAH39flM=")</f>
        <v>#REF!</v>
      </c>
      <c r="CG1" t="e">
        <f>AND(Estimación!F9,"AAAAAH39flQ=")</f>
        <v>#VALUE!</v>
      </c>
      <c r="CH1" t="e">
        <f>AND(Estimación!G8,"AAAAAH39flU=")</f>
        <v>#VALUE!</v>
      </c>
      <c r="CI1" t="e">
        <f>AND(Estimación!H8,"AAAAAH39flY=")</f>
        <v>#VALUE!</v>
      </c>
      <c r="CJ1" t="e">
        <f>AND(Estimación!I8,"AAAAAH39flc=")</f>
        <v>#VALUE!</v>
      </c>
      <c r="CK1">
        <f>IF(Estimación!9:9,"AAAAAH39flg=",0)</f>
        <v>0</v>
      </c>
      <c r="CL1" t="e">
        <f>AND(Estimación!A9,"AAAAAH39flk=")</f>
        <v>#VALUE!</v>
      </c>
      <c r="CM1" t="e">
        <f>AND(Estimación!B9,"AAAAAH39flo=")</f>
        <v>#VALUE!</v>
      </c>
      <c r="CN1" t="e">
        <f>AND(Estimación!C9,"AAAAAH39fls=")</f>
        <v>#VALUE!</v>
      </c>
      <c r="CO1" t="e">
        <f>AND(Estimación!D9,"AAAAAH39flw=")</f>
        <v>#VALUE!</v>
      </c>
      <c r="CP1" t="e">
        <f>AND(Estimación!#REF!,"AAAAAH39fl0=")</f>
        <v>#REF!</v>
      </c>
      <c r="CQ1" t="e">
        <f>AND(Estimación!#REF!,"AAAAAH39fl4=")</f>
        <v>#REF!</v>
      </c>
      <c r="CR1" t="e">
        <f>AND(Estimación!#REF!,"AAAAAH39fl8=")</f>
        <v>#REF!</v>
      </c>
      <c r="CS1" t="e">
        <f>AND(Estimación!G9,"AAAAAH39fmA=")</f>
        <v>#VALUE!</v>
      </c>
      <c r="CT1" t="e">
        <f>AND(Estimación!H9,"AAAAAH39fmE=")</f>
        <v>#VALUE!</v>
      </c>
      <c r="CU1" t="e">
        <f>AND(Estimación!I9,"AAAAAH39fmI=")</f>
        <v>#VALUE!</v>
      </c>
      <c r="CV1">
        <f>IF(Estimación!10:10,"AAAAAH39fmM=",0)</f>
        <v>0</v>
      </c>
      <c r="CW1" t="e">
        <f>AND(Estimación!A10,"AAAAAH39fmQ=")</f>
        <v>#VALUE!</v>
      </c>
      <c r="CX1" t="e">
        <f>AND(Estimación!B10,"AAAAAH39fmU=")</f>
        <v>#VALUE!</v>
      </c>
      <c r="CY1" t="e">
        <f>AND(Estimación!C10,"AAAAAH39fmY=")</f>
        <v>#VALUE!</v>
      </c>
      <c r="CZ1" t="e">
        <f>AND(Estimación!D10,"AAAAAH39fmc=")</f>
        <v>#VALUE!</v>
      </c>
      <c r="DA1" t="e">
        <f>AND(Estimación!E10,"AAAAAH39fmg=")</f>
        <v>#VALUE!</v>
      </c>
      <c r="DB1" t="e">
        <f>AND(Estimación!#REF!,"AAAAAH39fmk=")</f>
        <v>#REF!</v>
      </c>
      <c r="DC1" t="e">
        <f>AND(Estimación!F10,"AAAAAH39fmo=")</f>
        <v>#VALUE!</v>
      </c>
      <c r="DD1" t="e">
        <f>AND(Estimación!G10,"AAAAAH39fms=")</f>
        <v>#VALUE!</v>
      </c>
      <c r="DE1" t="e">
        <f>AND(Estimación!H10,"AAAAAH39fmw=")</f>
        <v>#VALUE!</v>
      </c>
      <c r="DF1" t="e">
        <f>AND(Estimación!I10,"AAAAAH39fm0=")</f>
        <v>#VALUE!</v>
      </c>
      <c r="DG1">
        <f>IF(Estimación!11:11,"AAAAAH39fm4=",0)</f>
        <v>0</v>
      </c>
      <c r="DH1" t="e">
        <f>AND(Estimación!A11,"AAAAAH39fm8=")</f>
        <v>#VALUE!</v>
      </c>
      <c r="DI1" t="e">
        <f>AND(Estimación!B11,"AAAAAH39fnA=")</f>
        <v>#VALUE!</v>
      </c>
      <c r="DJ1" t="e">
        <f>AND(Estimación!C11,"AAAAAH39fnE=")</f>
        <v>#VALUE!</v>
      </c>
      <c r="DK1" t="e">
        <f>AND(Estimación!D11,"AAAAAH39fnI=")</f>
        <v>#VALUE!</v>
      </c>
      <c r="DL1" t="e">
        <f>AND(Estimación!E11,"AAAAAH39fnM=")</f>
        <v>#VALUE!</v>
      </c>
      <c r="DM1" t="e">
        <f>AND(Estimación!#REF!,"AAAAAH39fnQ=")</f>
        <v>#REF!</v>
      </c>
      <c r="DN1" t="e">
        <f>AND(Estimación!F11,"AAAAAH39fnU=")</f>
        <v>#VALUE!</v>
      </c>
      <c r="DO1" t="e">
        <f>AND(Estimación!G11,"AAAAAH39fnY=")</f>
        <v>#VALUE!</v>
      </c>
      <c r="DP1" t="e">
        <f>AND(Estimación!H11,"AAAAAH39fnc=")</f>
        <v>#VALUE!</v>
      </c>
      <c r="DQ1" t="e">
        <f>AND(Estimación!I11,"AAAAAH39fng=")</f>
        <v>#VALUE!</v>
      </c>
      <c r="DR1">
        <f>IF(Estimación!12:12,"AAAAAH39fnk=",0)</f>
        <v>0</v>
      </c>
      <c r="DS1" t="e">
        <f>AND(Estimación!A12,"AAAAAH39fno=")</f>
        <v>#VALUE!</v>
      </c>
      <c r="DT1" t="e">
        <f>AND(Estimación!B12,"AAAAAH39fns=")</f>
        <v>#VALUE!</v>
      </c>
      <c r="DU1" t="e">
        <f>AND(Estimación!C12,"AAAAAH39fnw=")</f>
        <v>#VALUE!</v>
      </c>
      <c r="DV1" t="e">
        <f>AND(Estimación!D12,"AAAAAH39fn0=")</f>
        <v>#VALUE!</v>
      </c>
      <c r="DW1" t="e">
        <f>AND(Estimación!E12,"AAAAAH39fn4=")</f>
        <v>#VALUE!</v>
      </c>
      <c r="DX1" t="e">
        <f>AND(Estimación!#REF!,"AAAAAH39fn8=")</f>
        <v>#REF!</v>
      </c>
      <c r="DY1" t="e">
        <f>AND(Estimación!F12,"AAAAAH39foA=")</f>
        <v>#VALUE!</v>
      </c>
      <c r="DZ1" t="e">
        <f>AND(Estimación!G12,"AAAAAH39foE=")</f>
        <v>#VALUE!</v>
      </c>
      <c r="EA1" t="e">
        <f>AND(Estimación!H12,"AAAAAH39foI=")</f>
        <v>#VALUE!</v>
      </c>
      <c r="EB1" t="e">
        <f>AND(Estimación!I12,"AAAAAH39foM=")</f>
        <v>#VALUE!</v>
      </c>
      <c r="EC1">
        <f>IF(Estimación!13:13,"AAAAAH39foQ=",0)</f>
        <v>0</v>
      </c>
      <c r="ED1" t="e">
        <f>AND(Estimación!A13,"AAAAAH39foU=")</f>
        <v>#VALUE!</v>
      </c>
      <c r="EE1" t="e">
        <f>AND(Estimación!B13,"AAAAAH39foY=")</f>
        <v>#VALUE!</v>
      </c>
      <c r="EF1" t="e">
        <f>AND(Estimación!C13,"AAAAAH39foc=")</f>
        <v>#VALUE!</v>
      </c>
      <c r="EG1" t="e">
        <f>AND(Estimación!D13,"AAAAAH39fog=")</f>
        <v>#VALUE!</v>
      </c>
      <c r="EH1" t="e">
        <f>AND(Estimación!E13,"AAAAAH39fok=")</f>
        <v>#VALUE!</v>
      </c>
      <c r="EI1" t="e">
        <f>AND(Estimación!#REF!,"AAAAAH39foo=")</f>
        <v>#REF!</v>
      </c>
      <c r="EJ1" t="e">
        <f>AND(Estimación!F13,"AAAAAH39fos=")</f>
        <v>#VALUE!</v>
      </c>
      <c r="EK1" t="e">
        <f>AND(Estimación!G13,"AAAAAH39fow=")</f>
        <v>#VALUE!</v>
      </c>
      <c r="EL1" t="e">
        <f>AND(Estimación!H13,"AAAAAH39fo0=")</f>
        <v>#VALUE!</v>
      </c>
      <c r="EM1" t="e">
        <f>AND(Estimación!I13,"AAAAAH39fo4=")</f>
        <v>#VALUE!</v>
      </c>
      <c r="EN1">
        <f>IF(Estimación!14:14,"AAAAAH39fo8=",0)</f>
        <v>0</v>
      </c>
      <c r="EO1" t="e">
        <f>AND(Estimación!A14,"AAAAAH39fpA=")</f>
        <v>#VALUE!</v>
      </c>
      <c r="EP1" t="e">
        <f>AND(Estimación!B14,"AAAAAH39fpE=")</f>
        <v>#VALUE!</v>
      </c>
      <c r="EQ1" t="e">
        <f>AND(Estimación!C14,"AAAAAH39fpI=")</f>
        <v>#VALUE!</v>
      </c>
      <c r="ER1" t="e">
        <f>AND(Estimación!D14,"AAAAAH39fpM=")</f>
        <v>#VALUE!</v>
      </c>
      <c r="ES1" t="e">
        <f>AND(Estimación!E14,"AAAAAH39fpQ=")</f>
        <v>#VALUE!</v>
      </c>
      <c r="ET1" t="e">
        <f>AND(Estimación!#REF!,"AAAAAH39fpU=")</f>
        <v>#REF!</v>
      </c>
      <c r="EU1" t="e">
        <f>AND(Estimación!F14,"AAAAAH39fpY=")</f>
        <v>#VALUE!</v>
      </c>
      <c r="EV1" t="e">
        <f>AND(Estimación!G14,"AAAAAH39fpc=")</f>
        <v>#VALUE!</v>
      </c>
      <c r="EW1" t="e">
        <f>AND(Estimación!H14,"AAAAAH39fpg=")</f>
        <v>#VALUE!</v>
      </c>
      <c r="EX1" t="e">
        <f>AND(Estimación!I14,"AAAAAH39fpk=")</f>
        <v>#VALUE!</v>
      </c>
      <c r="EY1" t="e">
        <f>IF(Estimación!#REF!,"AAAAAH39fpo=",0)</f>
        <v>#REF!</v>
      </c>
      <c r="EZ1" t="e">
        <f>AND(Estimación!#REF!,"AAAAAH39fps=")</f>
        <v>#REF!</v>
      </c>
      <c r="FA1" t="e">
        <f>AND(Estimación!#REF!,"AAAAAH39fpw=")</f>
        <v>#REF!</v>
      </c>
      <c r="FB1" t="e">
        <f>AND(Estimación!#REF!,"AAAAAH39fp0=")</f>
        <v>#REF!</v>
      </c>
      <c r="FC1" t="e">
        <f>AND(Estimación!#REF!,"AAAAAH39fp4=")</f>
        <v>#REF!</v>
      </c>
      <c r="FD1" t="e">
        <f>AND(Estimación!#REF!,"AAAAAH39fp8=")</f>
        <v>#REF!</v>
      </c>
      <c r="FE1" t="e">
        <f>AND(Estimación!#REF!,"AAAAAH39fqA=")</f>
        <v>#REF!</v>
      </c>
      <c r="FF1" t="e">
        <f>AND(Estimación!#REF!,"AAAAAH39fqE=")</f>
        <v>#REF!</v>
      </c>
      <c r="FG1" t="e">
        <f>AND(Estimación!#REF!,"AAAAAH39fqI=")</f>
        <v>#REF!</v>
      </c>
      <c r="FH1" t="e">
        <f>AND(Estimación!#REF!,"AAAAAH39fqM=")</f>
        <v>#REF!</v>
      </c>
      <c r="FI1" t="e">
        <f>AND(Estimación!#REF!,"AAAAAH39fqQ=")</f>
        <v>#REF!</v>
      </c>
      <c r="FJ1" t="e">
        <f>IF(Estimación!#REF!,"AAAAAH39fqU=",0)</f>
        <v>#REF!</v>
      </c>
      <c r="FK1" t="e">
        <f>AND(Estimación!#REF!,"AAAAAH39fqY=")</f>
        <v>#REF!</v>
      </c>
      <c r="FL1" t="e">
        <f>AND(Estimación!#REF!,"AAAAAH39fqc=")</f>
        <v>#REF!</v>
      </c>
      <c r="FM1" t="e">
        <f>AND(Estimación!#REF!,"AAAAAH39fqg=")</f>
        <v>#REF!</v>
      </c>
      <c r="FN1" t="e">
        <f>AND(Estimación!#REF!,"AAAAAH39fqk=")</f>
        <v>#REF!</v>
      </c>
      <c r="FO1" t="e">
        <f>AND(Estimación!#REF!,"AAAAAH39fqo=")</f>
        <v>#REF!</v>
      </c>
      <c r="FP1" t="e">
        <f>AND(Estimación!#REF!,"AAAAAH39fqs=")</f>
        <v>#REF!</v>
      </c>
      <c r="FQ1" t="e">
        <f>AND(Estimación!#REF!,"AAAAAH39fqw=")</f>
        <v>#REF!</v>
      </c>
      <c r="FR1" t="e">
        <f>AND(Estimación!#REF!,"AAAAAH39fq0=")</f>
        <v>#REF!</v>
      </c>
      <c r="FS1" t="e">
        <f>AND(Estimación!#REF!,"AAAAAH39fq4=")</f>
        <v>#REF!</v>
      </c>
      <c r="FT1" t="e">
        <f>AND(Estimación!#REF!,"AAAAAH39fq8=")</f>
        <v>#REF!</v>
      </c>
      <c r="FU1" t="e">
        <f>IF(Estimación!#REF!,"AAAAAH39frA=",0)</f>
        <v>#REF!</v>
      </c>
      <c r="FV1" t="e">
        <f>AND(Estimación!#REF!,"AAAAAH39frE=")</f>
        <v>#REF!</v>
      </c>
      <c r="FW1" t="e">
        <f>AND(Estimación!#REF!,"AAAAAH39frI=")</f>
        <v>#REF!</v>
      </c>
      <c r="FX1" t="e">
        <f>AND(Estimación!#REF!,"AAAAAH39frM=")</f>
        <v>#REF!</v>
      </c>
      <c r="FY1" t="e">
        <f>AND(Estimación!#REF!,"AAAAAH39frQ=")</f>
        <v>#REF!</v>
      </c>
      <c r="FZ1" t="e">
        <f>AND(Estimación!#REF!,"AAAAAH39frU=")</f>
        <v>#REF!</v>
      </c>
      <c r="GA1" t="e">
        <f>AND(Estimación!#REF!,"AAAAAH39frY=")</f>
        <v>#REF!</v>
      </c>
      <c r="GB1" t="e">
        <f>AND(Estimación!#REF!,"AAAAAH39frc=")</f>
        <v>#REF!</v>
      </c>
      <c r="GC1" t="e">
        <f>AND(Estimación!#REF!,"AAAAAH39frg=")</f>
        <v>#REF!</v>
      </c>
      <c r="GD1" t="e">
        <f>AND(Estimación!#REF!,"AAAAAH39frk=")</f>
        <v>#REF!</v>
      </c>
      <c r="GE1" t="e">
        <f>AND(Estimación!#REF!,"AAAAAH39fro=")</f>
        <v>#REF!</v>
      </c>
      <c r="GF1" t="e">
        <f>IF(Estimación!#REF!,"AAAAAH39frs=",0)</f>
        <v>#REF!</v>
      </c>
      <c r="GG1" t="e">
        <f>AND(Estimación!#REF!,"AAAAAH39frw=")</f>
        <v>#REF!</v>
      </c>
      <c r="GH1" t="e">
        <f>AND(Estimación!#REF!,"AAAAAH39fr0=")</f>
        <v>#REF!</v>
      </c>
      <c r="GI1" t="e">
        <f>AND(Estimación!#REF!,"AAAAAH39fr4=")</f>
        <v>#REF!</v>
      </c>
      <c r="GJ1" t="e">
        <f>AND(Estimación!#REF!,"AAAAAH39fr8=")</f>
        <v>#REF!</v>
      </c>
      <c r="GK1" t="e">
        <f>AND(Estimación!#REF!,"AAAAAH39fsA=")</f>
        <v>#REF!</v>
      </c>
      <c r="GL1" t="e">
        <f>AND(Estimación!#REF!,"AAAAAH39fsE=")</f>
        <v>#REF!</v>
      </c>
      <c r="GM1" t="e">
        <f>AND(Estimación!#REF!,"AAAAAH39fsI=")</f>
        <v>#REF!</v>
      </c>
      <c r="GN1" t="e">
        <f>AND(Estimación!#REF!,"AAAAAH39fsM=")</f>
        <v>#REF!</v>
      </c>
      <c r="GO1" t="e">
        <f>AND(Estimación!#REF!,"AAAAAH39fsQ=")</f>
        <v>#REF!</v>
      </c>
      <c r="GP1" t="e">
        <f>AND(Estimación!#REF!,"AAAAAH39fsU=")</f>
        <v>#REF!</v>
      </c>
      <c r="GQ1" t="e">
        <f>IF(Estimación!#REF!,"AAAAAH39fsY=",0)</f>
        <v>#REF!</v>
      </c>
      <c r="GR1" t="e">
        <f>AND(Estimación!#REF!,"AAAAAH39fsc=")</f>
        <v>#REF!</v>
      </c>
      <c r="GS1" t="e">
        <f>AND(Estimación!#REF!,"AAAAAH39fsg=")</f>
        <v>#REF!</v>
      </c>
      <c r="GT1" t="e">
        <f>AND(Estimación!#REF!,"AAAAAH39fsk=")</f>
        <v>#REF!</v>
      </c>
      <c r="GU1" t="e">
        <f>AND(Estimación!#REF!,"AAAAAH39fso=")</f>
        <v>#REF!</v>
      </c>
      <c r="GV1" t="e">
        <f>AND(Estimación!#REF!,"AAAAAH39fss=")</f>
        <v>#REF!</v>
      </c>
      <c r="GW1" t="e">
        <f>AND(Estimación!#REF!,"AAAAAH39fsw=")</f>
        <v>#REF!</v>
      </c>
      <c r="GX1" t="e">
        <f>AND(Estimación!#REF!,"AAAAAH39fs0=")</f>
        <v>#REF!</v>
      </c>
      <c r="GY1" t="e">
        <f>AND(Estimación!#REF!,"AAAAAH39fs4=")</f>
        <v>#REF!</v>
      </c>
      <c r="GZ1" t="e">
        <f>AND(Estimación!#REF!,"AAAAAH39fs8=")</f>
        <v>#REF!</v>
      </c>
      <c r="HA1" t="e">
        <f>AND(Estimación!#REF!,"AAAAAH39ftA=")</f>
        <v>#REF!</v>
      </c>
      <c r="HB1" t="e">
        <f>IF(Estimación!#REF!,"AAAAAH39ftE=",0)</f>
        <v>#REF!</v>
      </c>
      <c r="HC1" t="e">
        <f>AND(Estimación!#REF!,"AAAAAH39ftI=")</f>
        <v>#REF!</v>
      </c>
      <c r="HD1" t="e">
        <f>AND(Estimación!#REF!,"AAAAAH39ftM=")</f>
        <v>#REF!</v>
      </c>
      <c r="HE1" t="e">
        <f>AND(Estimación!#REF!,"AAAAAH39ftQ=")</f>
        <v>#REF!</v>
      </c>
      <c r="HF1" t="e">
        <f>AND(Estimación!#REF!,"AAAAAH39ftU=")</f>
        <v>#REF!</v>
      </c>
      <c r="HG1" t="e">
        <f>AND(Estimación!#REF!,"AAAAAH39ftY=")</f>
        <v>#REF!</v>
      </c>
      <c r="HH1" t="e">
        <f>AND(Estimación!#REF!,"AAAAAH39ftc=")</f>
        <v>#REF!</v>
      </c>
      <c r="HI1" t="e">
        <f>AND(Estimación!#REF!,"AAAAAH39ftg=")</f>
        <v>#REF!</v>
      </c>
      <c r="HJ1" t="e">
        <f>AND(Estimación!#REF!,"AAAAAH39ftk=")</f>
        <v>#REF!</v>
      </c>
      <c r="HK1" t="e">
        <f>AND(Estimación!#REF!,"AAAAAH39fto=")</f>
        <v>#REF!</v>
      </c>
      <c r="HL1" t="e">
        <f>AND(Estimación!#REF!,"AAAAAH39fts=")</f>
        <v>#REF!</v>
      </c>
      <c r="HM1" t="e">
        <f>IF(Estimación!#REF!,"AAAAAH39ftw=",0)</f>
        <v>#REF!</v>
      </c>
      <c r="HN1" t="e">
        <f>AND(Estimación!#REF!,"AAAAAH39ft0=")</f>
        <v>#REF!</v>
      </c>
      <c r="HO1" t="e">
        <f>AND(Estimación!#REF!,"AAAAAH39ft4=")</f>
        <v>#REF!</v>
      </c>
      <c r="HP1" t="e">
        <f>AND(Estimación!#REF!,"AAAAAH39ft8=")</f>
        <v>#REF!</v>
      </c>
      <c r="HQ1" t="e">
        <f>AND(Estimación!#REF!,"AAAAAH39fuA=")</f>
        <v>#REF!</v>
      </c>
      <c r="HR1" t="e">
        <f>AND(Estimación!#REF!,"AAAAAH39fuE=")</f>
        <v>#REF!</v>
      </c>
      <c r="HS1" t="e">
        <f>AND(Estimación!#REF!,"AAAAAH39fuI=")</f>
        <v>#REF!</v>
      </c>
      <c r="HT1" t="e">
        <f>AND(Estimación!#REF!,"AAAAAH39fuM=")</f>
        <v>#REF!</v>
      </c>
      <c r="HU1" t="e">
        <f>AND(Estimación!#REF!,"AAAAAH39fuQ=")</f>
        <v>#REF!</v>
      </c>
      <c r="HV1" t="e">
        <f>AND(Estimación!#REF!,"AAAAAH39fuU=")</f>
        <v>#REF!</v>
      </c>
      <c r="HW1" t="e">
        <f>AND(Estimación!#REF!,"AAAAAH39fuY=")</f>
        <v>#REF!</v>
      </c>
      <c r="HX1" t="e">
        <f>IF(Estimación!#REF!,"AAAAAH39fuc=",0)</f>
        <v>#REF!</v>
      </c>
      <c r="HY1" t="e">
        <f>AND(Estimación!#REF!,"AAAAAH39fug=")</f>
        <v>#REF!</v>
      </c>
      <c r="HZ1" t="e">
        <f>AND(Estimación!#REF!,"AAAAAH39fuk=")</f>
        <v>#REF!</v>
      </c>
      <c r="IA1" t="e">
        <f>AND(Estimación!#REF!,"AAAAAH39fuo=")</f>
        <v>#REF!</v>
      </c>
      <c r="IB1" t="e">
        <f>AND(Estimación!#REF!,"AAAAAH39fus=")</f>
        <v>#REF!</v>
      </c>
      <c r="IC1" t="e">
        <f>AND(Estimación!#REF!,"AAAAAH39fuw=")</f>
        <v>#REF!</v>
      </c>
      <c r="ID1" t="e">
        <f>AND(Estimación!#REF!,"AAAAAH39fu0=")</f>
        <v>#REF!</v>
      </c>
      <c r="IE1" t="e">
        <f>AND(Estimación!#REF!,"AAAAAH39fu4=")</f>
        <v>#REF!</v>
      </c>
      <c r="IF1" t="e">
        <f>AND(Estimación!#REF!,"AAAAAH39fu8=")</f>
        <v>#REF!</v>
      </c>
      <c r="IG1" t="e">
        <f>AND(Estimación!#REF!,"AAAAAH39fvA=")</f>
        <v>#REF!</v>
      </c>
      <c r="IH1" t="e">
        <f>AND(Estimación!#REF!,"AAAAAH39fvE=")</f>
        <v>#REF!</v>
      </c>
      <c r="II1" t="e">
        <f>IF(Estimación!#REF!,"AAAAAH39fvI=",0)</f>
        <v>#REF!</v>
      </c>
      <c r="IJ1" t="e">
        <f>AND(Estimación!#REF!,"AAAAAH39fvM=")</f>
        <v>#REF!</v>
      </c>
      <c r="IK1" t="e">
        <f>AND(Estimación!#REF!,"AAAAAH39fvQ=")</f>
        <v>#REF!</v>
      </c>
      <c r="IL1" t="e">
        <f>AND(Estimación!#REF!,"AAAAAH39fvU=")</f>
        <v>#REF!</v>
      </c>
      <c r="IM1" t="e">
        <f>AND(Estimación!#REF!,"AAAAAH39fvY=")</f>
        <v>#REF!</v>
      </c>
      <c r="IN1" t="e">
        <f>AND(Estimación!#REF!,"AAAAAH39fvc=")</f>
        <v>#REF!</v>
      </c>
      <c r="IO1" t="e">
        <f>AND(Estimación!#REF!,"AAAAAH39fvg=")</f>
        <v>#REF!</v>
      </c>
      <c r="IP1" t="e">
        <f>AND(Estimación!#REF!,"AAAAAH39fvk=")</f>
        <v>#REF!</v>
      </c>
      <c r="IQ1" t="e">
        <f>AND(Estimación!#REF!,"AAAAAH39fvo=")</f>
        <v>#REF!</v>
      </c>
      <c r="IR1" t="e">
        <f>AND(Estimación!#REF!,"AAAAAH39fvs=")</f>
        <v>#REF!</v>
      </c>
      <c r="IS1" t="e">
        <f>AND(Estimación!#REF!,"AAAAAH39fvw=")</f>
        <v>#REF!</v>
      </c>
      <c r="IT1" t="e">
        <f>IF(Estimación!#REF!,"AAAAAH39fv0=",0)</f>
        <v>#REF!</v>
      </c>
      <c r="IU1" t="e">
        <f>AND(Estimación!#REF!,"AAAAAH39fv4=")</f>
        <v>#REF!</v>
      </c>
      <c r="IV1" t="e">
        <f>AND(Estimación!#REF!,"AAAAAH39fv8=")</f>
        <v>#REF!</v>
      </c>
    </row>
    <row r="2" spans="1:256">
      <c r="A2" t="e">
        <f>AND(Estimación!#REF!,"AAAAAF6/7wA=")</f>
        <v>#REF!</v>
      </c>
      <c r="B2" t="e">
        <f>AND(Estimación!#REF!,"AAAAAF6/7wE=")</f>
        <v>#REF!</v>
      </c>
      <c r="C2" t="e">
        <f>AND(Estimación!#REF!,"AAAAAF6/7wI=")</f>
        <v>#REF!</v>
      </c>
      <c r="D2" t="e">
        <f>AND(Estimación!#REF!,"AAAAAF6/7wM=")</f>
        <v>#REF!</v>
      </c>
      <c r="E2" t="e">
        <f>AND(Estimación!#REF!,"AAAAAF6/7wQ=")</f>
        <v>#REF!</v>
      </c>
      <c r="F2" t="e">
        <f>AND(Estimación!#REF!,"AAAAAF6/7wU=")</f>
        <v>#REF!</v>
      </c>
      <c r="G2" t="e">
        <f>AND(Estimación!#REF!,"AAAAAF6/7wY=")</f>
        <v>#REF!</v>
      </c>
      <c r="H2" t="e">
        <f>AND(Estimación!#REF!,"AAAAAF6/7wc=")</f>
        <v>#REF!</v>
      </c>
      <c r="I2" t="e">
        <f>IF(Estimación!#REF!,"AAAAAF6/7wg=",0)</f>
        <v>#REF!</v>
      </c>
      <c r="J2" t="e">
        <f>AND(Estimación!#REF!,"AAAAAF6/7wk=")</f>
        <v>#REF!</v>
      </c>
      <c r="K2" t="e">
        <f>AND(Estimación!#REF!,"AAAAAF6/7wo=")</f>
        <v>#REF!</v>
      </c>
      <c r="L2" t="e">
        <f>AND(Estimación!#REF!,"AAAAAF6/7ws=")</f>
        <v>#REF!</v>
      </c>
      <c r="M2" t="e">
        <f>AND(Estimación!#REF!,"AAAAAF6/7ww=")</f>
        <v>#REF!</v>
      </c>
      <c r="N2" t="e">
        <f>AND(Estimación!#REF!,"AAAAAF6/7w0=")</f>
        <v>#REF!</v>
      </c>
      <c r="O2" t="e">
        <f>AND(Estimación!#REF!,"AAAAAF6/7w4=")</f>
        <v>#REF!</v>
      </c>
      <c r="P2" t="e">
        <f>AND(Estimación!#REF!,"AAAAAF6/7w8=")</f>
        <v>#REF!</v>
      </c>
      <c r="Q2" t="e">
        <f>AND(Estimación!#REF!,"AAAAAF6/7xA=")</f>
        <v>#REF!</v>
      </c>
      <c r="R2" t="e">
        <f>AND(Estimación!#REF!,"AAAAAF6/7xE=")</f>
        <v>#REF!</v>
      </c>
      <c r="S2" t="e">
        <f>AND(Estimación!#REF!,"AAAAAF6/7xI=")</f>
        <v>#REF!</v>
      </c>
      <c r="T2" t="e">
        <f>IF(Estimación!#REF!,"AAAAAF6/7xM=",0)</f>
        <v>#REF!</v>
      </c>
      <c r="U2" t="e">
        <f>AND(Estimación!A28,"AAAAAF6/7xQ=")</f>
        <v>#VALUE!</v>
      </c>
      <c r="V2" t="e">
        <f>AND(Estimación!B28,"AAAAAF6/7xU=")</f>
        <v>#VALUE!</v>
      </c>
      <c r="W2" t="e">
        <f>AND(Estimación!C28,"AAAAAF6/7xY=")</f>
        <v>#VALUE!</v>
      </c>
      <c r="X2" t="e">
        <f>AND(Estimación!D28,"AAAAAF6/7xc=")</f>
        <v>#VALUE!</v>
      </c>
      <c r="Y2" t="e">
        <f>AND(Estimación!E28,"AAAAAF6/7xg=")</f>
        <v>#VALUE!</v>
      </c>
      <c r="Z2" t="e">
        <f>AND(Estimación!#REF!,"AAAAAF6/7xk=")</f>
        <v>#REF!</v>
      </c>
      <c r="AA2" t="e">
        <f>AND(Estimación!F28,"AAAAAF6/7xo=")</f>
        <v>#VALUE!</v>
      </c>
      <c r="AB2" t="e">
        <f>AND(Estimación!#REF!,"AAAAAF6/7xs=")</f>
        <v>#REF!</v>
      </c>
      <c r="AC2" t="e">
        <f>AND(Estimación!#REF!,"AAAAAF6/7xw=")</f>
        <v>#REF!</v>
      </c>
      <c r="AD2" t="e">
        <f>AND(Estimación!#REF!,"AAAAAF6/7x0=")</f>
        <v>#REF!</v>
      </c>
      <c r="AE2" t="e">
        <f>IF(Estimación!#REF!,"AAAAAF6/7x4=",0)</f>
        <v>#REF!</v>
      </c>
      <c r="AF2" t="e">
        <f>AND(Estimación!A29,"AAAAAF6/7x8=")</f>
        <v>#VALUE!</v>
      </c>
      <c r="AG2" t="e">
        <f>AND(Estimación!B29,"AAAAAF6/7yA=")</f>
        <v>#VALUE!</v>
      </c>
      <c r="AH2" t="e">
        <f>AND(Estimación!C29,"AAAAAF6/7yE=")</f>
        <v>#VALUE!</v>
      </c>
      <c r="AI2" t="e">
        <f>AND(Estimación!D29,"AAAAAF6/7yI=")</f>
        <v>#VALUE!</v>
      </c>
      <c r="AJ2" t="e">
        <f>AND(Estimación!E29,"AAAAAF6/7yM=")</f>
        <v>#VALUE!</v>
      </c>
      <c r="AK2" t="e">
        <f>AND(Estimación!#REF!,"AAAAAF6/7yQ=")</f>
        <v>#REF!</v>
      </c>
      <c r="AL2" t="e">
        <f>AND(Estimación!F29,"AAAAAF6/7yU=")</f>
        <v>#VALUE!</v>
      </c>
      <c r="AM2" t="e">
        <f>AND(Estimación!#REF!,"AAAAAF6/7yY=")</f>
        <v>#REF!</v>
      </c>
      <c r="AN2" t="e">
        <f>AND(Estimación!#REF!,"AAAAAF6/7yc=")</f>
        <v>#REF!</v>
      </c>
      <c r="AO2" t="e">
        <f>AND(Estimación!#REF!,"AAAAAF6/7yg=")</f>
        <v>#REF!</v>
      </c>
      <c r="AP2" t="e">
        <f>IF(Estimación!#REF!,"AAAAAF6/7yk=",0)</f>
        <v>#REF!</v>
      </c>
      <c r="AQ2" t="e">
        <f>AND(Estimación!A30,"AAAAAF6/7yo=")</f>
        <v>#VALUE!</v>
      </c>
      <c r="AR2" t="e">
        <f>AND(Estimación!B30,"AAAAAF6/7ys=")</f>
        <v>#VALUE!</v>
      </c>
      <c r="AS2" t="e">
        <f>AND(Estimación!C30,"AAAAAF6/7yw=")</f>
        <v>#VALUE!</v>
      </c>
      <c r="AT2" t="e">
        <f>AND(Estimación!D30,"AAAAAF6/7y0=")</f>
        <v>#VALUE!</v>
      </c>
      <c r="AU2" t="e">
        <f>AND(Estimación!E30,"AAAAAF6/7y4=")</f>
        <v>#VALUE!</v>
      </c>
      <c r="AV2" t="e">
        <f>AND(Estimación!#REF!,"AAAAAF6/7y8=")</f>
        <v>#REF!</v>
      </c>
      <c r="AW2" t="e">
        <f>AND(Estimación!F30,"AAAAAF6/7zA=")</f>
        <v>#VALUE!</v>
      </c>
      <c r="AX2" t="e">
        <f>AND(Estimación!#REF!,"AAAAAF6/7zE=")</f>
        <v>#REF!</v>
      </c>
      <c r="AY2" t="e">
        <f>AND(Estimación!#REF!,"AAAAAF6/7zI=")</f>
        <v>#REF!</v>
      </c>
      <c r="AZ2" t="e">
        <f>AND(Estimación!#REF!,"AAAAAF6/7zM=")</f>
        <v>#REF!</v>
      </c>
      <c r="BA2" t="e">
        <f>IF(Estimación!#REF!,"AAAAAF6/7zQ=",0)</f>
        <v>#REF!</v>
      </c>
      <c r="BB2" t="e">
        <f>AND(Estimación!A31,"AAAAAF6/7zU=")</f>
        <v>#VALUE!</v>
      </c>
      <c r="BC2" t="e">
        <f>AND(Estimación!B31,"AAAAAF6/7zY=")</f>
        <v>#VALUE!</v>
      </c>
      <c r="BD2" t="e">
        <f>AND(Estimación!C31,"AAAAAF6/7zc=")</f>
        <v>#VALUE!</v>
      </c>
      <c r="BE2" t="e">
        <f>AND(Estimación!D31,"AAAAAF6/7zg=")</f>
        <v>#VALUE!</v>
      </c>
      <c r="BF2" t="e">
        <f>AND(Estimación!E31,"AAAAAF6/7zk=")</f>
        <v>#VALUE!</v>
      </c>
      <c r="BG2" t="e">
        <f>AND(Estimación!#REF!,"AAAAAF6/7zo=")</f>
        <v>#REF!</v>
      </c>
      <c r="BH2" t="e">
        <f>AND(Estimación!F31,"AAAAAF6/7zs=")</f>
        <v>#VALUE!</v>
      </c>
      <c r="BI2" t="e">
        <f>AND(Estimación!#REF!,"AAAAAF6/7zw=")</f>
        <v>#REF!</v>
      </c>
      <c r="BJ2" t="e">
        <f>AND(Estimación!#REF!,"AAAAAF6/7z0=")</f>
        <v>#REF!</v>
      </c>
      <c r="BK2" t="e">
        <f>AND(Estimación!#REF!,"AAAAAF6/7z4=")</f>
        <v>#REF!</v>
      </c>
      <c r="BL2" t="e">
        <f>IF(Estimación!#REF!,"AAAAAF6/7z8=",0)</f>
        <v>#REF!</v>
      </c>
      <c r="BM2" t="e">
        <f>AND(Estimación!A32,"AAAAAF6/70A=")</f>
        <v>#VALUE!</v>
      </c>
      <c r="BN2" t="e">
        <f>AND(Estimación!B32,"AAAAAF6/70E=")</f>
        <v>#VALUE!</v>
      </c>
      <c r="BO2" t="e">
        <f>AND(Estimación!C32,"AAAAAF6/70I=")</f>
        <v>#VALUE!</v>
      </c>
      <c r="BP2" t="e">
        <f>AND(Estimación!D32,"AAAAAF6/70M=")</f>
        <v>#VALUE!</v>
      </c>
      <c r="BQ2" t="e">
        <f>AND(Estimación!E32,"AAAAAF6/70Q=")</f>
        <v>#VALUE!</v>
      </c>
      <c r="BR2" t="e">
        <f>AND(Estimación!#REF!,"AAAAAF6/70U=")</f>
        <v>#REF!</v>
      </c>
      <c r="BS2" t="e">
        <f>AND(Estimación!F32,"AAAAAF6/70Y=")</f>
        <v>#VALUE!</v>
      </c>
      <c r="BT2" t="e">
        <f>AND(Estimación!#REF!,"AAAAAF6/70c=")</f>
        <v>#REF!</v>
      </c>
      <c r="BU2" t="e">
        <f>AND(Estimación!#REF!,"AAAAAF6/70g=")</f>
        <v>#REF!</v>
      </c>
      <c r="BV2" t="e">
        <f>AND(Estimación!#REF!,"AAAAAF6/70k=")</f>
        <v>#REF!</v>
      </c>
      <c r="BW2" t="e">
        <f>IF(Estimación!#REF!,"AAAAAF6/70o=",0)</f>
        <v>#REF!</v>
      </c>
      <c r="BX2" t="e">
        <f>AND(Estimación!A33,"AAAAAF6/70s=")</f>
        <v>#VALUE!</v>
      </c>
      <c r="BY2" t="e">
        <f>AND(Estimación!B33,"AAAAAF6/70w=")</f>
        <v>#VALUE!</v>
      </c>
      <c r="BZ2" t="e">
        <f>AND(Estimación!C33,"AAAAAF6/700=")</f>
        <v>#VALUE!</v>
      </c>
      <c r="CA2" t="e">
        <f>AND(Estimación!D33,"AAAAAF6/704=")</f>
        <v>#VALUE!</v>
      </c>
      <c r="CB2" t="e">
        <f>AND(Estimación!E33,"AAAAAF6/708=")</f>
        <v>#VALUE!</v>
      </c>
      <c r="CC2" t="e">
        <f>AND(Estimación!#REF!,"AAAAAF6/71A=")</f>
        <v>#REF!</v>
      </c>
      <c r="CD2" t="e">
        <f>AND(Estimación!F33,"AAAAAF6/71E=")</f>
        <v>#VALUE!</v>
      </c>
      <c r="CE2" t="e">
        <f>AND(Estimación!#REF!,"AAAAAF6/71I=")</f>
        <v>#REF!</v>
      </c>
      <c r="CF2" t="e">
        <f>AND(Estimación!#REF!,"AAAAAF6/71M=")</f>
        <v>#REF!</v>
      </c>
      <c r="CG2" t="e">
        <f>AND(Estimación!#REF!,"AAAAAF6/71Q=")</f>
        <v>#REF!</v>
      </c>
      <c r="CH2" t="e">
        <f>IF(Estimación!#REF!,"AAAAAF6/71U=",0)</f>
        <v>#REF!</v>
      </c>
      <c r="CI2" t="e">
        <f>AND(Estimación!A34,"AAAAAF6/71Y=")</f>
        <v>#VALUE!</v>
      </c>
      <c r="CJ2" t="e">
        <f>AND(Estimación!B34,"AAAAAF6/71c=")</f>
        <v>#VALUE!</v>
      </c>
      <c r="CK2" t="e">
        <f>AND(Estimación!C34,"AAAAAF6/71g=")</f>
        <v>#VALUE!</v>
      </c>
      <c r="CL2" t="e">
        <f>AND(Estimación!D34,"AAAAAF6/71k=")</f>
        <v>#VALUE!</v>
      </c>
      <c r="CM2" t="e">
        <f>AND(Estimación!E34,"AAAAAF6/71o=")</f>
        <v>#VALUE!</v>
      </c>
      <c r="CN2" t="e">
        <f>AND(Estimación!#REF!,"AAAAAF6/71s=")</f>
        <v>#REF!</v>
      </c>
      <c r="CO2" t="e">
        <f>AND(Estimación!F34,"AAAAAF6/71w=")</f>
        <v>#VALUE!</v>
      </c>
      <c r="CP2" t="e">
        <f>AND(Estimación!#REF!,"AAAAAF6/710=")</f>
        <v>#REF!</v>
      </c>
      <c r="CQ2" t="e">
        <f>AND(Estimación!#REF!,"AAAAAF6/714=")</f>
        <v>#REF!</v>
      </c>
      <c r="CR2" t="e">
        <f>AND(Estimación!#REF!,"AAAAAF6/718=")</f>
        <v>#REF!</v>
      </c>
      <c r="CS2" t="e">
        <f>IF(Estimación!#REF!,"AAAAAF6/72A=",0)</f>
        <v>#REF!</v>
      </c>
      <c r="CT2" t="e">
        <f>AND(Estimación!A35,"AAAAAF6/72E=")</f>
        <v>#VALUE!</v>
      </c>
      <c r="CU2" t="e">
        <f>AND(Estimación!B35,"AAAAAF6/72I=")</f>
        <v>#VALUE!</v>
      </c>
      <c r="CV2" t="e">
        <f>AND(Estimación!C35,"AAAAAF6/72M=")</f>
        <v>#VALUE!</v>
      </c>
      <c r="CW2" t="e">
        <f>AND(Estimación!D35,"AAAAAF6/72Q=")</f>
        <v>#VALUE!</v>
      </c>
      <c r="CX2" t="e">
        <f>AND(Estimación!E35,"AAAAAF6/72U=")</f>
        <v>#VALUE!</v>
      </c>
      <c r="CY2" t="e">
        <f>AND(Estimación!#REF!,"AAAAAF6/72Y=")</f>
        <v>#REF!</v>
      </c>
      <c r="CZ2" t="e">
        <f>AND(Estimación!F35,"AAAAAF6/72c=")</f>
        <v>#VALUE!</v>
      </c>
      <c r="DA2" t="e">
        <f>AND(Estimación!#REF!,"AAAAAF6/72g=")</f>
        <v>#REF!</v>
      </c>
      <c r="DB2" t="e">
        <f>AND(Estimación!#REF!,"AAAAAF6/72k=")</f>
        <v>#REF!</v>
      </c>
      <c r="DC2" t="e">
        <f>AND(Estimación!#REF!,"AAAAAF6/72o=")</f>
        <v>#REF!</v>
      </c>
      <c r="DD2" t="e">
        <f>IF(Estimación!#REF!,"AAAAAF6/72s=",0)</f>
        <v>#REF!</v>
      </c>
      <c r="DE2" t="e">
        <f>AND(Estimación!A36,"AAAAAF6/72w=")</f>
        <v>#VALUE!</v>
      </c>
      <c r="DF2" t="e">
        <f>AND(Estimación!B36,"AAAAAF6/720=")</f>
        <v>#VALUE!</v>
      </c>
      <c r="DG2" t="e">
        <f>AND(Estimación!C36,"AAAAAF6/724=")</f>
        <v>#VALUE!</v>
      </c>
      <c r="DH2" t="e">
        <f>AND(Estimación!D36,"AAAAAF6/728=")</f>
        <v>#VALUE!</v>
      </c>
      <c r="DI2" t="e">
        <f>AND(Estimación!E36,"AAAAAF6/73A=")</f>
        <v>#VALUE!</v>
      </c>
      <c r="DJ2" t="e">
        <f>AND(Estimación!#REF!,"AAAAAF6/73E=")</f>
        <v>#REF!</v>
      </c>
      <c r="DK2" t="e">
        <f>AND(Estimación!F36,"AAAAAF6/73I=")</f>
        <v>#VALUE!</v>
      </c>
      <c r="DL2" t="e">
        <f>AND(Estimación!#REF!,"AAAAAF6/73M=")</f>
        <v>#REF!</v>
      </c>
      <c r="DM2" t="e">
        <f>AND(Estimación!#REF!,"AAAAAF6/73Q=")</f>
        <v>#REF!</v>
      </c>
      <c r="DN2" t="e">
        <f>AND(Estimación!#REF!,"AAAAAF6/73U=")</f>
        <v>#REF!</v>
      </c>
      <c r="DO2" t="e">
        <f>IF(Estimación!#REF!,"AAAAAF6/73Y=",0)</f>
        <v>#REF!</v>
      </c>
      <c r="DP2" t="e">
        <f>AND(Estimación!A37,"AAAAAF6/73c=")</f>
        <v>#VALUE!</v>
      </c>
      <c r="DQ2" t="e">
        <f>AND(Estimación!B37,"AAAAAF6/73g=")</f>
        <v>#VALUE!</v>
      </c>
      <c r="DR2" t="e">
        <f>AND(Estimación!C37,"AAAAAF6/73k=")</f>
        <v>#VALUE!</v>
      </c>
      <c r="DS2" t="e">
        <f>AND(Estimación!D37,"AAAAAF6/73o=")</f>
        <v>#VALUE!</v>
      </c>
      <c r="DT2" t="e">
        <f>AND(Estimación!E37,"AAAAAF6/73s=")</f>
        <v>#VALUE!</v>
      </c>
      <c r="DU2" t="e">
        <f>AND(Estimación!#REF!,"AAAAAF6/73w=")</f>
        <v>#REF!</v>
      </c>
      <c r="DV2" t="e">
        <f>AND(Estimación!F37,"AAAAAF6/730=")</f>
        <v>#VALUE!</v>
      </c>
      <c r="DW2" t="e">
        <f>AND(Estimación!#REF!,"AAAAAF6/734=")</f>
        <v>#REF!</v>
      </c>
      <c r="DX2" t="e">
        <f>AND(Estimación!#REF!,"AAAAAF6/738=")</f>
        <v>#REF!</v>
      </c>
      <c r="DY2" t="e">
        <f>AND(Estimación!#REF!,"AAAAAF6/74A=")</f>
        <v>#REF!</v>
      </c>
      <c r="DZ2" t="e">
        <f>IF(Estimación!#REF!,"AAAAAF6/74E=",0)</f>
        <v>#REF!</v>
      </c>
      <c r="EA2" t="e">
        <f>AND(Estimación!A38,"AAAAAF6/74I=")</f>
        <v>#VALUE!</v>
      </c>
      <c r="EB2" t="e">
        <f>AND(Estimación!B38,"AAAAAF6/74M=")</f>
        <v>#VALUE!</v>
      </c>
      <c r="EC2" t="e">
        <f>AND(Estimación!C38,"AAAAAF6/74Q=")</f>
        <v>#VALUE!</v>
      </c>
      <c r="ED2" t="e">
        <f>AND(Estimación!D38,"AAAAAF6/74U=")</f>
        <v>#VALUE!</v>
      </c>
      <c r="EE2" t="e">
        <f>AND(Estimación!E38,"AAAAAF6/74Y=")</f>
        <v>#VALUE!</v>
      </c>
      <c r="EF2" t="e">
        <f>AND(Estimación!#REF!,"AAAAAF6/74c=")</f>
        <v>#REF!</v>
      </c>
      <c r="EG2" t="e">
        <f>AND(Estimación!F38,"AAAAAF6/74g=")</f>
        <v>#VALUE!</v>
      </c>
      <c r="EH2" t="e">
        <f>AND(Estimación!#REF!,"AAAAAF6/74k=")</f>
        <v>#REF!</v>
      </c>
      <c r="EI2" t="e">
        <f>AND(Estimación!#REF!,"AAAAAF6/74o=")</f>
        <v>#REF!</v>
      </c>
      <c r="EJ2" t="e">
        <f>AND(Estimación!#REF!,"AAAAAF6/74s=")</f>
        <v>#REF!</v>
      </c>
      <c r="EK2" t="e">
        <f>IF(Estimación!#REF!,"AAAAAF6/74w=",0)</f>
        <v>#REF!</v>
      </c>
      <c r="EL2" t="e">
        <f>AND(Estimación!#REF!,"AAAAAF6/740=")</f>
        <v>#REF!</v>
      </c>
      <c r="EM2" t="e">
        <f>AND(Estimación!#REF!,"AAAAAF6/744=")</f>
        <v>#REF!</v>
      </c>
      <c r="EN2" t="e">
        <f>AND(Estimación!#REF!,"AAAAAF6/748=")</f>
        <v>#REF!</v>
      </c>
      <c r="EO2" t="e">
        <f>AND(Estimación!#REF!,"AAAAAF6/75A=")</f>
        <v>#REF!</v>
      </c>
      <c r="EP2" t="e">
        <f>AND(Estimación!#REF!,"AAAAAF6/75E=")</f>
        <v>#REF!</v>
      </c>
      <c r="EQ2" t="e">
        <f>AND(Estimación!#REF!,"AAAAAF6/75I=")</f>
        <v>#REF!</v>
      </c>
      <c r="ER2" t="e">
        <f>AND(Estimación!#REF!,"AAAAAF6/75M=")</f>
        <v>#REF!</v>
      </c>
      <c r="ES2" t="e">
        <f>AND(Estimación!#REF!,"AAAAAF6/75Q=")</f>
        <v>#REF!</v>
      </c>
      <c r="ET2" t="e">
        <f>AND(Estimación!#REF!,"AAAAAF6/75U=")</f>
        <v>#REF!</v>
      </c>
      <c r="EU2" t="e">
        <f>AND(Estimación!#REF!,"AAAAAF6/75Y=")</f>
        <v>#REF!</v>
      </c>
      <c r="EV2" t="e">
        <f>IF(Estimación!#REF!,"AAAAAF6/75c=",0)</f>
        <v>#REF!</v>
      </c>
      <c r="EW2" t="e">
        <f>AND(Estimación!#REF!,"AAAAAF6/75g=")</f>
        <v>#REF!</v>
      </c>
      <c r="EX2" t="e">
        <f>AND(Estimación!#REF!,"AAAAAF6/75k=")</f>
        <v>#REF!</v>
      </c>
      <c r="EY2" t="e">
        <f>AND(Estimación!#REF!,"AAAAAF6/75o=")</f>
        <v>#REF!</v>
      </c>
      <c r="EZ2" t="e">
        <f>AND(Estimación!#REF!,"AAAAAF6/75s=")</f>
        <v>#REF!</v>
      </c>
      <c r="FA2" t="e">
        <f>AND(Estimación!#REF!,"AAAAAF6/75w=")</f>
        <v>#REF!</v>
      </c>
      <c r="FB2" t="e">
        <f>AND(Estimación!#REF!,"AAAAAF6/750=")</f>
        <v>#REF!</v>
      </c>
      <c r="FC2" t="e">
        <f>AND(Estimación!#REF!,"AAAAAF6/754=")</f>
        <v>#REF!</v>
      </c>
      <c r="FD2" t="e">
        <f>AND(Estimación!#REF!,"AAAAAF6/758=")</f>
        <v>#REF!</v>
      </c>
      <c r="FE2" t="e">
        <f>AND(Estimación!#REF!,"AAAAAF6/76A=")</f>
        <v>#REF!</v>
      </c>
      <c r="FF2" t="e">
        <f>AND(Estimación!#REF!,"AAAAAF6/76E=")</f>
        <v>#REF!</v>
      </c>
      <c r="FG2">
        <f>IF(Estimación!A:A,"AAAAAF6/76I=",0)</f>
        <v>0</v>
      </c>
      <c r="FH2">
        <f>IF(Estimación!B:B,"AAAAAF6/76M=",0)</f>
        <v>0</v>
      </c>
      <c r="FI2">
        <f>IF(Estimación!C:C,"AAAAAF6/76Q=",0)</f>
        <v>0</v>
      </c>
      <c r="FJ2">
        <f>IF(Estimación!D:D,"AAAAAF6/76U=",0)</f>
        <v>0</v>
      </c>
      <c r="FK2">
        <f>IF(Estimación!E:E,"AAAAAF6/76Y=",0)</f>
        <v>0</v>
      </c>
      <c r="FL2" t="e">
        <f>IF(Estimación!#REF!,"AAAAAF6/76c=",0)</f>
        <v>#REF!</v>
      </c>
      <c r="FM2">
        <f>IF(Estimación!F:F,"AAAAAF6/76g=",0)</f>
        <v>0</v>
      </c>
      <c r="FN2">
        <f>IF(Estimación!G:G,"AAAAAF6/76k=",0)</f>
        <v>0</v>
      </c>
      <c r="FO2">
        <f>IF(Estimación!H:H,"AAAAAF6/76o=",0)</f>
        <v>0</v>
      </c>
      <c r="FP2">
        <f>IF(Estimación!I:I,"AAAAAF6/76s=",0)</f>
        <v>0</v>
      </c>
      <c r="FQ2" t="s">
        <v>21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Aravena</dc:creator>
  <cp:lastModifiedBy>PAG</cp:lastModifiedBy>
  <cp:lastPrinted>2012-12-28T12:10:46Z</cp:lastPrinted>
  <dcterms:created xsi:type="dcterms:W3CDTF">2011-10-19T22:46:39Z</dcterms:created>
  <dcterms:modified xsi:type="dcterms:W3CDTF">2020-04-03T19:54:12Z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1UBpJ-kpLo8Tppez_ybgmMwLxmyV3hb_LETS4-in8aXg</vt:lpwstr>
  </property>
  <property fmtid="{D5CDD505-2E9C-101B-9397-08002B2CF9AE}" pid="4" name="Google.Documents.RevisionId">
    <vt:lpwstr>15493004376802117648</vt:lpwstr>
  </property>
  <property fmtid="{D5CDD505-2E9C-101B-9397-08002B2CF9AE}" pid="5" name="Google.Documents.PreviousRevisionId">
    <vt:lpwstr>09537105201417673393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